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https://appriver3651005261.sharepoint.com/sites/FactBook2020updates/Shared Documents/DataExchange/DE2020-21/Summary Data/04SCH_FTE21 files/"/>
    </mc:Choice>
  </mc:AlternateContent>
  <xr:revisionPtr revIDLastSave="362" documentId="8_{62269EDE-A221-494C-B750-1EF2FCCABEC7}" xr6:coauthVersionLast="47" xr6:coauthVersionMax="47" xr10:uidLastSave="{0E49B08E-2647-4700-AFA5-EC546793E36B}"/>
  <bookViews>
    <workbookView xWindow="-110" yWindow="-110" windowWidth="19420" windowHeight="10420" xr2:uid="{00000000-000D-0000-FFFF-FFFF00000000}"/>
  </bookViews>
  <sheets>
    <sheet name="NEW-Tables 80-86" sheetId="16" r:id="rId1"/>
    <sheet name="OLD Tables" sheetId="18" r:id="rId2"/>
    <sheet name="FTE Pivot for regular counts" sheetId="12" r:id="rId3"/>
    <sheet name="Pivot-HS Student % of Undergrad" sheetId="17" r:id="rId4"/>
    <sheet name="04SCH_FTE" sheetId="6" r:id="rId5"/>
    <sheet name="Format for FTE" sheetId="13" r:id="rId6"/>
    <sheet name="Format for HS%" sheetId="14" r:id="rId7"/>
  </sheets>
  <definedNames>
    <definedName name="APPHEAD" localSheetId="1">#REF!</definedName>
    <definedName name="CHHEAD" localSheetId="1">#REF!</definedName>
    <definedName name="Dual07_1" localSheetId="4">'04SCH_FTE'!$T$310:$T$325</definedName>
    <definedName name="Dual07_3" localSheetId="4">'04SCH_FTE'!$T$310:$T$325</definedName>
    <definedName name="Dual07_4" localSheetId="4">'04SCH_FTE'!$T$310:$T$325</definedName>
    <definedName name="Dual07_5" localSheetId="4">'04SCH_FTE'!$T$310:$T$325</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80-86'!$A$1:$O$216</definedName>
    <definedName name="_xlnm.Print_Area" localSheetId="1">'OLD Tables'!$A$1:$O$214</definedName>
    <definedName name="_xlnm.Print_Area" localSheetId="3">'Pivot-HS Student % of Undergrad'!$C$6:$T$101</definedName>
    <definedName name="_xlnm.Print_Area">#REF!</definedName>
    <definedName name="_xlnm.Print_Titles" localSheetId="4">'04SCH_FTE'!B:B</definedName>
    <definedName name="_xlnm.Print_Titles" localSheetId="3">'Pivot-HS Student % of Undergrad'!$A:$B,'Pivot-HS Student % of Undergrad'!$4:$5</definedName>
    <definedName name="RATIONALE" localSheetId="1">#REF!</definedName>
    <definedName name="RATIONALE2" localSheetId="1">#REF!</definedName>
    <definedName name="SALHEAD" localSheetId="1">#REF!</definedName>
    <definedName name="SCH15ug1" localSheetId="4">'04SCH_FTE'!$I$505:$I$566</definedName>
    <definedName name="SCH15ug1_1" localSheetId="4">'04SCH_FTE'!$I$505:$I$566</definedName>
  </definedNames>
  <calcPr calcId="191029"/>
  <pivotCaches>
    <pivotCache cacheId="232" r:id="rId8"/>
    <pivotCache cacheId="236"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8" i="6" l="1"/>
  <c r="AW8" i="6" s="1"/>
  <c r="AX8" i="6"/>
  <c r="AY8" i="6"/>
  <c r="BA8" i="6" s="1"/>
  <c r="AZ8" i="6"/>
  <c r="AV9" i="6"/>
  <c r="AW9" i="6"/>
  <c r="AZ9" i="6" s="1"/>
  <c r="AX9" i="6"/>
  <c r="AY9" i="6" s="1"/>
  <c r="BA9" i="6"/>
  <c r="AV10" i="6"/>
  <c r="AW10" i="6" s="1"/>
  <c r="AZ10" i="6" s="1"/>
  <c r="AX10" i="6"/>
  <c r="AY10" i="6"/>
  <c r="BA10" i="6" s="1"/>
  <c r="AV11" i="6"/>
  <c r="AW11" i="6"/>
  <c r="AZ11" i="6" s="1"/>
  <c r="AX11" i="6"/>
  <c r="AY11" i="6" s="1"/>
  <c r="BA11" i="6"/>
  <c r="AV12" i="6"/>
  <c r="AW12" i="6" s="1"/>
  <c r="AZ12" i="6" s="1"/>
  <c r="AX12" i="6"/>
  <c r="AY12" i="6"/>
  <c r="BA12" i="6" s="1"/>
  <c r="AV13" i="6"/>
  <c r="AW13" i="6"/>
  <c r="AZ13" i="6" s="1"/>
  <c r="AX13" i="6"/>
  <c r="AY13" i="6" s="1"/>
  <c r="BA13" i="6"/>
  <c r="AV14" i="6"/>
  <c r="AW14" i="6" s="1"/>
  <c r="AZ14" i="6" s="1"/>
  <c r="AX14" i="6"/>
  <c r="AY14" i="6"/>
  <c r="BA14" i="6" s="1"/>
  <c r="AV15" i="6"/>
  <c r="AW15" i="6"/>
  <c r="AZ15" i="6" s="1"/>
  <c r="AX15" i="6"/>
  <c r="AY15" i="6" s="1"/>
  <c r="BA15" i="6" s="1"/>
  <c r="AV16" i="6"/>
  <c r="AW16" i="6" s="1"/>
  <c r="AZ16" i="6" s="1"/>
  <c r="AX16" i="6"/>
  <c r="AY16" i="6"/>
  <c r="BA16" i="6" s="1"/>
  <c r="AV17" i="6"/>
  <c r="AW17" i="6"/>
  <c r="AZ17" i="6" s="1"/>
  <c r="AX17" i="6"/>
  <c r="AY17" i="6" s="1"/>
  <c r="BA17" i="6" s="1"/>
  <c r="AV18" i="6"/>
  <c r="AW18" i="6" s="1"/>
  <c r="AZ18" i="6" s="1"/>
  <c r="AX18" i="6"/>
  <c r="AY18" i="6"/>
  <c r="BA18" i="6" s="1"/>
  <c r="AV19" i="6"/>
  <c r="AW19" i="6"/>
  <c r="AZ19" i="6" s="1"/>
  <c r="AX19" i="6"/>
  <c r="AY19" i="6" s="1"/>
  <c r="BA19" i="6"/>
  <c r="AV20" i="6"/>
  <c r="AW20" i="6" s="1"/>
  <c r="AZ20" i="6" s="1"/>
  <c r="AX20" i="6"/>
  <c r="AY20" i="6"/>
  <c r="BA20" i="6" s="1"/>
  <c r="AV21" i="6"/>
  <c r="AW21" i="6"/>
  <c r="AZ21" i="6" s="1"/>
  <c r="AX21" i="6"/>
  <c r="AY21" i="6" s="1"/>
  <c r="BA21" i="6"/>
  <c r="AV22" i="6"/>
  <c r="AW22" i="6" s="1"/>
  <c r="AZ22" i="6" s="1"/>
  <c r="AX22" i="6"/>
  <c r="AY22" i="6"/>
  <c r="BA22" i="6" s="1"/>
  <c r="AV23" i="6"/>
  <c r="AW23" i="6"/>
  <c r="AZ23" i="6" s="1"/>
  <c r="AX23" i="6"/>
  <c r="AY23" i="6" s="1"/>
  <c r="BA23" i="6"/>
  <c r="AV24" i="6"/>
  <c r="AW24" i="6" s="1"/>
  <c r="AZ24" i="6" s="1"/>
  <c r="AX24" i="6"/>
  <c r="AY24" i="6"/>
  <c r="BA24" i="6" s="1"/>
  <c r="AV25" i="6"/>
  <c r="AW25" i="6"/>
  <c r="AZ25" i="6" s="1"/>
  <c r="AX25" i="6"/>
  <c r="AY25" i="6" s="1"/>
  <c r="BA25" i="6"/>
  <c r="AV26" i="6"/>
  <c r="AW26" i="6" s="1"/>
  <c r="AZ26" i="6" s="1"/>
  <c r="AX26" i="6"/>
  <c r="AY26" i="6"/>
  <c r="BA26" i="6" s="1"/>
  <c r="AV27" i="6"/>
  <c r="AW27" i="6"/>
  <c r="AZ27" i="6" s="1"/>
  <c r="AX27" i="6"/>
  <c r="AY27" i="6" s="1"/>
  <c r="BA27" i="6"/>
  <c r="AV28" i="6"/>
  <c r="AW28" i="6" s="1"/>
  <c r="AX28" i="6"/>
  <c r="AY28" i="6"/>
  <c r="BA28" i="6" s="1"/>
  <c r="AZ28" i="6"/>
  <c r="AV29" i="6"/>
  <c r="AW29" i="6"/>
  <c r="AZ29" i="6" s="1"/>
  <c r="AX29" i="6"/>
  <c r="AY29" i="6" s="1"/>
  <c r="BA29" i="6"/>
  <c r="AV30" i="6"/>
  <c r="AW30" i="6" s="1"/>
  <c r="AZ30" i="6" s="1"/>
  <c r="AX30" i="6"/>
  <c r="AY30" i="6"/>
  <c r="BA30" i="6" s="1"/>
  <c r="AV31" i="6"/>
  <c r="AW31" i="6"/>
  <c r="AZ31" i="6" s="1"/>
  <c r="AX31" i="6"/>
  <c r="AY31" i="6" s="1"/>
  <c r="BA31" i="6" s="1"/>
  <c r="AV32" i="6"/>
  <c r="AW32" i="6" s="1"/>
  <c r="AX32" i="6"/>
  <c r="AY32" i="6"/>
  <c r="BA32" i="6" s="1"/>
  <c r="AZ32" i="6"/>
  <c r="AV33" i="6"/>
  <c r="AW33" i="6"/>
  <c r="AZ33" i="6" s="1"/>
  <c r="AX33" i="6"/>
  <c r="AY33" i="6" s="1"/>
  <c r="BA33" i="6" s="1"/>
  <c r="AV34" i="6"/>
  <c r="AW34" i="6" s="1"/>
  <c r="AZ34" i="6" s="1"/>
  <c r="AX34" i="6"/>
  <c r="AY34" i="6"/>
  <c r="BA34" i="6" s="1"/>
  <c r="AV35" i="6"/>
  <c r="AW35" i="6"/>
  <c r="AZ35" i="6" s="1"/>
  <c r="AX35" i="6"/>
  <c r="AY35" i="6" s="1"/>
  <c r="BA35" i="6" s="1"/>
  <c r="AV36" i="6"/>
  <c r="AW36" i="6" s="1"/>
  <c r="AX36" i="6"/>
  <c r="AY36" i="6"/>
  <c r="BA36" i="6" s="1"/>
  <c r="AZ36" i="6"/>
  <c r="AV37" i="6"/>
  <c r="AW37" i="6"/>
  <c r="AZ37" i="6" s="1"/>
  <c r="AX37" i="6"/>
  <c r="AY37" i="6" s="1"/>
  <c r="BA37" i="6" s="1"/>
  <c r="AV38" i="6"/>
  <c r="AW38" i="6" s="1"/>
  <c r="AZ38" i="6" s="1"/>
  <c r="AX38" i="6"/>
  <c r="AY38" i="6"/>
  <c r="BA38" i="6" s="1"/>
  <c r="AV39" i="6"/>
  <c r="AW39" i="6"/>
  <c r="AZ39" i="6" s="1"/>
  <c r="AX39" i="6"/>
  <c r="AY39" i="6" s="1"/>
  <c r="BA39" i="6"/>
  <c r="AV40" i="6"/>
  <c r="AW40" i="6" s="1"/>
  <c r="AX40" i="6"/>
  <c r="AY40" i="6"/>
  <c r="BA40" i="6" s="1"/>
  <c r="AZ40" i="6"/>
  <c r="AV41" i="6"/>
  <c r="AW41" i="6"/>
  <c r="AZ41" i="6" s="1"/>
  <c r="AX41" i="6"/>
  <c r="AY41" i="6" s="1"/>
  <c r="BA41" i="6"/>
  <c r="AV42" i="6"/>
  <c r="AW42" i="6" s="1"/>
  <c r="AZ42" i="6" s="1"/>
  <c r="AX42" i="6"/>
  <c r="AY42" i="6"/>
  <c r="BA42" i="6" s="1"/>
  <c r="AV43" i="6"/>
  <c r="AW43" i="6"/>
  <c r="AZ43" i="6" s="1"/>
  <c r="AX43" i="6"/>
  <c r="AY43" i="6" s="1"/>
  <c r="BA43" i="6"/>
  <c r="AV44" i="6"/>
  <c r="AW44" i="6" s="1"/>
  <c r="AZ44" i="6" s="1"/>
  <c r="AX44" i="6"/>
  <c r="AY44" i="6"/>
  <c r="BA44" i="6" s="1"/>
  <c r="AV45" i="6"/>
  <c r="AW45" i="6"/>
  <c r="AZ45" i="6" s="1"/>
  <c r="AX45" i="6"/>
  <c r="AY45" i="6" s="1"/>
  <c r="BA45" i="6"/>
  <c r="AV46" i="6"/>
  <c r="AW46" i="6" s="1"/>
  <c r="AZ46" i="6" s="1"/>
  <c r="AX46" i="6"/>
  <c r="AY46" i="6"/>
  <c r="BA46" i="6" s="1"/>
  <c r="AV47" i="6"/>
  <c r="AW47" i="6"/>
  <c r="AZ47" i="6" s="1"/>
  <c r="AX47" i="6"/>
  <c r="AY47" i="6" s="1"/>
  <c r="BA47" i="6" s="1"/>
  <c r="AV48" i="6"/>
  <c r="AW48" i="6" s="1"/>
  <c r="AZ48" i="6" s="1"/>
  <c r="AX48" i="6"/>
  <c r="AY48" i="6"/>
  <c r="BA48" i="6" s="1"/>
  <c r="AV49" i="6"/>
  <c r="AW49" i="6"/>
  <c r="AZ49" i="6" s="1"/>
  <c r="AX49" i="6"/>
  <c r="AY49" i="6" s="1"/>
  <c r="BA49" i="6" s="1"/>
  <c r="AV50" i="6"/>
  <c r="AW50" i="6" s="1"/>
  <c r="AZ50" i="6" s="1"/>
  <c r="AX50" i="6"/>
  <c r="AY50" i="6"/>
  <c r="BA50" i="6" s="1"/>
  <c r="AV51" i="6"/>
  <c r="AW51" i="6"/>
  <c r="AZ51" i="6" s="1"/>
  <c r="AX51" i="6"/>
  <c r="AY51" i="6" s="1"/>
  <c r="BA51" i="6"/>
  <c r="AV52" i="6"/>
  <c r="AW52" i="6" s="1"/>
  <c r="AZ52" i="6" s="1"/>
  <c r="AX52" i="6"/>
  <c r="AY52" i="6"/>
  <c r="BA52" i="6" s="1"/>
  <c r="AV53" i="6"/>
  <c r="AW53" i="6"/>
  <c r="AZ53" i="6" s="1"/>
  <c r="AX53" i="6"/>
  <c r="AY53" i="6" s="1"/>
  <c r="BA53" i="6"/>
  <c r="AV54" i="6"/>
  <c r="AW54" i="6" s="1"/>
  <c r="AZ54" i="6" s="1"/>
  <c r="AX54" i="6"/>
  <c r="AY54" i="6"/>
  <c r="BA54" i="6" s="1"/>
  <c r="AV55" i="6"/>
  <c r="AW55" i="6"/>
  <c r="AZ55" i="6" s="1"/>
  <c r="AX55" i="6"/>
  <c r="AY55" i="6" s="1"/>
  <c r="BA55" i="6"/>
  <c r="AV56" i="6"/>
  <c r="AW56" i="6" s="1"/>
  <c r="AZ56" i="6" s="1"/>
  <c r="AX56" i="6"/>
  <c r="AY56" i="6"/>
  <c r="BA56" i="6" s="1"/>
  <c r="AV57" i="6"/>
  <c r="AW57" i="6"/>
  <c r="AZ57" i="6" s="1"/>
  <c r="AX57" i="6"/>
  <c r="AY57" i="6" s="1"/>
  <c r="BA57" i="6"/>
  <c r="AV58" i="6"/>
  <c r="AW58" i="6" s="1"/>
  <c r="AZ58" i="6" s="1"/>
  <c r="AX58" i="6"/>
  <c r="AY58" i="6"/>
  <c r="BA58" i="6" s="1"/>
  <c r="AV59" i="6"/>
  <c r="AW59" i="6"/>
  <c r="AZ59" i="6" s="1"/>
  <c r="AX59" i="6"/>
  <c r="AY59" i="6" s="1"/>
  <c r="BA59" i="6"/>
  <c r="AV60" i="6"/>
  <c r="AW60" i="6" s="1"/>
  <c r="AX60" i="6"/>
  <c r="AY60" i="6"/>
  <c r="BA60" i="6" s="1"/>
  <c r="AZ60" i="6"/>
  <c r="AV61" i="6"/>
  <c r="AW61" i="6"/>
  <c r="AZ61" i="6" s="1"/>
  <c r="AX61" i="6"/>
  <c r="AY61" i="6" s="1"/>
  <c r="BA61" i="6"/>
  <c r="AV62" i="6"/>
  <c r="AW62" i="6" s="1"/>
  <c r="AZ62" i="6" s="1"/>
  <c r="AX62" i="6"/>
  <c r="AY62" i="6"/>
  <c r="BA62" i="6" s="1"/>
  <c r="AV63" i="6"/>
  <c r="AW63" i="6"/>
  <c r="AZ63" i="6" s="1"/>
  <c r="AX63" i="6"/>
  <c r="AY63" i="6" s="1"/>
  <c r="BA63" i="6" s="1"/>
  <c r="AV64" i="6"/>
  <c r="AW64" i="6" s="1"/>
  <c r="AX64" i="6"/>
  <c r="AY64" i="6"/>
  <c r="BA64" i="6" s="1"/>
  <c r="AZ64" i="6"/>
  <c r="AV65" i="6"/>
  <c r="AW65" i="6"/>
  <c r="AZ65" i="6" s="1"/>
  <c r="AX65" i="6"/>
  <c r="AY65" i="6" s="1"/>
  <c r="BA65" i="6" s="1"/>
  <c r="AV66" i="6"/>
  <c r="AW66" i="6" s="1"/>
  <c r="AZ66" i="6" s="1"/>
  <c r="AX66" i="6"/>
  <c r="AY66" i="6"/>
  <c r="BA66" i="6" s="1"/>
  <c r="AV67" i="6"/>
  <c r="AW67" i="6"/>
  <c r="AZ67" i="6" s="1"/>
  <c r="AX67" i="6"/>
  <c r="AY67" i="6" s="1"/>
  <c r="BA67" i="6" s="1"/>
  <c r="AV68" i="6"/>
  <c r="AW68" i="6" s="1"/>
  <c r="AX68" i="6"/>
  <c r="AY68" i="6"/>
  <c r="BA68" i="6" s="1"/>
  <c r="AZ68" i="6"/>
  <c r="AV69" i="6"/>
  <c r="AW69" i="6"/>
  <c r="AZ69" i="6" s="1"/>
  <c r="AX69" i="6"/>
  <c r="AY69" i="6" s="1"/>
  <c r="BA69" i="6" s="1"/>
  <c r="AV70" i="6"/>
  <c r="AW70" i="6" s="1"/>
  <c r="AZ70" i="6" s="1"/>
  <c r="AX70" i="6"/>
  <c r="AY70" i="6"/>
  <c r="BA70" i="6" s="1"/>
  <c r="AV71" i="6"/>
  <c r="AW71" i="6"/>
  <c r="AZ71" i="6" s="1"/>
  <c r="AX71" i="6"/>
  <c r="AY71" i="6" s="1"/>
  <c r="BA71" i="6"/>
  <c r="AV72" i="6"/>
  <c r="AW72" i="6" s="1"/>
  <c r="AX72" i="6"/>
  <c r="AY72" i="6"/>
  <c r="BA72" i="6" s="1"/>
  <c r="AZ72" i="6"/>
  <c r="AV73" i="6"/>
  <c r="AW73" i="6"/>
  <c r="AZ73" i="6" s="1"/>
  <c r="AX73" i="6"/>
  <c r="AY73" i="6" s="1"/>
  <c r="BA73" i="6"/>
  <c r="AV74" i="6"/>
  <c r="AW74" i="6" s="1"/>
  <c r="AZ74" i="6" s="1"/>
  <c r="AX74" i="6"/>
  <c r="AY74" i="6"/>
  <c r="BA74" i="6" s="1"/>
  <c r="AV75" i="6"/>
  <c r="AW75" i="6"/>
  <c r="AZ75" i="6" s="1"/>
  <c r="AX75" i="6"/>
  <c r="AY75" i="6" s="1"/>
  <c r="BA75" i="6"/>
  <c r="AV76" i="6"/>
  <c r="AW76" i="6" s="1"/>
  <c r="AZ76" i="6" s="1"/>
  <c r="AX76" i="6"/>
  <c r="AY76" i="6"/>
  <c r="BA76" i="6" s="1"/>
  <c r="AV77" i="6"/>
  <c r="AW77" i="6"/>
  <c r="AZ77" i="6" s="1"/>
  <c r="AX77" i="6"/>
  <c r="AY77" i="6" s="1"/>
  <c r="BA77" i="6"/>
  <c r="AV78" i="6"/>
  <c r="AW78" i="6" s="1"/>
  <c r="AZ78" i="6" s="1"/>
  <c r="AX78" i="6"/>
  <c r="AY78" i="6"/>
  <c r="BA78" i="6" s="1"/>
  <c r="AV79" i="6"/>
  <c r="AW79" i="6"/>
  <c r="AZ79" i="6" s="1"/>
  <c r="AX79" i="6"/>
  <c r="AY79" i="6" s="1"/>
  <c r="BA79" i="6" s="1"/>
  <c r="AV80" i="6"/>
  <c r="AW80" i="6" s="1"/>
  <c r="AZ80" i="6" s="1"/>
  <c r="AX80" i="6"/>
  <c r="AY80" i="6"/>
  <c r="BA80" i="6" s="1"/>
  <c r="AV81" i="6"/>
  <c r="AW81" i="6"/>
  <c r="AZ81" i="6" s="1"/>
  <c r="AX81" i="6"/>
  <c r="AY81" i="6" s="1"/>
  <c r="BA81" i="6" s="1"/>
  <c r="AV82" i="6"/>
  <c r="AW82" i="6" s="1"/>
  <c r="AZ82" i="6" s="1"/>
  <c r="AX82" i="6"/>
  <c r="AY82" i="6"/>
  <c r="BA82" i="6" s="1"/>
  <c r="AV83" i="6"/>
  <c r="AW83" i="6"/>
  <c r="AZ83" i="6" s="1"/>
  <c r="AX83" i="6"/>
  <c r="AY83" i="6" s="1"/>
  <c r="BA83" i="6"/>
  <c r="AV84" i="6"/>
  <c r="AW84" i="6" s="1"/>
  <c r="AZ84" i="6" s="1"/>
  <c r="AX84" i="6"/>
  <c r="AY84" i="6"/>
  <c r="BA84" i="6" s="1"/>
  <c r="AV85" i="6"/>
  <c r="AW85" i="6"/>
  <c r="AZ85" i="6" s="1"/>
  <c r="AX85" i="6"/>
  <c r="AY85" i="6" s="1"/>
  <c r="BA85" i="6"/>
  <c r="AV86" i="6"/>
  <c r="AW86" i="6" s="1"/>
  <c r="AZ86" i="6" s="1"/>
  <c r="AX86" i="6"/>
  <c r="AY86" i="6"/>
  <c r="BA86" i="6" s="1"/>
  <c r="AV87" i="6"/>
  <c r="AW87" i="6"/>
  <c r="AZ87" i="6" s="1"/>
  <c r="AX87" i="6"/>
  <c r="AY87" i="6" s="1"/>
  <c r="BA87" i="6" s="1"/>
  <c r="AV88" i="6"/>
  <c r="AW88" i="6" s="1"/>
  <c r="AX88" i="6"/>
  <c r="AY88" i="6"/>
  <c r="BA88" i="6" s="1"/>
  <c r="AZ88" i="6"/>
  <c r="AV89" i="6"/>
  <c r="AW89" i="6"/>
  <c r="AZ89" i="6" s="1"/>
  <c r="AX89" i="6"/>
  <c r="AY89" i="6" s="1"/>
  <c r="BA89" i="6"/>
  <c r="AV90" i="6"/>
  <c r="AW90" i="6" s="1"/>
  <c r="AZ90" i="6" s="1"/>
  <c r="AX90" i="6"/>
  <c r="AY90" i="6"/>
  <c r="BA90" i="6" s="1"/>
  <c r="AV91" i="6"/>
  <c r="AW91" i="6"/>
  <c r="AZ91" i="6" s="1"/>
  <c r="AX91" i="6"/>
  <c r="AY91" i="6" s="1"/>
  <c r="BA91" i="6"/>
  <c r="AV92" i="6"/>
  <c r="AW92" i="6" s="1"/>
  <c r="AX92" i="6"/>
  <c r="AY92" i="6"/>
  <c r="BA92" i="6" s="1"/>
  <c r="AZ92" i="6"/>
  <c r="AV93" i="6"/>
  <c r="AW93" i="6"/>
  <c r="AZ93" i="6" s="1"/>
  <c r="AX93" i="6"/>
  <c r="AY93" i="6" s="1"/>
  <c r="BA93" i="6"/>
  <c r="AV94" i="6"/>
  <c r="AW94" i="6" s="1"/>
  <c r="AZ94" i="6" s="1"/>
  <c r="AX94" i="6"/>
  <c r="AY94" i="6"/>
  <c r="BA94" i="6" s="1"/>
  <c r="AV95" i="6"/>
  <c r="AW95" i="6"/>
  <c r="AZ95" i="6" s="1"/>
  <c r="AX95" i="6"/>
  <c r="AY95" i="6" s="1"/>
  <c r="BA95" i="6" s="1"/>
  <c r="AV96" i="6"/>
  <c r="AW96" i="6" s="1"/>
  <c r="AX96" i="6"/>
  <c r="AY96" i="6"/>
  <c r="BA96" i="6" s="1"/>
  <c r="AZ96" i="6"/>
  <c r="AV97" i="6"/>
  <c r="AW97" i="6"/>
  <c r="AZ97" i="6" s="1"/>
  <c r="AX97" i="6"/>
  <c r="AY97" i="6" s="1"/>
  <c r="BA97" i="6" s="1"/>
  <c r="AV98" i="6"/>
  <c r="AW98" i="6" s="1"/>
  <c r="AZ98" i="6" s="1"/>
  <c r="AX98" i="6"/>
  <c r="AY98" i="6"/>
  <c r="BA98" i="6" s="1"/>
  <c r="AV99" i="6"/>
  <c r="AW99" i="6"/>
  <c r="AZ99" i="6" s="1"/>
  <c r="AX99" i="6"/>
  <c r="AY99" i="6" s="1"/>
  <c r="BA99" i="6" s="1"/>
  <c r="AV100" i="6"/>
  <c r="AW100" i="6" s="1"/>
  <c r="AX100" i="6"/>
  <c r="AY100" i="6"/>
  <c r="BA100" i="6" s="1"/>
  <c r="AZ100" i="6"/>
  <c r="AV101" i="6"/>
  <c r="AW101" i="6"/>
  <c r="AZ101" i="6" s="1"/>
  <c r="AX101" i="6"/>
  <c r="AY101" i="6" s="1"/>
  <c r="BA101" i="6" s="1"/>
  <c r="AV102" i="6"/>
  <c r="AW102" i="6" s="1"/>
  <c r="AZ102" i="6" s="1"/>
  <c r="AX102" i="6"/>
  <c r="AY102" i="6"/>
  <c r="BA102" i="6" s="1"/>
  <c r="AV103" i="6"/>
  <c r="AW103" i="6"/>
  <c r="AZ103" i="6" s="1"/>
  <c r="AX103" i="6"/>
  <c r="AY103" i="6" s="1"/>
  <c r="BA103" i="6"/>
  <c r="AV104" i="6"/>
  <c r="AW104" i="6" s="1"/>
  <c r="AX104" i="6"/>
  <c r="AY104" i="6"/>
  <c r="BA104" i="6" s="1"/>
  <c r="AZ104" i="6"/>
  <c r="AV105" i="6"/>
  <c r="AW105" i="6"/>
  <c r="AZ105" i="6" s="1"/>
  <c r="AX105" i="6"/>
  <c r="AY105" i="6" s="1"/>
  <c r="BA105" i="6"/>
  <c r="AV106" i="6"/>
  <c r="AW106" i="6" s="1"/>
  <c r="AZ106" i="6" s="1"/>
  <c r="AX106" i="6"/>
  <c r="AY106" i="6"/>
  <c r="BA106" i="6" s="1"/>
  <c r="AV107" i="6"/>
  <c r="AW107" i="6"/>
  <c r="AZ107" i="6" s="1"/>
  <c r="AX107" i="6"/>
  <c r="AY107" i="6" s="1"/>
  <c r="BA107" i="6"/>
  <c r="AV108" i="6"/>
  <c r="AW108" i="6" s="1"/>
  <c r="AZ108" i="6" s="1"/>
  <c r="AX108" i="6"/>
  <c r="AY108" i="6"/>
  <c r="BA108" i="6" s="1"/>
  <c r="AV109" i="6"/>
  <c r="AW109" i="6"/>
  <c r="AZ109" i="6" s="1"/>
  <c r="AX109" i="6"/>
  <c r="AY109" i="6" s="1"/>
  <c r="BA109" i="6"/>
  <c r="AV110" i="6"/>
  <c r="AW110" i="6" s="1"/>
  <c r="AZ110" i="6" s="1"/>
  <c r="AX110" i="6"/>
  <c r="AY110" i="6"/>
  <c r="BA110" i="6" s="1"/>
  <c r="AV111" i="6"/>
  <c r="AW111" i="6"/>
  <c r="AZ111" i="6" s="1"/>
  <c r="AX111" i="6"/>
  <c r="AY111" i="6" s="1"/>
  <c r="BA111" i="6" s="1"/>
  <c r="AV112" i="6"/>
  <c r="AW112" i="6" s="1"/>
  <c r="AZ112" i="6" s="1"/>
  <c r="AX112" i="6"/>
  <c r="AY112" i="6"/>
  <c r="BA112" i="6" s="1"/>
  <c r="AV113" i="6"/>
  <c r="AW113" i="6"/>
  <c r="AZ113" i="6" s="1"/>
  <c r="AX113" i="6"/>
  <c r="AY113" i="6" s="1"/>
  <c r="BA113" i="6" s="1"/>
  <c r="AV114" i="6"/>
  <c r="AW114" i="6" s="1"/>
  <c r="AZ114" i="6" s="1"/>
  <c r="AX114" i="6"/>
  <c r="AY114" i="6"/>
  <c r="BA114" i="6" s="1"/>
  <c r="AV115" i="6"/>
  <c r="AW115" i="6"/>
  <c r="AZ115" i="6" s="1"/>
  <c r="AX115" i="6"/>
  <c r="AY115" i="6" s="1"/>
  <c r="BA115" i="6"/>
  <c r="AV116" i="6"/>
  <c r="AW116" i="6" s="1"/>
  <c r="AZ116" i="6" s="1"/>
  <c r="AX116" i="6"/>
  <c r="AY116" i="6"/>
  <c r="BA116" i="6" s="1"/>
  <c r="AV117" i="6"/>
  <c r="AW117" i="6"/>
  <c r="AX117" i="6"/>
  <c r="AY117" i="6" s="1"/>
  <c r="AZ117" i="6"/>
  <c r="BA117" i="6"/>
  <c r="AV118" i="6"/>
  <c r="AW118" i="6" s="1"/>
  <c r="AZ118" i="6" s="1"/>
  <c r="AX118" i="6"/>
  <c r="AY118" i="6" s="1"/>
  <c r="BA118" i="6" s="1"/>
  <c r="AV119" i="6"/>
  <c r="AW119" i="6"/>
  <c r="AX119" i="6"/>
  <c r="AY119" i="6" s="1"/>
  <c r="AZ119" i="6"/>
  <c r="BA119" i="6"/>
  <c r="AV120" i="6"/>
  <c r="AW120" i="6" s="1"/>
  <c r="AZ120" i="6" s="1"/>
  <c r="AX120" i="6"/>
  <c r="AY120" i="6" s="1"/>
  <c r="BA120" i="6" s="1"/>
  <c r="AV121" i="6"/>
  <c r="AW121" i="6" s="1"/>
  <c r="AZ121" i="6" s="1"/>
  <c r="AX121" i="6"/>
  <c r="AY121" i="6" s="1"/>
  <c r="BA121" i="6" s="1"/>
  <c r="AV122" i="6"/>
  <c r="AW122" i="6" s="1"/>
  <c r="AX122" i="6"/>
  <c r="AY122" i="6" s="1"/>
  <c r="BA122" i="6" s="1"/>
  <c r="AZ122" i="6"/>
  <c r="AV123" i="6"/>
  <c r="AW123" i="6"/>
  <c r="AZ123" i="6" s="1"/>
  <c r="AX123" i="6"/>
  <c r="AY123" i="6" s="1"/>
  <c r="BA123" i="6" s="1"/>
  <c r="AV124" i="6"/>
  <c r="AW124" i="6" s="1"/>
  <c r="AZ124" i="6" s="1"/>
  <c r="AX124" i="6"/>
  <c r="AY124" i="6"/>
  <c r="BA124" i="6" s="1"/>
  <c r="AV125" i="6"/>
  <c r="AW125" i="6" s="1"/>
  <c r="AZ125" i="6" s="1"/>
  <c r="AX125" i="6"/>
  <c r="AY125" i="6" s="1"/>
  <c r="BA125" i="6"/>
  <c r="AV126" i="6"/>
  <c r="AW126" i="6" s="1"/>
  <c r="AX126" i="6"/>
  <c r="AY126" i="6" s="1"/>
  <c r="BA126" i="6" s="1"/>
  <c r="AZ126" i="6"/>
  <c r="AV127" i="6"/>
  <c r="AW127" i="6"/>
  <c r="AZ127" i="6" s="1"/>
  <c r="AX127" i="6"/>
  <c r="AY127" i="6" s="1"/>
  <c r="BA127" i="6" s="1"/>
  <c r="AV128" i="6"/>
  <c r="AW128" i="6" s="1"/>
  <c r="AZ128" i="6" s="1"/>
  <c r="AX128" i="6"/>
  <c r="AY128" i="6"/>
  <c r="BA128" i="6" s="1"/>
  <c r="AV129" i="6"/>
  <c r="AW129" i="6" s="1"/>
  <c r="AZ129" i="6" s="1"/>
  <c r="AX129" i="6"/>
  <c r="AY129" i="6" s="1"/>
  <c r="BA129" i="6" s="1"/>
  <c r="AV130" i="6"/>
  <c r="AW130" i="6" s="1"/>
  <c r="AX130" i="6"/>
  <c r="AY130" i="6" s="1"/>
  <c r="BA130" i="6" s="1"/>
  <c r="AZ130" i="6"/>
  <c r="AV131" i="6"/>
  <c r="AW131" i="6" s="1"/>
  <c r="AZ131" i="6" s="1"/>
  <c r="AX131" i="6"/>
  <c r="AY131" i="6" s="1"/>
  <c r="BA131" i="6" s="1"/>
  <c r="AV132" i="6"/>
  <c r="AW132" i="6" s="1"/>
  <c r="AZ132" i="6" s="1"/>
  <c r="AX132" i="6"/>
  <c r="AY132" i="6"/>
  <c r="BA132" i="6" s="1"/>
  <c r="AV133" i="6"/>
  <c r="AW133" i="6" s="1"/>
  <c r="AX133" i="6"/>
  <c r="AY133" i="6" s="1"/>
  <c r="AZ133" i="6"/>
  <c r="BA133" i="6"/>
  <c r="AV134" i="6"/>
  <c r="AW134" i="6" s="1"/>
  <c r="AZ134" i="6" s="1"/>
  <c r="AX134" i="6"/>
  <c r="AY134" i="6" s="1"/>
  <c r="BA134" i="6" s="1"/>
  <c r="AV135" i="6"/>
  <c r="AW135" i="6"/>
  <c r="AZ135" i="6" s="1"/>
  <c r="AX135" i="6"/>
  <c r="AY135" i="6" s="1"/>
  <c r="BA135" i="6" s="1"/>
  <c r="AV136" i="6"/>
  <c r="AW136" i="6" s="1"/>
  <c r="AZ136" i="6" s="1"/>
  <c r="AX136" i="6"/>
  <c r="AY136" i="6" s="1"/>
  <c r="BA136" i="6" s="1"/>
  <c r="AV137" i="6"/>
  <c r="AW137" i="6" s="1"/>
  <c r="AZ137" i="6" s="1"/>
  <c r="AX137" i="6"/>
  <c r="AY137" i="6" s="1"/>
  <c r="BA137" i="6"/>
  <c r="AV138" i="6"/>
  <c r="AW138" i="6" s="1"/>
  <c r="AX138" i="6"/>
  <c r="AY138" i="6" s="1"/>
  <c r="BA138" i="6" s="1"/>
  <c r="AZ138" i="6"/>
  <c r="AV139" i="6"/>
  <c r="AW139" i="6"/>
  <c r="AZ139" i="6" s="1"/>
  <c r="AX139" i="6"/>
  <c r="AY139" i="6" s="1"/>
  <c r="BA139" i="6" s="1"/>
  <c r="AV140" i="6"/>
  <c r="AW140" i="6" s="1"/>
  <c r="AZ140" i="6" s="1"/>
  <c r="AX140" i="6"/>
  <c r="AY140" i="6"/>
  <c r="BA140" i="6" s="1"/>
  <c r="AV141" i="6"/>
  <c r="AW141" i="6" s="1"/>
  <c r="AZ141" i="6" s="1"/>
  <c r="AX141" i="6"/>
  <c r="AY141" i="6" s="1"/>
  <c r="BA141" i="6"/>
  <c r="AV142" i="6"/>
  <c r="AW142" i="6" s="1"/>
  <c r="AX142" i="6"/>
  <c r="AY142" i="6" s="1"/>
  <c r="BA142" i="6" s="1"/>
  <c r="AZ142" i="6"/>
  <c r="AV143" i="6"/>
  <c r="AW143" i="6"/>
  <c r="AZ143" i="6" s="1"/>
  <c r="AX143" i="6"/>
  <c r="AY143" i="6" s="1"/>
  <c r="BA143" i="6" s="1"/>
  <c r="AV144" i="6"/>
  <c r="AW144" i="6" s="1"/>
  <c r="AZ144" i="6" s="1"/>
  <c r="AX144" i="6"/>
  <c r="AY144" i="6" s="1"/>
  <c r="BA144" i="6" s="1"/>
  <c r="AV145" i="6"/>
  <c r="AW145" i="6" s="1"/>
  <c r="AX145" i="6"/>
  <c r="AY145" i="6" s="1"/>
  <c r="AZ145" i="6"/>
  <c r="BA145" i="6"/>
  <c r="AV146" i="6"/>
  <c r="AW146" i="6" s="1"/>
  <c r="AX146" i="6"/>
  <c r="AY146" i="6" s="1"/>
  <c r="BA146" i="6" s="1"/>
  <c r="AZ146" i="6"/>
  <c r="AV147" i="6"/>
  <c r="AW147" i="6"/>
  <c r="AZ147" i="6" s="1"/>
  <c r="AX147" i="6"/>
  <c r="AY147" i="6" s="1"/>
  <c r="BA147" i="6" s="1"/>
  <c r="AV148" i="6"/>
  <c r="AW148" i="6" s="1"/>
  <c r="AZ148" i="6" s="1"/>
  <c r="AX148" i="6"/>
  <c r="AY148" i="6" s="1"/>
  <c r="BA148" i="6" s="1"/>
  <c r="AV149" i="6"/>
  <c r="AW149" i="6" s="1"/>
  <c r="AZ149" i="6" s="1"/>
  <c r="AX149" i="6"/>
  <c r="AY149" i="6" s="1"/>
  <c r="BA149" i="6" s="1"/>
  <c r="AV150" i="6"/>
  <c r="AW150" i="6" s="1"/>
  <c r="AX150" i="6"/>
  <c r="AY150" i="6" s="1"/>
  <c r="BA150" i="6" s="1"/>
  <c r="AZ150" i="6"/>
  <c r="AV151" i="6"/>
  <c r="AW151" i="6" s="1"/>
  <c r="AZ151" i="6" s="1"/>
  <c r="AX151" i="6"/>
  <c r="AY151" i="6" s="1"/>
  <c r="BA151" i="6" s="1"/>
  <c r="AV152" i="6"/>
  <c r="AW152" i="6" s="1"/>
  <c r="AZ152" i="6" s="1"/>
  <c r="AX152" i="6"/>
  <c r="AY152" i="6"/>
  <c r="BA152" i="6" s="1"/>
  <c r="AV153" i="6"/>
  <c r="AW153" i="6" s="1"/>
  <c r="AZ153" i="6" s="1"/>
  <c r="AX153" i="6"/>
  <c r="AY153" i="6" s="1"/>
  <c r="BA153" i="6" s="1"/>
  <c r="AV154" i="6"/>
  <c r="AW154" i="6" s="1"/>
  <c r="AZ154" i="6" s="1"/>
  <c r="AX154" i="6"/>
  <c r="AY154" i="6" s="1"/>
  <c r="BA154" i="6" s="1"/>
  <c r="AV155" i="6"/>
  <c r="AW155" i="6"/>
  <c r="AZ155" i="6" s="1"/>
  <c r="AX155" i="6"/>
  <c r="AY155" i="6" s="1"/>
  <c r="BA155" i="6" s="1"/>
  <c r="AV156" i="6"/>
  <c r="AW156" i="6" s="1"/>
  <c r="AZ156" i="6" s="1"/>
  <c r="AX156" i="6"/>
  <c r="AY156" i="6"/>
  <c r="BA156" i="6" s="1"/>
  <c r="AV157" i="6"/>
  <c r="AW157" i="6" s="1"/>
  <c r="AX157" i="6"/>
  <c r="AY157" i="6" s="1"/>
  <c r="AZ157" i="6"/>
  <c r="BA157" i="6"/>
  <c r="AV158" i="6"/>
  <c r="AW158" i="6" s="1"/>
  <c r="AZ158" i="6" s="1"/>
  <c r="AX158" i="6"/>
  <c r="AY158" i="6" s="1"/>
  <c r="BA158" i="6" s="1"/>
  <c r="AV159" i="6"/>
  <c r="AW159" i="6" s="1"/>
  <c r="AZ159" i="6" s="1"/>
  <c r="AX159" i="6"/>
  <c r="AY159" i="6" s="1"/>
  <c r="BA159" i="6" s="1"/>
  <c r="AV160" i="6"/>
  <c r="AW160" i="6" s="1"/>
  <c r="AZ160" i="6" s="1"/>
  <c r="AX160" i="6"/>
  <c r="AY160" i="6"/>
  <c r="BA160" i="6" s="1"/>
  <c r="AV161" i="6"/>
  <c r="AW161" i="6" s="1"/>
  <c r="AX161" i="6"/>
  <c r="AY161" i="6" s="1"/>
  <c r="BA161" i="6" s="1"/>
  <c r="AZ161" i="6"/>
  <c r="AV162" i="6"/>
  <c r="AW162" i="6" s="1"/>
  <c r="AX162" i="6"/>
  <c r="AY162" i="6" s="1"/>
  <c r="BA162" i="6" s="1"/>
  <c r="AZ162" i="6"/>
  <c r="AV163" i="6"/>
  <c r="AW163" i="6" s="1"/>
  <c r="AZ163" i="6" s="1"/>
  <c r="AX163" i="6"/>
  <c r="AY163" i="6" s="1"/>
  <c r="BA163" i="6" s="1"/>
  <c r="AV164" i="6"/>
  <c r="AW164" i="6" s="1"/>
  <c r="AZ164" i="6" s="1"/>
  <c r="AX164" i="6"/>
  <c r="AY164" i="6"/>
  <c r="BA164" i="6" s="1"/>
  <c r="AV165" i="6"/>
  <c r="AW165" i="6" s="1"/>
  <c r="AX165" i="6"/>
  <c r="AY165" i="6" s="1"/>
  <c r="BA165" i="6" s="1"/>
  <c r="AZ165" i="6"/>
  <c r="AV166" i="6"/>
  <c r="AW166" i="6" s="1"/>
  <c r="AZ166" i="6" s="1"/>
  <c r="AX166" i="6"/>
  <c r="AY166" i="6" s="1"/>
  <c r="BA166" i="6" s="1"/>
  <c r="AV167" i="6"/>
  <c r="AW167" i="6"/>
  <c r="AZ167" i="6" s="1"/>
  <c r="AX167" i="6"/>
  <c r="AY167" i="6" s="1"/>
  <c r="BA167" i="6" s="1"/>
  <c r="AV168" i="6"/>
  <c r="AW168" i="6" s="1"/>
  <c r="AZ168" i="6" s="1"/>
  <c r="AX168" i="6"/>
  <c r="AY168" i="6" s="1"/>
  <c r="BA168" i="6" s="1"/>
  <c r="AV169" i="6"/>
  <c r="AW169" i="6" s="1"/>
  <c r="AZ169" i="6" s="1"/>
  <c r="AX169" i="6"/>
  <c r="AY169" i="6" s="1"/>
  <c r="BA169" i="6"/>
  <c r="AV170" i="6"/>
  <c r="AW170" i="6" s="1"/>
  <c r="AZ170" i="6" s="1"/>
  <c r="AX170" i="6"/>
  <c r="AY170" i="6" s="1"/>
  <c r="BA170" i="6" s="1"/>
  <c r="AV171" i="6"/>
  <c r="AW171" i="6"/>
  <c r="AZ171" i="6" s="1"/>
  <c r="AX171" i="6"/>
  <c r="AY171" i="6" s="1"/>
  <c r="BA171" i="6" s="1"/>
  <c r="AV172" i="6"/>
  <c r="AW172" i="6" s="1"/>
  <c r="AZ172" i="6" s="1"/>
  <c r="AX172" i="6"/>
  <c r="AY172" i="6" s="1"/>
  <c r="BA172" i="6" s="1"/>
  <c r="AV173" i="6"/>
  <c r="AW173" i="6" s="1"/>
  <c r="AZ173" i="6" s="1"/>
  <c r="AX173" i="6"/>
  <c r="AY173" i="6" s="1"/>
  <c r="BA173" i="6"/>
  <c r="AV174" i="6"/>
  <c r="AW174" i="6" s="1"/>
  <c r="AX174" i="6"/>
  <c r="AY174" i="6" s="1"/>
  <c r="BA174" i="6" s="1"/>
  <c r="AZ174" i="6"/>
  <c r="AV175" i="6"/>
  <c r="AW175" i="6"/>
  <c r="AZ175" i="6" s="1"/>
  <c r="AX175" i="6"/>
  <c r="AY175" i="6" s="1"/>
  <c r="BA175" i="6" s="1"/>
  <c r="AV176" i="6"/>
  <c r="AW176" i="6" s="1"/>
  <c r="AZ176" i="6" s="1"/>
  <c r="AX176" i="6"/>
  <c r="AY176" i="6" s="1"/>
  <c r="BA176" i="6" s="1"/>
  <c r="AV177" i="6"/>
  <c r="AW177" i="6" s="1"/>
  <c r="AX177" i="6"/>
  <c r="AY177" i="6" s="1"/>
  <c r="AZ177" i="6"/>
  <c r="BA177" i="6"/>
  <c r="AV178" i="6"/>
  <c r="AW178" i="6" s="1"/>
  <c r="AX178" i="6"/>
  <c r="AY178" i="6" s="1"/>
  <c r="BA178" i="6" s="1"/>
  <c r="AZ178" i="6"/>
  <c r="AV179" i="6"/>
  <c r="AW179" i="6"/>
  <c r="AZ179" i="6" s="1"/>
  <c r="AX179" i="6"/>
  <c r="AY179" i="6" s="1"/>
  <c r="BA179" i="6" s="1"/>
  <c r="AV180" i="6"/>
  <c r="AW180" i="6" s="1"/>
  <c r="AZ180" i="6" s="1"/>
  <c r="AX180" i="6"/>
  <c r="AY180" i="6" s="1"/>
  <c r="BA180" i="6" s="1"/>
  <c r="AV181" i="6"/>
  <c r="AW181" i="6" s="1"/>
  <c r="AZ181" i="6" s="1"/>
  <c r="AX181" i="6"/>
  <c r="AY181" i="6" s="1"/>
  <c r="BA181" i="6" s="1"/>
  <c r="AV182" i="6"/>
  <c r="AW182" i="6" s="1"/>
  <c r="AX182" i="6"/>
  <c r="AY182" i="6" s="1"/>
  <c r="BA182" i="6" s="1"/>
  <c r="AZ182" i="6"/>
  <c r="AV183" i="6"/>
  <c r="AW183" i="6" s="1"/>
  <c r="AZ183" i="6" s="1"/>
  <c r="AX183" i="6"/>
  <c r="AY183" i="6" s="1"/>
  <c r="BA183" i="6" s="1"/>
  <c r="AV184" i="6"/>
  <c r="AW184" i="6" s="1"/>
  <c r="AZ184" i="6" s="1"/>
  <c r="AX184" i="6"/>
  <c r="AY184" i="6"/>
  <c r="BA184" i="6" s="1"/>
  <c r="AV185" i="6"/>
  <c r="AW185" i="6" s="1"/>
  <c r="AZ185" i="6" s="1"/>
  <c r="AX185" i="6"/>
  <c r="AY185" i="6" s="1"/>
  <c r="BA185" i="6" s="1"/>
  <c r="AV186" i="6"/>
  <c r="AW186" i="6" s="1"/>
  <c r="AZ186" i="6" s="1"/>
  <c r="AX186" i="6"/>
  <c r="AY186" i="6" s="1"/>
  <c r="BA186" i="6" s="1"/>
  <c r="AV187" i="6"/>
  <c r="AW187" i="6" s="1"/>
  <c r="AZ187" i="6" s="1"/>
  <c r="AX187" i="6"/>
  <c r="AY187" i="6" s="1"/>
  <c r="BA187" i="6" s="1"/>
  <c r="AV188" i="6"/>
  <c r="AW188" i="6" s="1"/>
  <c r="AZ188" i="6" s="1"/>
  <c r="AX188" i="6"/>
  <c r="AY188" i="6"/>
  <c r="BA188" i="6" s="1"/>
  <c r="AV189" i="6"/>
  <c r="AW189" i="6" s="1"/>
  <c r="AX189" i="6"/>
  <c r="AY189" i="6" s="1"/>
  <c r="AZ189" i="6"/>
  <c r="BA189" i="6"/>
  <c r="AV190" i="6"/>
  <c r="AW190" i="6" s="1"/>
  <c r="AZ190" i="6" s="1"/>
  <c r="AX190" i="6"/>
  <c r="AY190" i="6" s="1"/>
  <c r="BA190" i="6" s="1"/>
  <c r="AV191" i="6"/>
  <c r="AW191" i="6" s="1"/>
  <c r="AZ191" i="6" s="1"/>
  <c r="AX191" i="6"/>
  <c r="AY191" i="6" s="1"/>
  <c r="BA191" i="6" s="1"/>
  <c r="AV192" i="6"/>
  <c r="AW192" i="6" s="1"/>
  <c r="AZ192" i="6" s="1"/>
  <c r="AX192" i="6"/>
  <c r="AY192" i="6"/>
  <c r="BA192" i="6" s="1"/>
  <c r="AV193" i="6"/>
  <c r="AW193" i="6" s="1"/>
  <c r="AX193" i="6"/>
  <c r="AY193" i="6" s="1"/>
  <c r="BA193" i="6" s="1"/>
  <c r="AZ193" i="6"/>
  <c r="AV194" i="6"/>
  <c r="AW194" i="6" s="1"/>
  <c r="AX194" i="6"/>
  <c r="AY194" i="6" s="1"/>
  <c r="BA194" i="6" s="1"/>
  <c r="AZ194" i="6"/>
  <c r="AV195" i="6"/>
  <c r="AW195" i="6" s="1"/>
  <c r="AZ195" i="6" s="1"/>
  <c r="AX195" i="6"/>
  <c r="AY195" i="6" s="1"/>
  <c r="BA195" i="6" s="1"/>
  <c r="AV196" i="6"/>
  <c r="AW196" i="6" s="1"/>
  <c r="AZ196" i="6" s="1"/>
  <c r="AX196" i="6"/>
  <c r="AY196" i="6"/>
  <c r="BA196" i="6" s="1"/>
  <c r="AV197" i="6"/>
  <c r="AW197" i="6" s="1"/>
  <c r="AX197" i="6"/>
  <c r="AY197" i="6" s="1"/>
  <c r="BA197" i="6" s="1"/>
  <c r="AZ197" i="6"/>
  <c r="AV198" i="6"/>
  <c r="AW198" i="6" s="1"/>
  <c r="AZ198" i="6" s="1"/>
  <c r="AX198" i="6"/>
  <c r="AY198" i="6" s="1"/>
  <c r="BA198" i="6" s="1"/>
  <c r="AV199" i="6"/>
  <c r="AW199" i="6"/>
  <c r="AZ199" i="6" s="1"/>
  <c r="AX199" i="6"/>
  <c r="AY199" i="6" s="1"/>
  <c r="BA199" i="6" s="1"/>
  <c r="AV200" i="6"/>
  <c r="AW200" i="6" s="1"/>
  <c r="AZ200" i="6" s="1"/>
  <c r="AX200" i="6"/>
  <c r="AY200" i="6" s="1"/>
  <c r="BA200" i="6" s="1"/>
  <c r="AV201" i="6"/>
  <c r="AW201" i="6" s="1"/>
  <c r="AZ201" i="6" s="1"/>
  <c r="AX201" i="6"/>
  <c r="AY201" i="6" s="1"/>
  <c r="BA201" i="6"/>
  <c r="AV202" i="6"/>
  <c r="AW202" i="6" s="1"/>
  <c r="AX202" i="6"/>
  <c r="AY202" i="6" s="1"/>
  <c r="BA202" i="6" s="1"/>
  <c r="AZ202" i="6"/>
  <c r="AV203" i="6"/>
  <c r="AW203" i="6"/>
  <c r="AZ203" i="6" s="1"/>
  <c r="AX203" i="6"/>
  <c r="AY203" i="6" s="1"/>
  <c r="BA203" i="6" s="1"/>
  <c r="AV204" i="6"/>
  <c r="AW204" i="6" s="1"/>
  <c r="AZ204" i="6" s="1"/>
  <c r="AX204" i="6"/>
  <c r="AY204" i="6" s="1"/>
  <c r="BA204" i="6" s="1"/>
  <c r="AV205" i="6"/>
  <c r="AW205" i="6" s="1"/>
  <c r="AZ205" i="6" s="1"/>
  <c r="AX205" i="6"/>
  <c r="AY205" i="6" s="1"/>
  <c r="BA205" i="6"/>
  <c r="AV206" i="6"/>
  <c r="AW206" i="6" s="1"/>
  <c r="AX206" i="6"/>
  <c r="AY206" i="6" s="1"/>
  <c r="BA206" i="6" s="1"/>
  <c r="AZ206" i="6"/>
  <c r="AV207" i="6"/>
  <c r="AW207" i="6"/>
  <c r="AZ207" i="6" s="1"/>
  <c r="AX207" i="6"/>
  <c r="AY207" i="6" s="1"/>
  <c r="BA207" i="6" s="1"/>
  <c r="AV208" i="6"/>
  <c r="AW208" i="6" s="1"/>
  <c r="AZ208" i="6" s="1"/>
  <c r="AX208" i="6"/>
  <c r="AY208" i="6" s="1"/>
  <c r="BA208" i="6" s="1"/>
  <c r="AV209" i="6"/>
  <c r="AW209" i="6" s="1"/>
  <c r="AX209" i="6"/>
  <c r="AY209" i="6" s="1"/>
  <c r="AZ209" i="6"/>
  <c r="BA209" i="6"/>
  <c r="AV210" i="6"/>
  <c r="AW210" i="6" s="1"/>
  <c r="AX210" i="6"/>
  <c r="AY210" i="6" s="1"/>
  <c r="BA210" i="6" s="1"/>
  <c r="AZ210" i="6"/>
  <c r="AV211" i="6"/>
  <c r="AW211" i="6"/>
  <c r="AZ211" i="6" s="1"/>
  <c r="AX211" i="6"/>
  <c r="AY211" i="6" s="1"/>
  <c r="BA211" i="6" s="1"/>
  <c r="AV212" i="6"/>
  <c r="AW212" i="6" s="1"/>
  <c r="AZ212" i="6" s="1"/>
  <c r="AX212" i="6"/>
  <c r="AY212" i="6" s="1"/>
  <c r="BA212" i="6" s="1"/>
  <c r="AV213" i="6"/>
  <c r="AW213" i="6" s="1"/>
  <c r="AZ213" i="6" s="1"/>
  <c r="AX213" i="6"/>
  <c r="AY213" i="6" s="1"/>
  <c r="BA213" i="6" s="1"/>
  <c r="AV214" i="6"/>
  <c r="AW214" i="6" s="1"/>
  <c r="AX214" i="6"/>
  <c r="AY214" i="6" s="1"/>
  <c r="BA214" i="6" s="1"/>
  <c r="AZ214" i="6"/>
  <c r="AV215" i="6"/>
  <c r="AW215" i="6" s="1"/>
  <c r="AZ215" i="6" s="1"/>
  <c r="AX215" i="6"/>
  <c r="AY215" i="6" s="1"/>
  <c r="BA215" i="6" s="1"/>
  <c r="AV216" i="6"/>
  <c r="AW216" i="6" s="1"/>
  <c r="AZ216" i="6" s="1"/>
  <c r="AX216" i="6"/>
  <c r="AY216" i="6"/>
  <c r="BA216" i="6" s="1"/>
  <c r="AV217" i="6"/>
  <c r="AW217" i="6" s="1"/>
  <c r="AZ217" i="6" s="1"/>
  <c r="AX217" i="6"/>
  <c r="AY217" i="6" s="1"/>
  <c r="BA217" i="6" s="1"/>
  <c r="AV218" i="6"/>
  <c r="AW218" i="6" s="1"/>
  <c r="AZ218" i="6" s="1"/>
  <c r="AX218" i="6"/>
  <c r="AY218" i="6" s="1"/>
  <c r="BA218" i="6" s="1"/>
  <c r="AV219" i="6"/>
  <c r="AW219" i="6" s="1"/>
  <c r="AZ219" i="6" s="1"/>
  <c r="AX219" i="6"/>
  <c r="AY219" i="6" s="1"/>
  <c r="BA219" i="6" s="1"/>
  <c r="AV220" i="6"/>
  <c r="AW220" i="6" s="1"/>
  <c r="AZ220" i="6" s="1"/>
  <c r="AX220" i="6"/>
  <c r="AY220" i="6" s="1"/>
  <c r="BA220" i="6" s="1"/>
  <c r="AV221" i="6"/>
  <c r="AW221" i="6" s="1"/>
  <c r="AX221" i="6"/>
  <c r="AY221" i="6" s="1"/>
  <c r="AZ221" i="6"/>
  <c r="BA221" i="6"/>
  <c r="AV222" i="6"/>
  <c r="AW222" i="6" s="1"/>
  <c r="AX222" i="6"/>
  <c r="AY222" i="6" s="1"/>
  <c r="BA222" i="6" s="1"/>
  <c r="AZ222" i="6"/>
  <c r="AV223" i="6"/>
  <c r="AW223" i="6"/>
  <c r="AX223" i="6"/>
  <c r="AY223" i="6" s="1"/>
  <c r="BA223" i="6" s="1"/>
  <c r="AZ223" i="6"/>
  <c r="AV224" i="6"/>
  <c r="AW224" i="6" s="1"/>
  <c r="AX224" i="6"/>
  <c r="AY224" i="6" s="1"/>
  <c r="BA224" i="6" s="1"/>
  <c r="AZ224" i="6"/>
  <c r="AV225" i="6"/>
  <c r="AW225" i="6" s="1"/>
  <c r="AX225" i="6"/>
  <c r="AY225" i="6" s="1"/>
  <c r="AZ225" i="6"/>
  <c r="BA225" i="6"/>
  <c r="AV226" i="6"/>
  <c r="AW226" i="6" s="1"/>
  <c r="AZ226" i="6" s="1"/>
  <c r="AX226" i="6"/>
  <c r="AY226" i="6" s="1"/>
  <c r="BA226" i="6" s="1"/>
  <c r="AV227" i="6"/>
  <c r="AW227" i="6" s="1"/>
  <c r="AZ227" i="6" s="1"/>
  <c r="AX227" i="6"/>
  <c r="AY227" i="6" s="1"/>
  <c r="BA227" i="6" s="1"/>
  <c r="AV228" i="6"/>
  <c r="AW228" i="6" s="1"/>
  <c r="AZ228" i="6" s="1"/>
  <c r="AX228" i="6"/>
  <c r="AY228" i="6" s="1"/>
  <c r="BA228" i="6" s="1"/>
  <c r="AV229" i="6"/>
  <c r="AW229" i="6" s="1"/>
  <c r="AZ229" i="6" s="1"/>
  <c r="AX229" i="6"/>
  <c r="AY229" i="6" s="1"/>
  <c r="BA229" i="6"/>
  <c r="AV230" i="6"/>
  <c r="AW230" i="6" s="1"/>
  <c r="AZ230" i="6" s="1"/>
  <c r="AX230" i="6"/>
  <c r="AY230" i="6" s="1"/>
  <c r="BA230" i="6" s="1"/>
  <c r="AV231" i="6"/>
  <c r="AW231" i="6"/>
  <c r="AZ231" i="6" s="1"/>
  <c r="AX231" i="6"/>
  <c r="AY231" i="6" s="1"/>
  <c r="BA231" i="6" s="1"/>
  <c r="AV232" i="6"/>
  <c r="AW232" i="6" s="1"/>
  <c r="AZ232" i="6" s="1"/>
  <c r="AX232" i="6"/>
  <c r="AY232" i="6"/>
  <c r="BA232" i="6" s="1"/>
  <c r="AV233" i="6"/>
  <c r="AW233" i="6"/>
  <c r="AZ233" i="6" s="1"/>
  <c r="AX233" i="6"/>
  <c r="AY233" i="6" s="1"/>
  <c r="BA233" i="6"/>
  <c r="AV234" i="6"/>
  <c r="AW234" i="6"/>
  <c r="AZ234" i="6" s="1"/>
  <c r="AX234" i="6"/>
  <c r="AY234" i="6" s="1"/>
  <c r="BA234" i="6" s="1"/>
  <c r="AV235" i="6"/>
  <c r="AW235" i="6"/>
  <c r="AZ235" i="6" s="1"/>
  <c r="AX235" i="6"/>
  <c r="AY235" i="6"/>
  <c r="BA235" i="6" s="1"/>
  <c r="AV236" i="6"/>
  <c r="AW236" i="6" s="1"/>
  <c r="AZ236" i="6" s="1"/>
  <c r="AX236" i="6"/>
  <c r="AY236" i="6"/>
  <c r="BA236" i="6"/>
  <c r="AV237" i="6"/>
  <c r="AW237" i="6" s="1"/>
  <c r="AZ237" i="6" s="1"/>
  <c r="AX237" i="6"/>
  <c r="AY237" i="6" s="1"/>
  <c r="BA237" i="6" s="1"/>
  <c r="AV238" i="6"/>
  <c r="AW238" i="6"/>
  <c r="AX238" i="6"/>
  <c r="AY238" i="6" s="1"/>
  <c r="BA238" i="6" s="1"/>
  <c r="AZ238" i="6"/>
  <c r="AV239" i="6"/>
  <c r="AW239" i="6"/>
  <c r="AZ239" i="6" s="1"/>
  <c r="AX239" i="6"/>
  <c r="AY239" i="6"/>
  <c r="BA239" i="6" s="1"/>
  <c r="AV240" i="6"/>
  <c r="AW240" i="6" s="1"/>
  <c r="AZ240" i="6" s="1"/>
  <c r="AX240" i="6"/>
  <c r="AY240" i="6"/>
  <c r="BA240" i="6"/>
  <c r="AV241" i="6"/>
  <c r="AW241" i="6" s="1"/>
  <c r="AZ241" i="6" s="1"/>
  <c r="AX241" i="6"/>
  <c r="AY241" i="6" s="1"/>
  <c r="BA241" i="6" s="1"/>
  <c r="AV242" i="6"/>
  <c r="AW242" i="6"/>
  <c r="AX242" i="6"/>
  <c r="AY242" i="6" s="1"/>
  <c r="BA242" i="6" s="1"/>
  <c r="AZ242" i="6"/>
  <c r="AV243" i="6"/>
  <c r="AW243" i="6" s="1"/>
  <c r="AZ243" i="6" s="1"/>
  <c r="AX243" i="6"/>
  <c r="AY243" i="6"/>
  <c r="BA243" i="6" s="1"/>
  <c r="AV244" i="6"/>
  <c r="AW244" i="6" s="1"/>
  <c r="AZ244" i="6" s="1"/>
  <c r="AX244" i="6"/>
  <c r="AY244" i="6" s="1"/>
  <c r="BA244" i="6"/>
  <c r="AV245" i="6"/>
  <c r="AW245" i="6" s="1"/>
  <c r="AZ245" i="6" s="1"/>
  <c r="AX245" i="6"/>
  <c r="AY245" i="6" s="1"/>
  <c r="BA245" i="6" s="1"/>
  <c r="AV246" i="6"/>
  <c r="AW246" i="6"/>
  <c r="AZ246" i="6" s="1"/>
  <c r="AX246" i="6"/>
  <c r="AY246" i="6" s="1"/>
  <c r="BA246" i="6" s="1"/>
  <c r="AV247" i="6"/>
  <c r="AW247" i="6" s="1"/>
  <c r="AZ247" i="6" s="1"/>
  <c r="AX247" i="6"/>
  <c r="AY247" i="6"/>
  <c r="BA247" i="6" s="1"/>
  <c r="AV248" i="6"/>
  <c r="AW248" i="6" s="1"/>
  <c r="AZ248" i="6" s="1"/>
  <c r="AX248" i="6"/>
  <c r="AY248" i="6" s="1"/>
  <c r="BA248" i="6"/>
  <c r="AV249" i="6"/>
  <c r="AW249" i="6" s="1"/>
  <c r="AZ249" i="6" s="1"/>
  <c r="AX249" i="6"/>
  <c r="AY249" i="6" s="1"/>
  <c r="BA249" i="6" s="1"/>
  <c r="AV250" i="6"/>
  <c r="AW250" i="6"/>
  <c r="AX250" i="6"/>
  <c r="AY250" i="6" s="1"/>
  <c r="BA250" i="6" s="1"/>
  <c r="AZ250" i="6"/>
  <c r="AV251" i="6"/>
  <c r="AW251" i="6" s="1"/>
  <c r="AZ251" i="6" s="1"/>
  <c r="AX251" i="6"/>
  <c r="AY251" i="6"/>
  <c r="BA251" i="6" s="1"/>
  <c r="AV252" i="6"/>
  <c r="AW252" i="6" s="1"/>
  <c r="AZ252" i="6" s="1"/>
  <c r="AX252" i="6"/>
  <c r="AY252" i="6" s="1"/>
  <c r="BA252" i="6"/>
  <c r="AV253" i="6"/>
  <c r="AW253" i="6" s="1"/>
  <c r="AZ253" i="6" s="1"/>
  <c r="AX253" i="6"/>
  <c r="AY253" i="6" s="1"/>
  <c r="BA253" i="6" s="1"/>
  <c r="AV254" i="6"/>
  <c r="AW254" i="6"/>
  <c r="AZ254" i="6" s="1"/>
  <c r="AX254" i="6"/>
  <c r="AY254" i="6" s="1"/>
  <c r="BA254" i="6" s="1"/>
  <c r="AV255" i="6"/>
  <c r="AW255" i="6" s="1"/>
  <c r="AZ255" i="6" s="1"/>
  <c r="AX255" i="6"/>
  <c r="AY255" i="6"/>
  <c r="BA255" i="6" s="1"/>
  <c r="AV256" i="6"/>
  <c r="AW256" i="6" s="1"/>
  <c r="AZ256" i="6" s="1"/>
  <c r="AX256" i="6"/>
  <c r="AY256" i="6" s="1"/>
  <c r="BA256" i="6"/>
  <c r="AV257" i="6"/>
  <c r="AW257" i="6" s="1"/>
  <c r="AZ257" i="6" s="1"/>
  <c r="AX257" i="6"/>
  <c r="AY257" i="6" s="1"/>
  <c r="BA257" i="6" s="1"/>
  <c r="AV258" i="6"/>
  <c r="AW258" i="6"/>
  <c r="AX258" i="6"/>
  <c r="AY258" i="6" s="1"/>
  <c r="BA258" i="6" s="1"/>
  <c r="AZ258" i="6"/>
  <c r="AV259" i="6"/>
  <c r="AW259" i="6" s="1"/>
  <c r="AZ259" i="6" s="1"/>
  <c r="AX259" i="6"/>
  <c r="AY259" i="6"/>
  <c r="BA259" i="6" s="1"/>
  <c r="AV260" i="6"/>
  <c r="AW260" i="6" s="1"/>
  <c r="AZ260" i="6" s="1"/>
  <c r="AX260" i="6"/>
  <c r="AY260" i="6" s="1"/>
  <c r="BA260" i="6"/>
  <c r="AV261" i="6"/>
  <c r="AW261" i="6" s="1"/>
  <c r="AZ261" i="6" s="1"/>
  <c r="AX261" i="6"/>
  <c r="AY261" i="6" s="1"/>
  <c r="BA261" i="6" s="1"/>
  <c r="AV262" i="6"/>
  <c r="AW262" i="6"/>
  <c r="AZ262" i="6" s="1"/>
  <c r="AX262" i="6"/>
  <c r="AY262" i="6" s="1"/>
  <c r="BA262" i="6" s="1"/>
  <c r="AV263" i="6"/>
  <c r="AW263" i="6" s="1"/>
  <c r="AZ263" i="6" s="1"/>
  <c r="AX263" i="6"/>
  <c r="AY263" i="6"/>
  <c r="BA263" i="6" s="1"/>
  <c r="AV264" i="6"/>
  <c r="AW264" i="6" s="1"/>
  <c r="AZ264" i="6" s="1"/>
  <c r="AX264" i="6"/>
  <c r="AY264" i="6" s="1"/>
  <c r="BA264" i="6"/>
  <c r="AV265" i="6"/>
  <c r="AW265" i="6" s="1"/>
  <c r="AZ265" i="6" s="1"/>
  <c r="AX265" i="6"/>
  <c r="AY265" i="6" s="1"/>
  <c r="BA265" i="6" s="1"/>
  <c r="AV266" i="6"/>
  <c r="AW266" i="6"/>
  <c r="AX266" i="6"/>
  <c r="AY266" i="6" s="1"/>
  <c r="BA266" i="6" s="1"/>
  <c r="AZ266" i="6"/>
  <c r="AV267" i="6"/>
  <c r="AW267" i="6" s="1"/>
  <c r="AZ267" i="6" s="1"/>
  <c r="AX267" i="6"/>
  <c r="AY267" i="6"/>
  <c r="BA267" i="6" s="1"/>
  <c r="AV268" i="6"/>
  <c r="AW268" i="6" s="1"/>
  <c r="AZ268" i="6" s="1"/>
  <c r="AX268" i="6"/>
  <c r="AY268" i="6" s="1"/>
  <c r="BA268" i="6"/>
  <c r="AV269" i="6"/>
  <c r="AW269" i="6" s="1"/>
  <c r="AZ269" i="6" s="1"/>
  <c r="AX269" i="6"/>
  <c r="AY269" i="6" s="1"/>
  <c r="BA269" i="6" s="1"/>
  <c r="AV270" i="6"/>
  <c r="AW270" i="6"/>
  <c r="AZ270" i="6" s="1"/>
  <c r="AX270" i="6"/>
  <c r="AY270" i="6" s="1"/>
  <c r="BA270" i="6" s="1"/>
  <c r="AV271" i="6"/>
  <c r="AW271" i="6" s="1"/>
  <c r="AZ271" i="6" s="1"/>
  <c r="AX271" i="6"/>
  <c r="AY271" i="6"/>
  <c r="BA271" i="6" s="1"/>
  <c r="AV272" i="6"/>
  <c r="AW272" i="6" s="1"/>
  <c r="AZ272" i="6" s="1"/>
  <c r="AX272" i="6"/>
  <c r="AY272" i="6" s="1"/>
  <c r="BA272" i="6"/>
  <c r="AV273" i="6"/>
  <c r="AW273" i="6" s="1"/>
  <c r="AZ273" i="6" s="1"/>
  <c r="AX273" i="6"/>
  <c r="AY273" i="6" s="1"/>
  <c r="BA273" i="6" s="1"/>
  <c r="AV274" i="6"/>
  <c r="AW274" i="6"/>
  <c r="AX274" i="6"/>
  <c r="AY274" i="6" s="1"/>
  <c r="BA274" i="6" s="1"/>
  <c r="AZ274" i="6"/>
  <c r="AV275" i="6"/>
  <c r="AW275" i="6" s="1"/>
  <c r="AZ275" i="6" s="1"/>
  <c r="AX275" i="6"/>
  <c r="AY275" i="6"/>
  <c r="BA275" i="6" s="1"/>
  <c r="AV276" i="6"/>
  <c r="AW276" i="6" s="1"/>
  <c r="AZ276" i="6" s="1"/>
  <c r="AX276" i="6"/>
  <c r="AY276" i="6" s="1"/>
  <c r="BA276" i="6"/>
  <c r="AV277" i="6"/>
  <c r="AW277" i="6" s="1"/>
  <c r="AZ277" i="6" s="1"/>
  <c r="AX277" i="6"/>
  <c r="AY277" i="6" s="1"/>
  <c r="BA277" i="6" s="1"/>
  <c r="AV278" i="6"/>
  <c r="AW278" i="6"/>
  <c r="AZ278" i="6" s="1"/>
  <c r="AX278" i="6"/>
  <c r="AY278" i="6" s="1"/>
  <c r="BA278" i="6" s="1"/>
  <c r="AV279" i="6"/>
  <c r="AW279" i="6" s="1"/>
  <c r="AZ279" i="6" s="1"/>
  <c r="AX279" i="6"/>
  <c r="AY279" i="6"/>
  <c r="BA279" i="6" s="1"/>
  <c r="AV280" i="6"/>
  <c r="AW280" i="6" s="1"/>
  <c r="AZ280" i="6" s="1"/>
  <c r="AX280" i="6"/>
  <c r="AY280" i="6" s="1"/>
  <c r="BA280" i="6"/>
  <c r="AV281" i="6"/>
  <c r="AW281" i="6" s="1"/>
  <c r="AZ281" i="6" s="1"/>
  <c r="AX281" i="6"/>
  <c r="AY281" i="6" s="1"/>
  <c r="BA281" i="6" s="1"/>
  <c r="AV282" i="6"/>
  <c r="AW282" i="6"/>
  <c r="AX282" i="6"/>
  <c r="AY282" i="6" s="1"/>
  <c r="BA282" i="6" s="1"/>
  <c r="AZ282" i="6"/>
  <c r="AV283" i="6"/>
  <c r="AW283" i="6" s="1"/>
  <c r="AZ283" i="6" s="1"/>
  <c r="AX283" i="6"/>
  <c r="AY283" i="6"/>
  <c r="BA283" i="6" s="1"/>
  <c r="AV284" i="6"/>
  <c r="AW284" i="6" s="1"/>
  <c r="AZ284" i="6" s="1"/>
  <c r="AX284" i="6"/>
  <c r="AY284" i="6" s="1"/>
  <c r="BA284" i="6"/>
  <c r="AV285" i="6"/>
  <c r="AW285" i="6" s="1"/>
  <c r="AZ285" i="6" s="1"/>
  <c r="AX285" i="6"/>
  <c r="AY285" i="6" s="1"/>
  <c r="BA285" i="6" s="1"/>
  <c r="AV286" i="6"/>
  <c r="AW286" i="6"/>
  <c r="AZ286" i="6" s="1"/>
  <c r="AX286" i="6"/>
  <c r="AY286" i="6" s="1"/>
  <c r="BA286" i="6" s="1"/>
  <c r="AV287" i="6"/>
  <c r="AW287" i="6" s="1"/>
  <c r="AZ287" i="6" s="1"/>
  <c r="AX287" i="6"/>
  <c r="AY287" i="6"/>
  <c r="BA287" i="6" s="1"/>
  <c r="AV288" i="6"/>
  <c r="AW288" i="6" s="1"/>
  <c r="AZ288" i="6" s="1"/>
  <c r="AX288" i="6"/>
  <c r="AY288" i="6" s="1"/>
  <c r="BA288" i="6"/>
  <c r="AV289" i="6"/>
  <c r="AW289" i="6" s="1"/>
  <c r="AZ289" i="6" s="1"/>
  <c r="AX289" i="6"/>
  <c r="AY289" i="6" s="1"/>
  <c r="BA289" i="6" s="1"/>
  <c r="AV290" i="6"/>
  <c r="AW290" i="6"/>
  <c r="AX290" i="6"/>
  <c r="AY290" i="6" s="1"/>
  <c r="BA290" i="6" s="1"/>
  <c r="AZ290" i="6"/>
  <c r="AV291" i="6"/>
  <c r="AW291" i="6" s="1"/>
  <c r="AZ291" i="6" s="1"/>
  <c r="AX291" i="6"/>
  <c r="AY291" i="6"/>
  <c r="BA291" i="6" s="1"/>
  <c r="AV292" i="6"/>
  <c r="AW292" i="6" s="1"/>
  <c r="AZ292" i="6" s="1"/>
  <c r="AX292" i="6"/>
  <c r="AY292" i="6" s="1"/>
  <c r="BA292" i="6"/>
  <c r="AV293" i="6"/>
  <c r="AW293" i="6" s="1"/>
  <c r="AZ293" i="6" s="1"/>
  <c r="AX293" i="6"/>
  <c r="AY293" i="6" s="1"/>
  <c r="BA293" i="6" s="1"/>
  <c r="AV294" i="6"/>
  <c r="AW294" i="6"/>
  <c r="AZ294" i="6" s="1"/>
  <c r="AX294" i="6"/>
  <c r="AY294" i="6" s="1"/>
  <c r="BA294" i="6" s="1"/>
  <c r="AV295" i="6"/>
  <c r="AW295" i="6" s="1"/>
  <c r="AZ295" i="6" s="1"/>
  <c r="AX295" i="6"/>
  <c r="AY295" i="6"/>
  <c r="BA295" i="6" s="1"/>
  <c r="AV296" i="6"/>
  <c r="AW296" i="6" s="1"/>
  <c r="AZ296" i="6" s="1"/>
  <c r="AX296" i="6"/>
  <c r="AY296" i="6" s="1"/>
  <c r="BA296" i="6"/>
  <c r="AV297" i="6"/>
  <c r="AW297" i="6" s="1"/>
  <c r="AZ297" i="6" s="1"/>
  <c r="AX297" i="6"/>
  <c r="AY297" i="6" s="1"/>
  <c r="BA297" i="6" s="1"/>
  <c r="AV298" i="6"/>
  <c r="AW298" i="6"/>
  <c r="AX298" i="6"/>
  <c r="AY298" i="6" s="1"/>
  <c r="BA298" i="6" s="1"/>
  <c r="AZ298" i="6"/>
  <c r="AV299" i="6"/>
  <c r="AW299" i="6" s="1"/>
  <c r="AZ299" i="6" s="1"/>
  <c r="AX299" i="6"/>
  <c r="AY299" i="6"/>
  <c r="BA299" i="6" s="1"/>
  <c r="AV300" i="6"/>
  <c r="AW300" i="6" s="1"/>
  <c r="AZ300" i="6" s="1"/>
  <c r="AX300" i="6"/>
  <c r="AY300" i="6" s="1"/>
  <c r="BA300" i="6"/>
  <c r="AV301" i="6"/>
  <c r="AW301" i="6" s="1"/>
  <c r="AZ301" i="6" s="1"/>
  <c r="AX301" i="6"/>
  <c r="AY301" i="6" s="1"/>
  <c r="BA301" i="6" s="1"/>
  <c r="AV302" i="6"/>
  <c r="AW302" i="6"/>
  <c r="AZ302" i="6" s="1"/>
  <c r="AX302" i="6"/>
  <c r="AY302" i="6" s="1"/>
  <c r="BA302" i="6" s="1"/>
  <c r="AV303" i="6"/>
  <c r="AW303" i="6" s="1"/>
  <c r="AZ303" i="6" s="1"/>
  <c r="AX303" i="6"/>
  <c r="AY303" i="6"/>
  <c r="BA303" i="6" s="1"/>
  <c r="AV304" i="6"/>
  <c r="AW304" i="6" s="1"/>
  <c r="AZ304" i="6" s="1"/>
  <c r="AX304" i="6"/>
  <c r="AY304" i="6" s="1"/>
  <c r="BA304" i="6"/>
  <c r="AV305" i="6"/>
  <c r="AW305" i="6" s="1"/>
  <c r="AZ305" i="6" s="1"/>
  <c r="AX305" i="6"/>
  <c r="AY305" i="6" s="1"/>
  <c r="BA305" i="6" s="1"/>
  <c r="AV306" i="6"/>
  <c r="AW306" i="6"/>
  <c r="AZ306" i="6" s="1"/>
  <c r="AX306" i="6"/>
  <c r="AY306" i="6" s="1"/>
  <c r="BA306" i="6" s="1"/>
  <c r="AV307" i="6"/>
  <c r="AW307" i="6" s="1"/>
  <c r="AZ307" i="6" s="1"/>
  <c r="AX307" i="6"/>
  <c r="AY307" i="6"/>
  <c r="BA307" i="6" s="1"/>
  <c r="AV308" i="6"/>
  <c r="AW308" i="6" s="1"/>
  <c r="AX308" i="6"/>
  <c r="AY308" i="6" s="1"/>
  <c r="AZ308" i="6"/>
  <c r="BA308" i="6"/>
  <c r="AV309" i="6"/>
  <c r="AW309" i="6" s="1"/>
  <c r="AZ309" i="6" s="1"/>
  <c r="AX309" i="6"/>
  <c r="AY309" i="6" s="1"/>
  <c r="BA309" i="6" s="1"/>
  <c r="AV310" i="6"/>
  <c r="AW310" i="6" s="1"/>
  <c r="AX310" i="6"/>
  <c r="AY310" i="6" s="1"/>
  <c r="BA310" i="6" s="1"/>
  <c r="AZ310" i="6"/>
  <c r="AV311" i="6"/>
  <c r="AW311" i="6" s="1"/>
  <c r="AZ311" i="6" s="1"/>
  <c r="AX311" i="6"/>
  <c r="AY311" i="6"/>
  <c r="BA311" i="6" s="1"/>
  <c r="AV312" i="6"/>
  <c r="AW312" i="6" s="1"/>
  <c r="AZ312" i="6" s="1"/>
  <c r="AX312" i="6"/>
  <c r="AY312" i="6" s="1"/>
  <c r="BA312" i="6"/>
  <c r="AV313" i="6"/>
  <c r="AW313" i="6" s="1"/>
  <c r="AX313" i="6"/>
  <c r="AY313" i="6" s="1"/>
  <c r="BA313" i="6" s="1"/>
  <c r="AZ313" i="6"/>
  <c r="AV314" i="6"/>
  <c r="AW314" i="6"/>
  <c r="AZ314" i="6" s="1"/>
  <c r="AX314" i="6"/>
  <c r="AY314" i="6" s="1"/>
  <c r="BA314" i="6" s="1"/>
  <c r="AV315" i="6"/>
  <c r="AW315" i="6" s="1"/>
  <c r="AZ315" i="6" s="1"/>
  <c r="AX315" i="6"/>
  <c r="AY315" i="6" s="1"/>
  <c r="BA315" i="6" s="1"/>
  <c r="AV316" i="6"/>
  <c r="AW316" i="6" s="1"/>
  <c r="AZ316" i="6" s="1"/>
  <c r="AX316" i="6"/>
  <c r="AY316" i="6" s="1"/>
  <c r="BA316" i="6" s="1"/>
  <c r="AV317" i="6"/>
  <c r="AW317" i="6" s="1"/>
  <c r="AZ317" i="6" s="1"/>
  <c r="AX317" i="6"/>
  <c r="AY317" i="6" s="1"/>
  <c r="BA317" i="6" s="1"/>
  <c r="AV318" i="6"/>
  <c r="AW318" i="6" s="1"/>
  <c r="AZ318" i="6" s="1"/>
  <c r="AX318" i="6"/>
  <c r="AY318" i="6" s="1"/>
  <c r="BA318" i="6" s="1"/>
  <c r="AV319" i="6"/>
  <c r="AW319" i="6" s="1"/>
  <c r="AX319" i="6"/>
  <c r="AY319" i="6" s="1"/>
  <c r="BA319" i="6" s="1"/>
  <c r="AZ319" i="6"/>
  <c r="AV320" i="6"/>
  <c r="AW320" i="6" s="1"/>
  <c r="AZ320" i="6" s="1"/>
  <c r="AX320" i="6"/>
  <c r="AY320" i="6" s="1"/>
  <c r="BA320" i="6"/>
  <c r="AV321" i="6"/>
  <c r="AW321" i="6" s="1"/>
  <c r="AX321" i="6"/>
  <c r="AY321" i="6" s="1"/>
  <c r="BA321" i="6" s="1"/>
  <c r="AZ321" i="6"/>
  <c r="AV322" i="6"/>
  <c r="AW322" i="6"/>
  <c r="AZ322" i="6" s="1"/>
  <c r="AX322" i="6"/>
  <c r="AY322" i="6" s="1"/>
  <c r="BA322" i="6" s="1"/>
  <c r="AV323" i="6"/>
  <c r="AW323" i="6"/>
  <c r="AX323" i="6"/>
  <c r="AY323" i="6" s="1"/>
  <c r="BA323" i="6" s="1"/>
  <c r="AZ323" i="6"/>
  <c r="AV324" i="6"/>
  <c r="AW324" i="6" s="1"/>
  <c r="AZ324" i="6" s="1"/>
  <c r="AX324" i="6"/>
  <c r="AY324" i="6"/>
  <c r="BA324" i="6" s="1"/>
  <c r="AV325" i="6"/>
  <c r="AW325" i="6" s="1"/>
  <c r="AZ325" i="6" s="1"/>
  <c r="AX325" i="6"/>
  <c r="AY325" i="6"/>
  <c r="BA325" i="6" s="1"/>
  <c r="AV326" i="6"/>
  <c r="AW326" i="6"/>
  <c r="AX326" i="6"/>
  <c r="AY326" i="6" s="1"/>
  <c r="AZ326" i="6"/>
  <c r="BA326" i="6"/>
  <c r="AV327" i="6"/>
  <c r="AW327" i="6"/>
  <c r="AX327" i="6"/>
  <c r="AY327" i="6"/>
  <c r="AZ327" i="6"/>
  <c r="BA327" i="6"/>
  <c r="AV328" i="6"/>
  <c r="AW328" i="6"/>
  <c r="AZ328" i="6" s="1"/>
  <c r="AX328" i="6"/>
  <c r="AY328" i="6"/>
  <c r="BA328" i="6" s="1"/>
  <c r="AV329" i="6"/>
  <c r="AW329" i="6" s="1"/>
  <c r="AZ329" i="6" s="1"/>
  <c r="AX329" i="6"/>
  <c r="AY329" i="6"/>
  <c r="BA329" i="6" s="1"/>
  <c r="AV330" i="6"/>
  <c r="AW330" i="6"/>
  <c r="AX330" i="6"/>
  <c r="AY330" i="6" s="1"/>
  <c r="BA330" i="6" s="1"/>
  <c r="AZ330" i="6"/>
  <c r="AV331" i="6"/>
  <c r="AW331" i="6"/>
  <c r="AX331" i="6"/>
  <c r="AY331" i="6" s="1"/>
  <c r="BA331" i="6" s="1"/>
  <c r="AZ331" i="6"/>
  <c r="AV332" i="6"/>
  <c r="AW332" i="6"/>
  <c r="AZ332" i="6" s="1"/>
  <c r="AX332" i="6"/>
  <c r="AY332" i="6"/>
  <c r="BA332" i="6" s="1"/>
  <c r="AV333" i="6"/>
  <c r="AW333" i="6" s="1"/>
  <c r="AZ333" i="6" s="1"/>
  <c r="AX333" i="6"/>
  <c r="AY333" i="6"/>
  <c r="BA333" i="6" s="1"/>
  <c r="AV334" i="6"/>
  <c r="AW334" i="6" s="1"/>
  <c r="AZ334" i="6" s="1"/>
  <c r="AX334" i="6"/>
  <c r="AY334" i="6" s="1"/>
  <c r="BA334" i="6"/>
  <c r="AV335" i="6"/>
  <c r="AW335" i="6"/>
  <c r="AX335" i="6"/>
  <c r="AY335" i="6" s="1"/>
  <c r="BA335" i="6" s="1"/>
  <c r="AZ335" i="6"/>
  <c r="AV336" i="6"/>
  <c r="AW336" i="6"/>
  <c r="AZ336" i="6" s="1"/>
  <c r="AX336" i="6"/>
  <c r="AY336" i="6"/>
  <c r="BA336" i="6" s="1"/>
  <c r="AV337" i="6"/>
  <c r="AW337" i="6" s="1"/>
  <c r="AZ337" i="6" s="1"/>
  <c r="AX337" i="6"/>
  <c r="AY337" i="6"/>
  <c r="BA337" i="6" s="1"/>
  <c r="AV338" i="6"/>
  <c r="AW338" i="6" s="1"/>
  <c r="AZ338" i="6" s="1"/>
  <c r="AX338" i="6"/>
  <c r="AY338" i="6" s="1"/>
  <c r="BA338" i="6" s="1"/>
  <c r="AV339" i="6"/>
  <c r="AW339" i="6"/>
  <c r="AX339" i="6"/>
  <c r="AY339" i="6" s="1"/>
  <c r="BA339" i="6" s="1"/>
  <c r="AZ339" i="6"/>
  <c r="AV340" i="6"/>
  <c r="AW340" i="6"/>
  <c r="AZ340" i="6" s="1"/>
  <c r="AX340" i="6"/>
  <c r="AY340" i="6"/>
  <c r="BA340" i="6" s="1"/>
  <c r="AV341" i="6"/>
  <c r="AW341" i="6" s="1"/>
  <c r="AZ341" i="6" s="1"/>
  <c r="AX341" i="6"/>
  <c r="AY341" i="6"/>
  <c r="BA341" i="6" s="1"/>
  <c r="AV342" i="6"/>
  <c r="AW342" i="6" s="1"/>
  <c r="AZ342" i="6" s="1"/>
  <c r="AX342" i="6"/>
  <c r="AY342" i="6" s="1"/>
  <c r="BA342" i="6"/>
  <c r="AV343" i="6"/>
  <c r="AW343" i="6"/>
  <c r="AX343" i="6"/>
  <c r="AY343" i="6" s="1"/>
  <c r="BA343" i="6" s="1"/>
  <c r="AZ343" i="6"/>
  <c r="AV344" i="6"/>
  <c r="AW344" i="6"/>
  <c r="AZ344" i="6" s="1"/>
  <c r="AX344" i="6"/>
  <c r="AY344" i="6"/>
  <c r="BA344" i="6" s="1"/>
  <c r="AV345" i="6"/>
  <c r="AW345" i="6" s="1"/>
  <c r="AZ345" i="6" s="1"/>
  <c r="AX345" i="6"/>
  <c r="AY345" i="6"/>
  <c r="BA345" i="6" s="1"/>
  <c r="AV346" i="6"/>
  <c r="AW346" i="6" s="1"/>
  <c r="AZ346" i="6" s="1"/>
  <c r="AX346" i="6"/>
  <c r="AY346" i="6" s="1"/>
  <c r="BA346" i="6" s="1"/>
  <c r="AV347" i="6"/>
  <c r="AW347" i="6"/>
  <c r="AX347" i="6"/>
  <c r="AY347" i="6" s="1"/>
  <c r="BA347" i="6" s="1"/>
  <c r="AZ347" i="6"/>
  <c r="AV348" i="6"/>
  <c r="AW348" i="6"/>
  <c r="AZ348" i="6" s="1"/>
  <c r="AX348" i="6"/>
  <c r="AY348" i="6"/>
  <c r="BA348" i="6" s="1"/>
  <c r="AV349" i="6"/>
  <c r="AW349" i="6" s="1"/>
  <c r="AZ349" i="6" s="1"/>
  <c r="AX349" i="6"/>
  <c r="AY349" i="6"/>
  <c r="BA349" i="6" s="1"/>
  <c r="AV350" i="6"/>
  <c r="AW350" i="6" s="1"/>
  <c r="AZ350" i="6" s="1"/>
  <c r="AX350" i="6"/>
  <c r="AY350" i="6" s="1"/>
  <c r="BA350" i="6"/>
  <c r="AV351" i="6"/>
  <c r="AW351" i="6"/>
  <c r="AX351" i="6"/>
  <c r="AY351" i="6" s="1"/>
  <c r="BA351" i="6" s="1"/>
  <c r="AZ351" i="6"/>
  <c r="AV352" i="6"/>
  <c r="AW352" i="6"/>
  <c r="AZ352" i="6" s="1"/>
  <c r="AX352" i="6"/>
  <c r="AY352" i="6"/>
  <c r="BA352" i="6" s="1"/>
  <c r="AV353" i="6"/>
  <c r="AW353" i="6" s="1"/>
  <c r="AZ353" i="6" s="1"/>
  <c r="AX353" i="6"/>
  <c r="AY353" i="6"/>
  <c r="BA353" i="6" s="1"/>
  <c r="AV354" i="6"/>
  <c r="AW354" i="6" s="1"/>
  <c r="AZ354" i="6" s="1"/>
  <c r="AX354" i="6"/>
  <c r="AY354" i="6" s="1"/>
  <c r="BA354" i="6" s="1"/>
  <c r="AV355" i="6"/>
  <c r="AW355" i="6"/>
  <c r="AX355" i="6"/>
  <c r="AY355" i="6" s="1"/>
  <c r="BA355" i="6" s="1"/>
  <c r="AZ355" i="6"/>
  <c r="AV356" i="6"/>
  <c r="AW356" i="6"/>
  <c r="AZ356" i="6" s="1"/>
  <c r="AX356" i="6"/>
  <c r="AY356" i="6"/>
  <c r="BA356" i="6" s="1"/>
  <c r="AV357" i="6"/>
  <c r="AW357" i="6" s="1"/>
  <c r="AZ357" i="6" s="1"/>
  <c r="AX357" i="6"/>
  <c r="AY357" i="6"/>
  <c r="BA357" i="6" s="1"/>
  <c r="AV358" i="6"/>
  <c r="AW358" i="6" s="1"/>
  <c r="AZ358" i="6" s="1"/>
  <c r="AX358" i="6"/>
  <c r="AY358" i="6" s="1"/>
  <c r="BA358" i="6"/>
  <c r="AV359" i="6"/>
  <c r="AW359" i="6"/>
  <c r="AX359" i="6"/>
  <c r="AY359" i="6" s="1"/>
  <c r="BA359" i="6" s="1"/>
  <c r="AZ359" i="6"/>
  <c r="AV360" i="6"/>
  <c r="AW360" i="6"/>
  <c r="AZ360" i="6" s="1"/>
  <c r="AX360" i="6"/>
  <c r="AY360" i="6"/>
  <c r="BA360" i="6" s="1"/>
  <c r="AV361" i="6"/>
  <c r="AW361" i="6" s="1"/>
  <c r="AZ361" i="6" s="1"/>
  <c r="AX361" i="6"/>
  <c r="AY361" i="6"/>
  <c r="BA361" i="6" s="1"/>
  <c r="AV362" i="6"/>
  <c r="AW362" i="6" s="1"/>
  <c r="AZ362" i="6" s="1"/>
  <c r="AX362" i="6"/>
  <c r="AY362" i="6" s="1"/>
  <c r="BA362" i="6" s="1"/>
  <c r="AV363" i="6"/>
  <c r="AW363" i="6"/>
  <c r="AX363" i="6"/>
  <c r="AY363" i="6" s="1"/>
  <c r="BA363" i="6" s="1"/>
  <c r="AZ363" i="6"/>
  <c r="AV364" i="6"/>
  <c r="AW364" i="6"/>
  <c r="AZ364" i="6" s="1"/>
  <c r="AX364" i="6"/>
  <c r="AY364" i="6" s="1"/>
  <c r="BA364" i="6" s="1"/>
  <c r="AV365" i="6"/>
  <c r="AW365" i="6" s="1"/>
  <c r="AZ365" i="6" s="1"/>
  <c r="AX365" i="6"/>
  <c r="AY365" i="6"/>
  <c r="BA365" i="6" s="1"/>
  <c r="AV366" i="6"/>
  <c r="AW366" i="6" s="1"/>
  <c r="AZ366" i="6" s="1"/>
  <c r="AX366" i="6"/>
  <c r="AY366" i="6" s="1"/>
  <c r="BA366" i="6" s="1"/>
  <c r="AV367" i="6"/>
  <c r="AW367" i="6" s="1"/>
  <c r="AZ367" i="6" s="1"/>
  <c r="AX367" i="6"/>
  <c r="AY367" i="6" s="1"/>
  <c r="BA367" i="6" s="1"/>
  <c r="AV368" i="6"/>
  <c r="AW368" i="6"/>
  <c r="AZ368" i="6" s="1"/>
  <c r="AX368" i="6"/>
  <c r="AY368" i="6" s="1"/>
  <c r="BA368" i="6" s="1"/>
  <c r="AV369" i="6"/>
  <c r="AW369" i="6" s="1"/>
  <c r="AZ369" i="6" s="1"/>
  <c r="AX369" i="6"/>
  <c r="AY369" i="6"/>
  <c r="BA369" i="6" s="1"/>
  <c r="AV370" i="6"/>
  <c r="AW370" i="6" s="1"/>
  <c r="AZ370" i="6" s="1"/>
  <c r="AX370" i="6"/>
  <c r="AY370" i="6" s="1"/>
  <c r="BA370" i="6"/>
  <c r="AV371" i="6"/>
  <c r="AW371" i="6" s="1"/>
  <c r="AX371" i="6"/>
  <c r="AY371" i="6" s="1"/>
  <c r="BA371" i="6" s="1"/>
  <c r="AZ371" i="6"/>
  <c r="AV372" i="6"/>
  <c r="AW372" i="6"/>
  <c r="AZ372" i="6" s="1"/>
  <c r="AX372" i="6"/>
  <c r="AY372" i="6" s="1"/>
  <c r="BA372" i="6" s="1"/>
  <c r="AV373" i="6"/>
  <c r="AW373" i="6" s="1"/>
  <c r="AZ373" i="6" s="1"/>
  <c r="AX373" i="6"/>
  <c r="AY373" i="6"/>
  <c r="BA373" i="6" s="1"/>
  <c r="AV374" i="6"/>
  <c r="AW374" i="6" s="1"/>
  <c r="AZ374" i="6" s="1"/>
  <c r="AX374" i="6"/>
  <c r="AY374" i="6" s="1"/>
  <c r="BA374" i="6" s="1"/>
  <c r="AV375" i="6"/>
  <c r="AW375" i="6" s="1"/>
  <c r="AZ375" i="6" s="1"/>
  <c r="AX375" i="6"/>
  <c r="AY375" i="6" s="1"/>
  <c r="BA375" i="6" s="1"/>
  <c r="AV376" i="6"/>
  <c r="AW376" i="6"/>
  <c r="AZ376" i="6" s="1"/>
  <c r="AX376" i="6"/>
  <c r="AY376" i="6" s="1"/>
  <c r="BA376" i="6" s="1"/>
  <c r="AV377" i="6"/>
  <c r="AW377" i="6" s="1"/>
  <c r="AZ377" i="6" s="1"/>
  <c r="AX377" i="6"/>
  <c r="AY377" i="6"/>
  <c r="BA377" i="6" s="1"/>
  <c r="AV378" i="6"/>
  <c r="AW378" i="6" s="1"/>
  <c r="AZ378" i="6" s="1"/>
  <c r="AX378" i="6"/>
  <c r="AY378" i="6" s="1"/>
  <c r="BA378" i="6" s="1"/>
  <c r="AV379" i="6"/>
  <c r="AW379" i="6" s="1"/>
  <c r="AX379" i="6"/>
  <c r="AY379" i="6" s="1"/>
  <c r="BA379" i="6" s="1"/>
  <c r="AZ379" i="6"/>
  <c r="AV380" i="6"/>
  <c r="AW380" i="6"/>
  <c r="AZ380" i="6" s="1"/>
  <c r="AX380" i="6"/>
  <c r="AY380" i="6" s="1"/>
  <c r="BA380" i="6" s="1"/>
  <c r="AV381" i="6"/>
  <c r="AW381" i="6" s="1"/>
  <c r="AZ381" i="6" s="1"/>
  <c r="AX381" i="6"/>
  <c r="AY381" i="6"/>
  <c r="BA381" i="6" s="1"/>
  <c r="AV382" i="6"/>
  <c r="AW382" i="6" s="1"/>
  <c r="AZ382" i="6" s="1"/>
  <c r="AX382" i="6"/>
  <c r="AY382" i="6" s="1"/>
  <c r="BA382" i="6" s="1"/>
  <c r="AV383" i="6"/>
  <c r="AW383" i="6" s="1"/>
  <c r="AZ383" i="6" s="1"/>
  <c r="AX383" i="6"/>
  <c r="AY383" i="6" s="1"/>
  <c r="BA383" i="6" s="1"/>
  <c r="AV384" i="6"/>
  <c r="AW384" i="6"/>
  <c r="AZ384" i="6" s="1"/>
  <c r="AX384" i="6"/>
  <c r="AY384" i="6" s="1"/>
  <c r="BA384" i="6" s="1"/>
  <c r="AV385" i="6"/>
  <c r="AW385" i="6" s="1"/>
  <c r="AZ385" i="6" s="1"/>
  <c r="AX385" i="6"/>
  <c r="AY385" i="6"/>
  <c r="BA385" i="6" s="1"/>
  <c r="AV386" i="6"/>
  <c r="AW386" i="6" s="1"/>
  <c r="AZ386" i="6" s="1"/>
  <c r="AX386" i="6"/>
  <c r="AY386" i="6" s="1"/>
  <c r="BA386" i="6" s="1"/>
  <c r="AV387" i="6"/>
  <c r="AW387" i="6" s="1"/>
  <c r="AX387" i="6"/>
  <c r="AY387" i="6" s="1"/>
  <c r="BA387" i="6" s="1"/>
  <c r="AZ387" i="6"/>
  <c r="AV388" i="6"/>
  <c r="AW388" i="6"/>
  <c r="AZ388" i="6" s="1"/>
  <c r="AX388" i="6"/>
  <c r="AY388" i="6" s="1"/>
  <c r="BA388" i="6" s="1"/>
  <c r="AV389" i="6"/>
  <c r="AW389" i="6" s="1"/>
  <c r="AZ389" i="6" s="1"/>
  <c r="AX389" i="6"/>
  <c r="AY389" i="6"/>
  <c r="BA389" i="6" s="1"/>
  <c r="AV390" i="6"/>
  <c r="AW390" i="6" s="1"/>
  <c r="AZ390" i="6" s="1"/>
  <c r="AX390" i="6"/>
  <c r="AY390" i="6" s="1"/>
  <c r="BA390" i="6" s="1"/>
  <c r="AV391" i="6"/>
  <c r="AW391" i="6" s="1"/>
  <c r="AZ391" i="6" s="1"/>
  <c r="AX391" i="6"/>
  <c r="AY391" i="6" s="1"/>
  <c r="BA391" i="6" s="1"/>
  <c r="AV392" i="6"/>
  <c r="AW392" i="6"/>
  <c r="AZ392" i="6" s="1"/>
  <c r="AX392" i="6"/>
  <c r="AY392" i="6" s="1"/>
  <c r="BA392" i="6" s="1"/>
  <c r="AV393" i="6"/>
  <c r="AW393" i="6" s="1"/>
  <c r="AZ393" i="6" s="1"/>
  <c r="AX393" i="6"/>
  <c r="AY393" i="6"/>
  <c r="BA393" i="6" s="1"/>
  <c r="AV394" i="6"/>
  <c r="AW394" i="6" s="1"/>
  <c r="AZ394" i="6" s="1"/>
  <c r="AX394" i="6"/>
  <c r="AY394" i="6" s="1"/>
  <c r="BA394" i="6" s="1"/>
  <c r="AV395" i="6"/>
  <c r="AW395" i="6" s="1"/>
  <c r="AX395" i="6"/>
  <c r="AY395" i="6" s="1"/>
  <c r="BA395" i="6" s="1"/>
  <c r="AZ395" i="6"/>
  <c r="AV396" i="6"/>
  <c r="AW396" i="6"/>
  <c r="AZ396" i="6" s="1"/>
  <c r="AX396" i="6"/>
  <c r="AY396" i="6" s="1"/>
  <c r="BA396" i="6" s="1"/>
  <c r="AV397" i="6"/>
  <c r="AW397" i="6" s="1"/>
  <c r="AZ397" i="6" s="1"/>
  <c r="AX397" i="6"/>
  <c r="AY397" i="6"/>
  <c r="BA397" i="6" s="1"/>
  <c r="AV398" i="6"/>
  <c r="AW398" i="6" s="1"/>
  <c r="AZ398" i="6" s="1"/>
  <c r="AX398" i="6"/>
  <c r="AY398" i="6" s="1"/>
  <c r="BA398" i="6" s="1"/>
  <c r="AV399" i="6"/>
  <c r="AW399" i="6" s="1"/>
  <c r="AZ399" i="6" s="1"/>
  <c r="AX399" i="6"/>
  <c r="AY399" i="6" s="1"/>
  <c r="BA399" i="6" s="1"/>
  <c r="AV400" i="6"/>
  <c r="AW400" i="6"/>
  <c r="AZ400" i="6" s="1"/>
  <c r="AX400" i="6"/>
  <c r="AY400" i="6" s="1"/>
  <c r="BA400" i="6" s="1"/>
  <c r="AV401" i="6"/>
  <c r="AW401" i="6" s="1"/>
  <c r="AZ401" i="6" s="1"/>
  <c r="AX401" i="6"/>
  <c r="AY401" i="6"/>
  <c r="BA401" i="6" s="1"/>
  <c r="AV402" i="6"/>
  <c r="AW402" i="6" s="1"/>
  <c r="AZ402" i="6" s="1"/>
  <c r="AX402" i="6"/>
  <c r="AY402" i="6" s="1"/>
  <c r="BA402" i="6" s="1"/>
  <c r="AV403" i="6"/>
  <c r="AW403" i="6" s="1"/>
  <c r="AX403" i="6"/>
  <c r="AY403" i="6" s="1"/>
  <c r="BA403" i="6" s="1"/>
  <c r="AZ403" i="6"/>
  <c r="AV404" i="6"/>
  <c r="AW404" i="6"/>
  <c r="AZ404" i="6" s="1"/>
  <c r="AX404" i="6"/>
  <c r="AY404" i="6" s="1"/>
  <c r="BA404" i="6" s="1"/>
  <c r="AV405" i="6"/>
  <c r="AW405" i="6" s="1"/>
  <c r="AZ405" i="6" s="1"/>
  <c r="AX405" i="6"/>
  <c r="AY405" i="6"/>
  <c r="BA405" i="6" s="1"/>
  <c r="AV406" i="6"/>
  <c r="AW406" i="6" s="1"/>
  <c r="AZ406" i="6" s="1"/>
  <c r="AX406" i="6"/>
  <c r="AY406" i="6" s="1"/>
  <c r="BA406" i="6" s="1"/>
  <c r="AV407" i="6"/>
  <c r="AW407" i="6" s="1"/>
  <c r="AZ407" i="6" s="1"/>
  <c r="AX407" i="6"/>
  <c r="AY407" i="6" s="1"/>
  <c r="BA407" i="6" s="1"/>
  <c r="AV408" i="6"/>
  <c r="AW408" i="6"/>
  <c r="AZ408" i="6" s="1"/>
  <c r="AX408" i="6"/>
  <c r="AY408" i="6" s="1"/>
  <c r="BA408" i="6" s="1"/>
  <c r="AV409" i="6"/>
  <c r="AW409" i="6" s="1"/>
  <c r="AZ409" i="6" s="1"/>
  <c r="AX409" i="6"/>
  <c r="AY409" i="6"/>
  <c r="BA409" i="6" s="1"/>
  <c r="AV410" i="6"/>
  <c r="AW410" i="6" s="1"/>
  <c r="AZ410" i="6" s="1"/>
  <c r="AX410" i="6"/>
  <c r="AY410" i="6" s="1"/>
  <c r="BA410" i="6" s="1"/>
  <c r="AV411" i="6"/>
  <c r="AW411" i="6" s="1"/>
  <c r="AX411" i="6"/>
  <c r="AY411" i="6" s="1"/>
  <c r="BA411" i="6" s="1"/>
  <c r="AZ411" i="6"/>
  <c r="AV412" i="6"/>
  <c r="AW412" i="6"/>
  <c r="AZ412" i="6" s="1"/>
  <c r="AX412" i="6"/>
  <c r="AY412" i="6" s="1"/>
  <c r="BA412" i="6" s="1"/>
  <c r="AV413" i="6"/>
  <c r="AW413" i="6" s="1"/>
  <c r="AZ413" i="6" s="1"/>
  <c r="AX413" i="6"/>
  <c r="AY413" i="6"/>
  <c r="BA413" i="6" s="1"/>
  <c r="AV414" i="6"/>
  <c r="AW414" i="6" s="1"/>
  <c r="AZ414" i="6" s="1"/>
  <c r="AX414" i="6"/>
  <c r="AY414" i="6" s="1"/>
  <c r="BA414" i="6" s="1"/>
  <c r="AV415" i="6"/>
  <c r="AW415" i="6" s="1"/>
  <c r="AZ415" i="6" s="1"/>
  <c r="AX415" i="6"/>
  <c r="AY415" i="6" s="1"/>
  <c r="BA415" i="6" s="1"/>
  <c r="AV416" i="6"/>
  <c r="AW416" i="6"/>
  <c r="AZ416" i="6" s="1"/>
  <c r="AX416" i="6"/>
  <c r="AY416" i="6" s="1"/>
  <c r="BA416" i="6" s="1"/>
  <c r="AV417" i="6"/>
  <c r="AW417" i="6" s="1"/>
  <c r="AZ417" i="6" s="1"/>
  <c r="AX417" i="6"/>
  <c r="AY417" i="6"/>
  <c r="BA417" i="6" s="1"/>
  <c r="AV418" i="6"/>
  <c r="AW418" i="6" s="1"/>
  <c r="AZ418" i="6" s="1"/>
  <c r="AX418" i="6"/>
  <c r="AY418" i="6" s="1"/>
  <c r="BA418" i="6" s="1"/>
  <c r="AV419" i="6"/>
  <c r="AW419" i="6" s="1"/>
  <c r="AX419" i="6"/>
  <c r="AY419" i="6" s="1"/>
  <c r="BA419" i="6" s="1"/>
  <c r="AZ419" i="6"/>
  <c r="AV420" i="6"/>
  <c r="AW420" i="6"/>
  <c r="AZ420" i="6" s="1"/>
  <c r="AX420" i="6"/>
  <c r="AY420" i="6" s="1"/>
  <c r="BA420" i="6" s="1"/>
  <c r="AV421" i="6"/>
  <c r="AW421" i="6" s="1"/>
  <c r="AZ421" i="6" s="1"/>
  <c r="AX421" i="6"/>
  <c r="AY421" i="6"/>
  <c r="BA421" i="6" s="1"/>
  <c r="AV422" i="6"/>
  <c r="AW422" i="6" s="1"/>
  <c r="AZ422" i="6" s="1"/>
  <c r="AX422" i="6"/>
  <c r="AY422" i="6" s="1"/>
  <c r="BA422" i="6" s="1"/>
  <c r="AV423" i="6"/>
  <c r="AW423" i="6" s="1"/>
  <c r="AZ423" i="6" s="1"/>
  <c r="AX423" i="6"/>
  <c r="AY423" i="6" s="1"/>
  <c r="BA423" i="6" s="1"/>
  <c r="AV424" i="6"/>
  <c r="AW424" i="6"/>
  <c r="AZ424" i="6" s="1"/>
  <c r="AX424" i="6"/>
  <c r="AY424" i="6" s="1"/>
  <c r="BA424" i="6" s="1"/>
  <c r="AV425" i="6"/>
  <c r="AW425" i="6" s="1"/>
  <c r="AZ425" i="6" s="1"/>
  <c r="AX425" i="6"/>
  <c r="AY425" i="6"/>
  <c r="BA425" i="6" s="1"/>
  <c r="AV426" i="6"/>
  <c r="AW426" i="6" s="1"/>
  <c r="AZ426" i="6" s="1"/>
  <c r="AX426" i="6"/>
  <c r="AY426" i="6" s="1"/>
  <c r="BA426" i="6" s="1"/>
  <c r="AV427" i="6"/>
  <c r="AW427" i="6" s="1"/>
  <c r="AX427" i="6"/>
  <c r="AY427" i="6" s="1"/>
  <c r="BA427" i="6" s="1"/>
  <c r="AZ427" i="6"/>
  <c r="AV428" i="6"/>
  <c r="AW428" i="6"/>
  <c r="AZ428" i="6" s="1"/>
  <c r="AX428" i="6"/>
  <c r="AY428" i="6" s="1"/>
  <c r="BA428" i="6" s="1"/>
  <c r="AV429" i="6"/>
  <c r="AW429" i="6" s="1"/>
  <c r="AZ429" i="6" s="1"/>
  <c r="AX429" i="6"/>
  <c r="AY429" i="6"/>
  <c r="BA429" i="6" s="1"/>
  <c r="AV430" i="6"/>
  <c r="AW430" i="6" s="1"/>
  <c r="AZ430" i="6" s="1"/>
  <c r="AX430" i="6"/>
  <c r="AY430" i="6" s="1"/>
  <c r="BA430" i="6" s="1"/>
  <c r="AV431" i="6"/>
  <c r="AW431" i="6" s="1"/>
  <c r="AZ431" i="6" s="1"/>
  <c r="AX431" i="6"/>
  <c r="AY431" i="6" s="1"/>
  <c r="BA431" i="6" s="1"/>
  <c r="AV432" i="6"/>
  <c r="AW432" i="6"/>
  <c r="AZ432" i="6" s="1"/>
  <c r="AX432" i="6"/>
  <c r="AY432" i="6" s="1"/>
  <c r="BA432" i="6" s="1"/>
  <c r="AV433" i="6"/>
  <c r="AW433" i="6" s="1"/>
  <c r="AZ433" i="6" s="1"/>
  <c r="AX433" i="6"/>
  <c r="AY433" i="6"/>
  <c r="BA433" i="6" s="1"/>
  <c r="AV434" i="6"/>
  <c r="AW434" i="6" s="1"/>
  <c r="AZ434" i="6" s="1"/>
  <c r="AX434" i="6"/>
  <c r="AY434" i="6" s="1"/>
  <c r="BA434" i="6" s="1"/>
  <c r="AV435" i="6"/>
  <c r="AW435" i="6" s="1"/>
  <c r="AX435" i="6"/>
  <c r="AY435" i="6" s="1"/>
  <c r="BA435" i="6" s="1"/>
  <c r="AZ435" i="6"/>
  <c r="AV436" i="6"/>
  <c r="AW436" i="6"/>
  <c r="AZ436" i="6" s="1"/>
  <c r="AX436" i="6"/>
  <c r="AY436" i="6" s="1"/>
  <c r="BA436" i="6" s="1"/>
  <c r="AV437" i="6"/>
  <c r="AW437" i="6" s="1"/>
  <c r="AZ437" i="6" s="1"/>
  <c r="AX437" i="6"/>
  <c r="AY437" i="6"/>
  <c r="BA437" i="6" s="1"/>
  <c r="AV438" i="6"/>
  <c r="AW438" i="6" s="1"/>
  <c r="AZ438" i="6" s="1"/>
  <c r="AX438" i="6"/>
  <c r="AY438" i="6" s="1"/>
  <c r="BA438" i="6" s="1"/>
  <c r="AV439" i="6"/>
  <c r="AW439" i="6" s="1"/>
  <c r="AZ439" i="6" s="1"/>
  <c r="AX439" i="6"/>
  <c r="AY439" i="6" s="1"/>
  <c r="BA439" i="6" s="1"/>
  <c r="AV440" i="6"/>
  <c r="AW440" i="6"/>
  <c r="AZ440" i="6" s="1"/>
  <c r="AX440" i="6"/>
  <c r="AY440" i="6" s="1"/>
  <c r="BA440" i="6" s="1"/>
  <c r="AV441" i="6"/>
  <c r="AW441" i="6" s="1"/>
  <c r="AZ441" i="6" s="1"/>
  <c r="AX441" i="6"/>
  <c r="AY441" i="6"/>
  <c r="BA441" i="6" s="1"/>
  <c r="AV442" i="6"/>
  <c r="AW442" i="6" s="1"/>
  <c r="AZ442" i="6" s="1"/>
  <c r="AX442" i="6"/>
  <c r="AY442" i="6" s="1"/>
  <c r="BA442" i="6" s="1"/>
  <c r="AV443" i="6"/>
  <c r="AW443" i="6" s="1"/>
  <c r="AX443" i="6"/>
  <c r="AY443" i="6" s="1"/>
  <c r="BA443" i="6" s="1"/>
  <c r="AZ443" i="6"/>
  <c r="AV444" i="6"/>
  <c r="AW444" i="6"/>
  <c r="AZ444" i="6" s="1"/>
  <c r="AX444" i="6"/>
  <c r="AY444" i="6" s="1"/>
  <c r="BA444" i="6" s="1"/>
  <c r="AV445" i="6"/>
  <c r="AW445" i="6" s="1"/>
  <c r="AZ445" i="6" s="1"/>
  <c r="AX445" i="6"/>
  <c r="AY445" i="6"/>
  <c r="BA445" i="6" s="1"/>
  <c r="AV446" i="6"/>
  <c r="AW446" i="6" s="1"/>
  <c r="AZ446" i="6" s="1"/>
  <c r="AX446" i="6"/>
  <c r="AY446" i="6" s="1"/>
  <c r="BA446" i="6" s="1"/>
  <c r="AV447" i="6"/>
  <c r="AW447" i="6" s="1"/>
  <c r="AZ447" i="6" s="1"/>
  <c r="AX447" i="6"/>
  <c r="AY447" i="6" s="1"/>
  <c r="BA447" i="6" s="1"/>
  <c r="AV448" i="6"/>
  <c r="AW448" i="6"/>
  <c r="AZ448" i="6" s="1"/>
  <c r="AX448" i="6"/>
  <c r="AY448" i="6" s="1"/>
  <c r="BA448" i="6" s="1"/>
  <c r="AV449" i="6"/>
  <c r="AW449" i="6" s="1"/>
  <c r="AZ449" i="6" s="1"/>
  <c r="AX449" i="6"/>
  <c r="AY449" i="6"/>
  <c r="BA449" i="6" s="1"/>
  <c r="AV450" i="6"/>
  <c r="AW450" i="6" s="1"/>
  <c r="AZ450" i="6" s="1"/>
  <c r="AX450" i="6"/>
  <c r="AY450" i="6" s="1"/>
  <c r="BA450" i="6" s="1"/>
  <c r="AV451" i="6"/>
  <c r="AW451" i="6" s="1"/>
  <c r="AX451" i="6"/>
  <c r="AY451" i="6" s="1"/>
  <c r="BA451" i="6" s="1"/>
  <c r="AZ451" i="6"/>
  <c r="AV452" i="6"/>
  <c r="AW452" i="6"/>
  <c r="AZ452" i="6" s="1"/>
  <c r="AX452" i="6"/>
  <c r="AY452" i="6" s="1"/>
  <c r="BA452" i="6" s="1"/>
  <c r="AV453" i="6"/>
  <c r="AW453" i="6" s="1"/>
  <c r="AZ453" i="6" s="1"/>
  <c r="AX453" i="6"/>
  <c r="AY453" i="6"/>
  <c r="BA453" i="6" s="1"/>
  <c r="AV454" i="6"/>
  <c r="AW454" i="6" s="1"/>
  <c r="AZ454" i="6" s="1"/>
  <c r="AX454" i="6"/>
  <c r="AY454" i="6" s="1"/>
  <c r="BA454" i="6" s="1"/>
  <c r="AV455" i="6"/>
  <c r="AW455" i="6" s="1"/>
  <c r="AZ455" i="6" s="1"/>
  <c r="AX455" i="6"/>
  <c r="AY455" i="6" s="1"/>
  <c r="BA455" i="6" s="1"/>
  <c r="AV456" i="6"/>
  <c r="AW456" i="6"/>
  <c r="AZ456" i="6" s="1"/>
  <c r="AX456" i="6"/>
  <c r="AY456" i="6" s="1"/>
  <c r="BA456" i="6" s="1"/>
  <c r="AV457" i="6"/>
  <c r="AW457" i="6" s="1"/>
  <c r="AZ457" i="6" s="1"/>
  <c r="AX457" i="6"/>
  <c r="AY457" i="6"/>
  <c r="BA457" i="6" s="1"/>
  <c r="AV458" i="6"/>
  <c r="AW458" i="6" s="1"/>
  <c r="AZ458" i="6" s="1"/>
  <c r="AX458" i="6"/>
  <c r="AY458" i="6" s="1"/>
  <c r="BA458" i="6" s="1"/>
  <c r="AV459" i="6"/>
  <c r="AW459" i="6" s="1"/>
  <c r="AX459" i="6"/>
  <c r="AY459" i="6" s="1"/>
  <c r="BA459" i="6" s="1"/>
  <c r="AZ459" i="6"/>
  <c r="AV460" i="6"/>
  <c r="AW460" i="6"/>
  <c r="AZ460" i="6" s="1"/>
  <c r="AX460" i="6"/>
  <c r="AY460" i="6" s="1"/>
  <c r="BA460" i="6" s="1"/>
  <c r="AV461" i="6"/>
  <c r="AW461" i="6" s="1"/>
  <c r="AZ461" i="6" s="1"/>
  <c r="AX461" i="6"/>
  <c r="AY461" i="6"/>
  <c r="BA461" i="6" s="1"/>
  <c r="AV462" i="6"/>
  <c r="AW462" i="6" s="1"/>
  <c r="AZ462" i="6" s="1"/>
  <c r="AX462" i="6"/>
  <c r="AY462" i="6" s="1"/>
  <c r="BA462" i="6" s="1"/>
  <c r="AV463" i="6"/>
  <c r="AW463" i="6" s="1"/>
  <c r="AZ463" i="6" s="1"/>
  <c r="AX463" i="6"/>
  <c r="AY463" i="6" s="1"/>
  <c r="BA463" i="6" s="1"/>
  <c r="AV464" i="6"/>
  <c r="AW464" i="6"/>
  <c r="AZ464" i="6" s="1"/>
  <c r="AX464" i="6"/>
  <c r="AY464" i="6" s="1"/>
  <c r="BA464" i="6" s="1"/>
  <c r="AV465" i="6"/>
  <c r="AW465" i="6" s="1"/>
  <c r="AZ465" i="6" s="1"/>
  <c r="AX465" i="6"/>
  <c r="AY465" i="6"/>
  <c r="BA465" i="6" s="1"/>
  <c r="AV466" i="6"/>
  <c r="AW466" i="6" s="1"/>
  <c r="AZ466" i="6" s="1"/>
  <c r="AX466" i="6"/>
  <c r="AY466" i="6" s="1"/>
  <c r="BA466" i="6" s="1"/>
  <c r="AV467" i="6"/>
  <c r="AW467" i="6" s="1"/>
  <c r="AX467" i="6"/>
  <c r="AY467" i="6" s="1"/>
  <c r="BA467" i="6" s="1"/>
  <c r="AZ467" i="6"/>
  <c r="AV468" i="6"/>
  <c r="AW468" i="6"/>
  <c r="AZ468" i="6" s="1"/>
  <c r="AX468" i="6"/>
  <c r="AY468" i="6" s="1"/>
  <c r="BA468" i="6" s="1"/>
  <c r="AV469" i="6"/>
  <c r="AW469" i="6" s="1"/>
  <c r="AZ469" i="6" s="1"/>
  <c r="AX469" i="6"/>
  <c r="AY469" i="6"/>
  <c r="BA469" i="6" s="1"/>
  <c r="AV470" i="6"/>
  <c r="AW470" i="6" s="1"/>
  <c r="AZ470" i="6" s="1"/>
  <c r="AX470" i="6"/>
  <c r="AY470" i="6" s="1"/>
  <c r="BA470" i="6" s="1"/>
  <c r="AV471" i="6"/>
  <c r="AW471" i="6" s="1"/>
  <c r="AZ471" i="6" s="1"/>
  <c r="AX471" i="6"/>
  <c r="AY471" i="6" s="1"/>
  <c r="BA471" i="6" s="1"/>
  <c r="AV472" i="6"/>
  <c r="AW472" i="6"/>
  <c r="AZ472" i="6" s="1"/>
  <c r="AX472" i="6"/>
  <c r="AY472" i="6" s="1"/>
  <c r="BA472" i="6" s="1"/>
  <c r="AV473" i="6"/>
  <c r="AW473" i="6" s="1"/>
  <c r="AZ473" i="6" s="1"/>
  <c r="AX473" i="6"/>
  <c r="AY473" i="6"/>
  <c r="BA473" i="6" s="1"/>
  <c r="AV474" i="6"/>
  <c r="AW474" i="6" s="1"/>
  <c r="AZ474" i="6" s="1"/>
  <c r="AX474" i="6"/>
  <c r="AY474" i="6" s="1"/>
  <c r="BA474" i="6" s="1"/>
  <c r="AV475" i="6"/>
  <c r="AW475" i="6" s="1"/>
  <c r="AX475" i="6"/>
  <c r="AY475" i="6" s="1"/>
  <c r="BA475" i="6" s="1"/>
  <c r="AZ475" i="6"/>
  <c r="AV476" i="6"/>
  <c r="AW476" i="6"/>
  <c r="AZ476" i="6" s="1"/>
  <c r="AX476" i="6"/>
  <c r="AY476" i="6" s="1"/>
  <c r="BA476" i="6" s="1"/>
  <c r="AV477" i="6"/>
  <c r="AW477" i="6" s="1"/>
  <c r="AZ477" i="6" s="1"/>
  <c r="AX477" i="6"/>
  <c r="AY477" i="6"/>
  <c r="BA477" i="6" s="1"/>
  <c r="AV478" i="6"/>
  <c r="AW478" i="6" s="1"/>
  <c r="AZ478" i="6" s="1"/>
  <c r="AX478" i="6"/>
  <c r="AY478" i="6" s="1"/>
  <c r="BA478" i="6" s="1"/>
  <c r="AV479" i="6"/>
  <c r="AW479" i="6" s="1"/>
  <c r="AZ479" i="6" s="1"/>
  <c r="AX479" i="6"/>
  <c r="AY479" i="6" s="1"/>
  <c r="BA479" i="6" s="1"/>
  <c r="AV480" i="6"/>
  <c r="AW480" i="6"/>
  <c r="AZ480" i="6" s="1"/>
  <c r="AX480" i="6"/>
  <c r="AY480" i="6" s="1"/>
  <c r="BA480" i="6" s="1"/>
  <c r="AV481" i="6"/>
  <c r="AW481" i="6" s="1"/>
  <c r="AZ481" i="6" s="1"/>
  <c r="AX481" i="6"/>
  <c r="AY481" i="6"/>
  <c r="BA481" i="6" s="1"/>
  <c r="AV482" i="6"/>
  <c r="AW482" i="6" s="1"/>
  <c r="AZ482" i="6" s="1"/>
  <c r="AX482" i="6"/>
  <c r="AY482" i="6" s="1"/>
  <c r="BA482" i="6" s="1"/>
  <c r="AV483" i="6"/>
  <c r="AW483" i="6" s="1"/>
  <c r="AX483" i="6"/>
  <c r="AY483" i="6" s="1"/>
  <c r="BA483" i="6" s="1"/>
  <c r="AZ483" i="6"/>
  <c r="AV484" i="6"/>
  <c r="AW484" i="6"/>
  <c r="AZ484" i="6" s="1"/>
  <c r="AX484" i="6"/>
  <c r="AY484" i="6" s="1"/>
  <c r="BA484" i="6" s="1"/>
  <c r="AV485" i="6"/>
  <c r="AW485" i="6" s="1"/>
  <c r="AZ485" i="6" s="1"/>
  <c r="AX485" i="6"/>
  <c r="AY485" i="6"/>
  <c r="BA485" i="6" s="1"/>
  <c r="AV486" i="6"/>
  <c r="AW486" i="6" s="1"/>
  <c r="AZ486" i="6" s="1"/>
  <c r="AX486" i="6"/>
  <c r="AY486" i="6" s="1"/>
  <c r="BA486" i="6" s="1"/>
  <c r="AV487" i="6"/>
  <c r="AW487" i="6" s="1"/>
  <c r="AZ487" i="6" s="1"/>
  <c r="AX487" i="6"/>
  <c r="AY487" i="6" s="1"/>
  <c r="BA487" i="6" s="1"/>
  <c r="AV488" i="6"/>
  <c r="AW488" i="6"/>
  <c r="AZ488" i="6" s="1"/>
  <c r="AX488" i="6"/>
  <c r="AY488" i="6" s="1"/>
  <c r="BA488" i="6" s="1"/>
  <c r="AV489" i="6"/>
  <c r="AW489" i="6" s="1"/>
  <c r="AZ489" i="6" s="1"/>
  <c r="AX489" i="6"/>
  <c r="AY489" i="6"/>
  <c r="BA489" i="6" s="1"/>
  <c r="AV490" i="6"/>
  <c r="AW490" i="6" s="1"/>
  <c r="AZ490" i="6" s="1"/>
  <c r="AX490" i="6"/>
  <c r="AY490" i="6" s="1"/>
  <c r="BA490" i="6" s="1"/>
  <c r="AV491" i="6"/>
  <c r="AW491" i="6" s="1"/>
  <c r="AX491" i="6"/>
  <c r="AY491" i="6" s="1"/>
  <c r="BA491" i="6" s="1"/>
  <c r="AZ491" i="6"/>
  <c r="AV492" i="6"/>
  <c r="AW492" i="6"/>
  <c r="AZ492" i="6" s="1"/>
  <c r="AX492" i="6"/>
  <c r="AY492" i="6" s="1"/>
  <c r="BA492" i="6" s="1"/>
  <c r="AV493" i="6"/>
  <c r="AW493" i="6" s="1"/>
  <c r="AZ493" i="6" s="1"/>
  <c r="AX493" i="6"/>
  <c r="AY493" i="6"/>
  <c r="BA493" i="6" s="1"/>
  <c r="AV494" i="6"/>
  <c r="AW494" i="6" s="1"/>
  <c r="AZ494" i="6" s="1"/>
  <c r="AX494" i="6"/>
  <c r="AY494" i="6" s="1"/>
  <c r="BA494" i="6" s="1"/>
  <c r="AV495" i="6"/>
  <c r="AW495" i="6" s="1"/>
  <c r="AZ495" i="6" s="1"/>
  <c r="AX495" i="6"/>
  <c r="AY495" i="6" s="1"/>
  <c r="BA495" i="6" s="1"/>
  <c r="AV496" i="6"/>
  <c r="AW496" i="6"/>
  <c r="AZ496" i="6" s="1"/>
  <c r="AX496" i="6"/>
  <c r="AY496" i="6" s="1"/>
  <c r="BA496" i="6" s="1"/>
  <c r="AV497" i="6"/>
  <c r="AW497" i="6" s="1"/>
  <c r="AZ497" i="6" s="1"/>
  <c r="AX497" i="6"/>
  <c r="AY497" i="6"/>
  <c r="BA497" i="6" s="1"/>
  <c r="AV498" i="6"/>
  <c r="AW498" i="6" s="1"/>
  <c r="AZ498" i="6" s="1"/>
  <c r="AX498" i="6"/>
  <c r="AY498" i="6" s="1"/>
  <c r="BA498" i="6" s="1"/>
  <c r="AV499" i="6"/>
  <c r="AW499" i="6" s="1"/>
  <c r="AX499" i="6"/>
  <c r="AY499" i="6" s="1"/>
  <c r="BA499" i="6" s="1"/>
  <c r="AZ499" i="6"/>
  <c r="AV500" i="6"/>
  <c r="AW500" i="6"/>
  <c r="AZ500" i="6" s="1"/>
  <c r="AX500" i="6"/>
  <c r="AY500" i="6" s="1"/>
  <c r="BA500" i="6" s="1"/>
  <c r="AV501" i="6"/>
  <c r="AW501" i="6" s="1"/>
  <c r="AZ501" i="6" s="1"/>
  <c r="AX501" i="6"/>
  <c r="AY501" i="6"/>
  <c r="BA501" i="6" s="1"/>
  <c r="AV502" i="6"/>
  <c r="AW502" i="6" s="1"/>
  <c r="AZ502" i="6" s="1"/>
  <c r="AX502" i="6"/>
  <c r="AY502" i="6" s="1"/>
  <c r="BA502" i="6" s="1"/>
  <c r="AV503" i="6"/>
  <c r="AW503" i="6" s="1"/>
  <c r="AZ503" i="6" s="1"/>
  <c r="AX503" i="6"/>
  <c r="AY503" i="6" s="1"/>
  <c r="BA503" i="6" s="1"/>
  <c r="AV504" i="6"/>
  <c r="AW504" i="6"/>
  <c r="AZ504" i="6" s="1"/>
  <c r="AX504" i="6"/>
  <c r="AY504" i="6" s="1"/>
  <c r="BA504" i="6" s="1"/>
  <c r="AV505" i="6"/>
  <c r="AW505" i="6" s="1"/>
  <c r="AZ505" i="6" s="1"/>
  <c r="AX505" i="6"/>
  <c r="AY505" i="6"/>
  <c r="BA505" i="6" s="1"/>
  <c r="AV506" i="6"/>
  <c r="AW506" i="6" s="1"/>
  <c r="AZ506" i="6" s="1"/>
  <c r="AX506" i="6"/>
  <c r="AY506" i="6" s="1"/>
  <c r="BA506" i="6" s="1"/>
  <c r="AV507" i="6"/>
  <c r="AW507" i="6" s="1"/>
  <c r="AX507" i="6"/>
  <c r="AY507" i="6" s="1"/>
  <c r="BA507" i="6" s="1"/>
  <c r="AZ507" i="6"/>
  <c r="AV508" i="6"/>
  <c r="AW508" i="6"/>
  <c r="AZ508" i="6" s="1"/>
  <c r="AX508" i="6"/>
  <c r="AY508" i="6" s="1"/>
  <c r="BA508" i="6" s="1"/>
  <c r="AV509" i="6"/>
  <c r="AW509" i="6" s="1"/>
  <c r="AZ509" i="6" s="1"/>
  <c r="AX509" i="6"/>
  <c r="AY509" i="6"/>
  <c r="BA509" i="6" s="1"/>
  <c r="AV510" i="6"/>
  <c r="AW510" i="6" s="1"/>
  <c r="AZ510" i="6" s="1"/>
  <c r="AX510" i="6"/>
  <c r="AY510" i="6" s="1"/>
  <c r="BA510" i="6" s="1"/>
  <c r="AV511" i="6"/>
  <c r="AW511" i="6" s="1"/>
  <c r="AZ511" i="6" s="1"/>
  <c r="AX511" i="6"/>
  <c r="AY511" i="6" s="1"/>
  <c r="BA511" i="6" s="1"/>
  <c r="AV512" i="6"/>
  <c r="AW512" i="6"/>
  <c r="AZ512" i="6" s="1"/>
  <c r="AX512" i="6"/>
  <c r="AY512" i="6" s="1"/>
  <c r="BA512" i="6" s="1"/>
  <c r="AV513" i="6"/>
  <c r="AW513" i="6" s="1"/>
  <c r="AZ513" i="6" s="1"/>
  <c r="AX513" i="6"/>
  <c r="AY513" i="6"/>
  <c r="BA513" i="6" s="1"/>
  <c r="AV514" i="6"/>
  <c r="AW514" i="6" s="1"/>
  <c r="AZ514" i="6" s="1"/>
  <c r="AX514" i="6"/>
  <c r="AY514" i="6" s="1"/>
  <c r="BA514" i="6" s="1"/>
  <c r="AV515" i="6"/>
  <c r="AW515" i="6" s="1"/>
  <c r="AX515" i="6"/>
  <c r="AY515" i="6" s="1"/>
  <c r="BA515" i="6" s="1"/>
  <c r="AZ515" i="6"/>
  <c r="AV516" i="6"/>
  <c r="AW516" i="6"/>
  <c r="AZ516" i="6" s="1"/>
  <c r="AX516" i="6"/>
  <c r="AY516" i="6" s="1"/>
  <c r="BA516" i="6" s="1"/>
  <c r="AV517" i="6"/>
  <c r="AW517" i="6" s="1"/>
  <c r="AZ517" i="6" s="1"/>
  <c r="AX517" i="6"/>
  <c r="AY517" i="6"/>
  <c r="BA517" i="6" s="1"/>
  <c r="AV518" i="6"/>
  <c r="AW518" i="6" s="1"/>
  <c r="AZ518" i="6" s="1"/>
  <c r="AX518" i="6"/>
  <c r="AY518" i="6" s="1"/>
  <c r="BA518" i="6" s="1"/>
  <c r="AV519" i="6"/>
  <c r="AW519" i="6" s="1"/>
  <c r="AZ519" i="6" s="1"/>
  <c r="AX519" i="6"/>
  <c r="AY519" i="6" s="1"/>
  <c r="BA519" i="6" s="1"/>
  <c r="AV520" i="6"/>
  <c r="AW520" i="6"/>
  <c r="AZ520" i="6" s="1"/>
  <c r="AX520" i="6"/>
  <c r="AY520" i="6" s="1"/>
  <c r="BA520" i="6" s="1"/>
  <c r="AV521" i="6"/>
  <c r="AW521" i="6" s="1"/>
  <c r="AZ521" i="6" s="1"/>
  <c r="AX521" i="6"/>
  <c r="AY521" i="6"/>
  <c r="BA521" i="6" s="1"/>
  <c r="AV522" i="6"/>
  <c r="AW522" i="6" s="1"/>
  <c r="AZ522" i="6" s="1"/>
  <c r="AX522" i="6"/>
  <c r="AY522" i="6" s="1"/>
  <c r="BA522" i="6" s="1"/>
  <c r="AV523" i="6"/>
  <c r="AW523" i="6" s="1"/>
  <c r="AX523" i="6"/>
  <c r="AY523" i="6" s="1"/>
  <c r="BA523" i="6" s="1"/>
  <c r="AZ523" i="6"/>
  <c r="AV524" i="6"/>
  <c r="AW524" i="6"/>
  <c r="AZ524" i="6" s="1"/>
  <c r="AX524" i="6"/>
  <c r="AY524" i="6" s="1"/>
  <c r="BA524" i="6" s="1"/>
  <c r="AV525" i="6"/>
  <c r="AW525" i="6" s="1"/>
  <c r="AZ525" i="6" s="1"/>
  <c r="AX525" i="6"/>
  <c r="AY525" i="6"/>
  <c r="BA525" i="6" s="1"/>
  <c r="AV526" i="6"/>
  <c r="AW526" i="6" s="1"/>
  <c r="AZ526" i="6" s="1"/>
  <c r="AX526" i="6"/>
  <c r="AY526" i="6" s="1"/>
  <c r="BA526" i="6" s="1"/>
  <c r="AV527" i="6"/>
  <c r="AW527" i="6" s="1"/>
  <c r="AZ527" i="6" s="1"/>
  <c r="AX527" i="6"/>
  <c r="AY527" i="6" s="1"/>
  <c r="BA527" i="6" s="1"/>
  <c r="AV528" i="6"/>
  <c r="AW528" i="6"/>
  <c r="AZ528" i="6" s="1"/>
  <c r="AX528" i="6"/>
  <c r="AY528" i="6" s="1"/>
  <c r="BA528" i="6" s="1"/>
  <c r="AV529" i="6"/>
  <c r="AW529" i="6" s="1"/>
  <c r="AZ529" i="6" s="1"/>
  <c r="AX529" i="6"/>
  <c r="AY529" i="6"/>
  <c r="BA529" i="6" s="1"/>
  <c r="AV530" i="6"/>
  <c r="AW530" i="6" s="1"/>
  <c r="AZ530" i="6" s="1"/>
  <c r="AX530" i="6"/>
  <c r="AY530" i="6" s="1"/>
  <c r="BA530" i="6" s="1"/>
  <c r="AV531" i="6"/>
  <c r="AW531" i="6" s="1"/>
  <c r="AX531" i="6"/>
  <c r="AY531" i="6" s="1"/>
  <c r="BA531" i="6" s="1"/>
  <c r="AZ531" i="6"/>
  <c r="AV532" i="6"/>
  <c r="AW532" i="6"/>
  <c r="AZ532" i="6" s="1"/>
  <c r="AX532" i="6"/>
  <c r="AY532" i="6" s="1"/>
  <c r="BA532" i="6" s="1"/>
  <c r="AV533" i="6"/>
  <c r="AW533" i="6" s="1"/>
  <c r="AZ533" i="6" s="1"/>
  <c r="AX533" i="6"/>
  <c r="AY533" i="6"/>
  <c r="BA533" i="6" s="1"/>
  <c r="AV534" i="6"/>
  <c r="AW534" i="6" s="1"/>
  <c r="AX534" i="6"/>
  <c r="AY534" i="6" s="1"/>
  <c r="AZ534" i="6"/>
  <c r="BA534" i="6"/>
  <c r="AV535" i="6"/>
  <c r="AW535" i="6" s="1"/>
  <c r="AZ535" i="6" s="1"/>
  <c r="AX535" i="6"/>
  <c r="AY535" i="6" s="1"/>
  <c r="BA535" i="6" s="1"/>
  <c r="AV536" i="6"/>
  <c r="AW536" i="6" s="1"/>
  <c r="AZ536" i="6" s="1"/>
  <c r="AX536" i="6"/>
  <c r="AY536" i="6" s="1"/>
  <c r="BA536" i="6" s="1"/>
  <c r="AV537" i="6"/>
  <c r="AW537" i="6" s="1"/>
  <c r="AZ537" i="6" s="1"/>
  <c r="AX537" i="6"/>
  <c r="AY537" i="6" s="1"/>
  <c r="BA537" i="6" s="1"/>
  <c r="AV538" i="6"/>
  <c r="AW538" i="6" s="1"/>
  <c r="AZ538" i="6" s="1"/>
  <c r="AX538" i="6"/>
  <c r="AY538" i="6" s="1"/>
  <c r="BA538" i="6"/>
  <c r="AV539" i="6"/>
  <c r="AW539" i="6" s="1"/>
  <c r="AZ539" i="6" s="1"/>
  <c r="AX539" i="6"/>
  <c r="AY539" i="6" s="1"/>
  <c r="BA539" i="6" s="1"/>
  <c r="AV540" i="6"/>
  <c r="AW540" i="6"/>
  <c r="AZ540" i="6" s="1"/>
  <c r="AX540" i="6"/>
  <c r="AY540" i="6" s="1"/>
  <c r="BA540" i="6" s="1"/>
  <c r="AV541" i="6"/>
  <c r="AW541" i="6" s="1"/>
  <c r="AZ541" i="6" s="1"/>
  <c r="AX541" i="6"/>
  <c r="AY541" i="6"/>
  <c r="BA541" i="6" s="1"/>
  <c r="AV542" i="6"/>
  <c r="AW542" i="6" s="1"/>
  <c r="AX542" i="6"/>
  <c r="AY542" i="6" s="1"/>
  <c r="BA542" i="6" s="1"/>
  <c r="AZ542" i="6"/>
  <c r="AV543" i="6"/>
  <c r="AW543" i="6" s="1"/>
  <c r="AZ543" i="6" s="1"/>
  <c r="AX543" i="6"/>
  <c r="AY543" i="6" s="1"/>
  <c r="BA543" i="6" s="1"/>
  <c r="AV544" i="6"/>
  <c r="AW544" i="6"/>
  <c r="AX544" i="6"/>
  <c r="AY544" i="6" s="1"/>
  <c r="BA544" i="6" s="1"/>
  <c r="AZ544" i="6"/>
  <c r="AV545" i="6"/>
  <c r="AW545" i="6" s="1"/>
  <c r="AX545" i="6"/>
  <c r="AY545" i="6" s="1"/>
  <c r="BA545" i="6" s="1"/>
  <c r="AZ545" i="6"/>
  <c r="AV546" i="6"/>
  <c r="AW546" i="6" s="1"/>
  <c r="AX546" i="6"/>
  <c r="AY546" i="6" s="1"/>
  <c r="AZ546" i="6"/>
  <c r="BA546" i="6"/>
  <c r="AV547" i="6"/>
  <c r="AW547" i="6" s="1"/>
  <c r="AX547" i="6"/>
  <c r="AY547" i="6" s="1"/>
  <c r="BA547" i="6" s="1"/>
  <c r="AZ547" i="6"/>
  <c r="AV548" i="6"/>
  <c r="AW548" i="6" s="1"/>
  <c r="AZ548" i="6" s="1"/>
  <c r="AX548" i="6"/>
  <c r="AY548" i="6" s="1"/>
  <c r="BA548" i="6" s="1"/>
  <c r="AV549" i="6"/>
  <c r="AW549" i="6" s="1"/>
  <c r="AZ549" i="6" s="1"/>
  <c r="AX549" i="6"/>
  <c r="AY549" i="6"/>
  <c r="BA549" i="6" s="1"/>
  <c r="AV550" i="6"/>
  <c r="AW550" i="6" s="1"/>
  <c r="AX550" i="6"/>
  <c r="AY550" i="6"/>
  <c r="AZ550" i="6"/>
  <c r="BA550" i="6"/>
  <c r="AV551" i="6"/>
  <c r="AW551" i="6"/>
  <c r="AZ551" i="6" s="1"/>
  <c r="AX551" i="6"/>
  <c r="AY551" i="6"/>
  <c r="BA551" i="6" s="1"/>
  <c r="AV552" i="6"/>
  <c r="AW552" i="6" s="1"/>
  <c r="AZ552" i="6" s="1"/>
  <c r="AX552" i="6"/>
  <c r="AY552" i="6"/>
  <c r="BA552" i="6" s="1"/>
  <c r="AV553" i="6"/>
  <c r="AW553" i="6"/>
  <c r="AZ553" i="6" s="1"/>
  <c r="AX553" i="6"/>
  <c r="AY553" i="6" s="1"/>
  <c r="BA553" i="6" s="1"/>
  <c r="AV554" i="6"/>
  <c r="AW554" i="6"/>
  <c r="AX554" i="6"/>
  <c r="AY554" i="6"/>
  <c r="AZ554" i="6"/>
  <c r="BA554" i="6"/>
  <c r="AV555" i="6"/>
  <c r="AW555" i="6"/>
  <c r="AZ555" i="6" s="1"/>
  <c r="AX555" i="6"/>
  <c r="AY555" i="6"/>
  <c r="BA555" i="6" s="1"/>
  <c r="AV556" i="6"/>
  <c r="AW556" i="6" s="1"/>
  <c r="AZ556" i="6" s="1"/>
  <c r="AX556" i="6"/>
  <c r="AY556" i="6"/>
  <c r="BA556" i="6" s="1"/>
  <c r="AV557" i="6"/>
  <c r="AW557" i="6"/>
  <c r="AZ557" i="6" s="1"/>
  <c r="AX557" i="6"/>
  <c r="AY557" i="6" s="1"/>
  <c r="BA557" i="6" s="1"/>
  <c r="AV558" i="6"/>
  <c r="AW558" i="6"/>
  <c r="AX558" i="6"/>
  <c r="AY558" i="6"/>
  <c r="AZ558" i="6"/>
  <c r="BA558" i="6"/>
  <c r="AV559" i="6"/>
  <c r="AW559" i="6"/>
  <c r="AZ559" i="6" s="1"/>
  <c r="AX559" i="6"/>
  <c r="AY559" i="6"/>
  <c r="BA559" i="6" s="1"/>
  <c r="AV560" i="6"/>
  <c r="AW560" i="6" s="1"/>
  <c r="AZ560" i="6" s="1"/>
  <c r="AX560" i="6"/>
  <c r="AY560" i="6"/>
  <c r="BA560" i="6" s="1"/>
  <c r="AV561" i="6"/>
  <c r="AW561" i="6"/>
  <c r="AZ561" i="6" s="1"/>
  <c r="AX561" i="6"/>
  <c r="AY561" i="6" s="1"/>
  <c r="BA561" i="6" s="1"/>
  <c r="AV562" i="6"/>
  <c r="AW562" i="6"/>
  <c r="AX562" i="6"/>
  <c r="AY562" i="6"/>
  <c r="AZ562" i="6"/>
  <c r="BA562" i="6"/>
  <c r="AV563" i="6"/>
  <c r="AW563" i="6"/>
  <c r="AZ563" i="6" s="1"/>
  <c r="AX563" i="6"/>
  <c r="AY563" i="6"/>
  <c r="BA563" i="6" s="1"/>
  <c r="AV564" i="6"/>
  <c r="AW564" i="6" s="1"/>
  <c r="AZ564" i="6" s="1"/>
  <c r="AX564" i="6"/>
  <c r="AY564" i="6"/>
  <c r="BA564" i="6" s="1"/>
  <c r="AV565" i="6"/>
  <c r="AW565" i="6"/>
  <c r="AZ565" i="6" s="1"/>
  <c r="AX565" i="6"/>
  <c r="AY565" i="6" s="1"/>
  <c r="BA565" i="6" s="1"/>
  <c r="AV566" i="6"/>
  <c r="AW566" i="6"/>
  <c r="AX566" i="6"/>
  <c r="AY566" i="6"/>
  <c r="AZ566" i="6"/>
  <c r="BA566" i="6"/>
  <c r="AV567" i="6"/>
  <c r="AW567" i="6"/>
  <c r="AZ567" i="6" s="1"/>
  <c r="AX567" i="6"/>
  <c r="AY567" i="6"/>
  <c r="BA567" i="6" s="1"/>
  <c r="AV568" i="6"/>
  <c r="AW568" i="6" s="1"/>
  <c r="AZ568" i="6" s="1"/>
  <c r="AX568" i="6"/>
  <c r="AY568" i="6"/>
  <c r="BA568" i="6" s="1"/>
  <c r="AV569" i="6"/>
  <c r="AW569" i="6"/>
  <c r="AZ569" i="6" s="1"/>
  <c r="AX569" i="6"/>
  <c r="AY569" i="6" s="1"/>
  <c r="BA569" i="6" s="1"/>
  <c r="AV570" i="6"/>
  <c r="AW570" i="6"/>
  <c r="AX570" i="6"/>
  <c r="AY570" i="6"/>
  <c r="AZ570" i="6"/>
  <c r="BA570" i="6"/>
  <c r="AV571" i="6"/>
  <c r="AW571" i="6"/>
  <c r="AZ571" i="6" s="1"/>
  <c r="AX571" i="6"/>
  <c r="AY571" i="6"/>
  <c r="BA571" i="6" s="1"/>
  <c r="AV572" i="6"/>
  <c r="AW572" i="6" s="1"/>
  <c r="AZ572" i="6" s="1"/>
  <c r="AX572" i="6"/>
  <c r="AY572" i="6"/>
  <c r="BA572" i="6" s="1"/>
  <c r="AV573" i="6"/>
  <c r="AW573" i="6"/>
  <c r="AZ573" i="6" s="1"/>
  <c r="AX573" i="6"/>
  <c r="AY573" i="6" s="1"/>
  <c r="BA573" i="6" s="1"/>
  <c r="AV574" i="6"/>
  <c r="AW574" i="6"/>
  <c r="AX574" i="6"/>
  <c r="AY574" i="6"/>
  <c r="AZ574" i="6"/>
  <c r="BA574" i="6"/>
  <c r="AV575" i="6"/>
  <c r="AW575" i="6"/>
  <c r="AZ575" i="6" s="1"/>
  <c r="AX575" i="6"/>
  <c r="AY575" i="6"/>
  <c r="BA575" i="6" s="1"/>
  <c r="AV576" i="6"/>
  <c r="AW576" i="6" s="1"/>
  <c r="AZ576" i="6" s="1"/>
  <c r="AX576" i="6"/>
  <c r="AY576" i="6"/>
  <c r="BA576" i="6" s="1"/>
  <c r="AV577" i="6"/>
  <c r="AW577" i="6"/>
  <c r="AZ577" i="6" s="1"/>
  <c r="AX577" i="6"/>
  <c r="AY577" i="6" s="1"/>
  <c r="BA577" i="6" s="1"/>
  <c r="AV578" i="6"/>
  <c r="AW578" i="6"/>
  <c r="AX578" i="6"/>
  <c r="AY578" i="6"/>
  <c r="AZ578" i="6"/>
  <c r="BA578" i="6"/>
  <c r="AV579" i="6"/>
  <c r="AW579" i="6"/>
  <c r="AZ579" i="6" s="1"/>
  <c r="AX579" i="6"/>
  <c r="AY579" i="6"/>
  <c r="BA579" i="6" s="1"/>
  <c r="AV580" i="6"/>
  <c r="AW580" i="6" s="1"/>
  <c r="AZ580" i="6" s="1"/>
  <c r="AX580" i="6"/>
  <c r="AY580" i="6"/>
  <c r="BA580" i="6" s="1"/>
  <c r="AV581" i="6"/>
  <c r="AW581" i="6"/>
  <c r="AZ581" i="6" s="1"/>
  <c r="AX581" i="6"/>
  <c r="AY581" i="6" s="1"/>
  <c r="BA581" i="6" s="1"/>
  <c r="AV582" i="6"/>
  <c r="AW582" i="6"/>
  <c r="AX582" i="6"/>
  <c r="AY582" i="6"/>
  <c r="AZ582" i="6"/>
  <c r="BA582" i="6"/>
  <c r="AV583" i="6"/>
  <c r="AW583" i="6"/>
  <c r="AZ583" i="6" s="1"/>
  <c r="AX583" i="6"/>
  <c r="AY583" i="6"/>
  <c r="BA583" i="6" s="1"/>
  <c r="AV584" i="6"/>
  <c r="AW584" i="6" s="1"/>
  <c r="AZ584" i="6" s="1"/>
  <c r="AX584" i="6"/>
  <c r="AY584" i="6"/>
  <c r="BA584" i="6" s="1"/>
  <c r="AV585" i="6"/>
  <c r="AW585" i="6"/>
  <c r="AZ585" i="6" s="1"/>
  <c r="AX585" i="6"/>
  <c r="AY585" i="6" s="1"/>
  <c r="BA585" i="6" s="1"/>
  <c r="AV586" i="6"/>
  <c r="AW586" i="6"/>
  <c r="AX586" i="6"/>
  <c r="AY586" i="6"/>
  <c r="AZ586" i="6"/>
  <c r="BA586" i="6"/>
  <c r="AV587" i="6"/>
  <c r="AW587" i="6"/>
  <c r="AZ587" i="6" s="1"/>
  <c r="AX587" i="6"/>
  <c r="AY587" i="6"/>
  <c r="BA587" i="6" s="1"/>
  <c r="AV588" i="6"/>
  <c r="AW588" i="6" s="1"/>
  <c r="AZ588" i="6" s="1"/>
  <c r="AX588" i="6"/>
  <c r="AY588" i="6"/>
  <c r="BA588" i="6" s="1"/>
  <c r="AV589" i="6"/>
  <c r="AW589" i="6"/>
  <c r="AZ589" i="6" s="1"/>
  <c r="AX589" i="6"/>
  <c r="AY589" i="6" s="1"/>
  <c r="BA589" i="6" s="1"/>
  <c r="AV590" i="6"/>
  <c r="AW590" i="6"/>
  <c r="AX590" i="6"/>
  <c r="AY590" i="6"/>
  <c r="AZ590" i="6"/>
  <c r="BA590" i="6"/>
  <c r="AV591" i="6"/>
  <c r="AW591" i="6"/>
  <c r="AZ591" i="6" s="1"/>
  <c r="AX591" i="6"/>
  <c r="AY591" i="6"/>
  <c r="BA591" i="6" s="1"/>
  <c r="AV592" i="6"/>
  <c r="AW592" i="6" s="1"/>
  <c r="AZ592" i="6" s="1"/>
  <c r="AX592" i="6"/>
  <c r="AY592" i="6"/>
  <c r="BA592" i="6" s="1"/>
  <c r="AV593" i="6"/>
  <c r="AW593" i="6"/>
  <c r="AZ593" i="6" s="1"/>
  <c r="AX593" i="6"/>
  <c r="AY593" i="6" s="1"/>
  <c r="BA593" i="6" s="1"/>
  <c r="AV594" i="6"/>
  <c r="AW594" i="6"/>
  <c r="AX594" i="6"/>
  <c r="AY594" i="6"/>
  <c r="AZ594" i="6"/>
  <c r="BA594" i="6"/>
  <c r="AV595" i="6"/>
  <c r="AW595" i="6"/>
  <c r="AZ595" i="6" s="1"/>
  <c r="AX595" i="6"/>
  <c r="AY595" i="6"/>
  <c r="BA595" i="6" s="1"/>
  <c r="AV596" i="6"/>
  <c r="AW596" i="6" s="1"/>
  <c r="AZ596" i="6" s="1"/>
  <c r="AX596" i="6"/>
  <c r="AY596" i="6"/>
  <c r="BA596" i="6" s="1"/>
  <c r="AV597" i="6"/>
  <c r="AW597" i="6"/>
  <c r="AZ597" i="6" s="1"/>
  <c r="AX597" i="6"/>
  <c r="AY597" i="6" s="1"/>
  <c r="BA597" i="6" s="1"/>
  <c r="AV598" i="6"/>
  <c r="AW598" i="6"/>
  <c r="AX598" i="6"/>
  <c r="AY598" i="6"/>
  <c r="AZ598" i="6"/>
  <c r="BA598" i="6"/>
  <c r="AV599" i="6"/>
  <c r="AW599" i="6"/>
  <c r="AZ599" i="6" s="1"/>
  <c r="AX599" i="6"/>
  <c r="AY599" i="6"/>
  <c r="BA599" i="6" s="1"/>
  <c r="AV600" i="6"/>
  <c r="AW600" i="6" s="1"/>
  <c r="AZ600" i="6" s="1"/>
  <c r="AX600" i="6"/>
  <c r="AY600" i="6"/>
  <c r="BA600" i="6" s="1"/>
  <c r="AV601" i="6"/>
  <c r="AW601" i="6"/>
  <c r="AZ601" i="6" s="1"/>
  <c r="AX601" i="6"/>
  <c r="AY601" i="6" s="1"/>
  <c r="BA601" i="6" s="1"/>
  <c r="AV602" i="6"/>
  <c r="AW602" i="6"/>
  <c r="AX602" i="6"/>
  <c r="AY602" i="6"/>
  <c r="AZ602" i="6"/>
  <c r="BA602" i="6"/>
  <c r="AV603" i="6"/>
  <c r="AW603" i="6"/>
  <c r="AZ603" i="6" s="1"/>
  <c r="AX603" i="6"/>
  <c r="AY603" i="6"/>
  <c r="BA603" i="6" s="1"/>
  <c r="AV604" i="6"/>
  <c r="AW604" i="6" s="1"/>
  <c r="AZ604" i="6" s="1"/>
  <c r="AX604" i="6"/>
  <c r="AY604" i="6"/>
  <c r="BA604" i="6" s="1"/>
  <c r="AV605" i="6"/>
  <c r="AW605" i="6"/>
  <c r="AZ605" i="6" s="1"/>
  <c r="AX605" i="6"/>
  <c r="AY605" i="6" s="1"/>
  <c r="BA605" i="6" s="1"/>
  <c r="AV606" i="6"/>
  <c r="AW606" i="6"/>
  <c r="AX606" i="6"/>
  <c r="AY606" i="6"/>
  <c r="AZ606" i="6"/>
  <c r="BA606" i="6"/>
  <c r="AV607" i="6"/>
  <c r="AW607" i="6"/>
  <c r="AZ607" i="6" s="1"/>
  <c r="AX607" i="6"/>
  <c r="AY607" i="6"/>
  <c r="BA607" i="6" s="1"/>
  <c r="AV608" i="6"/>
  <c r="AW608" i="6" s="1"/>
  <c r="AZ608" i="6" s="1"/>
  <c r="AX608" i="6"/>
  <c r="AY608" i="6"/>
  <c r="BA608" i="6" s="1"/>
  <c r="AV609" i="6"/>
  <c r="AW609" i="6"/>
  <c r="AZ609" i="6" s="1"/>
  <c r="AX609" i="6"/>
  <c r="AY609" i="6" s="1"/>
  <c r="BA609" i="6" s="1"/>
  <c r="AV610" i="6"/>
  <c r="AW610" i="6"/>
  <c r="AX610" i="6"/>
  <c r="AY610" i="6"/>
  <c r="AZ610" i="6"/>
  <c r="BA610" i="6"/>
  <c r="AV611" i="6"/>
  <c r="AW611" i="6"/>
  <c r="AZ611" i="6" s="1"/>
  <c r="AX611" i="6"/>
  <c r="AY611" i="6"/>
  <c r="BA611" i="6" s="1"/>
  <c r="AV612" i="6"/>
  <c r="AW612" i="6" s="1"/>
  <c r="AZ612" i="6" s="1"/>
  <c r="AX612" i="6"/>
  <c r="AY612" i="6"/>
  <c r="BA612" i="6" s="1"/>
  <c r="AV613" i="6"/>
  <c r="AW613" i="6" s="1"/>
  <c r="AZ613" i="6" s="1"/>
  <c r="AX613" i="6"/>
  <c r="AY613" i="6" s="1"/>
  <c r="BA613" i="6" s="1"/>
  <c r="AV614" i="6"/>
  <c r="AW614" i="6"/>
  <c r="AX614" i="6"/>
  <c r="AY614" i="6" s="1"/>
  <c r="BA614" i="6" s="1"/>
  <c r="AZ614" i="6"/>
  <c r="AV615" i="6"/>
  <c r="AW615" i="6"/>
  <c r="AZ615" i="6" s="1"/>
  <c r="AX615" i="6"/>
  <c r="AY615" i="6"/>
  <c r="BA615" i="6" s="1"/>
  <c r="AV616" i="6"/>
  <c r="AW616" i="6" s="1"/>
  <c r="AZ616" i="6" s="1"/>
  <c r="AX616" i="6"/>
  <c r="AY616" i="6"/>
  <c r="BA616" i="6" s="1"/>
  <c r="AV617" i="6"/>
  <c r="AW617" i="6" s="1"/>
  <c r="AZ617" i="6" s="1"/>
  <c r="AX617" i="6"/>
  <c r="AY617" i="6" s="1"/>
  <c r="BA617" i="6" s="1"/>
  <c r="AV618" i="6"/>
  <c r="AW618" i="6"/>
  <c r="AX618" i="6"/>
  <c r="AY618" i="6" s="1"/>
  <c r="BA618" i="6" s="1"/>
  <c r="AZ618" i="6"/>
  <c r="AV619" i="6"/>
  <c r="AW619" i="6"/>
  <c r="AZ619" i="6" s="1"/>
  <c r="AX619" i="6"/>
  <c r="AY619" i="6"/>
  <c r="BA619" i="6" s="1"/>
  <c r="AV620" i="6"/>
  <c r="AW620" i="6" s="1"/>
  <c r="AZ620" i="6" s="1"/>
  <c r="AX620" i="6"/>
  <c r="AY620" i="6"/>
  <c r="BA620" i="6" s="1"/>
  <c r="AV621" i="6"/>
  <c r="AW621" i="6" s="1"/>
  <c r="AZ621" i="6" s="1"/>
  <c r="AX621" i="6"/>
  <c r="AY621" i="6" s="1"/>
  <c r="BA621" i="6" s="1"/>
  <c r="AV622" i="6"/>
  <c r="AW622" i="6"/>
  <c r="AX622" i="6"/>
  <c r="AY622" i="6" s="1"/>
  <c r="BA622" i="6" s="1"/>
  <c r="AZ622" i="6"/>
  <c r="AV623" i="6"/>
  <c r="AW623" i="6"/>
  <c r="AZ623" i="6" s="1"/>
  <c r="AX623" i="6"/>
  <c r="AY623" i="6"/>
  <c r="BA623" i="6" s="1"/>
  <c r="AV624" i="6"/>
  <c r="AW624" i="6" s="1"/>
  <c r="AZ624" i="6" s="1"/>
  <c r="AX624" i="6"/>
  <c r="AY624" i="6"/>
  <c r="BA624" i="6" s="1"/>
  <c r="AV625" i="6"/>
  <c r="AW625" i="6" s="1"/>
  <c r="AZ625" i="6" s="1"/>
  <c r="AX625" i="6"/>
  <c r="AY625" i="6" s="1"/>
  <c r="BA625" i="6" s="1"/>
  <c r="AV626" i="6"/>
  <c r="AW626" i="6"/>
  <c r="AX626" i="6"/>
  <c r="AY626" i="6" s="1"/>
  <c r="BA626" i="6" s="1"/>
  <c r="AZ626" i="6"/>
  <c r="AV627" i="6"/>
  <c r="AW627" i="6"/>
  <c r="AZ627" i="6" s="1"/>
  <c r="AX627" i="6"/>
  <c r="AY627" i="6"/>
  <c r="BA627" i="6" s="1"/>
  <c r="AV628" i="6"/>
  <c r="AW628" i="6" s="1"/>
  <c r="AZ628" i="6" s="1"/>
  <c r="AX628" i="6"/>
  <c r="AY628" i="6"/>
  <c r="BA628" i="6" s="1"/>
  <c r="AV629" i="6"/>
  <c r="AW629" i="6" s="1"/>
  <c r="AZ629" i="6" s="1"/>
  <c r="AX629" i="6"/>
  <c r="AY629" i="6" s="1"/>
  <c r="BA629" i="6" s="1"/>
  <c r="AL8" i="6"/>
  <c r="AM8" i="6"/>
  <c r="AL9" i="6"/>
  <c r="AM9" i="6"/>
  <c r="AL10" i="6"/>
  <c r="AM10" i="6"/>
  <c r="AL11" i="6"/>
  <c r="AM11" i="6"/>
  <c r="AL12" i="6"/>
  <c r="AM12" i="6"/>
  <c r="AL13" i="6"/>
  <c r="AM13" i="6"/>
  <c r="AL14" i="6"/>
  <c r="AM14" i="6"/>
  <c r="AL15" i="6"/>
  <c r="AM15" i="6"/>
  <c r="AL16" i="6"/>
  <c r="AM16" i="6"/>
  <c r="AL17" i="6"/>
  <c r="AM17" i="6"/>
  <c r="AL18" i="6"/>
  <c r="AM18" i="6"/>
  <c r="AL19" i="6"/>
  <c r="AM19" i="6"/>
  <c r="AL20" i="6"/>
  <c r="AM20" i="6"/>
  <c r="AL21" i="6"/>
  <c r="AM21" i="6"/>
  <c r="AL22" i="6"/>
  <c r="AM22" i="6"/>
  <c r="AL23" i="6"/>
  <c r="AM23" i="6"/>
  <c r="AL24" i="6"/>
  <c r="AM24" i="6"/>
  <c r="AL25" i="6"/>
  <c r="AM25" i="6"/>
  <c r="AL26" i="6"/>
  <c r="AM26" i="6"/>
  <c r="AL27" i="6"/>
  <c r="AM27" i="6"/>
  <c r="AL28" i="6"/>
  <c r="AM28" i="6"/>
  <c r="AL29" i="6"/>
  <c r="AM29" i="6"/>
  <c r="AL30" i="6"/>
  <c r="AM30" i="6"/>
  <c r="AL31" i="6"/>
  <c r="AM31" i="6"/>
  <c r="AL32" i="6"/>
  <c r="AM32" i="6"/>
  <c r="AL33" i="6"/>
  <c r="AM33" i="6"/>
  <c r="AL34" i="6"/>
  <c r="AM34" i="6"/>
  <c r="AL35" i="6"/>
  <c r="AM35" i="6"/>
  <c r="AL36" i="6"/>
  <c r="AM36" i="6"/>
  <c r="AL37" i="6"/>
  <c r="AM37" i="6"/>
  <c r="AL38" i="6"/>
  <c r="AM38" i="6"/>
  <c r="AL39" i="6"/>
  <c r="AM39" i="6"/>
  <c r="AL40" i="6"/>
  <c r="AM40" i="6"/>
  <c r="AL41" i="6"/>
  <c r="AM41" i="6"/>
  <c r="AL42" i="6"/>
  <c r="AM42" i="6"/>
  <c r="AL43" i="6"/>
  <c r="AM43" i="6"/>
  <c r="AL44" i="6"/>
  <c r="AM44" i="6"/>
  <c r="AL45" i="6"/>
  <c r="AM45" i="6"/>
  <c r="AL46" i="6"/>
  <c r="AM46" i="6"/>
  <c r="AL47" i="6"/>
  <c r="AM47" i="6"/>
  <c r="AL48" i="6"/>
  <c r="AM48" i="6"/>
  <c r="AL49" i="6"/>
  <c r="AM49" i="6"/>
  <c r="AL50" i="6"/>
  <c r="AM50" i="6"/>
  <c r="AL51" i="6"/>
  <c r="AM51" i="6"/>
  <c r="AL52" i="6"/>
  <c r="AM52" i="6"/>
  <c r="AL53" i="6"/>
  <c r="AM53" i="6"/>
  <c r="AL54" i="6"/>
  <c r="AM54" i="6"/>
  <c r="AL55" i="6"/>
  <c r="AM55" i="6"/>
  <c r="AL56" i="6"/>
  <c r="AM56" i="6"/>
  <c r="AL57" i="6"/>
  <c r="AM57" i="6"/>
  <c r="AL58" i="6"/>
  <c r="AM58" i="6"/>
  <c r="AL59" i="6"/>
  <c r="AM59" i="6"/>
  <c r="AL60" i="6"/>
  <c r="AM60" i="6"/>
  <c r="AL61" i="6"/>
  <c r="AM61" i="6"/>
  <c r="AL62" i="6"/>
  <c r="AM62" i="6"/>
  <c r="AL63" i="6"/>
  <c r="AM63" i="6"/>
  <c r="AL64" i="6"/>
  <c r="AM64" i="6"/>
  <c r="AL65" i="6"/>
  <c r="AM65" i="6"/>
  <c r="AL66" i="6"/>
  <c r="AM66" i="6"/>
  <c r="AL67" i="6"/>
  <c r="AM67" i="6"/>
  <c r="AL68" i="6"/>
  <c r="AM68" i="6"/>
  <c r="AL69" i="6"/>
  <c r="AM69" i="6"/>
  <c r="AL70" i="6"/>
  <c r="AM70" i="6"/>
  <c r="AL71" i="6"/>
  <c r="AM71" i="6"/>
  <c r="AL72" i="6"/>
  <c r="AM72" i="6"/>
  <c r="AL73" i="6"/>
  <c r="AM73" i="6"/>
  <c r="AL74" i="6"/>
  <c r="AM74" i="6"/>
  <c r="AL75" i="6"/>
  <c r="AM75" i="6"/>
  <c r="AL76" i="6"/>
  <c r="AM76" i="6"/>
  <c r="AL77" i="6"/>
  <c r="AM77" i="6"/>
  <c r="AL78" i="6"/>
  <c r="AM78" i="6"/>
  <c r="AL79" i="6"/>
  <c r="AM79" i="6"/>
  <c r="AL80" i="6"/>
  <c r="AM80" i="6"/>
  <c r="AL81" i="6"/>
  <c r="AM81" i="6"/>
  <c r="AL82" i="6"/>
  <c r="AM82" i="6"/>
  <c r="AL83" i="6"/>
  <c r="AM83" i="6"/>
  <c r="AL84" i="6"/>
  <c r="AM84" i="6"/>
  <c r="AL85" i="6"/>
  <c r="AM85" i="6"/>
  <c r="AL86" i="6"/>
  <c r="AM86" i="6"/>
  <c r="AL87" i="6"/>
  <c r="AM87" i="6"/>
  <c r="AL88" i="6"/>
  <c r="AM88" i="6"/>
  <c r="AL89" i="6"/>
  <c r="AM89" i="6"/>
  <c r="AL90" i="6"/>
  <c r="AM90" i="6"/>
  <c r="AL91" i="6"/>
  <c r="AM91" i="6"/>
  <c r="AL92" i="6"/>
  <c r="AM92" i="6"/>
  <c r="AL93" i="6"/>
  <c r="AM93" i="6"/>
  <c r="AL94" i="6"/>
  <c r="AM94" i="6"/>
  <c r="AL95" i="6"/>
  <c r="AM95" i="6"/>
  <c r="AL96" i="6"/>
  <c r="AM96" i="6"/>
  <c r="AL97" i="6"/>
  <c r="AM97" i="6"/>
  <c r="AL98" i="6"/>
  <c r="AM98" i="6"/>
  <c r="AL99" i="6"/>
  <c r="AM99" i="6"/>
  <c r="AL100" i="6"/>
  <c r="AM100" i="6"/>
  <c r="AL101" i="6"/>
  <c r="AM101" i="6"/>
  <c r="AL102" i="6"/>
  <c r="AM102" i="6"/>
  <c r="AL103" i="6"/>
  <c r="AM103" i="6"/>
  <c r="AL104" i="6"/>
  <c r="AM104" i="6"/>
  <c r="AL105" i="6"/>
  <c r="AM105" i="6"/>
  <c r="AL106" i="6"/>
  <c r="AM106" i="6"/>
  <c r="AL107" i="6"/>
  <c r="AM107" i="6"/>
  <c r="AL108" i="6"/>
  <c r="AM108" i="6"/>
  <c r="AL109" i="6"/>
  <c r="AM109" i="6"/>
  <c r="AL110" i="6"/>
  <c r="AM110" i="6"/>
  <c r="AL111" i="6"/>
  <c r="AM111" i="6"/>
  <c r="AL112" i="6"/>
  <c r="AM112" i="6"/>
  <c r="AL113" i="6"/>
  <c r="AM113" i="6"/>
  <c r="AL114" i="6"/>
  <c r="AM114" i="6"/>
  <c r="AL115" i="6"/>
  <c r="AM115" i="6"/>
  <c r="AL116" i="6"/>
  <c r="AM116" i="6"/>
  <c r="AL117" i="6"/>
  <c r="AM117" i="6"/>
  <c r="AL118" i="6"/>
  <c r="AM118" i="6"/>
  <c r="AL119" i="6"/>
  <c r="AM119" i="6"/>
  <c r="AL120" i="6"/>
  <c r="AM120" i="6"/>
  <c r="AL121" i="6"/>
  <c r="AM121" i="6"/>
  <c r="AL122" i="6"/>
  <c r="AM122" i="6"/>
  <c r="AL123" i="6"/>
  <c r="AM123" i="6"/>
  <c r="AL124" i="6"/>
  <c r="AM124" i="6"/>
  <c r="AL125" i="6"/>
  <c r="AM125" i="6"/>
  <c r="AL126" i="6"/>
  <c r="AM126" i="6"/>
  <c r="AL127" i="6"/>
  <c r="AM127" i="6"/>
  <c r="AL128" i="6"/>
  <c r="AM128" i="6"/>
  <c r="AL129" i="6"/>
  <c r="AM129" i="6"/>
  <c r="AL130" i="6"/>
  <c r="AM130" i="6"/>
  <c r="AL131" i="6"/>
  <c r="AM131" i="6"/>
  <c r="AL132" i="6"/>
  <c r="AM132" i="6"/>
  <c r="AL133" i="6"/>
  <c r="AM133" i="6"/>
  <c r="AL134" i="6"/>
  <c r="AM134" i="6"/>
  <c r="AL135" i="6"/>
  <c r="AM135" i="6"/>
  <c r="AL136" i="6"/>
  <c r="AM136" i="6"/>
  <c r="AL137" i="6"/>
  <c r="AM137" i="6"/>
  <c r="AL138" i="6"/>
  <c r="AM138" i="6"/>
  <c r="AL139" i="6"/>
  <c r="AM139" i="6"/>
  <c r="AL140" i="6"/>
  <c r="AM140" i="6"/>
  <c r="AL141" i="6"/>
  <c r="AM141" i="6"/>
  <c r="AL142" i="6"/>
  <c r="AM142" i="6"/>
  <c r="AL143" i="6"/>
  <c r="AM143" i="6"/>
  <c r="AL144" i="6"/>
  <c r="AM144" i="6"/>
  <c r="AL145" i="6"/>
  <c r="AM145" i="6"/>
  <c r="AL146" i="6"/>
  <c r="AM146" i="6"/>
  <c r="AL147" i="6"/>
  <c r="AM147" i="6"/>
  <c r="AL148" i="6"/>
  <c r="AM148" i="6"/>
  <c r="AL149" i="6"/>
  <c r="AM149" i="6"/>
  <c r="AL150" i="6"/>
  <c r="AM150" i="6"/>
  <c r="AL151" i="6"/>
  <c r="AM151" i="6"/>
  <c r="AL152" i="6"/>
  <c r="AM152" i="6"/>
  <c r="AL153" i="6"/>
  <c r="AM153" i="6"/>
  <c r="AL154" i="6"/>
  <c r="AM154" i="6"/>
  <c r="AL155" i="6"/>
  <c r="AM155" i="6"/>
  <c r="AL156" i="6"/>
  <c r="AM156" i="6"/>
  <c r="AL157" i="6"/>
  <c r="AM157" i="6"/>
  <c r="AL158" i="6"/>
  <c r="AM158" i="6"/>
  <c r="AL159" i="6"/>
  <c r="AM159" i="6"/>
  <c r="AL160" i="6"/>
  <c r="AM160" i="6"/>
  <c r="AL161" i="6"/>
  <c r="AM161" i="6"/>
  <c r="AL162" i="6"/>
  <c r="AM162" i="6"/>
  <c r="AL163" i="6"/>
  <c r="AM163" i="6"/>
  <c r="AL164" i="6"/>
  <c r="AM164" i="6"/>
  <c r="AL165" i="6"/>
  <c r="AM165" i="6"/>
  <c r="AL166" i="6"/>
  <c r="AM166" i="6"/>
  <c r="AL167" i="6"/>
  <c r="AM167" i="6"/>
  <c r="AL168" i="6"/>
  <c r="AM168" i="6"/>
  <c r="AL169" i="6"/>
  <c r="AM169" i="6"/>
  <c r="AL170" i="6"/>
  <c r="AM170" i="6"/>
  <c r="AL171" i="6"/>
  <c r="AM171" i="6"/>
  <c r="AL172" i="6"/>
  <c r="AM172" i="6"/>
  <c r="AL173" i="6"/>
  <c r="AM173" i="6"/>
  <c r="AL174" i="6"/>
  <c r="AM174" i="6"/>
  <c r="AL175" i="6"/>
  <c r="AM175" i="6"/>
  <c r="AL176" i="6"/>
  <c r="AM176" i="6"/>
  <c r="AL177" i="6"/>
  <c r="AM177" i="6"/>
  <c r="AL178" i="6"/>
  <c r="AM178" i="6"/>
  <c r="AL179" i="6"/>
  <c r="AM179" i="6"/>
  <c r="AL180" i="6"/>
  <c r="AM180" i="6"/>
  <c r="AL181" i="6"/>
  <c r="AM181" i="6"/>
  <c r="AL182" i="6"/>
  <c r="AM182" i="6"/>
  <c r="AL183" i="6"/>
  <c r="AM183" i="6"/>
  <c r="AL184" i="6"/>
  <c r="AM184" i="6"/>
  <c r="AL185" i="6"/>
  <c r="AM185" i="6"/>
  <c r="AL186" i="6"/>
  <c r="AM186" i="6"/>
  <c r="AL187" i="6"/>
  <c r="AM187" i="6"/>
  <c r="AL188" i="6"/>
  <c r="AM188" i="6"/>
  <c r="AL189" i="6"/>
  <c r="AM189" i="6"/>
  <c r="AL190" i="6"/>
  <c r="AM190" i="6"/>
  <c r="AL191" i="6"/>
  <c r="AM191" i="6"/>
  <c r="AL192" i="6"/>
  <c r="AM192" i="6"/>
  <c r="AL193" i="6"/>
  <c r="AM193" i="6"/>
  <c r="AL194" i="6"/>
  <c r="AM194" i="6"/>
  <c r="AL195" i="6"/>
  <c r="AM195" i="6"/>
  <c r="AL196" i="6"/>
  <c r="AM196" i="6"/>
  <c r="AL197" i="6"/>
  <c r="AM197" i="6"/>
  <c r="AL198" i="6"/>
  <c r="AM198" i="6"/>
  <c r="AL199" i="6"/>
  <c r="AM199" i="6"/>
  <c r="AL200" i="6"/>
  <c r="AM200" i="6"/>
  <c r="AL201" i="6"/>
  <c r="AM201" i="6"/>
  <c r="AL202" i="6"/>
  <c r="AM202" i="6"/>
  <c r="AL203" i="6"/>
  <c r="AM203" i="6"/>
  <c r="AL204" i="6"/>
  <c r="AM204" i="6"/>
  <c r="AL205" i="6"/>
  <c r="AM205" i="6"/>
  <c r="AL206" i="6"/>
  <c r="AM206" i="6"/>
  <c r="AL207" i="6"/>
  <c r="AM207" i="6"/>
  <c r="AL208" i="6"/>
  <c r="AM208" i="6"/>
  <c r="AL209" i="6"/>
  <c r="AM209" i="6"/>
  <c r="AL210" i="6"/>
  <c r="AM210" i="6"/>
  <c r="AL211" i="6"/>
  <c r="AM211" i="6"/>
  <c r="AL212" i="6"/>
  <c r="AM212" i="6"/>
  <c r="AL213" i="6"/>
  <c r="AM213" i="6"/>
  <c r="AL214" i="6"/>
  <c r="AM214" i="6"/>
  <c r="AL215" i="6"/>
  <c r="AM215" i="6"/>
  <c r="AL216" i="6"/>
  <c r="AM216" i="6"/>
  <c r="AL217" i="6"/>
  <c r="AM217" i="6"/>
  <c r="AL218" i="6"/>
  <c r="AM218" i="6"/>
  <c r="AL219" i="6"/>
  <c r="AM219" i="6"/>
  <c r="AL220" i="6"/>
  <c r="AM220" i="6"/>
  <c r="AL221" i="6"/>
  <c r="AM221" i="6"/>
  <c r="AL222" i="6"/>
  <c r="AM222" i="6"/>
  <c r="AL223" i="6"/>
  <c r="AM223" i="6"/>
  <c r="AL224" i="6"/>
  <c r="AM224" i="6"/>
  <c r="AL225" i="6"/>
  <c r="AM225" i="6"/>
  <c r="AL226" i="6"/>
  <c r="AM226" i="6"/>
  <c r="AL227" i="6"/>
  <c r="AM227" i="6"/>
  <c r="AL228" i="6"/>
  <c r="AM228" i="6"/>
  <c r="AL229" i="6"/>
  <c r="AM229" i="6"/>
  <c r="AL230" i="6"/>
  <c r="AM230" i="6"/>
  <c r="AL231" i="6"/>
  <c r="AM231" i="6"/>
  <c r="AL232" i="6"/>
  <c r="AM232" i="6"/>
  <c r="AL233" i="6"/>
  <c r="AM233" i="6"/>
  <c r="AL234" i="6"/>
  <c r="AM234" i="6"/>
  <c r="AL235" i="6"/>
  <c r="AM235" i="6"/>
  <c r="AL236" i="6"/>
  <c r="AM236" i="6"/>
  <c r="AL237" i="6"/>
  <c r="AM237" i="6"/>
  <c r="AL238" i="6"/>
  <c r="AM238" i="6"/>
  <c r="AL239" i="6"/>
  <c r="AM239" i="6"/>
  <c r="AL240" i="6"/>
  <c r="AM240" i="6"/>
  <c r="AL241" i="6"/>
  <c r="AM241" i="6"/>
  <c r="AL242" i="6"/>
  <c r="AM242" i="6"/>
  <c r="AL243" i="6"/>
  <c r="AM243" i="6"/>
  <c r="AL244" i="6"/>
  <c r="AM244" i="6"/>
  <c r="AL245" i="6"/>
  <c r="AM245" i="6"/>
  <c r="AL246" i="6"/>
  <c r="AM246" i="6"/>
  <c r="AL247" i="6"/>
  <c r="AM247" i="6"/>
  <c r="AL248" i="6"/>
  <c r="AM248" i="6"/>
  <c r="AL249" i="6"/>
  <c r="AM249" i="6"/>
  <c r="AL250" i="6"/>
  <c r="AM250" i="6"/>
  <c r="AL251" i="6"/>
  <c r="AM251" i="6"/>
  <c r="AL252" i="6"/>
  <c r="AM252" i="6"/>
  <c r="AL253" i="6"/>
  <c r="AM253" i="6"/>
  <c r="AL254" i="6"/>
  <c r="AM254" i="6"/>
  <c r="AL255" i="6"/>
  <c r="AM255" i="6"/>
  <c r="AL256" i="6"/>
  <c r="AM256" i="6"/>
  <c r="AL257" i="6"/>
  <c r="AM257" i="6"/>
  <c r="AL258" i="6"/>
  <c r="AM258" i="6"/>
  <c r="AL259" i="6"/>
  <c r="AM259" i="6"/>
  <c r="AL260" i="6"/>
  <c r="AM260" i="6"/>
  <c r="AL261" i="6"/>
  <c r="AM261" i="6"/>
  <c r="AL262" i="6"/>
  <c r="AM262" i="6"/>
  <c r="AL263" i="6"/>
  <c r="AM263" i="6"/>
  <c r="AL264" i="6"/>
  <c r="AM264" i="6"/>
  <c r="AL265" i="6"/>
  <c r="AM265" i="6"/>
  <c r="AL266" i="6"/>
  <c r="AM266" i="6"/>
  <c r="AL267" i="6"/>
  <c r="AM267" i="6"/>
  <c r="AL268" i="6"/>
  <c r="AM268" i="6"/>
  <c r="AL269" i="6"/>
  <c r="AM269" i="6"/>
  <c r="AL270" i="6"/>
  <c r="AM270" i="6"/>
  <c r="AL271" i="6"/>
  <c r="AM271" i="6"/>
  <c r="AL272" i="6"/>
  <c r="AM272" i="6"/>
  <c r="AL273" i="6"/>
  <c r="AM273" i="6"/>
  <c r="AL274" i="6"/>
  <c r="AM274" i="6"/>
  <c r="AL275" i="6"/>
  <c r="AM275" i="6"/>
  <c r="AL276" i="6"/>
  <c r="AM276" i="6"/>
  <c r="AL277" i="6"/>
  <c r="AM277" i="6"/>
  <c r="AL278" i="6"/>
  <c r="AM278" i="6"/>
  <c r="AL279" i="6"/>
  <c r="AM279" i="6"/>
  <c r="AL280" i="6"/>
  <c r="AM280" i="6"/>
  <c r="AL281" i="6"/>
  <c r="AM281" i="6"/>
  <c r="AL282" i="6"/>
  <c r="AM282" i="6"/>
  <c r="AL283" i="6"/>
  <c r="AM283" i="6"/>
  <c r="AL284" i="6"/>
  <c r="AM284" i="6"/>
  <c r="AL285" i="6"/>
  <c r="AM285" i="6"/>
  <c r="AL286" i="6"/>
  <c r="AM286" i="6"/>
  <c r="AL287" i="6"/>
  <c r="AM287" i="6"/>
  <c r="AL288" i="6"/>
  <c r="AM288" i="6"/>
  <c r="AL289" i="6"/>
  <c r="AM289" i="6"/>
  <c r="AL290" i="6"/>
  <c r="AM290" i="6"/>
  <c r="AL291" i="6"/>
  <c r="AM291" i="6"/>
  <c r="AL292" i="6"/>
  <c r="AM292" i="6"/>
  <c r="AL293" i="6"/>
  <c r="AM293" i="6"/>
  <c r="AL294" i="6"/>
  <c r="AM294" i="6"/>
  <c r="AL295" i="6"/>
  <c r="AM295" i="6"/>
  <c r="AL296" i="6"/>
  <c r="AM296" i="6"/>
  <c r="AL297" i="6"/>
  <c r="AM297" i="6"/>
  <c r="AL298" i="6"/>
  <c r="AM298" i="6"/>
  <c r="AL299" i="6"/>
  <c r="AM299" i="6"/>
  <c r="AL300" i="6"/>
  <c r="AM300" i="6"/>
  <c r="AL301" i="6"/>
  <c r="AM301" i="6"/>
  <c r="AL302" i="6"/>
  <c r="AM302" i="6"/>
  <c r="AL303" i="6"/>
  <c r="AM303" i="6"/>
  <c r="AL304" i="6"/>
  <c r="AM304" i="6"/>
  <c r="AL305" i="6"/>
  <c r="AM305" i="6"/>
  <c r="AL306" i="6"/>
  <c r="AM306" i="6"/>
  <c r="AL307" i="6"/>
  <c r="AM307" i="6"/>
  <c r="AL308" i="6"/>
  <c r="AM308" i="6"/>
  <c r="AL309" i="6"/>
  <c r="AM309" i="6"/>
  <c r="AL310" i="6"/>
  <c r="AM310" i="6"/>
  <c r="AL311" i="6"/>
  <c r="AM311" i="6"/>
  <c r="AL312" i="6"/>
  <c r="AM312" i="6"/>
  <c r="AL313" i="6"/>
  <c r="AM313" i="6"/>
  <c r="AL314" i="6"/>
  <c r="AM314" i="6"/>
  <c r="AL315" i="6"/>
  <c r="AM315" i="6"/>
  <c r="AL316" i="6"/>
  <c r="AM316" i="6"/>
  <c r="AL317" i="6"/>
  <c r="AM317" i="6"/>
  <c r="AL318" i="6"/>
  <c r="AM318" i="6"/>
  <c r="AL319" i="6"/>
  <c r="AM319" i="6"/>
  <c r="AL320" i="6"/>
  <c r="AM320" i="6"/>
  <c r="AL321" i="6"/>
  <c r="AM321" i="6"/>
  <c r="AL322" i="6"/>
  <c r="AM322" i="6"/>
  <c r="AL323" i="6"/>
  <c r="AM323" i="6"/>
  <c r="AL324" i="6"/>
  <c r="AM324" i="6"/>
  <c r="AL325" i="6"/>
  <c r="AM325" i="6"/>
  <c r="AL326" i="6"/>
  <c r="AM326" i="6"/>
  <c r="AL327" i="6"/>
  <c r="AM327" i="6"/>
  <c r="AL328" i="6"/>
  <c r="AM328" i="6"/>
  <c r="AL329" i="6"/>
  <c r="AM329" i="6"/>
  <c r="AL330" i="6"/>
  <c r="AM330" i="6"/>
  <c r="AL331" i="6"/>
  <c r="AM331" i="6"/>
  <c r="AL332" i="6"/>
  <c r="AM332" i="6"/>
  <c r="AL333" i="6"/>
  <c r="AM333" i="6"/>
  <c r="AL334" i="6"/>
  <c r="AM334" i="6"/>
  <c r="AL335" i="6"/>
  <c r="AM335" i="6"/>
  <c r="AL336" i="6"/>
  <c r="AM336" i="6"/>
  <c r="AL337" i="6"/>
  <c r="AM337" i="6"/>
  <c r="AL338" i="6"/>
  <c r="AM338" i="6"/>
  <c r="AL339" i="6"/>
  <c r="AM339" i="6"/>
  <c r="AL340" i="6"/>
  <c r="AM340" i="6"/>
  <c r="AL341" i="6"/>
  <c r="AM341" i="6"/>
  <c r="AL342" i="6"/>
  <c r="AM342" i="6"/>
  <c r="AL343" i="6"/>
  <c r="AM343" i="6"/>
  <c r="AL344" i="6"/>
  <c r="AM344" i="6"/>
  <c r="AL345" i="6"/>
  <c r="AM345" i="6"/>
  <c r="AL346" i="6"/>
  <c r="AM346" i="6"/>
  <c r="AL347" i="6"/>
  <c r="AM347" i="6"/>
  <c r="AL348" i="6"/>
  <c r="AM348" i="6"/>
  <c r="AL349" i="6"/>
  <c r="AM349" i="6"/>
  <c r="AL350" i="6"/>
  <c r="AM350" i="6"/>
  <c r="AL351" i="6"/>
  <c r="AM351" i="6"/>
  <c r="AL352" i="6"/>
  <c r="AM352" i="6"/>
  <c r="AL353" i="6"/>
  <c r="AM353" i="6"/>
  <c r="AL354" i="6"/>
  <c r="AM354" i="6"/>
  <c r="AL355" i="6"/>
  <c r="AM355" i="6"/>
  <c r="AL356" i="6"/>
  <c r="AM356" i="6"/>
  <c r="AL357" i="6"/>
  <c r="AM357" i="6"/>
  <c r="AL358" i="6"/>
  <c r="AM358" i="6"/>
  <c r="AL359" i="6"/>
  <c r="AM359" i="6"/>
  <c r="AL360" i="6"/>
  <c r="AM360" i="6"/>
  <c r="AL361" i="6"/>
  <c r="AM361" i="6"/>
  <c r="AL362" i="6"/>
  <c r="AM362" i="6"/>
  <c r="AL363" i="6"/>
  <c r="AM363" i="6"/>
  <c r="AL364" i="6"/>
  <c r="AM364" i="6"/>
  <c r="AL365" i="6"/>
  <c r="AM365" i="6"/>
  <c r="AL366" i="6"/>
  <c r="AM366" i="6"/>
  <c r="AL367" i="6"/>
  <c r="AM367" i="6"/>
  <c r="AL368" i="6"/>
  <c r="AM368" i="6"/>
  <c r="AL369" i="6"/>
  <c r="AM369" i="6"/>
  <c r="AL370" i="6"/>
  <c r="AM370" i="6"/>
  <c r="AL371" i="6"/>
  <c r="AM371" i="6"/>
  <c r="AL372" i="6"/>
  <c r="AM372" i="6"/>
  <c r="AL373" i="6"/>
  <c r="AM373" i="6"/>
  <c r="AL374" i="6"/>
  <c r="AM374" i="6"/>
  <c r="AL375" i="6"/>
  <c r="AM375" i="6"/>
  <c r="AL376" i="6"/>
  <c r="AM376" i="6"/>
  <c r="AL377" i="6"/>
  <c r="AM377" i="6"/>
  <c r="AL378" i="6"/>
  <c r="AM378" i="6"/>
  <c r="AL379" i="6"/>
  <c r="AM379" i="6"/>
  <c r="AL380" i="6"/>
  <c r="AM380" i="6"/>
  <c r="AL381" i="6"/>
  <c r="AM381" i="6"/>
  <c r="AL382" i="6"/>
  <c r="AM382" i="6"/>
  <c r="AL383" i="6"/>
  <c r="AM383" i="6"/>
  <c r="AL384" i="6"/>
  <c r="AM384" i="6"/>
  <c r="AL385" i="6"/>
  <c r="AM385" i="6"/>
  <c r="AL386" i="6"/>
  <c r="AM386" i="6"/>
  <c r="AL387" i="6"/>
  <c r="AM387" i="6"/>
  <c r="AL388" i="6"/>
  <c r="AM388" i="6"/>
  <c r="AL389" i="6"/>
  <c r="AM389" i="6"/>
  <c r="AL390" i="6"/>
  <c r="AM390" i="6"/>
  <c r="AL391" i="6"/>
  <c r="AM391" i="6"/>
  <c r="AL392" i="6"/>
  <c r="AM392" i="6"/>
  <c r="AL393" i="6"/>
  <c r="AM393" i="6"/>
  <c r="AL394" i="6"/>
  <c r="AM394" i="6"/>
  <c r="AL395" i="6"/>
  <c r="AM395" i="6"/>
  <c r="AL396" i="6"/>
  <c r="AM396" i="6"/>
  <c r="AL397" i="6"/>
  <c r="AM397" i="6"/>
  <c r="AL398" i="6"/>
  <c r="AM398" i="6"/>
  <c r="AL399" i="6"/>
  <c r="AM399" i="6"/>
  <c r="AL400" i="6"/>
  <c r="AM400" i="6"/>
  <c r="AL401" i="6"/>
  <c r="AM401" i="6"/>
  <c r="AL402" i="6"/>
  <c r="AM402" i="6"/>
  <c r="AL403" i="6"/>
  <c r="AM403" i="6"/>
  <c r="AL404" i="6"/>
  <c r="AM404" i="6"/>
  <c r="AL405" i="6"/>
  <c r="AM405" i="6"/>
  <c r="AL406" i="6"/>
  <c r="AM406" i="6"/>
  <c r="AL407" i="6"/>
  <c r="AM407" i="6"/>
  <c r="AL408" i="6"/>
  <c r="AM408" i="6"/>
  <c r="AL409" i="6"/>
  <c r="AM409" i="6"/>
  <c r="AL410" i="6"/>
  <c r="AM410" i="6"/>
  <c r="AL411" i="6"/>
  <c r="AM411" i="6"/>
  <c r="AL412" i="6"/>
  <c r="AM412" i="6"/>
  <c r="AL413" i="6"/>
  <c r="AM413" i="6"/>
  <c r="AL414" i="6"/>
  <c r="AM414" i="6"/>
  <c r="AL415" i="6"/>
  <c r="AM415" i="6"/>
  <c r="AL416" i="6"/>
  <c r="AM416" i="6"/>
  <c r="AL417" i="6"/>
  <c r="AM417" i="6"/>
  <c r="AL418" i="6"/>
  <c r="AM418" i="6"/>
  <c r="AL419" i="6"/>
  <c r="AM419" i="6"/>
  <c r="AL420" i="6"/>
  <c r="AM420" i="6"/>
  <c r="AL421" i="6"/>
  <c r="AM421" i="6"/>
  <c r="AL422" i="6"/>
  <c r="AM422" i="6"/>
  <c r="AL423" i="6"/>
  <c r="AM423" i="6"/>
  <c r="AL424" i="6"/>
  <c r="AM424" i="6"/>
  <c r="AL425" i="6"/>
  <c r="AM425" i="6"/>
  <c r="AL426" i="6"/>
  <c r="AM426" i="6"/>
  <c r="AL427" i="6"/>
  <c r="AM427" i="6"/>
  <c r="AL428" i="6"/>
  <c r="AM428" i="6"/>
  <c r="AL429" i="6"/>
  <c r="AM429" i="6"/>
  <c r="AL430" i="6"/>
  <c r="AM430" i="6"/>
  <c r="AL431" i="6"/>
  <c r="AM431" i="6"/>
  <c r="AL432" i="6"/>
  <c r="AM432" i="6"/>
  <c r="AL433" i="6"/>
  <c r="AM433" i="6"/>
  <c r="AL434" i="6"/>
  <c r="AM434" i="6"/>
  <c r="AL435" i="6"/>
  <c r="AM435" i="6"/>
  <c r="AL436" i="6"/>
  <c r="AM436" i="6"/>
  <c r="AL437" i="6"/>
  <c r="AM437" i="6"/>
  <c r="AL438" i="6"/>
  <c r="AM438" i="6"/>
  <c r="AL439" i="6"/>
  <c r="AM439" i="6"/>
  <c r="AL440" i="6"/>
  <c r="AM440" i="6"/>
  <c r="AL441" i="6"/>
  <c r="AM441" i="6"/>
  <c r="AL442" i="6"/>
  <c r="AM442" i="6"/>
  <c r="AL443" i="6"/>
  <c r="AM443" i="6"/>
  <c r="AL444" i="6"/>
  <c r="AM444" i="6"/>
  <c r="AL445" i="6"/>
  <c r="AM445" i="6"/>
  <c r="AL446" i="6"/>
  <c r="AM446" i="6"/>
  <c r="AL447" i="6"/>
  <c r="AM447" i="6"/>
  <c r="AL448" i="6"/>
  <c r="AM448" i="6"/>
  <c r="AL449" i="6"/>
  <c r="AM449" i="6"/>
  <c r="AL450" i="6"/>
  <c r="AM450" i="6"/>
  <c r="AL451" i="6"/>
  <c r="AM451" i="6"/>
  <c r="AL452" i="6"/>
  <c r="AM452" i="6"/>
  <c r="AL453" i="6"/>
  <c r="AM453" i="6"/>
  <c r="AL454" i="6"/>
  <c r="AM454" i="6"/>
  <c r="AL455" i="6"/>
  <c r="AM455" i="6"/>
  <c r="AL456" i="6"/>
  <c r="AM456" i="6"/>
  <c r="AL457" i="6"/>
  <c r="AM457" i="6"/>
  <c r="AL458" i="6"/>
  <c r="AM458" i="6"/>
  <c r="AL459" i="6"/>
  <c r="AM459" i="6"/>
  <c r="AL460" i="6"/>
  <c r="AM460" i="6"/>
  <c r="AL461" i="6"/>
  <c r="AM461" i="6"/>
  <c r="AL462" i="6"/>
  <c r="AM462" i="6"/>
  <c r="AL463" i="6"/>
  <c r="AM463" i="6"/>
  <c r="AL464" i="6"/>
  <c r="AM464" i="6"/>
  <c r="AL465" i="6"/>
  <c r="AM465" i="6"/>
  <c r="AL466" i="6"/>
  <c r="AM466" i="6"/>
  <c r="AL467" i="6"/>
  <c r="AM467" i="6"/>
  <c r="AL468" i="6"/>
  <c r="AM468" i="6"/>
  <c r="AL469" i="6"/>
  <c r="AM469" i="6"/>
  <c r="AL470" i="6"/>
  <c r="AM470" i="6"/>
  <c r="AL471" i="6"/>
  <c r="AM471" i="6"/>
  <c r="AL472" i="6"/>
  <c r="AM472" i="6"/>
  <c r="AL473" i="6"/>
  <c r="AM473" i="6"/>
  <c r="AL474" i="6"/>
  <c r="AM474" i="6"/>
  <c r="AL475" i="6"/>
  <c r="AM475" i="6"/>
  <c r="AL476" i="6"/>
  <c r="AM476" i="6"/>
  <c r="AL477" i="6"/>
  <c r="AM477" i="6"/>
  <c r="AL478" i="6"/>
  <c r="AM478" i="6"/>
  <c r="AL479" i="6"/>
  <c r="AM479" i="6"/>
  <c r="AL480" i="6"/>
  <c r="AM480" i="6"/>
  <c r="AL481" i="6"/>
  <c r="AM481" i="6"/>
  <c r="AL482" i="6"/>
  <c r="AM482" i="6"/>
  <c r="AL483" i="6"/>
  <c r="AM483" i="6"/>
  <c r="AL484" i="6"/>
  <c r="AM484" i="6"/>
  <c r="AL485" i="6"/>
  <c r="AM485" i="6"/>
  <c r="AL486" i="6"/>
  <c r="AM486" i="6"/>
  <c r="AL487" i="6"/>
  <c r="AM487" i="6"/>
  <c r="AL488" i="6"/>
  <c r="AM488" i="6"/>
  <c r="AL489" i="6"/>
  <c r="AM489" i="6"/>
  <c r="AL490" i="6"/>
  <c r="AM490" i="6"/>
  <c r="AL491" i="6"/>
  <c r="AM491" i="6"/>
  <c r="AL492" i="6"/>
  <c r="AM492" i="6"/>
  <c r="AL493" i="6"/>
  <c r="AM493" i="6"/>
  <c r="AL494" i="6"/>
  <c r="AM494" i="6"/>
  <c r="AL495" i="6"/>
  <c r="AM495" i="6"/>
  <c r="AL496" i="6"/>
  <c r="AM496" i="6"/>
  <c r="AL497" i="6"/>
  <c r="AM497" i="6"/>
  <c r="AL498" i="6"/>
  <c r="AM498" i="6"/>
  <c r="AL499" i="6"/>
  <c r="AM499" i="6"/>
  <c r="AL500" i="6"/>
  <c r="AM500" i="6"/>
  <c r="AL501" i="6"/>
  <c r="AM501" i="6"/>
  <c r="AL502" i="6"/>
  <c r="AM502" i="6"/>
  <c r="AL503" i="6"/>
  <c r="AM503" i="6"/>
  <c r="AL504" i="6"/>
  <c r="AM504" i="6"/>
  <c r="AL505" i="6"/>
  <c r="AM505" i="6"/>
  <c r="AL506" i="6"/>
  <c r="AM506" i="6"/>
  <c r="AL507" i="6"/>
  <c r="AM507" i="6"/>
  <c r="AL508" i="6"/>
  <c r="AM508" i="6"/>
  <c r="AL509" i="6"/>
  <c r="AM509" i="6"/>
  <c r="AL510" i="6"/>
  <c r="AM510" i="6"/>
  <c r="AL511" i="6"/>
  <c r="AM511" i="6"/>
  <c r="AL512" i="6"/>
  <c r="AM512" i="6"/>
  <c r="AL513" i="6"/>
  <c r="AM513" i="6"/>
  <c r="AL514" i="6"/>
  <c r="AM514" i="6"/>
  <c r="AL515" i="6"/>
  <c r="AM515" i="6"/>
  <c r="AL516" i="6"/>
  <c r="AM516" i="6"/>
  <c r="AL517" i="6"/>
  <c r="AM517" i="6"/>
  <c r="AL518" i="6"/>
  <c r="AM518" i="6"/>
  <c r="AL519" i="6"/>
  <c r="AM519" i="6"/>
  <c r="AL520" i="6"/>
  <c r="AM520" i="6"/>
  <c r="AL521" i="6"/>
  <c r="AM521" i="6"/>
  <c r="AL522" i="6"/>
  <c r="AM522" i="6"/>
  <c r="AL523" i="6"/>
  <c r="AM523" i="6"/>
  <c r="AL524" i="6"/>
  <c r="AM524" i="6"/>
  <c r="AL525" i="6"/>
  <c r="AM525" i="6"/>
  <c r="AL526" i="6"/>
  <c r="AM526" i="6"/>
  <c r="AL527" i="6"/>
  <c r="AM527" i="6"/>
  <c r="AL528" i="6"/>
  <c r="AM528" i="6"/>
  <c r="AL529" i="6"/>
  <c r="AM529" i="6"/>
  <c r="AL530" i="6"/>
  <c r="AM530" i="6"/>
  <c r="AL531" i="6"/>
  <c r="AM531" i="6"/>
  <c r="AL532" i="6"/>
  <c r="AM532" i="6"/>
  <c r="AL533" i="6"/>
  <c r="AM533" i="6"/>
  <c r="AL534" i="6"/>
  <c r="AM534" i="6"/>
  <c r="AL535" i="6"/>
  <c r="AM535" i="6"/>
  <c r="AL536" i="6"/>
  <c r="AM536" i="6"/>
  <c r="AL537" i="6"/>
  <c r="AM537" i="6"/>
  <c r="AL538" i="6"/>
  <c r="AM538" i="6"/>
  <c r="AL539" i="6"/>
  <c r="AM539" i="6"/>
  <c r="AL540" i="6"/>
  <c r="AM540" i="6"/>
  <c r="AL541" i="6"/>
  <c r="AM541" i="6"/>
  <c r="AL542" i="6"/>
  <c r="AM542" i="6"/>
  <c r="AL543" i="6"/>
  <c r="AM543" i="6"/>
  <c r="AL544" i="6"/>
  <c r="AM544" i="6"/>
  <c r="AL545" i="6"/>
  <c r="AM545" i="6"/>
  <c r="AL546" i="6"/>
  <c r="AM546" i="6"/>
  <c r="AL547" i="6"/>
  <c r="AM547" i="6"/>
  <c r="AL548" i="6"/>
  <c r="AM548" i="6"/>
  <c r="AL549" i="6"/>
  <c r="AM549" i="6"/>
  <c r="AL550" i="6"/>
  <c r="AM550" i="6"/>
  <c r="AL551" i="6"/>
  <c r="AM551" i="6"/>
  <c r="AL552" i="6"/>
  <c r="AM552" i="6"/>
  <c r="AL553" i="6"/>
  <c r="AM553" i="6"/>
  <c r="AL554" i="6"/>
  <c r="AM554" i="6"/>
  <c r="AL555" i="6"/>
  <c r="AM555" i="6"/>
  <c r="AL556" i="6"/>
  <c r="AM556" i="6"/>
  <c r="AL557" i="6"/>
  <c r="AM557" i="6"/>
  <c r="AL558" i="6"/>
  <c r="AM558" i="6"/>
  <c r="AL559" i="6"/>
  <c r="AM559" i="6"/>
  <c r="AL560" i="6"/>
  <c r="AM560" i="6"/>
  <c r="AL561" i="6"/>
  <c r="AM561" i="6"/>
  <c r="AL562" i="6"/>
  <c r="AM562" i="6"/>
  <c r="AL563" i="6"/>
  <c r="AM563" i="6"/>
  <c r="AL564" i="6"/>
  <c r="AM564" i="6"/>
  <c r="AL565" i="6"/>
  <c r="AM565" i="6"/>
  <c r="AL566" i="6"/>
  <c r="AM566" i="6"/>
  <c r="AL567" i="6"/>
  <c r="AM567" i="6"/>
  <c r="AL568" i="6"/>
  <c r="AM568" i="6"/>
  <c r="AL569" i="6"/>
  <c r="AM569" i="6"/>
  <c r="AL570" i="6"/>
  <c r="AM570" i="6"/>
  <c r="AL571" i="6"/>
  <c r="AM571" i="6"/>
  <c r="AL572" i="6"/>
  <c r="AM572" i="6"/>
  <c r="AL573" i="6"/>
  <c r="AM573" i="6"/>
  <c r="AL574" i="6"/>
  <c r="AM574" i="6"/>
  <c r="AL575" i="6"/>
  <c r="AM575" i="6"/>
  <c r="AL576" i="6"/>
  <c r="AM576" i="6"/>
  <c r="AL577" i="6"/>
  <c r="AM577" i="6"/>
  <c r="AL578" i="6"/>
  <c r="AM578" i="6"/>
  <c r="AL579" i="6"/>
  <c r="AM579" i="6"/>
  <c r="AL580" i="6"/>
  <c r="AM580" i="6"/>
  <c r="AL581" i="6"/>
  <c r="AM581" i="6"/>
  <c r="AL582" i="6"/>
  <c r="AM582" i="6"/>
  <c r="AL583" i="6"/>
  <c r="AM583" i="6"/>
  <c r="AL584" i="6"/>
  <c r="AM584" i="6"/>
  <c r="AL585" i="6"/>
  <c r="AM585" i="6"/>
  <c r="AL586" i="6"/>
  <c r="AM586" i="6"/>
  <c r="AL587" i="6"/>
  <c r="AM587" i="6"/>
  <c r="AL588" i="6"/>
  <c r="AM588" i="6"/>
  <c r="AL589" i="6"/>
  <c r="AM589" i="6"/>
  <c r="AL590" i="6"/>
  <c r="AM590" i="6"/>
  <c r="AL591" i="6"/>
  <c r="AM591" i="6"/>
  <c r="AL592" i="6"/>
  <c r="AM592" i="6"/>
  <c r="AL593" i="6"/>
  <c r="AM593" i="6"/>
  <c r="AL594" i="6"/>
  <c r="AM594" i="6"/>
  <c r="AL595" i="6"/>
  <c r="AM595" i="6"/>
  <c r="AL596" i="6"/>
  <c r="AM596" i="6"/>
  <c r="AL597" i="6"/>
  <c r="AM597" i="6"/>
  <c r="AL598" i="6"/>
  <c r="AM598" i="6"/>
  <c r="AL599" i="6"/>
  <c r="AM599" i="6"/>
  <c r="AL600" i="6"/>
  <c r="AM600" i="6"/>
  <c r="AL601" i="6"/>
  <c r="AM601" i="6"/>
  <c r="AL602" i="6"/>
  <c r="AM602" i="6"/>
  <c r="AL603" i="6"/>
  <c r="AM603" i="6"/>
  <c r="AL604" i="6"/>
  <c r="AM604" i="6"/>
  <c r="AL605" i="6"/>
  <c r="AM605" i="6"/>
  <c r="AL606" i="6"/>
  <c r="AM606" i="6"/>
  <c r="AL607" i="6"/>
  <c r="AM607" i="6"/>
  <c r="AL608" i="6"/>
  <c r="AM608" i="6"/>
  <c r="AL609" i="6"/>
  <c r="AM609" i="6"/>
  <c r="AL610" i="6"/>
  <c r="AM610" i="6"/>
  <c r="AL611" i="6"/>
  <c r="AM611" i="6"/>
  <c r="AL612" i="6"/>
  <c r="AM612" i="6"/>
  <c r="AL613" i="6"/>
  <c r="AM613" i="6"/>
  <c r="AL614" i="6"/>
  <c r="AM614" i="6"/>
  <c r="AL615" i="6"/>
  <c r="AM615" i="6"/>
  <c r="AL616" i="6"/>
  <c r="AM616" i="6"/>
  <c r="AL617" i="6"/>
  <c r="AM617" i="6"/>
  <c r="AL618" i="6"/>
  <c r="AM618" i="6"/>
  <c r="AL619" i="6"/>
  <c r="AM619" i="6"/>
  <c r="AL620" i="6"/>
  <c r="AM620" i="6"/>
  <c r="AL621" i="6"/>
  <c r="AM621" i="6"/>
  <c r="AL622" i="6"/>
  <c r="AM622" i="6"/>
  <c r="AL623" i="6"/>
  <c r="AM623" i="6"/>
  <c r="AL624" i="6"/>
  <c r="AM624" i="6"/>
  <c r="AL625" i="6"/>
  <c r="AM625" i="6"/>
  <c r="AL626" i="6"/>
  <c r="AM626" i="6"/>
  <c r="AL627" i="6"/>
  <c r="AM627" i="6"/>
  <c r="AL628" i="6"/>
  <c r="AM628" i="6"/>
  <c r="AL629" i="6"/>
  <c r="AM629" i="6"/>
  <c r="AF8" i="6"/>
  <c r="AG8" i="6" s="1"/>
  <c r="AH8" i="6"/>
  <c r="AI8" i="6" s="1"/>
  <c r="AF9" i="6"/>
  <c r="AG9" i="6" s="1"/>
  <c r="AH9" i="6"/>
  <c r="AI9" i="6"/>
  <c r="AF10" i="6"/>
  <c r="AG10" i="6" s="1"/>
  <c r="AH10" i="6"/>
  <c r="AI10" i="6" s="1"/>
  <c r="AF11" i="6"/>
  <c r="AG11" i="6" s="1"/>
  <c r="AH11" i="6"/>
  <c r="AI11" i="6"/>
  <c r="AF12" i="6"/>
  <c r="AG12" i="6" s="1"/>
  <c r="AH12" i="6"/>
  <c r="AI12" i="6" s="1"/>
  <c r="AF13" i="6"/>
  <c r="AG13" i="6" s="1"/>
  <c r="AH13" i="6"/>
  <c r="AI13" i="6"/>
  <c r="AF14" i="6"/>
  <c r="AG14" i="6" s="1"/>
  <c r="AH14" i="6"/>
  <c r="AI14" i="6" s="1"/>
  <c r="AF15" i="6"/>
  <c r="AG15" i="6" s="1"/>
  <c r="AH15" i="6"/>
  <c r="AI15" i="6"/>
  <c r="AF16" i="6"/>
  <c r="AG16" i="6" s="1"/>
  <c r="AH16" i="6"/>
  <c r="AI16" i="6" s="1"/>
  <c r="AF17" i="6"/>
  <c r="AG17" i="6" s="1"/>
  <c r="AH17" i="6"/>
  <c r="AI17" i="6"/>
  <c r="AF18" i="6"/>
  <c r="AG18" i="6" s="1"/>
  <c r="AH18" i="6"/>
  <c r="AI18" i="6" s="1"/>
  <c r="AF19" i="6"/>
  <c r="AG19" i="6" s="1"/>
  <c r="AH19" i="6"/>
  <c r="AI19" i="6"/>
  <c r="AF20" i="6"/>
  <c r="AG20" i="6" s="1"/>
  <c r="AH20" i="6"/>
  <c r="AI20" i="6" s="1"/>
  <c r="AF21" i="6"/>
  <c r="AG21" i="6" s="1"/>
  <c r="AH21" i="6"/>
  <c r="AI21" i="6"/>
  <c r="AF22" i="6"/>
  <c r="AG22" i="6" s="1"/>
  <c r="AH22" i="6"/>
  <c r="AI22" i="6" s="1"/>
  <c r="AF23" i="6"/>
  <c r="AG23" i="6" s="1"/>
  <c r="AH23" i="6"/>
  <c r="AI23" i="6"/>
  <c r="AF24" i="6"/>
  <c r="AG24" i="6" s="1"/>
  <c r="AH24" i="6"/>
  <c r="AI24" i="6" s="1"/>
  <c r="AF25" i="6"/>
  <c r="AG25" i="6" s="1"/>
  <c r="AH25" i="6"/>
  <c r="AI25" i="6"/>
  <c r="AF26" i="6"/>
  <c r="AG26" i="6" s="1"/>
  <c r="AH26" i="6"/>
  <c r="AI26" i="6" s="1"/>
  <c r="AF27" i="6"/>
  <c r="AG27" i="6" s="1"/>
  <c r="AH27" i="6"/>
  <c r="AI27" i="6"/>
  <c r="AF28" i="6"/>
  <c r="AG28" i="6" s="1"/>
  <c r="AH28" i="6"/>
  <c r="AI28" i="6" s="1"/>
  <c r="AF29" i="6"/>
  <c r="AG29" i="6" s="1"/>
  <c r="AH29" i="6"/>
  <c r="AI29" i="6"/>
  <c r="AF30" i="6"/>
  <c r="AG30" i="6" s="1"/>
  <c r="AH30" i="6"/>
  <c r="AI30" i="6" s="1"/>
  <c r="AF31" i="6"/>
  <c r="AG31" i="6" s="1"/>
  <c r="AH31" i="6"/>
  <c r="AI31" i="6"/>
  <c r="AF32" i="6"/>
  <c r="AG32" i="6" s="1"/>
  <c r="AH32" i="6"/>
  <c r="AI32" i="6" s="1"/>
  <c r="AF33" i="6"/>
  <c r="AG33" i="6" s="1"/>
  <c r="AH33" i="6"/>
  <c r="AI33" i="6"/>
  <c r="AF34" i="6"/>
  <c r="AG34" i="6" s="1"/>
  <c r="AH34" i="6"/>
  <c r="AI34" i="6" s="1"/>
  <c r="AF35" i="6"/>
  <c r="AG35" i="6" s="1"/>
  <c r="AH35" i="6"/>
  <c r="AI35" i="6"/>
  <c r="AF36" i="6"/>
  <c r="AG36" i="6" s="1"/>
  <c r="AH36" i="6"/>
  <c r="AI36" i="6" s="1"/>
  <c r="AF37" i="6"/>
  <c r="AG37" i="6" s="1"/>
  <c r="AH37" i="6"/>
  <c r="AI37" i="6"/>
  <c r="AF38" i="6"/>
  <c r="AG38" i="6" s="1"/>
  <c r="AH38" i="6"/>
  <c r="AI38" i="6" s="1"/>
  <c r="AF39" i="6"/>
  <c r="AG39" i="6" s="1"/>
  <c r="AH39" i="6"/>
  <c r="AI39" i="6"/>
  <c r="AF40" i="6"/>
  <c r="AG40" i="6" s="1"/>
  <c r="AH40" i="6"/>
  <c r="AI40" i="6" s="1"/>
  <c r="AF41" i="6"/>
  <c r="AG41" i="6" s="1"/>
  <c r="AH41" i="6"/>
  <c r="AI41" i="6"/>
  <c r="AF42" i="6"/>
  <c r="AG42" i="6" s="1"/>
  <c r="AH42" i="6"/>
  <c r="AI42" i="6" s="1"/>
  <c r="AF43" i="6"/>
  <c r="AG43" i="6" s="1"/>
  <c r="AH43" i="6"/>
  <c r="AI43" i="6"/>
  <c r="AF44" i="6"/>
  <c r="AG44" i="6" s="1"/>
  <c r="AH44" i="6"/>
  <c r="AI44" i="6" s="1"/>
  <c r="AF45" i="6"/>
  <c r="AG45" i="6" s="1"/>
  <c r="AH45" i="6"/>
  <c r="AI45" i="6"/>
  <c r="AF46" i="6"/>
  <c r="AG46" i="6" s="1"/>
  <c r="AH46" i="6"/>
  <c r="AI46" i="6" s="1"/>
  <c r="AF47" i="6"/>
  <c r="AG47" i="6" s="1"/>
  <c r="AH47" i="6"/>
  <c r="AI47" i="6"/>
  <c r="AF48" i="6"/>
  <c r="AG48" i="6" s="1"/>
  <c r="AH48" i="6"/>
  <c r="AI48" i="6" s="1"/>
  <c r="AF49" i="6"/>
  <c r="AG49" i="6" s="1"/>
  <c r="AH49" i="6"/>
  <c r="AI49" i="6"/>
  <c r="AF50" i="6"/>
  <c r="AG50" i="6" s="1"/>
  <c r="AH50" i="6"/>
  <c r="AI50" i="6" s="1"/>
  <c r="AF51" i="6"/>
  <c r="AG51" i="6" s="1"/>
  <c r="AH51" i="6"/>
  <c r="AI51" i="6"/>
  <c r="AF52" i="6"/>
  <c r="AG52" i="6" s="1"/>
  <c r="AH52" i="6"/>
  <c r="AI52" i="6" s="1"/>
  <c r="AF53" i="6"/>
  <c r="AG53" i="6" s="1"/>
  <c r="AH53" i="6"/>
  <c r="AI53" i="6"/>
  <c r="AF54" i="6"/>
  <c r="AG54" i="6" s="1"/>
  <c r="AH54" i="6"/>
  <c r="AI54" i="6" s="1"/>
  <c r="AF55" i="6"/>
  <c r="AG55" i="6" s="1"/>
  <c r="AH55" i="6"/>
  <c r="AI55" i="6"/>
  <c r="AF56" i="6"/>
  <c r="AG56" i="6" s="1"/>
  <c r="AH56" i="6"/>
  <c r="AI56" i="6" s="1"/>
  <c r="AF57" i="6"/>
  <c r="AG57" i="6" s="1"/>
  <c r="AH57" i="6"/>
  <c r="AI57" i="6"/>
  <c r="AF58" i="6"/>
  <c r="AG58" i="6" s="1"/>
  <c r="AH58" i="6"/>
  <c r="AI58" i="6" s="1"/>
  <c r="AF59" i="6"/>
  <c r="AG59" i="6" s="1"/>
  <c r="AH59" i="6"/>
  <c r="AI59" i="6"/>
  <c r="AF60" i="6"/>
  <c r="AG60" i="6" s="1"/>
  <c r="AH60" i="6"/>
  <c r="AI60" i="6" s="1"/>
  <c r="AF61" i="6"/>
  <c r="AG61" i="6" s="1"/>
  <c r="AH61" i="6"/>
  <c r="AI61" i="6"/>
  <c r="AF62" i="6"/>
  <c r="AG62" i="6" s="1"/>
  <c r="AH62" i="6"/>
  <c r="AI62" i="6" s="1"/>
  <c r="AF63" i="6"/>
  <c r="AG63" i="6" s="1"/>
  <c r="AH63" i="6"/>
  <c r="AI63" i="6"/>
  <c r="AF64" i="6"/>
  <c r="AG64" i="6" s="1"/>
  <c r="AH64" i="6"/>
  <c r="AI64" i="6" s="1"/>
  <c r="AF65" i="6"/>
  <c r="AG65" i="6" s="1"/>
  <c r="AH65" i="6"/>
  <c r="AI65" i="6"/>
  <c r="AF66" i="6"/>
  <c r="AG66" i="6" s="1"/>
  <c r="AH66" i="6"/>
  <c r="AI66" i="6" s="1"/>
  <c r="AF67" i="6"/>
  <c r="AG67" i="6" s="1"/>
  <c r="AH67" i="6"/>
  <c r="AI67" i="6"/>
  <c r="AF68" i="6"/>
  <c r="AG68" i="6" s="1"/>
  <c r="AH68" i="6"/>
  <c r="AI68" i="6" s="1"/>
  <c r="AF69" i="6"/>
  <c r="AG69" i="6" s="1"/>
  <c r="AH69" i="6"/>
  <c r="AI69" i="6"/>
  <c r="AF70" i="6"/>
  <c r="AG70" i="6" s="1"/>
  <c r="AH70" i="6"/>
  <c r="AI70" i="6" s="1"/>
  <c r="AF71" i="6"/>
  <c r="AG71" i="6" s="1"/>
  <c r="AH71" i="6"/>
  <c r="AI71" i="6"/>
  <c r="AF72" i="6"/>
  <c r="AG72" i="6" s="1"/>
  <c r="AH72" i="6"/>
  <c r="AI72" i="6" s="1"/>
  <c r="AF73" i="6"/>
  <c r="AG73" i="6" s="1"/>
  <c r="AH73" i="6"/>
  <c r="AI73" i="6"/>
  <c r="AF74" i="6"/>
  <c r="AG74" i="6" s="1"/>
  <c r="AH74" i="6"/>
  <c r="AI74" i="6" s="1"/>
  <c r="AF75" i="6"/>
  <c r="AG75" i="6" s="1"/>
  <c r="AH75" i="6"/>
  <c r="AI75" i="6"/>
  <c r="AF76" i="6"/>
  <c r="AG76" i="6" s="1"/>
  <c r="AH76" i="6"/>
  <c r="AI76" i="6" s="1"/>
  <c r="AF77" i="6"/>
  <c r="AG77" i="6" s="1"/>
  <c r="AH77" i="6"/>
  <c r="AI77" i="6"/>
  <c r="AF78" i="6"/>
  <c r="AG78" i="6" s="1"/>
  <c r="AH78" i="6"/>
  <c r="AI78" i="6" s="1"/>
  <c r="AF79" i="6"/>
  <c r="AG79" i="6" s="1"/>
  <c r="AH79" i="6"/>
  <c r="AI79" i="6"/>
  <c r="AF80" i="6"/>
  <c r="AG80" i="6" s="1"/>
  <c r="AH80" i="6"/>
  <c r="AI80" i="6" s="1"/>
  <c r="AF81" i="6"/>
  <c r="AG81" i="6" s="1"/>
  <c r="AH81" i="6"/>
  <c r="AI81" i="6"/>
  <c r="AF82" i="6"/>
  <c r="AG82" i="6" s="1"/>
  <c r="AH82" i="6"/>
  <c r="AI82" i="6" s="1"/>
  <c r="AF83" i="6"/>
  <c r="AG83" i="6" s="1"/>
  <c r="AH83" i="6"/>
  <c r="AI83" i="6"/>
  <c r="AF84" i="6"/>
  <c r="AG84" i="6" s="1"/>
  <c r="AH84" i="6"/>
  <c r="AI84" i="6" s="1"/>
  <c r="AF85" i="6"/>
  <c r="AG85" i="6" s="1"/>
  <c r="AH85" i="6"/>
  <c r="AI85" i="6"/>
  <c r="AF86" i="6"/>
  <c r="AG86" i="6" s="1"/>
  <c r="AH86" i="6"/>
  <c r="AI86" i="6" s="1"/>
  <c r="AF87" i="6"/>
  <c r="AG87" i="6" s="1"/>
  <c r="AH87" i="6"/>
  <c r="AI87" i="6"/>
  <c r="AF88" i="6"/>
  <c r="AG88" i="6" s="1"/>
  <c r="AH88" i="6"/>
  <c r="AI88" i="6" s="1"/>
  <c r="AF89" i="6"/>
  <c r="AG89" i="6" s="1"/>
  <c r="AH89" i="6"/>
  <c r="AI89" i="6"/>
  <c r="AF90" i="6"/>
  <c r="AG90" i="6" s="1"/>
  <c r="AH90" i="6"/>
  <c r="AI90" i="6" s="1"/>
  <c r="AF91" i="6"/>
  <c r="AG91" i="6" s="1"/>
  <c r="AH91" i="6"/>
  <c r="AI91" i="6" s="1"/>
  <c r="AF92" i="6"/>
  <c r="AG92" i="6" s="1"/>
  <c r="AH92" i="6"/>
  <c r="AI92" i="6" s="1"/>
  <c r="AF93" i="6"/>
  <c r="AG93" i="6" s="1"/>
  <c r="AH93" i="6"/>
  <c r="AI93" i="6"/>
  <c r="AF94" i="6"/>
  <c r="AG94" i="6" s="1"/>
  <c r="AH94" i="6"/>
  <c r="AI94" i="6" s="1"/>
  <c r="AF95" i="6"/>
  <c r="AG95" i="6" s="1"/>
  <c r="AH95" i="6"/>
  <c r="AI95" i="6"/>
  <c r="AF96" i="6"/>
  <c r="AG96" i="6" s="1"/>
  <c r="AH96" i="6"/>
  <c r="AI96" i="6" s="1"/>
  <c r="AF97" i="6"/>
  <c r="AG97" i="6" s="1"/>
  <c r="AH97" i="6"/>
  <c r="AI97" i="6" s="1"/>
  <c r="AF98" i="6"/>
  <c r="AG98" i="6" s="1"/>
  <c r="AH98" i="6"/>
  <c r="AI98" i="6" s="1"/>
  <c r="AF99" i="6"/>
  <c r="AG99" i="6" s="1"/>
  <c r="AH99" i="6"/>
  <c r="AI99" i="6"/>
  <c r="AF100" i="6"/>
  <c r="AG100" i="6" s="1"/>
  <c r="AH100" i="6"/>
  <c r="AI100" i="6" s="1"/>
  <c r="AF101" i="6"/>
  <c r="AG101" i="6" s="1"/>
  <c r="AH101" i="6"/>
  <c r="AI101" i="6"/>
  <c r="AF102" i="6"/>
  <c r="AG102" i="6" s="1"/>
  <c r="AH102" i="6"/>
  <c r="AI102" i="6" s="1"/>
  <c r="AF103" i="6"/>
  <c r="AG103" i="6" s="1"/>
  <c r="AH103" i="6"/>
  <c r="AI103" i="6" s="1"/>
  <c r="AF104" i="6"/>
  <c r="AG104" i="6" s="1"/>
  <c r="AH104" i="6"/>
  <c r="AI104" i="6" s="1"/>
  <c r="AF105" i="6"/>
  <c r="AG105" i="6" s="1"/>
  <c r="AH105" i="6"/>
  <c r="AI105" i="6" s="1"/>
  <c r="AF106" i="6"/>
  <c r="AG106" i="6" s="1"/>
  <c r="AH106" i="6"/>
  <c r="AI106" i="6" s="1"/>
  <c r="AF107" i="6"/>
  <c r="AG107" i="6" s="1"/>
  <c r="AH107" i="6"/>
  <c r="AI107" i="6" s="1"/>
  <c r="AF108" i="6"/>
  <c r="AG108" i="6" s="1"/>
  <c r="AH108" i="6"/>
  <c r="AI108" i="6" s="1"/>
  <c r="AF109" i="6"/>
  <c r="AG109" i="6" s="1"/>
  <c r="AH109" i="6"/>
  <c r="AI109" i="6"/>
  <c r="AF110" i="6"/>
  <c r="AG110" i="6" s="1"/>
  <c r="AH110" i="6"/>
  <c r="AI110" i="6" s="1"/>
  <c r="AF111" i="6"/>
  <c r="AG111" i="6" s="1"/>
  <c r="AH111" i="6"/>
  <c r="AI111" i="6"/>
  <c r="AF112" i="6"/>
  <c r="AG112" i="6" s="1"/>
  <c r="AH112" i="6"/>
  <c r="AI112" i="6" s="1"/>
  <c r="AF113" i="6"/>
  <c r="AG113" i="6" s="1"/>
  <c r="AH113" i="6"/>
  <c r="AI113" i="6" s="1"/>
  <c r="AF114" i="6"/>
  <c r="AG114" i="6" s="1"/>
  <c r="AH114" i="6"/>
  <c r="AI114" i="6" s="1"/>
  <c r="AF115" i="6"/>
  <c r="AG115" i="6" s="1"/>
  <c r="AH115" i="6"/>
  <c r="AI115" i="6"/>
  <c r="AF116" i="6"/>
  <c r="AG116" i="6" s="1"/>
  <c r="AH116" i="6"/>
  <c r="AI116" i="6" s="1"/>
  <c r="AF117" i="6"/>
  <c r="AG117" i="6" s="1"/>
  <c r="AH117" i="6"/>
  <c r="AI117" i="6"/>
  <c r="AF118" i="6"/>
  <c r="AG118" i="6" s="1"/>
  <c r="AH118" i="6"/>
  <c r="AI118" i="6" s="1"/>
  <c r="AF119" i="6"/>
  <c r="AG119" i="6" s="1"/>
  <c r="AH119" i="6"/>
  <c r="AI119" i="6" s="1"/>
  <c r="AF120" i="6"/>
  <c r="AG120" i="6" s="1"/>
  <c r="AH120" i="6"/>
  <c r="AI120" i="6" s="1"/>
  <c r="AF121" i="6"/>
  <c r="AG121" i="6" s="1"/>
  <c r="AH121" i="6"/>
  <c r="AI121" i="6" s="1"/>
  <c r="AF122" i="6"/>
  <c r="AG122" i="6" s="1"/>
  <c r="AH122" i="6"/>
  <c r="AI122" i="6" s="1"/>
  <c r="AF123" i="6"/>
  <c r="AG123" i="6" s="1"/>
  <c r="AH123" i="6"/>
  <c r="AI123" i="6" s="1"/>
  <c r="AF124" i="6"/>
  <c r="AG124" i="6" s="1"/>
  <c r="AH124" i="6"/>
  <c r="AI124" i="6" s="1"/>
  <c r="AF125" i="6"/>
  <c r="AG125" i="6" s="1"/>
  <c r="AH125" i="6"/>
  <c r="AI125" i="6"/>
  <c r="AF126" i="6"/>
  <c r="AG126" i="6" s="1"/>
  <c r="AH126" i="6"/>
  <c r="AI126" i="6" s="1"/>
  <c r="AF127" i="6"/>
  <c r="AG127" i="6" s="1"/>
  <c r="AH127" i="6"/>
  <c r="AI127" i="6"/>
  <c r="AF128" i="6"/>
  <c r="AG128" i="6" s="1"/>
  <c r="AH128" i="6"/>
  <c r="AI128" i="6" s="1"/>
  <c r="AF129" i="6"/>
  <c r="AG129" i="6" s="1"/>
  <c r="AH129" i="6"/>
  <c r="AI129" i="6" s="1"/>
  <c r="AF130" i="6"/>
  <c r="AG130" i="6" s="1"/>
  <c r="AH130" i="6"/>
  <c r="AI130" i="6" s="1"/>
  <c r="AF131" i="6"/>
  <c r="AG131" i="6" s="1"/>
  <c r="AH131" i="6"/>
  <c r="AI131" i="6"/>
  <c r="AF132" i="6"/>
  <c r="AG132" i="6" s="1"/>
  <c r="AH132" i="6"/>
  <c r="AI132" i="6" s="1"/>
  <c r="AF133" i="6"/>
  <c r="AG133" i="6" s="1"/>
  <c r="AH133" i="6"/>
  <c r="AI133" i="6"/>
  <c r="AF134" i="6"/>
  <c r="AG134" i="6" s="1"/>
  <c r="AH134" i="6"/>
  <c r="AI134" i="6" s="1"/>
  <c r="AF135" i="6"/>
  <c r="AG135" i="6" s="1"/>
  <c r="AH135" i="6"/>
  <c r="AI135" i="6" s="1"/>
  <c r="AF136" i="6"/>
  <c r="AG136" i="6" s="1"/>
  <c r="AH136" i="6"/>
  <c r="AI136" i="6" s="1"/>
  <c r="AF137" i="6"/>
  <c r="AG137" i="6" s="1"/>
  <c r="AH137" i="6"/>
  <c r="AI137" i="6" s="1"/>
  <c r="AF138" i="6"/>
  <c r="AG138" i="6" s="1"/>
  <c r="AH138" i="6"/>
  <c r="AI138" i="6" s="1"/>
  <c r="AF139" i="6"/>
  <c r="AG139" i="6" s="1"/>
  <c r="AH139" i="6"/>
  <c r="AI139" i="6" s="1"/>
  <c r="AF140" i="6"/>
  <c r="AG140" i="6" s="1"/>
  <c r="AH140" i="6"/>
  <c r="AI140" i="6" s="1"/>
  <c r="AF141" i="6"/>
  <c r="AG141" i="6" s="1"/>
  <c r="AH141" i="6"/>
  <c r="AI141" i="6"/>
  <c r="AF142" i="6"/>
  <c r="AG142" i="6" s="1"/>
  <c r="AH142" i="6"/>
  <c r="AI142" i="6" s="1"/>
  <c r="AF143" i="6"/>
  <c r="AG143" i="6" s="1"/>
  <c r="AH143" i="6"/>
  <c r="AI143" i="6" s="1"/>
  <c r="AF144" i="6"/>
  <c r="AG144" i="6" s="1"/>
  <c r="AH144" i="6"/>
  <c r="AI144" i="6" s="1"/>
  <c r="AF145" i="6"/>
  <c r="AG145" i="6" s="1"/>
  <c r="AH145" i="6"/>
  <c r="AI145" i="6" s="1"/>
  <c r="AF146" i="6"/>
  <c r="AG146" i="6" s="1"/>
  <c r="AH146" i="6"/>
  <c r="AI146" i="6" s="1"/>
  <c r="AF147" i="6"/>
  <c r="AG147" i="6" s="1"/>
  <c r="AH147" i="6"/>
  <c r="AI147" i="6"/>
  <c r="AF148" i="6"/>
  <c r="AG148" i="6" s="1"/>
  <c r="AH148" i="6"/>
  <c r="AI148" i="6" s="1"/>
  <c r="AF149" i="6"/>
  <c r="AG149" i="6" s="1"/>
  <c r="AH149" i="6"/>
  <c r="AI149" i="6"/>
  <c r="AF150" i="6"/>
  <c r="AG150" i="6" s="1"/>
  <c r="AH150" i="6"/>
  <c r="AI150" i="6" s="1"/>
  <c r="AF151" i="6"/>
  <c r="AG151" i="6" s="1"/>
  <c r="AH151" i="6"/>
  <c r="AI151" i="6" s="1"/>
  <c r="AF152" i="6"/>
  <c r="AG152" i="6" s="1"/>
  <c r="AH152" i="6"/>
  <c r="AI152" i="6" s="1"/>
  <c r="AF153" i="6"/>
  <c r="AG153" i="6" s="1"/>
  <c r="AH153" i="6"/>
  <c r="AI153" i="6" s="1"/>
  <c r="AF154" i="6"/>
  <c r="AG154" i="6" s="1"/>
  <c r="AH154" i="6"/>
  <c r="AI154" i="6" s="1"/>
  <c r="AF155" i="6"/>
  <c r="AG155" i="6" s="1"/>
  <c r="AH155" i="6"/>
  <c r="AI155" i="6" s="1"/>
  <c r="AF156" i="6"/>
  <c r="AG156" i="6" s="1"/>
  <c r="AH156" i="6"/>
  <c r="AI156" i="6" s="1"/>
  <c r="AF157" i="6"/>
  <c r="AG157" i="6" s="1"/>
  <c r="AH157" i="6"/>
  <c r="AI157" i="6"/>
  <c r="AF158" i="6"/>
  <c r="AG158" i="6" s="1"/>
  <c r="AH158" i="6"/>
  <c r="AI158" i="6" s="1"/>
  <c r="AF159" i="6"/>
  <c r="AG159" i="6" s="1"/>
  <c r="AH159" i="6"/>
  <c r="AI159" i="6" s="1"/>
  <c r="AF160" i="6"/>
  <c r="AG160" i="6" s="1"/>
  <c r="AH160" i="6"/>
  <c r="AI160" i="6" s="1"/>
  <c r="AF161" i="6"/>
  <c r="AG161" i="6" s="1"/>
  <c r="AH161" i="6"/>
  <c r="AI161" i="6" s="1"/>
  <c r="AF162" i="6"/>
  <c r="AG162" i="6" s="1"/>
  <c r="AH162" i="6"/>
  <c r="AI162" i="6" s="1"/>
  <c r="AF163" i="6"/>
  <c r="AG163" i="6" s="1"/>
  <c r="AH163" i="6"/>
  <c r="AI163" i="6"/>
  <c r="AF164" i="6"/>
  <c r="AG164" i="6" s="1"/>
  <c r="AH164" i="6"/>
  <c r="AI164" i="6" s="1"/>
  <c r="AF165" i="6"/>
  <c r="AG165" i="6" s="1"/>
  <c r="AH165" i="6"/>
  <c r="AI165" i="6" s="1"/>
  <c r="AF166" i="6"/>
  <c r="AG166" i="6" s="1"/>
  <c r="AH166" i="6"/>
  <c r="AI166" i="6" s="1"/>
  <c r="AF167" i="6"/>
  <c r="AG167" i="6" s="1"/>
  <c r="AH167" i="6"/>
  <c r="AI167" i="6" s="1"/>
  <c r="AF168" i="6"/>
  <c r="AG168" i="6" s="1"/>
  <c r="AH168" i="6"/>
  <c r="AI168" i="6" s="1"/>
  <c r="AF169" i="6"/>
  <c r="AG169" i="6" s="1"/>
  <c r="AH169" i="6"/>
  <c r="AI169" i="6" s="1"/>
  <c r="AF170" i="6"/>
  <c r="AG170" i="6" s="1"/>
  <c r="AH170" i="6"/>
  <c r="AI170" i="6" s="1"/>
  <c r="AF171" i="6"/>
  <c r="AG171" i="6" s="1"/>
  <c r="AH171" i="6"/>
  <c r="AI171" i="6" s="1"/>
  <c r="AF172" i="6"/>
  <c r="AG172" i="6" s="1"/>
  <c r="AH172" i="6"/>
  <c r="AI172" i="6" s="1"/>
  <c r="AF173" i="6"/>
  <c r="AG173" i="6" s="1"/>
  <c r="AH173" i="6"/>
  <c r="AI173" i="6"/>
  <c r="AF174" i="6"/>
  <c r="AG174" i="6" s="1"/>
  <c r="AH174" i="6"/>
  <c r="AI174" i="6" s="1"/>
  <c r="AF175" i="6"/>
  <c r="AG175" i="6" s="1"/>
  <c r="AH175" i="6"/>
  <c r="AI175" i="6" s="1"/>
  <c r="AF176" i="6"/>
  <c r="AG176" i="6" s="1"/>
  <c r="AH176" i="6"/>
  <c r="AI176" i="6" s="1"/>
  <c r="AF177" i="6"/>
  <c r="AG177" i="6" s="1"/>
  <c r="AH177" i="6"/>
  <c r="AI177" i="6" s="1"/>
  <c r="AF178" i="6"/>
  <c r="AG178" i="6" s="1"/>
  <c r="AH178" i="6"/>
  <c r="AI178" i="6"/>
  <c r="AF179" i="6"/>
  <c r="AG179" i="6" s="1"/>
  <c r="AH179" i="6"/>
  <c r="AI179" i="6" s="1"/>
  <c r="AF180" i="6"/>
  <c r="AG180" i="6" s="1"/>
  <c r="AH180" i="6"/>
  <c r="AI180" i="6"/>
  <c r="AF181" i="6"/>
  <c r="AG181" i="6" s="1"/>
  <c r="AH181" i="6"/>
  <c r="AI181" i="6" s="1"/>
  <c r="AF182" i="6"/>
  <c r="AG182" i="6" s="1"/>
  <c r="AH182" i="6"/>
  <c r="AI182" i="6"/>
  <c r="AF183" i="6"/>
  <c r="AG183" i="6" s="1"/>
  <c r="AH183" i="6"/>
  <c r="AI183" i="6" s="1"/>
  <c r="AF184" i="6"/>
  <c r="AG184" i="6" s="1"/>
  <c r="AH184" i="6"/>
  <c r="AI184" i="6"/>
  <c r="AF185" i="6"/>
  <c r="AG185" i="6" s="1"/>
  <c r="AH185" i="6"/>
  <c r="AI185" i="6" s="1"/>
  <c r="AF186" i="6"/>
  <c r="AG186" i="6" s="1"/>
  <c r="AH186" i="6"/>
  <c r="AI186" i="6"/>
  <c r="AF187" i="6"/>
  <c r="AG187" i="6" s="1"/>
  <c r="AH187" i="6"/>
  <c r="AI187" i="6" s="1"/>
  <c r="AF188" i="6"/>
  <c r="AG188" i="6" s="1"/>
  <c r="AH188" i="6"/>
  <c r="AI188" i="6"/>
  <c r="AF189" i="6"/>
  <c r="AG189" i="6" s="1"/>
  <c r="AH189" i="6"/>
  <c r="AI189" i="6" s="1"/>
  <c r="AF190" i="6"/>
  <c r="AG190" i="6" s="1"/>
  <c r="AH190" i="6"/>
  <c r="AI190" i="6" s="1"/>
  <c r="AF191" i="6"/>
  <c r="AG191" i="6" s="1"/>
  <c r="AH191" i="6"/>
  <c r="AI191" i="6" s="1"/>
  <c r="AF192" i="6"/>
  <c r="AG192" i="6" s="1"/>
  <c r="AH192" i="6"/>
  <c r="AI192" i="6" s="1"/>
  <c r="AF193" i="6"/>
  <c r="AG193" i="6" s="1"/>
  <c r="AH193" i="6"/>
  <c r="AI193" i="6" s="1"/>
  <c r="AF194" i="6"/>
  <c r="AG194" i="6" s="1"/>
  <c r="AH194" i="6"/>
  <c r="AI194" i="6" s="1"/>
  <c r="AF195" i="6"/>
  <c r="AG195" i="6" s="1"/>
  <c r="AH195" i="6"/>
  <c r="AI195" i="6" s="1"/>
  <c r="AF196" i="6"/>
  <c r="AG196" i="6" s="1"/>
  <c r="AH196" i="6"/>
  <c r="AI196" i="6" s="1"/>
  <c r="AF197" i="6"/>
  <c r="AG197" i="6" s="1"/>
  <c r="AH197" i="6"/>
  <c r="AI197" i="6" s="1"/>
  <c r="AF198" i="6"/>
  <c r="AG198" i="6" s="1"/>
  <c r="AH198" i="6"/>
  <c r="AI198" i="6" s="1"/>
  <c r="AF199" i="6"/>
  <c r="AG199" i="6" s="1"/>
  <c r="AH199" i="6"/>
  <c r="AI199" i="6" s="1"/>
  <c r="AF200" i="6"/>
  <c r="AG200" i="6" s="1"/>
  <c r="AH200" i="6"/>
  <c r="AI200" i="6" s="1"/>
  <c r="AF201" i="6"/>
  <c r="AG201" i="6" s="1"/>
  <c r="AH201" i="6"/>
  <c r="AI201" i="6" s="1"/>
  <c r="AF202" i="6"/>
  <c r="AG202" i="6" s="1"/>
  <c r="AH202" i="6"/>
  <c r="AI202" i="6" s="1"/>
  <c r="AF203" i="6"/>
  <c r="AG203" i="6" s="1"/>
  <c r="AH203" i="6"/>
  <c r="AI203" i="6" s="1"/>
  <c r="AF204" i="6"/>
  <c r="AG204" i="6" s="1"/>
  <c r="AH204" i="6"/>
  <c r="AI204" i="6" s="1"/>
  <c r="AF205" i="6"/>
  <c r="AG205" i="6" s="1"/>
  <c r="AH205" i="6"/>
  <c r="AI205" i="6" s="1"/>
  <c r="AF206" i="6"/>
  <c r="AG206" i="6" s="1"/>
  <c r="AH206" i="6"/>
  <c r="AI206" i="6" s="1"/>
  <c r="AF207" i="6"/>
  <c r="AG207" i="6" s="1"/>
  <c r="AH207" i="6"/>
  <c r="AI207" i="6" s="1"/>
  <c r="AF208" i="6"/>
  <c r="AG208" i="6" s="1"/>
  <c r="AH208" i="6"/>
  <c r="AI208" i="6" s="1"/>
  <c r="AF209" i="6"/>
  <c r="AG209" i="6" s="1"/>
  <c r="AH209" i="6"/>
  <c r="AI209" i="6" s="1"/>
  <c r="AF210" i="6"/>
  <c r="AG210" i="6" s="1"/>
  <c r="AH210" i="6"/>
  <c r="AI210" i="6" s="1"/>
  <c r="AF211" i="6"/>
  <c r="AG211" i="6" s="1"/>
  <c r="AH211" i="6"/>
  <c r="AI211" i="6" s="1"/>
  <c r="AF212" i="6"/>
  <c r="AG212" i="6" s="1"/>
  <c r="AH212" i="6"/>
  <c r="AI212" i="6" s="1"/>
  <c r="AF213" i="6"/>
  <c r="AG213" i="6" s="1"/>
  <c r="AH213" i="6"/>
  <c r="AI213" i="6" s="1"/>
  <c r="AF214" i="6"/>
  <c r="AG214" i="6" s="1"/>
  <c r="AH214" i="6"/>
  <c r="AI214" i="6" s="1"/>
  <c r="AF215" i="6"/>
  <c r="AG215" i="6" s="1"/>
  <c r="AH215" i="6"/>
  <c r="AI215" i="6" s="1"/>
  <c r="AF216" i="6"/>
  <c r="AG216" i="6" s="1"/>
  <c r="AH216" i="6"/>
  <c r="AI216" i="6" s="1"/>
  <c r="AF217" i="6"/>
  <c r="AG217" i="6" s="1"/>
  <c r="AH217" i="6"/>
  <c r="AI217" i="6" s="1"/>
  <c r="AF218" i="6"/>
  <c r="AG218" i="6" s="1"/>
  <c r="AH218" i="6"/>
  <c r="AI218" i="6" s="1"/>
  <c r="AF219" i="6"/>
  <c r="AG219" i="6" s="1"/>
  <c r="AH219" i="6"/>
  <c r="AI219" i="6" s="1"/>
  <c r="AF220" i="6"/>
  <c r="AG220" i="6" s="1"/>
  <c r="AH220" i="6"/>
  <c r="AI220" i="6" s="1"/>
  <c r="AF221" i="6"/>
  <c r="AG221" i="6" s="1"/>
  <c r="AH221" i="6"/>
  <c r="AI221" i="6" s="1"/>
  <c r="AF222" i="6"/>
  <c r="AG222" i="6" s="1"/>
  <c r="AH222" i="6"/>
  <c r="AI222" i="6" s="1"/>
  <c r="AF223" i="6"/>
  <c r="AG223" i="6" s="1"/>
  <c r="AH223" i="6"/>
  <c r="AI223" i="6" s="1"/>
  <c r="AF224" i="6"/>
  <c r="AG224" i="6" s="1"/>
  <c r="AH224" i="6"/>
  <c r="AI224" i="6" s="1"/>
  <c r="AF225" i="6"/>
  <c r="AG225" i="6" s="1"/>
  <c r="AH225" i="6"/>
  <c r="AI225" i="6" s="1"/>
  <c r="AF226" i="6"/>
  <c r="AG226" i="6" s="1"/>
  <c r="AH226" i="6"/>
  <c r="AI226" i="6" s="1"/>
  <c r="AF227" i="6"/>
  <c r="AG227" i="6" s="1"/>
  <c r="AH227" i="6"/>
  <c r="AI227" i="6" s="1"/>
  <c r="AF228" i="6"/>
  <c r="AG228" i="6" s="1"/>
  <c r="AH228" i="6"/>
  <c r="AI228" i="6" s="1"/>
  <c r="AF229" i="6"/>
  <c r="AG229" i="6" s="1"/>
  <c r="AH229" i="6"/>
  <c r="AI229" i="6" s="1"/>
  <c r="AF230" i="6"/>
  <c r="AG230" i="6" s="1"/>
  <c r="AH230" i="6"/>
  <c r="AI230" i="6" s="1"/>
  <c r="AF231" i="6"/>
  <c r="AG231" i="6" s="1"/>
  <c r="AH231" i="6"/>
  <c r="AI231" i="6" s="1"/>
  <c r="AF232" i="6"/>
  <c r="AG232" i="6" s="1"/>
  <c r="AH232" i="6"/>
  <c r="AI232" i="6" s="1"/>
  <c r="AF233" i="6"/>
  <c r="AG233" i="6" s="1"/>
  <c r="AH233" i="6"/>
  <c r="AI233" i="6" s="1"/>
  <c r="AF234" i="6"/>
  <c r="AG234" i="6" s="1"/>
  <c r="AH234" i="6"/>
  <c r="AI234" i="6" s="1"/>
  <c r="AF235" i="6"/>
  <c r="AG235" i="6" s="1"/>
  <c r="AH235" i="6"/>
  <c r="AI235" i="6" s="1"/>
  <c r="AF236" i="6"/>
  <c r="AG236" i="6" s="1"/>
  <c r="AH236" i="6"/>
  <c r="AI236" i="6" s="1"/>
  <c r="AF237" i="6"/>
  <c r="AG237" i="6" s="1"/>
  <c r="AH237" i="6"/>
  <c r="AI237" i="6" s="1"/>
  <c r="AF238" i="6"/>
  <c r="AG238" i="6" s="1"/>
  <c r="AH238" i="6"/>
  <c r="AI238" i="6" s="1"/>
  <c r="AF239" i="6"/>
  <c r="AG239" i="6" s="1"/>
  <c r="AH239" i="6"/>
  <c r="AI239" i="6" s="1"/>
  <c r="AF240" i="6"/>
  <c r="AG240" i="6" s="1"/>
  <c r="AH240" i="6"/>
  <c r="AI240" i="6" s="1"/>
  <c r="AF241" i="6"/>
  <c r="AG241" i="6" s="1"/>
  <c r="AH241" i="6"/>
  <c r="AI241" i="6" s="1"/>
  <c r="AF242" i="6"/>
  <c r="AG242" i="6" s="1"/>
  <c r="AH242" i="6"/>
  <c r="AI242" i="6" s="1"/>
  <c r="AF243" i="6"/>
  <c r="AG243" i="6" s="1"/>
  <c r="AH243" i="6"/>
  <c r="AI243" i="6" s="1"/>
  <c r="AF244" i="6"/>
  <c r="AG244" i="6" s="1"/>
  <c r="AH244" i="6"/>
  <c r="AI244" i="6" s="1"/>
  <c r="AF245" i="6"/>
  <c r="AG245" i="6" s="1"/>
  <c r="AH245" i="6"/>
  <c r="AI245" i="6" s="1"/>
  <c r="AF246" i="6"/>
  <c r="AG246" i="6" s="1"/>
  <c r="AH246" i="6"/>
  <c r="AI246" i="6" s="1"/>
  <c r="AF247" i="6"/>
  <c r="AG247" i="6" s="1"/>
  <c r="AH247" i="6"/>
  <c r="AI247" i="6" s="1"/>
  <c r="AF248" i="6"/>
  <c r="AG248" i="6" s="1"/>
  <c r="AH248" i="6"/>
  <c r="AI248" i="6" s="1"/>
  <c r="AF249" i="6"/>
  <c r="AG249" i="6" s="1"/>
  <c r="AH249" i="6"/>
  <c r="AI249" i="6" s="1"/>
  <c r="AF250" i="6"/>
  <c r="AG250" i="6" s="1"/>
  <c r="AH250" i="6"/>
  <c r="AI250" i="6" s="1"/>
  <c r="AF251" i="6"/>
  <c r="AG251" i="6" s="1"/>
  <c r="AH251" i="6"/>
  <c r="AI251" i="6" s="1"/>
  <c r="AF252" i="6"/>
  <c r="AG252" i="6" s="1"/>
  <c r="AH252" i="6"/>
  <c r="AI252" i="6" s="1"/>
  <c r="AF253" i="6"/>
  <c r="AG253" i="6" s="1"/>
  <c r="AH253" i="6"/>
  <c r="AI253" i="6" s="1"/>
  <c r="AF254" i="6"/>
  <c r="AG254" i="6" s="1"/>
  <c r="AH254" i="6"/>
  <c r="AI254" i="6" s="1"/>
  <c r="AF255" i="6"/>
  <c r="AG255" i="6" s="1"/>
  <c r="AH255" i="6"/>
  <c r="AI255" i="6" s="1"/>
  <c r="AF256" i="6"/>
  <c r="AG256" i="6" s="1"/>
  <c r="AH256" i="6"/>
  <c r="AI256" i="6" s="1"/>
  <c r="AF257" i="6"/>
  <c r="AG257" i="6" s="1"/>
  <c r="AH257" i="6"/>
  <c r="AI257" i="6" s="1"/>
  <c r="AF258" i="6"/>
  <c r="AG258" i="6" s="1"/>
  <c r="AH258" i="6"/>
  <c r="AI258" i="6" s="1"/>
  <c r="AF259" i="6"/>
  <c r="AG259" i="6" s="1"/>
  <c r="AH259" i="6"/>
  <c r="AI259" i="6" s="1"/>
  <c r="AF260" i="6"/>
  <c r="AG260" i="6" s="1"/>
  <c r="AH260" i="6"/>
  <c r="AI260" i="6" s="1"/>
  <c r="AF261" i="6"/>
  <c r="AG261" i="6" s="1"/>
  <c r="AH261" i="6"/>
  <c r="AI261" i="6" s="1"/>
  <c r="AF262" i="6"/>
  <c r="AG262" i="6" s="1"/>
  <c r="AH262" i="6"/>
  <c r="AI262" i="6" s="1"/>
  <c r="AF263" i="6"/>
  <c r="AG263" i="6" s="1"/>
  <c r="AH263" i="6"/>
  <c r="AI263" i="6" s="1"/>
  <c r="AF264" i="6"/>
  <c r="AG264" i="6" s="1"/>
  <c r="AH264" i="6"/>
  <c r="AI264" i="6" s="1"/>
  <c r="AF265" i="6"/>
  <c r="AG265" i="6" s="1"/>
  <c r="AH265" i="6"/>
  <c r="AI265" i="6" s="1"/>
  <c r="AF266" i="6"/>
  <c r="AG266" i="6" s="1"/>
  <c r="AH266" i="6"/>
  <c r="AI266" i="6" s="1"/>
  <c r="AF267" i="6"/>
  <c r="AG267" i="6" s="1"/>
  <c r="AH267" i="6"/>
  <c r="AI267" i="6" s="1"/>
  <c r="AF268" i="6"/>
  <c r="AG268" i="6" s="1"/>
  <c r="AH268" i="6"/>
  <c r="AI268" i="6" s="1"/>
  <c r="AF269" i="6"/>
  <c r="AG269" i="6" s="1"/>
  <c r="AH269" i="6"/>
  <c r="AI269" i="6" s="1"/>
  <c r="AF270" i="6"/>
  <c r="AG270" i="6" s="1"/>
  <c r="AH270" i="6"/>
  <c r="AI270" i="6" s="1"/>
  <c r="AF271" i="6"/>
  <c r="AG271" i="6" s="1"/>
  <c r="AH271" i="6"/>
  <c r="AI271" i="6" s="1"/>
  <c r="AF272" i="6"/>
  <c r="AG272" i="6" s="1"/>
  <c r="AH272" i="6"/>
  <c r="AI272" i="6" s="1"/>
  <c r="AF273" i="6"/>
  <c r="AG273" i="6" s="1"/>
  <c r="AH273" i="6"/>
  <c r="AI273" i="6" s="1"/>
  <c r="AF274" i="6"/>
  <c r="AG274" i="6" s="1"/>
  <c r="AH274" i="6"/>
  <c r="AI274" i="6" s="1"/>
  <c r="AF275" i="6"/>
  <c r="AG275" i="6" s="1"/>
  <c r="AH275" i="6"/>
  <c r="AI275" i="6" s="1"/>
  <c r="AF276" i="6"/>
  <c r="AG276" i="6" s="1"/>
  <c r="AH276" i="6"/>
  <c r="AI276" i="6" s="1"/>
  <c r="AF277" i="6"/>
  <c r="AG277" i="6" s="1"/>
  <c r="AH277" i="6"/>
  <c r="AI277" i="6" s="1"/>
  <c r="AF278" i="6"/>
  <c r="AG278" i="6" s="1"/>
  <c r="AH278" i="6"/>
  <c r="AI278" i="6" s="1"/>
  <c r="AF279" i="6"/>
  <c r="AG279" i="6" s="1"/>
  <c r="AH279" i="6"/>
  <c r="AI279" i="6" s="1"/>
  <c r="AF280" i="6"/>
  <c r="AG280" i="6" s="1"/>
  <c r="AH280" i="6"/>
  <c r="AI280" i="6" s="1"/>
  <c r="AF281" i="6"/>
  <c r="AG281" i="6" s="1"/>
  <c r="AH281" i="6"/>
  <c r="AI281" i="6" s="1"/>
  <c r="AF282" i="6"/>
  <c r="AG282" i="6" s="1"/>
  <c r="AH282" i="6"/>
  <c r="AI282" i="6" s="1"/>
  <c r="AF283" i="6"/>
  <c r="AG283" i="6" s="1"/>
  <c r="AH283" i="6"/>
  <c r="AI283" i="6" s="1"/>
  <c r="AF284" i="6"/>
  <c r="AG284" i="6" s="1"/>
  <c r="AH284" i="6"/>
  <c r="AI284" i="6" s="1"/>
  <c r="AF285" i="6"/>
  <c r="AG285" i="6" s="1"/>
  <c r="AH285" i="6"/>
  <c r="AI285" i="6" s="1"/>
  <c r="AF286" i="6"/>
  <c r="AG286" i="6" s="1"/>
  <c r="AH286" i="6"/>
  <c r="AI286" i="6" s="1"/>
  <c r="AF287" i="6"/>
  <c r="AG287" i="6" s="1"/>
  <c r="AH287" i="6"/>
  <c r="AI287" i="6" s="1"/>
  <c r="AF288" i="6"/>
  <c r="AG288" i="6" s="1"/>
  <c r="AH288" i="6"/>
  <c r="AI288" i="6" s="1"/>
  <c r="AF289" i="6"/>
  <c r="AG289" i="6" s="1"/>
  <c r="AH289" i="6"/>
  <c r="AI289" i="6" s="1"/>
  <c r="AF290" i="6"/>
  <c r="AG290" i="6" s="1"/>
  <c r="AH290" i="6"/>
  <c r="AI290" i="6" s="1"/>
  <c r="AF291" i="6"/>
  <c r="AG291" i="6" s="1"/>
  <c r="AH291" i="6"/>
  <c r="AI291" i="6" s="1"/>
  <c r="AF292" i="6"/>
  <c r="AG292" i="6" s="1"/>
  <c r="AH292" i="6"/>
  <c r="AI292" i="6" s="1"/>
  <c r="AF293" i="6"/>
  <c r="AG293" i="6" s="1"/>
  <c r="AH293" i="6"/>
  <c r="AI293" i="6" s="1"/>
  <c r="AF294" i="6"/>
  <c r="AG294" i="6" s="1"/>
  <c r="AH294" i="6"/>
  <c r="AI294" i="6" s="1"/>
  <c r="AF295" i="6"/>
  <c r="AG295" i="6" s="1"/>
  <c r="AH295" i="6"/>
  <c r="AI295" i="6" s="1"/>
  <c r="AF296" i="6"/>
  <c r="AG296" i="6" s="1"/>
  <c r="AH296" i="6"/>
  <c r="AI296" i="6" s="1"/>
  <c r="AF297" i="6"/>
  <c r="AG297" i="6" s="1"/>
  <c r="AH297" i="6"/>
  <c r="AI297" i="6" s="1"/>
  <c r="AF298" i="6"/>
  <c r="AG298" i="6" s="1"/>
  <c r="AH298" i="6"/>
  <c r="AI298" i="6" s="1"/>
  <c r="AF299" i="6"/>
  <c r="AG299" i="6" s="1"/>
  <c r="AH299" i="6"/>
  <c r="AI299" i="6" s="1"/>
  <c r="AF300" i="6"/>
  <c r="AG300" i="6" s="1"/>
  <c r="AH300" i="6"/>
  <c r="AI300" i="6" s="1"/>
  <c r="AF301" i="6"/>
  <c r="AG301" i="6" s="1"/>
  <c r="AH301" i="6"/>
  <c r="AI301" i="6" s="1"/>
  <c r="AF302" i="6"/>
  <c r="AG302" i="6" s="1"/>
  <c r="AH302" i="6"/>
  <c r="AI302" i="6" s="1"/>
  <c r="AF303" i="6"/>
  <c r="AG303" i="6" s="1"/>
  <c r="AH303" i="6"/>
  <c r="AI303" i="6" s="1"/>
  <c r="AF304" i="6"/>
  <c r="AG304" i="6" s="1"/>
  <c r="AH304" i="6"/>
  <c r="AI304" i="6" s="1"/>
  <c r="AF305" i="6"/>
  <c r="AG305" i="6" s="1"/>
  <c r="AH305" i="6"/>
  <c r="AI305" i="6" s="1"/>
  <c r="AF306" i="6"/>
  <c r="AG306" i="6" s="1"/>
  <c r="AH306" i="6"/>
  <c r="AI306" i="6" s="1"/>
  <c r="AF307" i="6"/>
  <c r="AG307" i="6" s="1"/>
  <c r="AH307" i="6"/>
  <c r="AI307" i="6" s="1"/>
  <c r="AF308" i="6"/>
  <c r="AG308" i="6" s="1"/>
  <c r="AH308" i="6"/>
  <c r="AI308" i="6" s="1"/>
  <c r="AF309" i="6"/>
  <c r="AG309" i="6" s="1"/>
  <c r="AH309" i="6"/>
  <c r="AI309" i="6" s="1"/>
  <c r="AF310" i="6"/>
  <c r="AG310" i="6" s="1"/>
  <c r="AH310" i="6"/>
  <c r="AI310" i="6" s="1"/>
  <c r="AF311" i="6"/>
  <c r="AG311" i="6" s="1"/>
  <c r="AH311" i="6"/>
  <c r="AI311" i="6" s="1"/>
  <c r="AF312" i="6"/>
  <c r="AG312" i="6" s="1"/>
  <c r="AH312" i="6"/>
  <c r="AI312" i="6" s="1"/>
  <c r="AF313" i="6"/>
  <c r="AG313" i="6" s="1"/>
  <c r="AH313" i="6"/>
  <c r="AI313" i="6" s="1"/>
  <c r="AF314" i="6"/>
  <c r="AG314" i="6" s="1"/>
  <c r="AH314" i="6"/>
  <c r="AI314" i="6" s="1"/>
  <c r="AF315" i="6"/>
  <c r="AG315" i="6" s="1"/>
  <c r="AH315" i="6"/>
  <c r="AI315" i="6" s="1"/>
  <c r="AF316" i="6"/>
  <c r="AG316" i="6" s="1"/>
  <c r="AH316" i="6"/>
  <c r="AI316" i="6" s="1"/>
  <c r="AF317" i="6"/>
  <c r="AG317" i="6" s="1"/>
  <c r="AH317" i="6"/>
  <c r="AI317" i="6" s="1"/>
  <c r="AF318" i="6"/>
  <c r="AG318" i="6" s="1"/>
  <c r="AH318" i="6"/>
  <c r="AI318" i="6" s="1"/>
  <c r="AF319" i="6"/>
  <c r="AG319" i="6" s="1"/>
  <c r="AH319" i="6"/>
  <c r="AI319" i="6" s="1"/>
  <c r="AF320" i="6"/>
  <c r="AG320" i="6" s="1"/>
  <c r="AH320" i="6"/>
  <c r="AI320" i="6" s="1"/>
  <c r="AF321" i="6"/>
  <c r="AG321" i="6" s="1"/>
  <c r="AH321" i="6"/>
  <c r="AI321" i="6" s="1"/>
  <c r="AF322" i="6"/>
  <c r="AG322" i="6" s="1"/>
  <c r="AH322" i="6"/>
  <c r="AI322" i="6" s="1"/>
  <c r="AF323" i="6"/>
  <c r="AG323" i="6" s="1"/>
  <c r="AH323" i="6"/>
  <c r="AI323" i="6" s="1"/>
  <c r="AF324" i="6"/>
  <c r="AG324" i="6" s="1"/>
  <c r="AH324" i="6"/>
  <c r="AI324" i="6" s="1"/>
  <c r="AF325" i="6"/>
  <c r="AG325" i="6" s="1"/>
  <c r="AH325" i="6"/>
  <c r="AI325" i="6" s="1"/>
  <c r="AF326" i="6"/>
  <c r="AG326" i="6" s="1"/>
  <c r="AH326" i="6"/>
  <c r="AI326" i="6" s="1"/>
  <c r="AF327" i="6"/>
  <c r="AG327" i="6" s="1"/>
  <c r="AH327" i="6"/>
  <c r="AI327" i="6" s="1"/>
  <c r="AF328" i="6"/>
  <c r="AG328" i="6" s="1"/>
  <c r="AH328" i="6"/>
  <c r="AI328" i="6" s="1"/>
  <c r="AF329" i="6"/>
  <c r="AG329" i="6" s="1"/>
  <c r="AH329" i="6"/>
  <c r="AI329" i="6" s="1"/>
  <c r="AF330" i="6"/>
  <c r="AG330" i="6" s="1"/>
  <c r="AH330" i="6"/>
  <c r="AI330" i="6" s="1"/>
  <c r="AF331" i="6"/>
  <c r="AG331" i="6" s="1"/>
  <c r="AH331" i="6"/>
  <c r="AI331" i="6" s="1"/>
  <c r="AF332" i="6"/>
  <c r="AG332" i="6" s="1"/>
  <c r="AH332" i="6"/>
  <c r="AI332" i="6" s="1"/>
  <c r="AF333" i="6"/>
  <c r="AG333" i="6" s="1"/>
  <c r="AH333" i="6"/>
  <c r="AI333" i="6" s="1"/>
  <c r="AF334" i="6"/>
  <c r="AG334" i="6" s="1"/>
  <c r="AH334" i="6"/>
  <c r="AI334" i="6" s="1"/>
  <c r="AF335" i="6"/>
  <c r="AG335" i="6" s="1"/>
  <c r="AH335" i="6"/>
  <c r="AI335" i="6" s="1"/>
  <c r="AF336" i="6"/>
  <c r="AG336" i="6" s="1"/>
  <c r="AH336" i="6"/>
  <c r="AI336" i="6"/>
  <c r="AF337" i="6"/>
  <c r="AG337" i="6"/>
  <c r="AH337" i="6"/>
  <c r="AI337" i="6"/>
  <c r="AF338" i="6"/>
  <c r="AG338" i="6"/>
  <c r="AH338" i="6"/>
  <c r="AI338" i="6"/>
  <c r="AF339" i="6"/>
  <c r="AG339" i="6"/>
  <c r="AH339" i="6"/>
  <c r="AI339" i="6"/>
  <c r="AF340" i="6"/>
  <c r="AG340" i="6"/>
  <c r="AH340" i="6"/>
  <c r="AI340" i="6"/>
  <c r="AF341" i="6"/>
  <c r="AG341" i="6"/>
  <c r="AH341" i="6"/>
  <c r="AI341" i="6"/>
  <c r="AF342" i="6"/>
  <c r="AG342" i="6"/>
  <c r="AH342" i="6"/>
  <c r="AI342" i="6"/>
  <c r="AF343" i="6"/>
  <c r="AG343" i="6"/>
  <c r="AH343" i="6"/>
  <c r="AI343" i="6"/>
  <c r="AF344" i="6"/>
  <c r="AG344" i="6" s="1"/>
  <c r="AH344" i="6"/>
  <c r="AI344" i="6" s="1"/>
  <c r="AF345" i="6"/>
  <c r="AG345" i="6" s="1"/>
  <c r="AH345" i="6"/>
  <c r="AI345" i="6"/>
  <c r="AF346" i="6"/>
  <c r="AG346" i="6" s="1"/>
  <c r="AH346" i="6"/>
  <c r="AI346" i="6" s="1"/>
  <c r="AF347" i="6"/>
  <c r="AG347" i="6" s="1"/>
  <c r="AH347" i="6"/>
  <c r="AI347" i="6"/>
  <c r="AF348" i="6"/>
  <c r="AG348" i="6" s="1"/>
  <c r="AH348" i="6"/>
  <c r="AI348" i="6" s="1"/>
  <c r="AF349" i="6"/>
  <c r="AG349" i="6" s="1"/>
  <c r="AH349" i="6"/>
  <c r="AI349" i="6"/>
  <c r="AF350" i="6"/>
  <c r="AG350" i="6" s="1"/>
  <c r="AH350" i="6"/>
  <c r="AI350" i="6" s="1"/>
  <c r="AF351" i="6"/>
  <c r="AG351" i="6" s="1"/>
  <c r="AH351" i="6"/>
  <c r="AI351" i="6"/>
  <c r="AF352" i="6"/>
  <c r="AG352" i="6" s="1"/>
  <c r="AH352" i="6"/>
  <c r="AI352" i="6" s="1"/>
  <c r="AF353" i="6"/>
  <c r="AG353" i="6" s="1"/>
  <c r="AH353" i="6"/>
  <c r="AI353" i="6"/>
  <c r="AF354" i="6"/>
  <c r="AG354" i="6" s="1"/>
  <c r="AH354" i="6"/>
  <c r="AI354" i="6" s="1"/>
  <c r="AF355" i="6"/>
  <c r="AG355" i="6" s="1"/>
  <c r="AH355" i="6"/>
  <c r="AI355" i="6"/>
  <c r="AF356" i="6"/>
  <c r="AG356" i="6" s="1"/>
  <c r="AH356" i="6"/>
  <c r="AI356" i="6" s="1"/>
  <c r="AF357" i="6"/>
  <c r="AG357" i="6" s="1"/>
  <c r="AH357" i="6"/>
  <c r="AI357" i="6"/>
  <c r="AF358" i="6"/>
  <c r="AG358" i="6" s="1"/>
  <c r="AH358" i="6"/>
  <c r="AI358" i="6" s="1"/>
  <c r="AF359" i="6"/>
  <c r="AG359" i="6" s="1"/>
  <c r="AH359" i="6"/>
  <c r="AI359" i="6"/>
  <c r="AF360" i="6"/>
  <c r="AG360" i="6" s="1"/>
  <c r="AH360" i="6"/>
  <c r="AI360" i="6" s="1"/>
  <c r="AF361" i="6"/>
  <c r="AG361" i="6" s="1"/>
  <c r="AH361" i="6"/>
  <c r="AI361" i="6"/>
  <c r="AF362" i="6"/>
  <c r="AG362" i="6" s="1"/>
  <c r="AH362" i="6"/>
  <c r="AI362" i="6" s="1"/>
  <c r="AF363" i="6"/>
  <c r="AG363" i="6" s="1"/>
  <c r="AH363" i="6"/>
  <c r="AI363" i="6"/>
  <c r="AF364" i="6"/>
  <c r="AG364" i="6" s="1"/>
  <c r="AH364" i="6"/>
  <c r="AI364" i="6" s="1"/>
  <c r="AF365" i="6"/>
  <c r="AG365" i="6" s="1"/>
  <c r="AH365" i="6"/>
  <c r="AI365" i="6"/>
  <c r="AF366" i="6"/>
  <c r="AG366" i="6" s="1"/>
  <c r="AH366" i="6"/>
  <c r="AI366" i="6" s="1"/>
  <c r="AF367" i="6"/>
  <c r="AG367" i="6" s="1"/>
  <c r="AH367" i="6"/>
  <c r="AI367" i="6"/>
  <c r="AF368" i="6"/>
  <c r="AG368" i="6" s="1"/>
  <c r="AH368" i="6"/>
  <c r="AI368" i="6" s="1"/>
  <c r="AF369" i="6"/>
  <c r="AG369" i="6" s="1"/>
  <c r="AH369" i="6"/>
  <c r="AI369" i="6"/>
  <c r="AF370" i="6"/>
  <c r="AG370" i="6" s="1"/>
  <c r="AH370" i="6"/>
  <c r="AI370" i="6" s="1"/>
  <c r="AF371" i="6"/>
  <c r="AG371" i="6" s="1"/>
  <c r="AH371" i="6"/>
  <c r="AI371" i="6"/>
  <c r="AF372" i="6"/>
  <c r="AG372" i="6" s="1"/>
  <c r="AH372" i="6"/>
  <c r="AI372" i="6" s="1"/>
  <c r="AF373" i="6"/>
  <c r="AG373" i="6" s="1"/>
  <c r="AH373" i="6"/>
  <c r="AI373" i="6"/>
  <c r="AF374" i="6"/>
  <c r="AG374" i="6" s="1"/>
  <c r="AH374" i="6"/>
  <c r="AI374" i="6" s="1"/>
  <c r="AF375" i="6"/>
  <c r="AG375" i="6" s="1"/>
  <c r="AH375" i="6"/>
  <c r="AI375" i="6"/>
  <c r="AF376" i="6"/>
  <c r="AG376" i="6" s="1"/>
  <c r="AH376" i="6"/>
  <c r="AI376" i="6" s="1"/>
  <c r="AF377" i="6"/>
  <c r="AG377" i="6" s="1"/>
  <c r="AH377" i="6"/>
  <c r="AI377" i="6"/>
  <c r="AF378" i="6"/>
  <c r="AG378" i="6" s="1"/>
  <c r="AH378" i="6"/>
  <c r="AI378" i="6" s="1"/>
  <c r="AF379" i="6"/>
  <c r="AG379" i="6" s="1"/>
  <c r="AH379" i="6"/>
  <c r="AI379" i="6"/>
  <c r="AF380" i="6"/>
  <c r="AG380" i="6" s="1"/>
  <c r="AH380" i="6"/>
  <c r="AI380" i="6" s="1"/>
  <c r="AF381" i="6"/>
  <c r="AG381" i="6" s="1"/>
  <c r="AH381" i="6"/>
  <c r="AI381" i="6"/>
  <c r="AF382" i="6"/>
  <c r="AG382" i="6" s="1"/>
  <c r="AH382" i="6"/>
  <c r="AI382" i="6" s="1"/>
  <c r="AF383" i="6"/>
  <c r="AG383" i="6" s="1"/>
  <c r="AH383" i="6"/>
  <c r="AI383" i="6"/>
  <c r="AF384" i="6"/>
  <c r="AG384" i="6" s="1"/>
  <c r="AH384" i="6"/>
  <c r="AI384" i="6" s="1"/>
  <c r="AF385" i="6"/>
  <c r="AG385" i="6" s="1"/>
  <c r="AH385" i="6"/>
  <c r="AI385" i="6"/>
  <c r="AF386" i="6"/>
  <c r="AG386" i="6" s="1"/>
  <c r="AH386" i="6"/>
  <c r="AI386" i="6" s="1"/>
  <c r="AF387" i="6"/>
  <c r="AG387" i="6" s="1"/>
  <c r="AH387" i="6"/>
  <c r="AI387" i="6"/>
  <c r="AF388" i="6"/>
  <c r="AG388" i="6" s="1"/>
  <c r="AH388" i="6"/>
  <c r="AI388" i="6" s="1"/>
  <c r="AF389" i="6"/>
  <c r="AG389" i="6" s="1"/>
  <c r="AH389" i="6"/>
  <c r="AI389" i="6"/>
  <c r="AF390" i="6"/>
  <c r="AG390" i="6" s="1"/>
  <c r="AH390" i="6"/>
  <c r="AI390" i="6" s="1"/>
  <c r="AF391" i="6"/>
  <c r="AG391" i="6" s="1"/>
  <c r="AH391" i="6"/>
  <c r="AI391" i="6"/>
  <c r="AF392" i="6"/>
  <c r="AG392" i="6" s="1"/>
  <c r="AH392" i="6"/>
  <c r="AI392" i="6" s="1"/>
  <c r="AF393" i="6"/>
  <c r="AG393" i="6" s="1"/>
  <c r="AH393" i="6"/>
  <c r="AI393" i="6"/>
  <c r="AF394" i="6"/>
  <c r="AG394" i="6" s="1"/>
  <c r="AH394" i="6"/>
  <c r="AI394" i="6" s="1"/>
  <c r="AF395" i="6"/>
  <c r="AG395" i="6" s="1"/>
  <c r="AH395" i="6"/>
  <c r="AI395" i="6"/>
  <c r="AF396" i="6"/>
  <c r="AG396" i="6" s="1"/>
  <c r="AH396" i="6"/>
  <c r="AI396" i="6" s="1"/>
  <c r="AF397" i="6"/>
  <c r="AG397" i="6" s="1"/>
  <c r="AH397" i="6"/>
  <c r="AI397" i="6"/>
  <c r="AF398" i="6"/>
  <c r="AG398" i="6" s="1"/>
  <c r="AH398" i="6"/>
  <c r="AI398" i="6" s="1"/>
  <c r="AF399" i="6"/>
  <c r="AG399" i="6" s="1"/>
  <c r="AH399" i="6"/>
  <c r="AI399" i="6"/>
  <c r="AF400" i="6"/>
  <c r="AG400" i="6" s="1"/>
  <c r="AH400" i="6"/>
  <c r="AI400" i="6" s="1"/>
  <c r="AF401" i="6"/>
  <c r="AG401" i="6" s="1"/>
  <c r="AH401" i="6"/>
  <c r="AI401" i="6"/>
  <c r="AF402" i="6"/>
  <c r="AG402" i="6" s="1"/>
  <c r="AH402" i="6"/>
  <c r="AI402" i="6" s="1"/>
  <c r="AF403" i="6"/>
  <c r="AG403" i="6" s="1"/>
  <c r="AH403" i="6"/>
  <c r="AI403" i="6"/>
  <c r="AF404" i="6"/>
  <c r="AG404" i="6" s="1"/>
  <c r="AH404" i="6"/>
  <c r="AI404" i="6" s="1"/>
  <c r="AF405" i="6"/>
  <c r="AG405" i="6" s="1"/>
  <c r="AH405" i="6"/>
  <c r="AI405" i="6" s="1"/>
  <c r="AF406" i="6"/>
  <c r="AG406" i="6" s="1"/>
  <c r="AH406" i="6"/>
  <c r="AI406" i="6" s="1"/>
  <c r="AF407" i="6"/>
  <c r="AG407" i="6" s="1"/>
  <c r="AH407" i="6"/>
  <c r="AI407" i="6"/>
  <c r="AF408" i="6"/>
  <c r="AG408" i="6" s="1"/>
  <c r="AH408" i="6"/>
  <c r="AI408" i="6" s="1"/>
  <c r="AF409" i="6"/>
  <c r="AG409" i="6" s="1"/>
  <c r="AH409" i="6"/>
  <c r="AI409" i="6" s="1"/>
  <c r="AF410" i="6"/>
  <c r="AG410" i="6" s="1"/>
  <c r="AH410" i="6"/>
  <c r="AI410" i="6" s="1"/>
  <c r="AF411" i="6"/>
  <c r="AG411" i="6" s="1"/>
  <c r="AH411" i="6"/>
  <c r="AI411" i="6"/>
  <c r="AF412" i="6"/>
  <c r="AG412" i="6" s="1"/>
  <c r="AH412" i="6"/>
  <c r="AI412" i="6" s="1"/>
  <c r="AF413" i="6"/>
  <c r="AG413" i="6" s="1"/>
  <c r="AH413" i="6"/>
  <c r="AI413" i="6"/>
  <c r="AF414" i="6"/>
  <c r="AG414" i="6" s="1"/>
  <c r="AH414" i="6"/>
  <c r="AI414" i="6" s="1"/>
  <c r="AF415" i="6"/>
  <c r="AG415" i="6" s="1"/>
  <c r="AH415" i="6"/>
  <c r="AI415" i="6"/>
  <c r="AF416" i="6"/>
  <c r="AG416" i="6" s="1"/>
  <c r="AH416" i="6"/>
  <c r="AI416" i="6" s="1"/>
  <c r="AF417" i="6"/>
  <c r="AG417" i="6" s="1"/>
  <c r="AH417" i="6"/>
  <c r="AI417" i="6" s="1"/>
  <c r="AF418" i="6"/>
  <c r="AG418" i="6" s="1"/>
  <c r="AH418" i="6"/>
  <c r="AI418" i="6" s="1"/>
  <c r="AF419" i="6"/>
  <c r="AG419" i="6" s="1"/>
  <c r="AH419" i="6"/>
  <c r="AI419" i="6"/>
  <c r="AF420" i="6"/>
  <c r="AG420" i="6" s="1"/>
  <c r="AH420" i="6"/>
  <c r="AI420" i="6" s="1"/>
  <c r="AF421" i="6"/>
  <c r="AG421" i="6" s="1"/>
  <c r="AH421" i="6"/>
  <c r="AI421" i="6" s="1"/>
  <c r="AF422" i="6"/>
  <c r="AG422" i="6" s="1"/>
  <c r="AH422" i="6"/>
  <c r="AI422" i="6" s="1"/>
  <c r="AF423" i="6"/>
  <c r="AG423" i="6" s="1"/>
  <c r="AH423" i="6"/>
  <c r="AI423" i="6"/>
  <c r="AF424" i="6"/>
  <c r="AG424" i="6" s="1"/>
  <c r="AH424" i="6"/>
  <c r="AI424" i="6" s="1"/>
  <c r="AF425" i="6"/>
  <c r="AG425" i="6" s="1"/>
  <c r="AH425" i="6"/>
  <c r="AI425" i="6" s="1"/>
  <c r="AF426" i="6"/>
  <c r="AG426" i="6" s="1"/>
  <c r="AH426" i="6"/>
  <c r="AI426" i="6" s="1"/>
  <c r="AF427" i="6"/>
  <c r="AG427" i="6" s="1"/>
  <c r="AH427" i="6"/>
  <c r="AI427" i="6"/>
  <c r="AF428" i="6"/>
  <c r="AG428" i="6" s="1"/>
  <c r="AH428" i="6"/>
  <c r="AI428" i="6" s="1"/>
  <c r="AF429" i="6"/>
  <c r="AG429" i="6" s="1"/>
  <c r="AH429" i="6"/>
  <c r="AI429" i="6" s="1"/>
  <c r="AF430" i="6"/>
  <c r="AG430" i="6" s="1"/>
  <c r="AH430" i="6"/>
  <c r="AI430" i="6" s="1"/>
  <c r="AF431" i="6"/>
  <c r="AG431" i="6" s="1"/>
  <c r="AH431" i="6"/>
  <c r="AI431" i="6"/>
  <c r="AF432" i="6"/>
  <c r="AG432" i="6" s="1"/>
  <c r="AH432" i="6"/>
  <c r="AI432" i="6" s="1"/>
  <c r="AF433" i="6"/>
  <c r="AG433" i="6" s="1"/>
  <c r="AH433" i="6"/>
  <c r="AI433" i="6" s="1"/>
  <c r="AF434" i="6"/>
  <c r="AG434" i="6" s="1"/>
  <c r="AH434" i="6"/>
  <c r="AI434" i="6" s="1"/>
  <c r="AF435" i="6"/>
  <c r="AG435" i="6" s="1"/>
  <c r="AH435" i="6"/>
  <c r="AI435" i="6"/>
  <c r="AF436" i="6"/>
  <c r="AG436" i="6" s="1"/>
  <c r="AH436" i="6"/>
  <c r="AI436" i="6" s="1"/>
  <c r="AF437" i="6"/>
  <c r="AG437" i="6" s="1"/>
  <c r="AH437" i="6"/>
  <c r="AI437" i="6" s="1"/>
  <c r="AF438" i="6"/>
  <c r="AG438" i="6" s="1"/>
  <c r="AH438" i="6"/>
  <c r="AI438" i="6" s="1"/>
  <c r="AF439" i="6"/>
  <c r="AG439" i="6" s="1"/>
  <c r="AH439" i="6"/>
  <c r="AI439" i="6"/>
  <c r="AF440" i="6"/>
  <c r="AG440" i="6" s="1"/>
  <c r="AH440" i="6"/>
  <c r="AI440" i="6" s="1"/>
  <c r="AF441" i="6"/>
  <c r="AG441" i="6" s="1"/>
  <c r="AH441" i="6"/>
  <c r="AI441" i="6" s="1"/>
  <c r="AF442" i="6"/>
  <c r="AG442" i="6" s="1"/>
  <c r="AH442" i="6"/>
  <c r="AI442" i="6" s="1"/>
  <c r="AF443" i="6"/>
  <c r="AG443" i="6" s="1"/>
  <c r="AH443" i="6"/>
  <c r="AI443" i="6"/>
  <c r="AF444" i="6"/>
  <c r="AG444" i="6" s="1"/>
  <c r="AH444" i="6"/>
  <c r="AI444" i="6" s="1"/>
  <c r="AF445" i="6"/>
  <c r="AG445" i="6" s="1"/>
  <c r="AH445" i="6"/>
  <c r="AI445" i="6" s="1"/>
  <c r="AF446" i="6"/>
  <c r="AG446" i="6" s="1"/>
  <c r="AH446" i="6"/>
  <c r="AI446" i="6" s="1"/>
  <c r="AF447" i="6"/>
  <c r="AG447" i="6" s="1"/>
  <c r="AH447" i="6"/>
  <c r="AI447" i="6"/>
  <c r="AF448" i="6"/>
  <c r="AG448" i="6" s="1"/>
  <c r="AH448" i="6"/>
  <c r="AI448" i="6" s="1"/>
  <c r="AF449" i="6"/>
  <c r="AG449" i="6" s="1"/>
  <c r="AH449" i="6"/>
  <c r="AI449" i="6" s="1"/>
  <c r="AF450" i="6"/>
  <c r="AG450" i="6" s="1"/>
  <c r="AH450" i="6"/>
  <c r="AI450" i="6" s="1"/>
  <c r="AF451" i="6"/>
  <c r="AG451" i="6" s="1"/>
  <c r="AH451" i="6"/>
  <c r="AI451" i="6"/>
  <c r="AF452" i="6"/>
  <c r="AG452" i="6" s="1"/>
  <c r="AH452" i="6"/>
  <c r="AI452" i="6" s="1"/>
  <c r="AF453" i="6"/>
  <c r="AG453" i="6" s="1"/>
  <c r="AH453" i="6"/>
  <c r="AI453" i="6" s="1"/>
  <c r="AF454" i="6"/>
  <c r="AG454" i="6" s="1"/>
  <c r="AH454" i="6"/>
  <c r="AI454" i="6" s="1"/>
  <c r="AF455" i="6"/>
  <c r="AG455" i="6" s="1"/>
  <c r="AH455" i="6"/>
  <c r="AI455" i="6"/>
  <c r="AF456" i="6"/>
  <c r="AG456" i="6" s="1"/>
  <c r="AH456" i="6"/>
  <c r="AI456" i="6" s="1"/>
  <c r="AF457" i="6"/>
  <c r="AG457" i="6" s="1"/>
  <c r="AH457" i="6"/>
  <c r="AI457" i="6"/>
  <c r="AF458" i="6"/>
  <c r="AG458" i="6" s="1"/>
  <c r="AH458" i="6"/>
  <c r="AI458" i="6" s="1"/>
  <c r="AF459" i="6"/>
  <c r="AG459" i="6" s="1"/>
  <c r="AH459" i="6"/>
  <c r="AI459" i="6"/>
  <c r="AF460" i="6"/>
  <c r="AG460" i="6" s="1"/>
  <c r="AH460" i="6"/>
  <c r="AI460" i="6" s="1"/>
  <c r="AF461" i="6"/>
  <c r="AG461" i="6" s="1"/>
  <c r="AH461" i="6"/>
  <c r="AI461" i="6" s="1"/>
  <c r="AF462" i="6"/>
  <c r="AG462" i="6" s="1"/>
  <c r="AH462" i="6"/>
  <c r="AI462" i="6" s="1"/>
  <c r="AF463" i="6"/>
  <c r="AG463" i="6" s="1"/>
  <c r="AH463" i="6"/>
  <c r="AI463" i="6"/>
  <c r="AF464" i="6"/>
  <c r="AG464" i="6" s="1"/>
  <c r="AH464" i="6"/>
  <c r="AI464" i="6" s="1"/>
  <c r="AF465" i="6"/>
  <c r="AG465" i="6" s="1"/>
  <c r="AH465" i="6"/>
  <c r="AI465" i="6" s="1"/>
  <c r="AF466" i="6"/>
  <c r="AG466" i="6" s="1"/>
  <c r="AH466" i="6"/>
  <c r="AI466" i="6" s="1"/>
  <c r="AF467" i="6"/>
  <c r="AG467" i="6" s="1"/>
  <c r="AH467" i="6"/>
  <c r="AI467" i="6"/>
  <c r="AF468" i="6"/>
  <c r="AG468" i="6" s="1"/>
  <c r="AH468" i="6"/>
  <c r="AI468" i="6" s="1"/>
  <c r="AF469" i="6"/>
  <c r="AG469" i="6" s="1"/>
  <c r="AH469" i="6"/>
  <c r="AI469" i="6" s="1"/>
  <c r="AF470" i="6"/>
  <c r="AG470" i="6" s="1"/>
  <c r="AH470" i="6"/>
  <c r="AI470" i="6" s="1"/>
  <c r="AF471" i="6"/>
  <c r="AG471" i="6" s="1"/>
  <c r="AH471" i="6"/>
  <c r="AI471" i="6"/>
  <c r="AF472" i="6"/>
  <c r="AG472" i="6" s="1"/>
  <c r="AH472" i="6"/>
  <c r="AI472" i="6" s="1"/>
  <c r="AF473" i="6"/>
  <c r="AG473" i="6" s="1"/>
  <c r="AH473" i="6"/>
  <c r="AI473" i="6" s="1"/>
  <c r="AF474" i="6"/>
  <c r="AG474" i="6" s="1"/>
  <c r="AH474" i="6"/>
  <c r="AI474" i="6" s="1"/>
  <c r="AF475" i="6"/>
  <c r="AG475" i="6" s="1"/>
  <c r="AH475" i="6"/>
  <c r="AI475" i="6"/>
  <c r="AF476" i="6"/>
  <c r="AG476" i="6" s="1"/>
  <c r="AH476" i="6"/>
  <c r="AI476" i="6" s="1"/>
  <c r="AF477" i="6"/>
  <c r="AG477" i="6" s="1"/>
  <c r="AH477" i="6"/>
  <c r="AI477" i="6" s="1"/>
  <c r="AF478" i="6"/>
  <c r="AG478" i="6" s="1"/>
  <c r="AH478" i="6"/>
  <c r="AI478" i="6" s="1"/>
  <c r="AF479" i="6"/>
  <c r="AG479" i="6" s="1"/>
  <c r="AH479" i="6"/>
  <c r="AI479" i="6"/>
  <c r="AF480" i="6"/>
  <c r="AG480" i="6" s="1"/>
  <c r="AH480" i="6"/>
  <c r="AI480" i="6" s="1"/>
  <c r="AF481" i="6"/>
  <c r="AG481" i="6" s="1"/>
  <c r="AH481" i="6"/>
  <c r="AI481" i="6" s="1"/>
  <c r="AF482" i="6"/>
  <c r="AG482" i="6" s="1"/>
  <c r="AH482" i="6"/>
  <c r="AI482" i="6" s="1"/>
  <c r="AF483" i="6"/>
  <c r="AG483" i="6" s="1"/>
  <c r="AH483" i="6"/>
  <c r="AI483" i="6"/>
  <c r="AF484" i="6"/>
  <c r="AG484" i="6" s="1"/>
  <c r="AH484" i="6"/>
  <c r="AI484" i="6" s="1"/>
  <c r="AF485" i="6"/>
  <c r="AG485" i="6" s="1"/>
  <c r="AH485" i="6"/>
  <c r="AI485" i="6" s="1"/>
  <c r="AF486" i="6"/>
  <c r="AG486" i="6" s="1"/>
  <c r="AH486" i="6"/>
  <c r="AI486" i="6" s="1"/>
  <c r="AF487" i="6"/>
  <c r="AG487" i="6" s="1"/>
  <c r="AH487" i="6"/>
  <c r="AI487" i="6"/>
  <c r="AF488" i="6"/>
  <c r="AG488" i="6" s="1"/>
  <c r="AH488" i="6"/>
  <c r="AI488" i="6" s="1"/>
  <c r="AF489" i="6"/>
  <c r="AG489" i="6" s="1"/>
  <c r="AH489" i="6"/>
  <c r="AI489" i="6"/>
  <c r="AF490" i="6"/>
  <c r="AG490" i="6" s="1"/>
  <c r="AH490" i="6"/>
  <c r="AI490" i="6" s="1"/>
  <c r="AF491" i="6"/>
  <c r="AG491" i="6" s="1"/>
  <c r="AH491" i="6"/>
  <c r="AI491" i="6" s="1"/>
  <c r="AF492" i="6"/>
  <c r="AG492" i="6" s="1"/>
  <c r="AH492" i="6"/>
  <c r="AI492" i="6" s="1"/>
  <c r="AF493" i="6"/>
  <c r="AG493" i="6" s="1"/>
  <c r="AH493" i="6"/>
  <c r="AI493" i="6" s="1"/>
  <c r="AF494" i="6"/>
  <c r="AG494" i="6" s="1"/>
  <c r="AH494" i="6"/>
  <c r="AI494" i="6" s="1"/>
  <c r="AF495" i="6"/>
  <c r="AG495" i="6" s="1"/>
  <c r="AH495" i="6"/>
  <c r="AI495" i="6"/>
  <c r="AF496" i="6"/>
  <c r="AG496" i="6" s="1"/>
  <c r="AH496" i="6"/>
  <c r="AI496" i="6" s="1"/>
  <c r="AF497" i="6"/>
  <c r="AG497" i="6" s="1"/>
  <c r="AH497" i="6"/>
  <c r="AI497" i="6" s="1"/>
  <c r="AF498" i="6"/>
  <c r="AG498" i="6" s="1"/>
  <c r="AH498" i="6"/>
  <c r="AI498" i="6" s="1"/>
  <c r="AF499" i="6"/>
  <c r="AG499" i="6" s="1"/>
  <c r="AH499" i="6"/>
  <c r="AI499" i="6"/>
  <c r="AF500" i="6"/>
  <c r="AG500" i="6" s="1"/>
  <c r="AH500" i="6"/>
  <c r="AI500" i="6" s="1"/>
  <c r="AF501" i="6"/>
  <c r="AG501" i="6" s="1"/>
  <c r="AH501" i="6"/>
  <c r="AI501" i="6" s="1"/>
  <c r="AF502" i="6"/>
  <c r="AG502" i="6" s="1"/>
  <c r="AH502" i="6"/>
  <c r="AI502" i="6" s="1"/>
  <c r="AF503" i="6"/>
  <c r="AG503" i="6" s="1"/>
  <c r="AH503" i="6"/>
  <c r="AI503" i="6"/>
  <c r="AF504" i="6"/>
  <c r="AG504" i="6" s="1"/>
  <c r="AH504" i="6"/>
  <c r="AI504" i="6" s="1"/>
  <c r="AF505" i="6"/>
  <c r="AG505" i="6" s="1"/>
  <c r="AH505" i="6"/>
  <c r="AI505" i="6"/>
  <c r="AF506" i="6"/>
  <c r="AG506" i="6" s="1"/>
  <c r="AH506" i="6"/>
  <c r="AI506" i="6" s="1"/>
  <c r="AF507" i="6"/>
  <c r="AG507" i="6" s="1"/>
  <c r="AH507" i="6"/>
  <c r="AI507" i="6"/>
  <c r="AF508" i="6"/>
  <c r="AG508" i="6" s="1"/>
  <c r="AH508" i="6"/>
  <c r="AI508" i="6" s="1"/>
  <c r="AF509" i="6"/>
  <c r="AG509" i="6" s="1"/>
  <c r="AH509" i="6"/>
  <c r="AI509" i="6" s="1"/>
  <c r="AF510" i="6"/>
  <c r="AG510" i="6" s="1"/>
  <c r="AH510" i="6"/>
  <c r="AI510" i="6" s="1"/>
  <c r="AF511" i="6"/>
  <c r="AG511" i="6" s="1"/>
  <c r="AH511" i="6"/>
  <c r="AI511" i="6"/>
  <c r="AF512" i="6"/>
  <c r="AG512" i="6" s="1"/>
  <c r="AH512" i="6"/>
  <c r="AI512" i="6" s="1"/>
  <c r="AF513" i="6"/>
  <c r="AG513" i="6" s="1"/>
  <c r="AH513" i="6"/>
  <c r="AI513" i="6" s="1"/>
  <c r="AF514" i="6"/>
  <c r="AG514" i="6" s="1"/>
  <c r="AH514" i="6"/>
  <c r="AI514" i="6" s="1"/>
  <c r="AF515" i="6"/>
  <c r="AG515" i="6"/>
  <c r="AH515" i="6"/>
  <c r="AI515" i="6" s="1"/>
  <c r="AF516" i="6"/>
  <c r="AG516" i="6" s="1"/>
  <c r="AH516" i="6"/>
  <c r="AI516" i="6" s="1"/>
  <c r="AF517" i="6"/>
  <c r="AG517" i="6" s="1"/>
  <c r="AH517" i="6"/>
  <c r="AI517" i="6"/>
  <c r="AF518" i="6"/>
  <c r="AG518" i="6" s="1"/>
  <c r="AH518" i="6"/>
  <c r="AI518" i="6" s="1"/>
  <c r="AF519" i="6"/>
  <c r="AG519" i="6" s="1"/>
  <c r="AH519" i="6"/>
  <c r="AI519" i="6" s="1"/>
  <c r="AF520" i="6"/>
  <c r="AG520" i="6" s="1"/>
  <c r="AH520" i="6"/>
  <c r="AI520" i="6" s="1"/>
  <c r="AF521" i="6"/>
  <c r="AG521" i="6" s="1"/>
  <c r="AH521" i="6"/>
  <c r="AI521" i="6" s="1"/>
  <c r="AF522" i="6"/>
  <c r="AG522" i="6" s="1"/>
  <c r="AH522" i="6"/>
  <c r="AI522" i="6" s="1"/>
  <c r="AF523" i="6"/>
  <c r="AG523" i="6" s="1"/>
  <c r="AH523" i="6"/>
  <c r="AI523" i="6" s="1"/>
  <c r="AF524" i="6"/>
  <c r="AG524" i="6" s="1"/>
  <c r="AH524" i="6"/>
  <c r="AI524" i="6" s="1"/>
  <c r="AF525" i="6"/>
  <c r="AG525" i="6" s="1"/>
  <c r="AH525" i="6"/>
  <c r="AI525" i="6" s="1"/>
  <c r="AF526" i="6"/>
  <c r="AG526" i="6" s="1"/>
  <c r="AH526" i="6"/>
  <c r="AI526" i="6" s="1"/>
  <c r="AF527" i="6"/>
  <c r="AG527" i="6" s="1"/>
  <c r="AH527" i="6"/>
  <c r="AI527" i="6" s="1"/>
  <c r="AF528" i="6"/>
  <c r="AG528" i="6" s="1"/>
  <c r="AH528" i="6"/>
  <c r="AI528" i="6" s="1"/>
  <c r="AF529" i="6"/>
  <c r="AG529" i="6"/>
  <c r="AH529" i="6"/>
  <c r="AI529" i="6"/>
  <c r="AF530" i="6"/>
  <c r="AG530" i="6"/>
  <c r="AH530" i="6"/>
  <c r="AI530" i="6" s="1"/>
  <c r="AF531" i="6"/>
  <c r="AG531" i="6" s="1"/>
  <c r="AH531" i="6"/>
  <c r="AI531" i="6" s="1"/>
  <c r="AF532" i="6"/>
  <c r="AG532" i="6" s="1"/>
  <c r="AH532" i="6"/>
  <c r="AI532" i="6" s="1"/>
  <c r="AF533" i="6"/>
  <c r="AG533" i="6"/>
  <c r="AH533" i="6"/>
  <c r="AI533" i="6"/>
  <c r="AF534" i="6"/>
  <c r="AG534" i="6"/>
  <c r="AH534" i="6"/>
  <c r="AI534" i="6"/>
  <c r="AF535" i="6"/>
  <c r="AG535" i="6"/>
  <c r="AH535" i="6"/>
  <c r="AI535" i="6"/>
  <c r="AF536" i="6"/>
  <c r="AG536" i="6"/>
  <c r="AH536" i="6"/>
  <c r="AI536" i="6"/>
  <c r="AF537" i="6"/>
  <c r="AG537" i="6"/>
  <c r="AH537" i="6"/>
  <c r="AI537" i="6"/>
  <c r="AF538" i="6"/>
  <c r="AG538" i="6"/>
  <c r="AH538" i="6"/>
  <c r="AI538" i="6" s="1"/>
  <c r="AF539" i="6"/>
  <c r="AG539" i="6" s="1"/>
  <c r="AH539" i="6"/>
  <c r="AI539" i="6"/>
  <c r="AF540" i="6"/>
  <c r="AG540" i="6"/>
  <c r="AH540" i="6"/>
  <c r="AI540" i="6" s="1"/>
  <c r="AF541" i="6"/>
  <c r="AG541" i="6" s="1"/>
  <c r="AH541" i="6"/>
  <c r="AI541" i="6"/>
  <c r="AF542" i="6"/>
  <c r="AG542" i="6"/>
  <c r="AH542" i="6"/>
  <c r="AI542" i="6" s="1"/>
  <c r="AF543" i="6"/>
  <c r="AG543" i="6" s="1"/>
  <c r="AH543" i="6"/>
  <c r="AI543" i="6"/>
  <c r="AF544" i="6"/>
  <c r="AG544" i="6" s="1"/>
  <c r="AH544" i="6"/>
  <c r="AI544" i="6" s="1"/>
  <c r="AF545" i="6"/>
  <c r="AG545" i="6" s="1"/>
  <c r="AH545" i="6"/>
  <c r="AI545" i="6"/>
  <c r="AF546" i="6"/>
  <c r="AG546" i="6" s="1"/>
  <c r="AH546" i="6"/>
  <c r="AI546" i="6" s="1"/>
  <c r="AF547" i="6"/>
  <c r="AG547" i="6" s="1"/>
  <c r="AH547" i="6"/>
  <c r="AI547" i="6"/>
  <c r="AF548" i="6"/>
  <c r="AG548" i="6" s="1"/>
  <c r="AH548" i="6"/>
  <c r="AI548" i="6" s="1"/>
  <c r="AF549" i="6"/>
  <c r="AG549" i="6" s="1"/>
  <c r="AH549" i="6"/>
  <c r="AI549" i="6"/>
  <c r="AF550" i="6"/>
  <c r="AG550" i="6" s="1"/>
  <c r="AH550" i="6"/>
  <c r="AI550" i="6" s="1"/>
  <c r="AF551" i="6"/>
  <c r="AG551" i="6" s="1"/>
  <c r="AH551" i="6"/>
  <c r="AI551" i="6"/>
  <c r="AF552" i="6"/>
  <c r="AG552" i="6" s="1"/>
  <c r="AH552" i="6"/>
  <c r="AI552" i="6" s="1"/>
  <c r="AF553" i="6"/>
  <c r="AG553" i="6" s="1"/>
  <c r="AH553" i="6"/>
  <c r="AI553" i="6"/>
  <c r="AF554" i="6"/>
  <c r="AG554" i="6" s="1"/>
  <c r="AH554" i="6"/>
  <c r="AI554" i="6" s="1"/>
  <c r="AF555" i="6"/>
  <c r="AG555" i="6" s="1"/>
  <c r="AH555" i="6"/>
  <c r="AI555" i="6"/>
  <c r="AF556" i="6"/>
  <c r="AG556" i="6" s="1"/>
  <c r="AH556" i="6"/>
  <c r="AI556" i="6" s="1"/>
  <c r="AF557" i="6"/>
  <c r="AG557" i="6" s="1"/>
  <c r="AH557" i="6"/>
  <c r="AI557" i="6"/>
  <c r="AF558" i="6"/>
  <c r="AG558" i="6" s="1"/>
  <c r="AH558" i="6"/>
  <c r="AI558" i="6" s="1"/>
  <c r="AF559" i="6"/>
  <c r="AG559" i="6" s="1"/>
  <c r="AH559" i="6"/>
  <c r="AI559" i="6"/>
  <c r="AF560" i="6"/>
  <c r="AG560" i="6" s="1"/>
  <c r="AH560" i="6"/>
  <c r="AI560" i="6" s="1"/>
  <c r="AF561" i="6"/>
  <c r="AG561" i="6" s="1"/>
  <c r="AH561" i="6"/>
  <c r="AI561" i="6"/>
  <c r="AF562" i="6"/>
  <c r="AG562" i="6" s="1"/>
  <c r="AH562" i="6"/>
  <c r="AI562" i="6" s="1"/>
  <c r="AF563" i="6"/>
  <c r="AG563" i="6" s="1"/>
  <c r="AH563" i="6"/>
  <c r="AI563" i="6"/>
  <c r="AF564" i="6"/>
  <c r="AG564" i="6" s="1"/>
  <c r="AH564" i="6"/>
  <c r="AI564" i="6" s="1"/>
  <c r="AF565" i="6"/>
  <c r="AG565" i="6" s="1"/>
  <c r="AH565" i="6"/>
  <c r="AI565" i="6"/>
  <c r="AF566" i="6"/>
  <c r="AG566" i="6" s="1"/>
  <c r="AH566" i="6"/>
  <c r="AI566" i="6" s="1"/>
  <c r="AF567" i="6"/>
  <c r="AG567" i="6" s="1"/>
  <c r="AH567" i="6"/>
  <c r="AI567" i="6"/>
  <c r="AF568" i="6"/>
  <c r="AG568" i="6" s="1"/>
  <c r="AH568" i="6"/>
  <c r="AI568" i="6" s="1"/>
  <c r="AF569" i="6"/>
  <c r="AG569" i="6" s="1"/>
  <c r="AH569" i="6"/>
  <c r="AI569" i="6"/>
  <c r="AF570" i="6"/>
  <c r="AG570" i="6" s="1"/>
  <c r="AH570" i="6"/>
  <c r="AI570" i="6" s="1"/>
  <c r="AF571" i="6"/>
  <c r="AG571" i="6" s="1"/>
  <c r="AH571" i="6"/>
  <c r="AI571" i="6"/>
  <c r="AF572" i="6"/>
  <c r="AG572" i="6" s="1"/>
  <c r="AH572" i="6"/>
  <c r="AI572" i="6" s="1"/>
  <c r="AF573" i="6"/>
  <c r="AG573" i="6" s="1"/>
  <c r="AH573" i="6"/>
  <c r="AI573" i="6"/>
  <c r="AF574" i="6"/>
  <c r="AG574" i="6" s="1"/>
  <c r="AH574" i="6"/>
  <c r="AI574" i="6" s="1"/>
  <c r="AF575" i="6"/>
  <c r="AG575" i="6" s="1"/>
  <c r="AH575" i="6"/>
  <c r="AI575" i="6"/>
  <c r="AF576" i="6"/>
  <c r="AG576" i="6" s="1"/>
  <c r="AH576" i="6"/>
  <c r="AI576" i="6" s="1"/>
  <c r="AF577" i="6"/>
  <c r="AG577" i="6" s="1"/>
  <c r="AH577" i="6"/>
  <c r="AI577" i="6"/>
  <c r="AF578" i="6"/>
  <c r="AG578" i="6" s="1"/>
  <c r="AH578" i="6"/>
  <c r="AI578" i="6" s="1"/>
  <c r="AF579" i="6"/>
  <c r="AG579" i="6" s="1"/>
  <c r="AH579" i="6"/>
  <c r="AI579" i="6"/>
  <c r="AF580" i="6"/>
  <c r="AG580" i="6" s="1"/>
  <c r="AH580" i="6"/>
  <c r="AI580" i="6" s="1"/>
  <c r="AF581" i="6"/>
  <c r="AG581" i="6" s="1"/>
  <c r="AH581" i="6"/>
  <c r="AI581" i="6"/>
  <c r="AF582" i="6"/>
  <c r="AG582" i="6" s="1"/>
  <c r="AH582" i="6"/>
  <c r="AI582" i="6" s="1"/>
  <c r="AF583" i="6"/>
  <c r="AG583" i="6" s="1"/>
  <c r="AH583" i="6"/>
  <c r="AI583" i="6"/>
  <c r="AF584" i="6"/>
  <c r="AG584" i="6" s="1"/>
  <c r="AH584" i="6"/>
  <c r="AI584" i="6" s="1"/>
  <c r="AF585" i="6"/>
  <c r="AG585" i="6" s="1"/>
  <c r="AH585" i="6"/>
  <c r="AI585" i="6"/>
  <c r="AF586" i="6"/>
  <c r="AG586" i="6" s="1"/>
  <c r="AH586" i="6"/>
  <c r="AI586" i="6" s="1"/>
  <c r="AF587" i="6"/>
  <c r="AG587" i="6" s="1"/>
  <c r="AH587" i="6"/>
  <c r="AI587" i="6"/>
  <c r="AF588" i="6"/>
  <c r="AG588" i="6" s="1"/>
  <c r="AH588" i="6"/>
  <c r="AI588" i="6" s="1"/>
  <c r="AF589" i="6"/>
  <c r="AG589" i="6" s="1"/>
  <c r="AH589" i="6"/>
  <c r="AI589" i="6"/>
  <c r="AF590" i="6"/>
  <c r="AG590" i="6" s="1"/>
  <c r="AH590" i="6"/>
  <c r="AI590" i="6" s="1"/>
  <c r="AF591" i="6"/>
  <c r="AG591" i="6" s="1"/>
  <c r="AH591" i="6"/>
  <c r="AI591" i="6"/>
  <c r="AF592" i="6"/>
  <c r="AG592" i="6" s="1"/>
  <c r="AH592" i="6"/>
  <c r="AI592" i="6" s="1"/>
  <c r="AF593" i="6"/>
  <c r="AG593" i="6" s="1"/>
  <c r="AH593" i="6"/>
  <c r="AI593" i="6"/>
  <c r="AF594" i="6"/>
  <c r="AG594" i="6" s="1"/>
  <c r="AH594" i="6"/>
  <c r="AI594" i="6" s="1"/>
  <c r="AF595" i="6"/>
  <c r="AG595" i="6" s="1"/>
  <c r="AH595" i="6"/>
  <c r="AI595" i="6"/>
  <c r="AF596" i="6"/>
  <c r="AG596" i="6" s="1"/>
  <c r="AH596" i="6"/>
  <c r="AI596" i="6" s="1"/>
  <c r="AF597" i="6"/>
  <c r="AG597" i="6" s="1"/>
  <c r="AH597" i="6"/>
  <c r="AI597" i="6"/>
  <c r="AF598" i="6"/>
  <c r="AG598" i="6" s="1"/>
  <c r="AH598" i="6"/>
  <c r="AI598" i="6" s="1"/>
  <c r="AF599" i="6"/>
  <c r="AG599" i="6" s="1"/>
  <c r="AH599" i="6"/>
  <c r="AI599" i="6"/>
  <c r="AF600" i="6"/>
  <c r="AG600" i="6" s="1"/>
  <c r="AH600" i="6"/>
  <c r="AI600" i="6" s="1"/>
  <c r="AF601" i="6"/>
  <c r="AG601" i="6" s="1"/>
  <c r="AH601" i="6"/>
  <c r="AI601" i="6"/>
  <c r="AF602" i="6"/>
  <c r="AG602" i="6" s="1"/>
  <c r="AH602" i="6"/>
  <c r="AI602" i="6" s="1"/>
  <c r="AF603" i="6"/>
  <c r="AG603" i="6" s="1"/>
  <c r="AH603" i="6"/>
  <c r="AI603" i="6"/>
  <c r="AF604" i="6"/>
  <c r="AG604" i="6" s="1"/>
  <c r="AH604" i="6"/>
  <c r="AI604" i="6" s="1"/>
  <c r="AF605" i="6"/>
  <c r="AG605" i="6" s="1"/>
  <c r="AH605" i="6"/>
  <c r="AI605" i="6"/>
  <c r="AF606" i="6"/>
  <c r="AG606" i="6" s="1"/>
  <c r="AH606" i="6"/>
  <c r="AI606" i="6" s="1"/>
  <c r="AF607" i="6"/>
  <c r="AG607" i="6" s="1"/>
  <c r="AH607" i="6"/>
  <c r="AI607" i="6"/>
  <c r="AF608" i="6"/>
  <c r="AG608" i="6" s="1"/>
  <c r="AH608" i="6"/>
  <c r="AI608" i="6" s="1"/>
  <c r="AF609" i="6"/>
  <c r="AG609" i="6" s="1"/>
  <c r="AH609" i="6"/>
  <c r="AI609" i="6"/>
  <c r="AF610" i="6"/>
  <c r="AG610" i="6" s="1"/>
  <c r="AH610" i="6"/>
  <c r="AI610" i="6" s="1"/>
  <c r="AF611" i="6"/>
  <c r="AG611" i="6" s="1"/>
  <c r="AH611" i="6"/>
  <c r="AI611" i="6"/>
  <c r="AF612" i="6"/>
  <c r="AG612" i="6" s="1"/>
  <c r="AH612" i="6"/>
  <c r="AI612" i="6" s="1"/>
  <c r="AF613" i="6"/>
  <c r="AG613" i="6" s="1"/>
  <c r="AH613" i="6"/>
  <c r="AI613" i="6"/>
  <c r="AF614" i="6"/>
  <c r="AG614" i="6" s="1"/>
  <c r="AH614" i="6"/>
  <c r="AI614" i="6" s="1"/>
  <c r="AF615" i="6"/>
  <c r="AG615" i="6" s="1"/>
  <c r="AH615" i="6"/>
  <c r="AI615" i="6"/>
  <c r="AF616" i="6"/>
  <c r="AG616" i="6" s="1"/>
  <c r="AH616" i="6"/>
  <c r="AI616" i="6" s="1"/>
  <c r="AF617" i="6"/>
  <c r="AG617" i="6" s="1"/>
  <c r="AH617" i="6"/>
  <c r="AI617" i="6"/>
  <c r="AF618" i="6"/>
  <c r="AG618" i="6" s="1"/>
  <c r="AH618" i="6"/>
  <c r="AI618" i="6" s="1"/>
  <c r="AF619" i="6"/>
  <c r="AG619" i="6" s="1"/>
  <c r="AH619" i="6"/>
  <c r="AI619" i="6"/>
  <c r="AF620" i="6"/>
  <c r="AG620" i="6" s="1"/>
  <c r="AH620" i="6"/>
  <c r="AI620" i="6" s="1"/>
  <c r="AF621" i="6"/>
  <c r="AG621" i="6" s="1"/>
  <c r="AH621" i="6"/>
  <c r="AI621" i="6"/>
  <c r="AF622" i="6"/>
  <c r="AG622" i="6" s="1"/>
  <c r="AH622" i="6"/>
  <c r="AI622" i="6" s="1"/>
  <c r="AF623" i="6"/>
  <c r="AG623" i="6" s="1"/>
  <c r="AH623" i="6"/>
  <c r="AI623" i="6"/>
  <c r="AF624" i="6"/>
  <c r="AG624" i="6" s="1"/>
  <c r="AH624" i="6"/>
  <c r="AI624" i="6" s="1"/>
  <c r="AF625" i="6"/>
  <c r="AG625" i="6" s="1"/>
  <c r="AH625" i="6"/>
  <c r="AI625" i="6"/>
  <c r="AF626" i="6"/>
  <c r="AG626" i="6" s="1"/>
  <c r="AH626" i="6"/>
  <c r="AI626" i="6" s="1"/>
  <c r="AF627" i="6"/>
  <c r="AG627" i="6" s="1"/>
  <c r="AH627" i="6"/>
  <c r="AI627" i="6"/>
  <c r="AF628" i="6"/>
  <c r="AG628" i="6" s="1"/>
  <c r="AH628" i="6"/>
  <c r="AI628" i="6" s="1"/>
  <c r="AF629" i="6"/>
  <c r="AG629" i="6" s="1"/>
  <c r="AH629" i="6"/>
  <c r="AI629" i="6"/>
  <c r="V8" i="6"/>
  <c r="W8" i="6"/>
  <c r="V9" i="6"/>
  <c r="W9" i="6"/>
  <c r="V10" i="6"/>
  <c r="W10" i="6"/>
  <c r="V11" i="6"/>
  <c r="W11" i="6"/>
  <c r="V12" i="6"/>
  <c r="W12" i="6"/>
  <c r="V13" i="6"/>
  <c r="W13" i="6"/>
  <c r="V14" i="6"/>
  <c r="W14" i="6"/>
  <c r="V15" i="6"/>
  <c r="W15" i="6"/>
  <c r="V16" i="6"/>
  <c r="W16" i="6"/>
  <c r="V17" i="6"/>
  <c r="W17" i="6"/>
  <c r="V18" i="6"/>
  <c r="W18" i="6"/>
  <c r="V19" i="6"/>
  <c r="W19" i="6"/>
  <c r="V20" i="6"/>
  <c r="W20" i="6"/>
  <c r="V21" i="6"/>
  <c r="W21" i="6"/>
  <c r="V22" i="6"/>
  <c r="W22" i="6"/>
  <c r="V23" i="6"/>
  <c r="W23" i="6"/>
  <c r="V24" i="6"/>
  <c r="W24" i="6"/>
  <c r="V25" i="6"/>
  <c r="W25" i="6"/>
  <c r="V26" i="6"/>
  <c r="W26" i="6"/>
  <c r="V27" i="6"/>
  <c r="W27" i="6"/>
  <c r="V28" i="6"/>
  <c r="W28" i="6"/>
  <c r="V29" i="6"/>
  <c r="W29" i="6"/>
  <c r="V30" i="6"/>
  <c r="W30" i="6"/>
  <c r="V31" i="6"/>
  <c r="W31" i="6"/>
  <c r="V32" i="6"/>
  <c r="W32" i="6"/>
  <c r="V33" i="6"/>
  <c r="W33" i="6"/>
  <c r="V34" i="6"/>
  <c r="W34" i="6"/>
  <c r="V35" i="6"/>
  <c r="W35" i="6"/>
  <c r="V36" i="6"/>
  <c r="W36" i="6"/>
  <c r="V37" i="6"/>
  <c r="W37" i="6"/>
  <c r="V38" i="6"/>
  <c r="W38" i="6"/>
  <c r="V39" i="6"/>
  <c r="W39" i="6"/>
  <c r="V40" i="6"/>
  <c r="W40" i="6"/>
  <c r="V41" i="6"/>
  <c r="W41" i="6"/>
  <c r="V42" i="6"/>
  <c r="W42" i="6"/>
  <c r="V43" i="6"/>
  <c r="W43" i="6"/>
  <c r="V44" i="6"/>
  <c r="W44" i="6"/>
  <c r="V45" i="6"/>
  <c r="W45" i="6"/>
  <c r="V46" i="6"/>
  <c r="W46" i="6"/>
  <c r="V47" i="6"/>
  <c r="W47" i="6"/>
  <c r="V48" i="6"/>
  <c r="W48" i="6"/>
  <c r="V49" i="6"/>
  <c r="W49" i="6"/>
  <c r="V50" i="6"/>
  <c r="W50" i="6"/>
  <c r="V51" i="6"/>
  <c r="W51" i="6"/>
  <c r="V52" i="6"/>
  <c r="W52" i="6"/>
  <c r="V53" i="6"/>
  <c r="W53" i="6"/>
  <c r="V54" i="6"/>
  <c r="W54" i="6"/>
  <c r="V55" i="6"/>
  <c r="W55" i="6"/>
  <c r="V56" i="6"/>
  <c r="W56" i="6"/>
  <c r="V57" i="6"/>
  <c r="W57" i="6"/>
  <c r="V58" i="6"/>
  <c r="W58" i="6"/>
  <c r="V59" i="6"/>
  <c r="W59" i="6"/>
  <c r="V60" i="6"/>
  <c r="W60" i="6"/>
  <c r="V61" i="6"/>
  <c r="W61" i="6"/>
  <c r="V62" i="6"/>
  <c r="W62" i="6"/>
  <c r="V63" i="6"/>
  <c r="W63" i="6"/>
  <c r="V64" i="6"/>
  <c r="W64" i="6"/>
  <c r="V65" i="6"/>
  <c r="W65" i="6"/>
  <c r="V66" i="6"/>
  <c r="W66" i="6"/>
  <c r="V67" i="6"/>
  <c r="W67" i="6"/>
  <c r="V68" i="6"/>
  <c r="W68" i="6"/>
  <c r="V69" i="6"/>
  <c r="W69" i="6"/>
  <c r="V70" i="6"/>
  <c r="W70" i="6"/>
  <c r="V71" i="6"/>
  <c r="W71" i="6"/>
  <c r="V72" i="6"/>
  <c r="W72" i="6"/>
  <c r="V73" i="6"/>
  <c r="W73" i="6"/>
  <c r="V74" i="6"/>
  <c r="W74" i="6"/>
  <c r="V75" i="6"/>
  <c r="W75" i="6"/>
  <c r="V76" i="6"/>
  <c r="W76" i="6"/>
  <c r="V77" i="6"/>
  <c r="W77" i="6"/>
  <c r="V78" i="6"/>
  <c r="W78" i="6"/>
  <c r="V79" i="6"/>
  <c r="W79" i="6"/>
  <c r="V80" i="6"/>
  <c r="W80" i="6"/>
  <c r="V81" i="6"/>
  <c r="W81" i="6"/>
  <c r="V82" i="6"/>
  <c r="W82" i="6"/>
  <c r="V83" i="6"/>
  <c r="W83" i="6"/>
  <c r="V84" i="6"/>
  <c r="W84" i="6"/>
  <c r="V85" i="6"/>
  <c r="W85" i="6"/>
  <c r="V86" i="6"/>
  <c r="W86" i="6"/>
  <c r="V87" i="6"/>
  <c r="W87" i="6"/>
  <c r="V88" i="6"/>
  <c r="W88" i="6"/>
  <c r="V89" i="6"/>
  <c r="W89" i="6"/>
  <c r="V90" i="6"/>
  <c r="W90" i="6"/>
  <c r="V91" i="6"/>
  <c r="W91" i="6"/>
  <c r="V92" i="6"/>
  <c r="W92" i="6"/>
  <c r="V93" i="6"/>
  <c r="W93" i="6"/>
  <c r="V94" i="6"/>
  <c r="W94" i="6"/>
  <c r="V95" i="6"/>
  <c r="W95" i="6"/>
  <c r="V96" i="6"/>
  <c r="W96" i="6"/>
  <c r="V97" i="6"/>
  <c r="W97" i="6"/>
  <c r="V98" i="6"/>
  <c r="W98" i="6"/>
  <c r="V99" i="6"/>
  <c r="W99" i="6"/>
  <c r="V100" i="6"/>
  <c r="W100" i="6"/>
  <c r="V101" i="6"/>
  <c r="W101" i="6"/>
  <c r="V102" i="6"/>
  <c r="W102" i="6"/>
  <c r="V103" i="6"/>
  <c r="W103" i="6"/>
  <c r="V104" i="6"/>
  <c r="W104" i="6"/>
  <c r="V105" i="6"/>
  <c r="W105" i="6"/>
  <c r="V106" i="6"/>
  <c r="W106" i="6"/>
  <c r="V107" i="6"/>
  <c r="W107" i="6"/>
  <c r="V108" i="6"/>
  <c r="W108" i="6"/>
  <c r="V109" i="6"/>
  <c r="W109" i="6"/>
  <c r="V110" i="6"/>
  <c r="W110" i="6"/>
  <c r="V111" i="6"/>
  <c r="W111" i="6"/>
  <c r="V112" i="6"/>
  <c r="W112" i="6"/>
  <c r="V113" i="6"/>
  <c r="W113" i="6"/>
  <c r="V114" i="6"/>
  <c r="W114" i="6"/>
  <c r="V115" i="6"/>
  <c r="W115" i="6"/>
  <c r="V116" i="6"/>
  <c r="W116" i="6"/>
  <c r="V117" i="6"/>
  <c r="W117" i="6"/>
  <c r="V118" i="6"/>
  <c r="W118" i="6"/>
  <c r="V119" i="6"/>
  <c r="W119" i="6"/>
  <c r="V120" i="6"/>
  <c r="W120" i="6"/>
  <c r="V121" i="6"/>
  <c r="W121" i="6"/>
  <c r="V122" i="6"/>
  <c r="W122" i="6"/>
  <c r="V123" i="6"/>
  <c r="W123" i="6"/>
  <c r="V124" i="6"/>
  <c r="W124" i="6"/>
  <c r="V125" i="6"/>
  <c r="W125" i="6"/>
  <c r="V126" i="6"/>
  <c r="W126" i="6"/>
  <c r="V127" i="6"/>
  <c r="W127" i="6"/>
  <c r="V128" i="6"/>
  <c r="W128" i="6"/>
  <c r="V129" i="6"/>
  <c r="W129" i="6"/>
  <c r="V130" i="6"/>
  <c r="W130" i="6"/>
  <c r="V131" i="6"/>
  <c r="W131" i="6"/>
  <c r="V132" i="6"/>
  <c r="W132" i="6"/>
  <c r="V133" i="6"/>
  <c r="W133" i="6"/>
  <c r="V134" i="6"/>
  <c r="W134" i="6"/>
  <c r="V135" i="6"/>
  <c r="W135" i="6"/>
  <c r="V136" i="6"/>
  <c r="W136" i="6"/>
  <c r="V137" i="6"/>
  <c r="W137" i="6"/>
  <c r="V138" i="6"/>
  <c r="W138" i="6"/>
  <c r="V139" i="6"/>
  <c r="W139" i="6"/>
  <c r="V140" i="6"/>
  <c r="W140" i="6"/>
  <c r="V141" i="6"/>
  <c r="W141" i="6"/>
  <c r="V142" i="6"/>
  <c r="W142" i="6"/>
  <c r="V143" i="6"/>
  <c r="W143" i="6"/>
  <c r="V144" i="6"/>
  <c r="W144" i="6"/>
  <c r="V145" i="6"/>
  <c r="W145" i="6"/>
  <c r="V146" i="6"/>
  <c r="W146" i="6"/>
  <c r="V147" i="6"/>
  <c r="W147" i="6"/>
  <c r="V148" i="6"/>
  <c r="W148" i="6"/>
  <c r="V149" i="6"/>
  <c r="W149" i="6"/>
  <c r="V150" i="6"/>
  <c r="W150" i="6"/>
  <c r="V151" i="6"/>
  <c r="W151" i="6"/>
  <c r="V152" i="6"/>
  <c r="W152" i="6"/>
  <c r="V153" i="6"/>
  <c r="W153" i="6"/>
  <c r="V154" i="6"/>
  <c r="W154" i="6"/>
  <c r="V155" i="6"/>
  <c r="W155" i="6"/>
  <c r="V156" i="6"/>
  <c r="W156" i="6"/>
  <c r="V157" i="6"/>
  <c r="W157" i="6"/>
  <c r="V158" i="6"/>
  <c r="W158" i="6"/>
  <c r="V159" i="6"/>
  <c r="W159" i="6"/>
  <c r="V160" i="6"/>
  <c r="W160" i="6"/>
  <c r="V161" i="6"/>
  <c r="W161" i="6"/>
  <c r="V162" i="6"/>
  <c r="W162" i="6"/>
  <c r="V163" i="6"/>
  <c r="W163" i="6"/>
  <c r="V164" i="6"/>
  <c r="W164" i="6"/>
  <c r="V165" i="6"/>
  <c r="W165" i="6"/>
  <c r="V166" i="6"/>
  <c r="W166" i="6"/>
  <c r="V167" i="6"/>
  <c r="W167" i="6"/>
  <c r="V168" i="6"/>
  <c r="W168" i="6"/>
  <c r="V169" i="6"/>
  <c r="W169" i="6"/>
  <c r="V170" i="6"/>
  <c r="W170" i="6"/>
  <c r="V171" i="6"/>
  <c r="W171" i="6"/>
  <c r="V172" i="6"/>
  <c r="W172" i="6"/>
  <c r="V173" i="6"/>
  <c r="W173" i="6"/>
  <c r="V174" i="6"/>
  <c r="W174" i="6"/>
  <c r="V175" i="6"/>
  <c r="W175" i="6"/>
  <c r="V176" i="6"/>
  <c r="W176" i="6"/>
  <c r="V177" i="6"/>
  <c r="W177" i="6"/>
  <c r="V178" i="6"/>
  <c r="W178" i="6"/>
  <c r="V179" i="6"/>
  <c r="W179" i="6"/>
  <c r="V180" i="6"/>
  <c r="W180" i="6"/>
  <c r="V181" i="6"/>
  <c r="W181" i="6"/>
  <c r="V182" i="6"/>
  <c r="W182" i="6"/>
  <c r="V183" i="6"/>
  <c r="W183" i="6"/>
  <c r="V184" i="6"/>
  <c r="W184" i="6"/>
  <c r="V185" i="6"/>
  <c r="W185" i="6"/>
  <c r="V186" i="6"/>
  <c r="W186" i="6"/>
  <c r="V187" i="6"/>
  <c r="W187" i="6"/>
  <c r="V188" i="6"/>
  <c r="W188" i="6"/>
  <c r="V189" i="6"/>
  <c r="W189" i="6"/>
  <c r="V190" i="6"/>
  <c r="W190" i="6"/>
  <c r="V191" i="6"/>
  <c r="W191" i="6"/>
  <c r="V192" i="6"/>
  <c r="W192" i="6"/>
  <c r="V193" i="6"/>
  <c r="W193" i="6"/>
  <c r="V194" i="6"/>
  <c r="W194" i="6"/>
  <c r="V195" i="6"/>
  <c r="W195" i="6"/>
  <c r="V196" i="6"/>
  <c r="W196" i="6"/>
  <c r="V197" i="6"/>
  <c r="W197" i="6"/>
  <c r="V198" i="6"/>
  <c r="W198" i="6"/>
  <c r="V199" i="6"/>
  <c r="W199" i="6"/>
  <c r="V200" i="6"/>
  <c r="W200" i="6"/>
  <c r="V201" i="6"/>
  <c r="W201" i="6"/>
  <c r="V202" i="6"/>
  <c r="W202" i="6"/>
  <c r="V203" i="6"/>
  <c r="W203" i="6"/>
  <c r="V204" i="6"/>
  <c r="W204" i="6"/>
  <c r="V205" i="6"/>
  <c r="W205" i="6"/>
  <c r="V206" i="6"/>
  <c r="W206" i="6"/>
  <c r="V207" i="6"/>
  <c r="W207" i="6"/>
  <c r="V208" i="6"/>
  <c r="W208" i="6"/>
  <c r="V209" i="6"/>
  <c r="W209" i="6"/>
  <c r="V210" i="6"/>
  <c r="W210" i="6"/>
  <c r="V211" i="6"/>
  <c r="W211" i="6"/>
  <c r="V212" i="6"/>
  <c r="W212" i="6"/>
  <c r="V213" i="6"/>
  <c r="W213" i="6"/>
  <c r="V214" i="6"/>
  <c r="W214" i="6"/>
  <c r="V215" i="6"/>
  <c r="W215" i="6"/>
  <c r="V216" i="6"/>
  <c r="W216" i="6"/>
  <c r="V217" i="6"/>
  <c r="W217" i="6"/>
  <c r="V218" i="6"/>
  <c r="W218" i="6"/>
  <c r="V219" i="6"/>
  <c r="W219" i="6"/>
  <c r="V220" i="6"/>
  <c r="W220" i="6"/>
  <c r="V221" i="6"/>
  <c r="W221" i="6"/>
  <c r="V222" i="6"/>
  <c r="W222" i="6"/>
  <c r="V223" i="6"/>
  <c r="W223" i="6"/>
  <c r="V224" i="6"/>
  <c r="W224" i="6"/>
  <c r="V225" i="6"/>
  <c r="W225" i="6"/>
  <c r="V226" i="6"/>
  <c r="W226" i="6"/>
  <c r="V227" i="6"/>
  <c r="W227" i="6"/>
  <c r="V228" i="6"/>
  <c r="W228" i="6"/>
  <c r="V229" i="6"/>
  <c r="W229" i="6"/>
  <c r="V230" i="6"/>
  <c r="W230" i="6"/>
  <c r="V231" i="6"/>
  <c r="W231" i="6"/>
  <c r="V232" i="6"/>
  <c r="W232" i="6"/>
  <c r="V233" i="6"/>
  <c r="W233" i="6"/>
  <c r="V234" i="6"/>
  <c r="W234" i="6"/>
  <c r="V235" i="6"/>
  <c r="W235" i="6"/>
  <c r="V236" i="6"/>
  <c r="W236" i="6"/>
  <c r="V237" i="6"/>
  <c r="W237" i="6"/>
  <c r="V238" i="6"/>
  <c r="W238" i="6"/>
  <c r="V239" i="6"/>
  <c r="W239" i="6"/>
  <c r="V240" i="6"/>
  <c r="W240" i="6"/>
  <c r="V241" i="6"/>
  <c r="W241" i="6"/>
  <c r="V242" i="6"/>
  <c r="W242" i="6"/>
  <c r="V243" i="6"/>
  <c r="W243" i="6"/>
  <c r="V244" i="6"/>
  <c r="W244" i="6"/>
  <c r="V245" i="6"/>
  <c r="W245" i="6"/>
  <c r="V246" i="6"/>
  <c r="W246" i="6"/>
  <c r="V247" i="6"/>
  <c r="W247" i="6"/>
  <c r="V248" i="6"/>
  <c r="W248" i="6"/>
  <c r="V249" i="6"/>
  <c r="W249" i="6"/>
  <c r="V250" i="6"/>
  <c r="W250" i="6"/>
  <c r="V251" i="6"/>
  <c r="W251" i="6"/>
  <c r="V252" i="6"/>
  <c r="W252" i="6"/>
  <c r="V253" i="6"/>
  <c r="W253" i="6"/>
  <c r="V254" i="6"/>
  <c r="W254" i="6"/>
  <c r="V255" i="6"/>
  <c r="W255" i="6"/>
  <c r="V256" i="6"/>
  <c r="W256" i="6"/>
  <c r="V257" i="6"/>
  <c r="W257" i="6"/>
  <c r="V258" i="6"/>
  <c r="W258" i="6"/>
  <c r="V259" i="6"/>
  <c r="W259" i="6"/>
  <c r="V260" i="6"/>
  <c r="W260" i="6"/>
  <c r="V261" i="6"/>
  <c r="W261" i="6"/>
  <c r="V262" i="6"/>
  <c r="W262" i="6"/>
  <c r="V263" i="6"/>
  <c r="W263" i="6"/>
  <c r="V264" i="6"/>
  <c r="W264" i="6"/>
  <c r="V265" i="6"/>
  <c r="W265" i="6"/>
  <c r="V266" i="6"/>
  <c r="W266" i="6"/>
  <c r="V267" i="6"/>
  <c r="W267" i="6"/>
  <c r="V268" i="6"/>
  <c r="W268" i="6"/>
  <c r="V269" i="6"/>
  <c r="W269" i="6"/>
  <c r="V270" i="6"/>
  <c r="W270" i="6"/>
  <c r="V271" i="6"/>
  <c r="W271" i="6"/>
  <c r="V272" i="6"/>
  <c r="W272" i="6"/>
  <c r="V273" i="6"/>
  <c r="W273" i="6"/>
  <c r="V274" i="6"/>
  <c r="W274" i="6"/>
  <c r="V275" i="6"/>
  <c r="W275" i="6"/>
  <c r="V276" i="6"/>
  <c r="W276" i="6"/>
  <c r="V277" i="6"/>
  <c r="W277" i="6"/>
  <c r="V278" i="6"/>
  <c r="W278" i="6"/>
  <c r="V279" i="6"/>
  <c r="W279" i="6"/>
  <c r="V280" i="6"/>
  <c r="W280" i="6"/>
  <c r="V281" i="6"/>
  <c r="W281" i="6"/>
  <c r="V282" i="6"/>
  <c r="W282" i="6"/>
  <c r="V283" i="6"/>
  <c r="W283" i="6"/>
  <c r="V284" i="6"/>
  <c r="W284" i="6"/>
  <c r="V285" i="6"/>
  <c r="W285" i="6"/>
  <c r="V286" i="6"/>
  <c r="W286" i="6"/>
  <c r="V287" i="6"/>
  <c r="W287" i="6"/>
  <c r="V288" i="6"/>
  <c r="W288" i="6"/>
  <c r="V289" i="6"/>
  <c r="W289" i="6"/>
  <c r="V290" i="6"/>
  <c r="W290" i="6"/>
  <c r="V291" i="6"/>
  <c r="W291" i="6"/>
  <c r="V292" i="6"/>
  <c r="W292" i="6"/>
  <c r="V293" i="6"/>
  <c r="W293" i="6"/>
  <c r="V294" i="6"/>
  <c r="W294" i="6"/>
  <c r="V295" i="6"/>
  <c r="W295" i="6"/>
  <c r="V296" i="6"/>
  <c r="W296" i="6"/>
  <c r="V297" i="6"/>
  <c r="W297" i="6"/>
  <c r="V298" i="6"/>
  <c r="W298" i="6"/>
  <c r="V299" i="6"/>
  <c r="W299" i="6"/>
  <c r="V300" i="6"/>
  <c r="W300" i="6"/>
  <c r="V301" i="6"/>
  <c r="W301" i="6"/>
  <c r="V302" i="6"/>
  <c r="W302" i="6"/>
  <c r="V303" i="6"/>
  <c r="W303" i="6"/>
  <c r="V304" i="6"/>
  <c r="W304" i="6"/>
  <c r="V305" i="6"/>
  <c r="W305" i="6"/>
  <c r="V306" i="6"/>
  <c r="W306" i="6"/>
  <c r="V307" i="6"/>
  <c r="W307" i="6"/>
  <c r="V308" i="6"/>
  <c r="W308" i="6"/>
  <c r="V309" i="6"/>
  <c r="W309" i="6"/>
  <c r="V310" i="6"/>
  <c r="W310" i="6"/>
  <c r="V311" i="6"/>
  <c r="W311" i="6"/>
  <c r="V312" i="6"/>
  <c r="W312" i="6"/>
  <c r="V313" i="6"/>
  <c r="W313" i="6"/>
  <c r="V314" i="6"/>
  <c r="W314" i="6"/>
  <c r="V315" i="6"/>
  <c r="W315" i="6"/>
  <c r="V316" i="6"/>
  <c r="W316" i="6"/>
  <c r="V317" i="6"/>
  <c r="W317" i="6"/>
  <c r="V318" i="6"/>
  <c r="W318" i="6"/>
  <c r="V319" i="6"/>
  <c r="W319" i="6"/>
  <c r="V320" i="6"/>
  <c r="W320" i="6"/>
  <c r="V321" i="6"/>
  <c r="W321" i="6"/>
  <c r="V322" i="6"/>
  <c r="W322" i="6"/>
  <c r="V323" i="6"/>
  <c r="W323" i="6"/>
  <c r="V324" i="6"/>
  <c r="W324" i="6"/>
  <c r="V325" i="6"/>
  <c r="W325" i="6"/>
  <c r="V326" i="6"/>
  <c r="W326" i="6"/>
  <c r="V327" i="6"/>
  <c r="W327" i="6"/>
  <c r="V328" i="6"/>
  <c r="W328" i="6"/>
  <c r="V329" i="6"/>
  <c r="W329" i="6"/>
  <c r="V330" i="6"/>
  <c r="W330" i="6"/>
  <c r="V331" i="6"/>
  <c r="W331" i="6"/>
  <c r="V332" i="6"/>
  <c r="W332" i="6"/>
  <c r="V333" i="6"/>
  <c r="W333" i="6"/>
  <c r="V334" i="6"/>
  <c r="W334" i="6"/>
  <c r="V335" i="6"/>
  <c r="W335" i="6"/>
  <c r="V336" i="6"/>
  <c r="W336" i="6"/>
  <c r="V337" i="6"/>
  <c r="W337" i="6"/>
  <c r="V338" i="6"/>
  <c r="W338" i="6"/>
  <c r="V339" i="6"/>
  <c r="W339" i="6"/>
  <c r="V340" i="6"/>
  <c r="W340" i="6"/>
  <c r="V341" i="6"/>
  <c r="W341" i="6"/>
  <c r="V342" i="6"/>
  <c r="W342" i="6"/>
  <c r="V343" i="6"/>
  <c r="W343" i="6"/>
  <c r="V344" i="6"/>
  <c r="W344" i="6"/>
  <c r="V345" i="6"/>
  <c r="W345" i="6"/>
  <c r="V346" i="6"/>
  <c r="W346" i="6"/>
  <c r="V347" i="6"/>
  <c r="W347" i="6"/>
  <c r="V348" i="6"/>
  <c r="W348" i="6"/>
  <c r="V349" i="6"/>
  <c r="W349" i="6"/>
  <c r="V350" i="6"/>
  <c r="W350" i="6"/>
  <c r="V351" i="6"/>
  <c r="W351" i="6"/>
  <c r="V352" i="6"/>
  <c r="W352" i="6"/>
  <c r="V353" i="6"/>
  <c r="W353" i="6"/>
  <c r="V354" i="6"/>
  <c r="W354" i="6"/>
  <c r="V355" i="6"/>
  <c r="W355" i="6"/>
  <c r="V356" i="6"/>
  <c r="W356" i="6"/>
  <c r="V357" i="6"/>
  <c r="W357" i="6"/>
  <c r="V358" i="6"/>
  <c r="W358" i="6"/>
  <c r="V359" i="6"/>
  <c r="W359" i="6"/>
  <c r="V360" i="6"/>
  <c r="W360" i="6"/>
  <c r="V361" i="6"/>
  <c r="W361" i="6"/>
  <c r="V362" i="6"/>
  <c r="W362" i="6"/>
  <c r="V363" i="6"/>
  <c r="W363" i="6"/>
  <c r="V364" i="6"/>
  <c r="W364" i="6"/>
  <c r="V365" i="6"/>
  <c r="W365" i="6"/>
  <c r="V366" i="6"/>
  <c r="W366" i="6"/>
  <c r="V367" i="6"/>
  <c r="W367" i="6"/>
  <c r="V368" i="6"/>
  <c r="W368" i="6"/>
  <c r="V369" i="6"/>
  <c r="W369" i="6"/>
  <c r="V370" i="6"/>
  <c r="W370" i="6"/>
  <c r="V371" i="6"/>
  <c r="W371" i="6"/>
  <c r="V372" i="6"/>
  <c r="W372" i="6"/>
  <c r="V373" i="6"/>
  <c r="W373" i="6"/>
  <c r="V374" i="6"/>
  <c r="W374" i="6"/>
  <c r="V375" i="6"/>
  <c r="W375" i="6"/>
  <c r="V376" i="6"/>
  <c r="W376" i="6"/>
  <c r="V377" i="6"/>
  <c r="W377" i="6"/>
  <c r="V378" i="6"/>
  <c r="W378" i="6"/>
  <c r="V379" i="6"/>
  <c r="W379" i="6"/>
  <c r="V380" i="6"/>
  <c r="W380" i="6"/>
  <c r="V381" i="6"/>
  <c r="W381" i="6"/>
  <c r="V382" i="6"/>
  <c r="W382" i="6"/>
  <c r="V383" i="6"/>
  <c r="W383" i="6"/>
  <c r="V384" i="6"/>
  <c r="W384" i="6"/>
  <c r="V385" i="6"/>
  <c r="W385" i="6"/>
  <c r="V386" i="6"/>
  <c r="W386" i="6"/>
  <c r="V387" i="6"/>
  <c r="W387" i="6"/>
  <c r="V388" i="6"/>
  <c r="W388" i="6"/>
  <c r="V389" i="6"/>
  <c r="W389" i="6"/>
  <c r="V390" i="6"/>
  <c r="W390" i="6"/>
  <c r="V391" i="6"/>
  <c r="W391" i="6"/>
  <c r="V392" i="6"/>
  <c r="W392" i="6"/>
  <c r="V393" i="6"/>
  <c r="W393" i="6"/>
  <c r="V394" i="6"/>
  <c r="W394" i="6"/>
  <c r="V395" i="6"/>
  <c r="W395" i="6"/>
  <c r="V396" i="6"/>
  <c r="W396" i="6"/>
  <c r="V397" i="6"/>
  <c r="W397" i="6"/>
  <c r="V398" i="6"/>
  <c r="W398" i="6"/>
  <c r="V399" i="6"/>
  <c r="W399" i="6"/>
  <c r="V400" i="6"/>
  <c r="W400" i="6"/>
  <c r="V401" i="6"/>
  <c r="W401" i="6"/>
  <c r="V402" i="6"/>
  <c r="W402" i="6"/>
  <c r="V403" i="6"/>
  <c r="W403" i="6"/>
  <c r="V404" i="6"/>
  <c r="W404" i="6"/>
  <c r="V405" i="6"/>
  <c r="W405" i="6"/>
  <c r="V406" i="6"/>
  <c r="W406" i="6"/>
  <c r="V407" i="6"/>
  <c r="W407" i="6"/>
  <c r="V408" i="6"/>
  <c r="W408" i="6"/>
  <c r="V409" i="6"/>
  <c r="W409" i="6"/>
  <c r="V410" i="6"/>
  <c r="W410" i="6"/>
  <c r="V411" i="6"/>
  <c r="W411" i="6"/>
  <c r="V412" i="6"/>
  <c r="W412" i="6"/>
  <c r="V413" i="6"/>
  <c r="W413" i="6"/>
  <c r="V414" i="6"/>
  <c r="W414" i="6"/>
  <c r="V415" i="6"/>
  <c r="W415" i="6"/>
  <c r="V416" i="6"/>
  <c r="W416" i="6"/>
  <c r="V417" i="6"/>
  <c r="W417" i="6"/>
  <c r="V418" i="6"/>
  <c r="W418" i="6"/>
  <c r="V419" i="6"/>
  <c r="W419" i="6"/>
  <c r="V420" i="6"/>
  <c r="W420" i="6"/>
  <c r="V421" i="6"/>
  <c r="W421" i="6"/>
  <c r="V422" i="6"/>
  <c r="W422" i="6"/>
  <c r="V423" i="6"/>
  <c r="W423" i="6"/>
  <c r="V424" i="6"/>
  <c r="W424" i="6"/>
  <c r="V425" i="6"/>
  <c r="W425" i="6"/>
  <c r="V426" i="6"/>
  <c r="W426" i="6"/>
  <c r="V427" i="6"/>
  <c r="W427" i="6"/>
  <c r="V428" i="6"/>
  <c r="W428" i="6"/>
  <c r="V429" i="6"/>
  <c r="W429" i="6"/>
  <c r="V430" i="6"/>
  <c r="W430" i="6"/>
  <c r="V431" i="6"/>
  <c r="W431" i="6"/>
  <c r="V432" i="6"/>
  <c r="W432" i="6"/>
  <c r="V433" i="6"/>
  <c r="W433" i="6"/>
  <c r="V434" i="6"/>
  <c r="W434" i="6"/>
  <c r="V435" i="6"/>
  <c r="W435" i="6"/>
  <c r="V436" i="6"/>
  <c r="W436" i="6"/>
  <c r="V437" i="6"/>
  <c r="W437" i="6"/>
  <c r="V438" i="6"/>
  <c r="W438" i="6"/>
  <c r="V439" i="6"/>
  <c r="W439" i="6"/>
  <c r="V440" i="6"/>
  <c r="W440" i="6"/>
  <c r="V441" i="6"/>
  <c r="W441" i="6"/>
  <c r="V442" i="6"/>
  <c r="W442" i="6"/>
  <c r="V443" i="6"/>
  <c r="W443" i="6"/>
  <c r="V444" i="6"/>
  <c r="W444" i="6"/>
  <c r="V445" i="6"/>
  <c r="W445" i="6"/>
  <c r="V446" i="6"/>
  <c r="W446" i="6"/>
  <c r="V447" i="6"/>
  <c r="W447" i="6"/>
  <c r="V448" i="6"/>
  <c r="W448" i="6"/>
  <c r="V449" i="6"/>
  <c r="W449" i="6"/>
  <c r="V450" i="6"/>
  <c r="W450" i="6"/>
  <c r="V451" i="6"/>
  <c r="W451" i="6"/>
  <c r="V452" i="6"/>
  <c r="W452" i="6"/>
  <c r="V453" i="6"/>
  <c r="W453" i="6"/>
  <c r="V454" i="6"/>
  <c r="W454" i="6"/>
  <c r="V455" i="6"/>
  <c r="W455" i="6"/>
  <c r="V456" i="6"/>
  <c r="W456" i="6"/>
  <c r="V457" i="6"/>
  <c r="W457" i="6"/>
  <c r="V458" i="6"/>
  <c r="W458" i="6"/>
  <c r="V459" i="6"/>
  <c r="W459" i="6"/>
  <c r="V460" i="6"/>
  <c r="W460" i="6"/>
  <c r="V461" i="6"/>
  <c r="W461" i="6"/>
  <c r="V462" i="6"/>
  <c r="W462" i="6"/>
  <c r="V463" i="6"/>
  <c r="W463" i="6"/>
  <c r="V464" i="6"/>
  <c r="W464" i="6"/>
  <c r="V465" i="6"/>
  <c r="W465" i="6"/>
  <c r="V466" i="6"/>
  <c r="W466" i="6"/>
  <c r="V467" i="6"/>
  <c r="W467" i="6"/>
  <c r="V468" i="6"/>
  <c r="W468" i="6"/>
  <c r="V469" i="6"/>
  <c r="W469" i="6"/>
  <c r="V470" i="6"/>
  <c r="W470" i="6"/>
  <c r="V471" i="6"/>
  <c r="W471" i="6"/>
  <c r="V472" i="6"/>
  <c r="W472" i="6"/>
  <c r="V473" i="6"/>
  <c r="W473" i="6"/>
  <c r="V474" i="6"/>
  <c r="W474" i="6"/>
  <c r="V475" i="6"/>
  <c r="W475" i="6"/>
  <c r="V476" i="6"/>
  <c r="W476" i="6"/>
  <c r="V477" i="6"/>
  <c r="W477" i="6"/>
  <c r="V478" i="6"/>
  <c r="W478" i="6"/>
  <c r="V479" i="6"/>
  <c r="W479" i="6"/>
  <c r="V480" i="6"/>
  <c r="W480" i="6"/>
  <c r="V481" i="6"/>
  <c r="W481" i="6"/>
  <c r="V482" i="6"/>
  <c r="W482" i="6"/>
  <c r="V483" i="6"/>
  <c r="W483" i="6"/>
  <c r="V484" i="6"/>
  <c r="W484" i="6"/>
  <c r="V485" i="6"/>
  <c r="W485" i="6"/>
  <c r="V486" i="6"/>
  <c r="W486" i="6"/>
  <c r="V487" i="6"/>
  <c r="W487" i="6"/>
  <c r="V488" i="6"/>
  <c r="W488" i="6"/>
  <c r="V489" i="6"/>
  <c r="W489" i="6"/>
  <c r="V490" i="6"/>
  <c r="W490" i="6"/>
  <c r="V491" i="6"/>
  <c r="W491" i="6"/>
  <c r="V492" i="6"/>
  <c r="W492" i="6"/>
  <c r="V493" i="6"/>
  <c r="W493" i="6"/>
  <c r="V494" i="6"/>
  <c r="W494" i="6"/>
  <c r="V495" i="6"/>
  <c r="W495" i="6"/>
  <c r="V496" i="6"/>
  <c r="W496" i="6"/>
  <c r="V497" i="6"/>
  <c r="W497" i="6"/>
  <c r="V498" i="6"/>
  <c r="W498" i="6"/>
  <c r="V499" i="6"/>
  <c r="W499" i="6"/>
  <c r="V500" i="6"/>
  <c r="W500" i="6"/>
  <c r="V501" i="6"/>
  <c r="W501" i="6"/>
  <c r="V502" i="6"/>
  <c r="W502" i="6"/>
  <c r="V503" i="6"/>
  <c r="W503" i="6"/>
  <c r="V504" i="6"/>
  <c r="W504" i="6"/>
  <c r="V505" i="6"/>
  <c r="W505" i="6"/>
  <c r="V506" i="6"/>
  <c r="W506" i="6"/>
  <c r="V507" i="6"/>
  <c r="W507" i="6"/>
  <c r="V508" i="6"/>
  <c r="W508" i="6"/>
  <c r="V509" i="6"/>
  <c r="W509" i="6"/>
  <c r="V510" i="6"/>
  <c r="W510" i="6"/>
  <c r="V511" i="6"/>
  <c r="W511" i="6"/>
  <c r="V512" i="6"/>
  <c r="W512" i="6"/>
  <c r="V513" i="6"/>
  <c r="W513" i="6"/>
  <c r="V514" i="6"/>
  <c r="W514" i="6"/>
  <c r="V515" i="6"/>
  <c r="W515" i="6"/>
  <c r="V516" i="6"/>
  <c r="W516" i="6"/>
  <c r="V517" i="6"/>
  <c r="W517" i="6"/>
  <c r="V518" i="6"/>
  <c r="W518" i="6"/>
  <c r="V519" i="6"/>
  <c r="W519" i="6"/>
  <c r="V520" i="6"/>
  <c r="W520" i="6"/>
  <c r="V521" i="6"/>
  <c r="W521" i="6"/>
  <c r="V522" i="6"/>
  <c r="W522" i="6"/>
  <c r="V523" i="6"/>
  <c r="W523" i="6"/>
  <c r="V524" i="6"/>
  <c r="W524" i="6"/>
  <c r="V525" i="6"/>
  <c r="W525" i="6"/>
  <c r="V526" i="6"/>
  <c r="W526" i="6"/>
  <c r="V527" i="6"/>
  <c r="W527" i="6"/>
  <c r="V528" i="6"/>
  <c r="W528" i="6"/>
  <c r="V529" i="6"/>
  <c r="W529" i="6"/>
  <c r="V530" i="6"/>
  <c r="W530" i="6"/>
  <c r="V531" i="6"/>
  <c r="W531" i="6"/>
  <c r="V532" i="6"/>
  <c r="W532" i="6"/>
  <c r="V533" i="6"/>
  <c r="W533" i="6"/>
  <c r="V534" i="6"/>
  <c r="W534" i="6"/>
  <c r="V535" i="6"/>
  <c r="W535" i="6"/>
  <c r="V536" i="6"/>
  <c r="W536" i="6"/>
  <c r="V537" i="6"/>
  <c r="W537" i="6"/>
  <c r="V538" i="6"/>
  <c r="W538" i="6"/>
  <c r="V539" i="6"/>
  <c r="W539" i="6"/>
  <c r="V540" i="6"/>
  <c r="W540" i="6"/>
  <c r="V541" i="6"/>
  <c r="W541" i="6"/>
  <c r="V542" i="6"/>
  <c r="W542" i="6"/>
  <c r="V543" i="6"/>
  <c r="W543" i="6"/>
  <c r="V544" i="6"/>
  <c r="W544" i="6"/>
  <c r="V545" i="6"/>
  <c r="W545" i="6"/>
  <c r="V546" i="6"/>
  <c r="W546" i="6"/>
  <c r="V547" i="6"/>
  <c r="W547" i="6"/>
  <c r="V548" i="6"/>
  <c r="W548" i="6"/>
  <c r="V549" i="6"/>
  <c r="W549" i="6"/>
  <c r="V550" i="6"/>
  <c r="W550" i="6"/>
  <c r="V551" i="6"/>
  <c r="W551" i="6"/>
  <c r="V552" i="6"/>
  <c r="W552" i="6"/>
  <c r="V553" i="6"/>
  <c r="W553" i="6"/>
  <c r="V554" i="6"/>
  <c r="W554" i="6"/>
  <c r="V555" i="6"/>
  <c r="W555" i="6"/>
  <c r="V556" i="6"/>
  <c r="W556" i="6"/>
  <c r="V557" i="6"/>
  <c r="W557" i="6"/>
  <c r="V558" i="6"/>
  <c r="W558" i="6"/>
  <c r="V559" i="6"/>
  <c r="W559" i="6"/>
  <c r="V560" i="6"/>
  <c r="W560" i="6"/>
  <c r="V561" i="6"/>
  <c r="W561" i="6"/>
  <c r="V562" i="6"/>
  <c r="W562" i="6"/>
  <c r="V563" i="6"/>
  <c r="W563" i="6"/>
  <c r="V564" i="6"/>
  <c r="W564" i="6"/>
  <c r="V565" i="6"/>
  <c r="W565" i="6"/>
  <c r="V566" i="6"/>
  <c r="W566" i="6"/>
  <c r="V567" i="6"/>
  <c r="W567" i="6"/>
  <c r="V568" i="6"/>
  <c r="W568" i="6"/>
  <c r="V569" i="6"/>
  <c r="W569" i="6"/>
  <c r="V570" i="6"/>
  <c r="W570" i="6"/>
  <c r="V571" i="6"/>
  <c r="W571" i="6"/>
  <c r="V572" i="6"/>
  <c r="W572" i="6"/>
  <c r="V573" i="6"/>
  <c r="W573" i="6"/>
  <c r="V574" i="6"/>
  <c r="W574" i="6"/>
  <c r="V575" i="6"/>
  <c r="W575" i="6"/>
  <c r="V576" i="6"/>
  <c r="W576" i="6"/>
  <c r="V577" i="6"/>
  <c r="W577" i="6"/>
  <c r="V578" i="6"/>
  <c r="W578" i="6"/>
  <c r="V579" i="6"/>
  <c r="W579" i="6"/>
  <c r="V580" i="6"/>
  <c r="W580" i="6"/>
  <c r="V581" i="6"/>
  <c r="W581" i="6"/>
  <c r="V582" i="6"/>
  <c r="W582" i="6"/>
  <c r="V583" i="6"/>
  <c r="W583" i="6"/>
  <c r="V584" i="6"/>
  <c r="W584" i="6"/>
  <c r="V585" i="6"/>
  <c r="W585" i="6"/>
  <c r="V586" i="6"/>
  <c r="W586" i="6"/>
  <c r="V587" i="6"/>
  <c r="W587" i="6"/>
  <c r="V588" i="6"/>
  <c r="W588" i="6"/>
  <c r="V589" i="6"/>
  <c r="W589" i="6"/>
  <c r="V590" i="6"/>
  <c r="W590" i="6"/>
  <c r="V591" i="6"/>
  <c r="W591" i="6"/>
  <c r="V592" i="6"/>
  <c r="W592" i="6"/>
  <c r="V593" i="6"/>
  <c r="W593" i="6"/>
  <c r="V594" i="6"/>
  <c r="W594" i="6"/>
  <c r="V595" i="6"/>
  <c r="W595" i="6"/>
  <c r="V596" i="6"/>
  <c r="W596" i="6"/>
  <c r="V597" i="6"/>
  <c r="W597" i="6"/>
  <c r="V598" i="6"/>
  <c r="W598" i="6"/>
  <c r="V599" i="6"/>
  <c r="W599" i="6"/>
  <c r="V600" i="6"/>
  <c r="W600" i="6"/>
  <c r="V601" i="6"/>
  <c r="W601" i="6"/>
  <c r="V602" i="6"/>
  <c r="W602" i="6"/>
  <c r="V603" i="6"/>
  <c r="W603" i="6"/>
  <c r="V604" i="6"/>
  <c r="W604" i="6"/>
  <c r="V605" i="6"/>
  <c r="W605" i="6"/>
  <c r="V606" i="6"/>
  <c r="W606" i="6"/>
  <c r="V607" i="6"/>
  <c r="W607" i="6"/>
  <c r="V608" i="6"/>
  <c r="W608" i="6"/>
  <c r="V609" i="6"/>
  <c r="W609" i="6"/>
  <c r="V610" i="6"/>
  <c r="W610" i="6"/>
  <c r="V611" i="6"/>
  <c r="W611" i="6"/>
  <c r="V612" i="6"/>
  <c r="W612" i="6"/>
  <c r="V613" i="6"/>
  <c r="W613" i="6"/>
  <c r="V614" i="6"/>
  <c r="W614" i="6"/>
  <c r="V615" i="6"/>
  <c r="W615" i="6"/>
  <c r="V616" i="6"/>
  <c r="W616" i="6"/>
  <c r="V617" i="6"/>
  <c r="W617" i="6"/>
  <c r="V618" i="6"/>
  <c r="W618" i="6"/>
  <c r="V619" i="6"/>
  <c r="W619" i="6"/>
  <c r="V620" i="6"/>
  <c r="W620" i="6"/>
  <c r="V621" i="6"/>
  <c r="W621" i="6"/>
  <c r="V622" i="6"/>
  <c r="W622" i="6"/>
  <c r="V623" i="6"/>
  <c r="W623" i="6"/>
  <c r="V624" i="6"/>
  <c r="W624" i="6"/>
  <c r="V625" i="6"/>
  <c r="W625" i="6"/>
  <c r="V626" i="6"/>
  <c r="W626" i="6"/>
  <c r="V627" i="6"/>
  <c r="W627" i="6"/>
  <c r="V628" i="6"/>
  <c r="W628" i="6"/>
  <c r="V629" i="6"/>
  <c r="W629" i="6"/>
  <c r="P8" i="6"/>
  <c r="Q8" i="6" s="1"/>
  <c r="R8" i="6"/>
  <c r="S8" i="6"/>
  <c r="P9" i="6"/>
  <c r="Q9" i="6"/>
  <c r="R9" i="6"/>
  <c r="S9" i="6"/>
  <c r="P10" i="6"/>
  <c r="Q10" i="6" s="1"/>
  <c r="R10" i="6"/>
  <c r="S10" i="6"/>
  <c r="P11" i="6"/>
  <c r="Q11" i="6"/>
  <c r="R11" i="6"/>
  <c r="S11" i="6" s="1"/>
  <c r="P12" i="6"/>
  <c r="Q12" i="6" s="1"/>
  <c r="R12" i="6"/>
  <c r="S12" i="6"/>
  <c r="P13" i="6"/>
  <c r="Q13" i="6" s="1"/>
  <c r="R13" i="6"/>
  <c r="S13" i="6"/>
  <c r="P14" i="6"/>
  <c r="Q14" i="6" s="1"/>
  <c r="R14" i="6"/>
  <c r="S14" i="6"/>
  <c r="P15" i="6"/>
  <c r="Q15" i="6"/>
  <c r="R15" i="6"/>
  <c r="S15" i="6" s="1"/>
  <c r="P16" i="6"/>
  <c r="Q16" i="6" s="1"/>
  <c r="R16" i="6"/>
  <c r="S16" i="6"/>
  <c r="P17" i="6"/>
  <c r="Q17" i="6" s="1"/>
  <c r="R17" i="6"/>
  <c r="S17" i="6"/>
  <c r="P18" i="6"/>
  <c r="Q18" i="6" s="1"/>
  <c r="R18" i="6"/>
  <c r="S18" i="6"/>
  <c r="P19" i="6"/>
  <c r="Q19" i="6" s="1"/>
  <c r="R19" i="6"/>
  <c r="S19" i="6" s="1"/>
  <c r="P20" i="6"/>
  <c r="Q20" i="6" s="1"/>
  <c r="R20" i="6"/>
  <c r="S20" i="6"/>
  <c r="P21" i="6"/>
  <c r="Q21" i="6"/>
  <c r="R21" i="6"/>
  <c r="S21" i="6" s="1"/>
  <c r="P22" i="6"/>
  <c r="Q22" i="6" s="1"/>
  <c r="R22" i="6"/>
  <c r="S22" i="6"/>
  <c r="P23" i="6"/>
  <c r="Q23" i="6" s="1"/>
  <c r="R23" i="6"/>
  <c r="S23" i="6" s="1"/>
  <c r="P24" i="6"/>
  <c r="Q24" i="6" s="1"/>
  <c r="R24" i="6"/>
  <c r="S24" i="6"/>
  <c r="P25" i="6"/>
  <c r="Q25" i="6"/>
  <c r="R25" i="6"/>
  <c r="S25" i="6"/>
  <c r="P26" i="6"/>
  <c r="Q26" i="6" s="1"/>
  <c r="R26" i="6"/>
  <c r="S26" i="6"/>
  <c r="P27" i="6"/>
  <c r="Q27" i="6"/>
  <c r="R27" i="6"/>
  <c r="S27" i="6" s="1"/>
  <c r="P28" i="6"/>
  <c r="Q28" i="6" s="1"/>
  <c r="R28" i="6"/>
  <c r="S28" i="6"/>
  <c r="P29" i="6"/>
  <c r="Q29" i="6"/>
  <c r="R29" i="6"/>
  <c r="S29" i="6"/>
  <c r="P30" i="6"/>
  <c r="Q30" i="6" s="1"/>
  <c r="R30" i="6"/>
  <c r="S30" i="6"/>
  <c r="P31" i="6"/>
  <c r="Q31" i="6" s="1"/>
  <c r="R31" i="6"/>
  <c r="S31" i="6"/>
  <c r="P32" i="6"/>
  <c r="Q32" i="6" s="1"/>
  <c r="R32" i="6"/>
  <c r="S32" i="6"/>
  <c r="P33" i="6"/>
  <c r="Q33" i="6" s="1"/>
  <c r="R33" i="6"/>
  <c r="S33" i="6"/>
  <c r="P34" i="6"/>
  <c r="Q34" i="6" s="1"/>
  <c r="R34" i="6"/>
  <c r="S34" i="6"/>
  <c r="P35" i="6"/>
  <c r="Q35" i="6" s="1"/>
  <c r="R35" i="6"/>
  <c r="S35" i="6" s="1"/>
  <c r="P36" i="6"/>
  <c r="Q36" i="6" s="1"/>
  <c r="R36" i="6"/>
  <c r="S36" i="6"/>
  <c r="P37" i="6"/>
  <c r="Q37" i="6"/>
  <c r="R37" i="6"/>
  <c r="S37" i="6" s="1"/>
  <c r="P38" i="6"/>
  <c r="Q38" i="6" s="1"/>
  <c r="R38" i="6"/>
  <c r="S38" i="6"/>
  <c r="P39" i="6"/>
  <c r="Q39" i="6" s="1"/>
  <c r="R39" i="6"/>
  <c r="S39" i="6" s="1"/>
  <c r="P40" i="6"/>
  <c r="Q40" i="6" s="1"/>
  <c r="R40" i="6"/>
  <c r="S40" i="6"/>
  <c r="P41" i="6"/>
  <c r="Q41" i="6"/>
  <c r="R41" i="6"/>
  <c r="S41" i="6"/>
  <c r="P42" i="6"/>
  <c r="Q42" i="6" s="1"/>
  <c r="R42" i="6"/>
  <c r="S42" i="6"/>
  <c r="P43" i="6"/>
  <c r="Q43" i="6"/>
  <c r="R43" i="6"/>
  <c r="S43" i="6" s="1"/>
  <c r="P44" i="6"/>
  <c r="Q44" i="6" s="1"/>
  <c r="R44" i="6"/>
  <c r="S44" i="6"/>
  <c r="P45" i="6"/>
  <c r="Q45" i="6"/>
  <c r="R45" i="6"/>
  <c r="S45" i="6" s="1"/>
  <c r="P46" i="6"/>
  <c r="Q46" i="6" s="1"/>
  <c r="R46" i="6"/>
  <c r="S46" i="6"/>
  <c r="P47" i="6"/>
  <c r="Q47" i="6"/>
  <c r="R47" i="6"/>
  <c r="S47" i="6"/>
  <c r="P48" i="6"/>
  <c r="Q48" i="6" s="1"/>
  <c r="R48" i="6"/>
  <c r="S48" i="6"/>
  <c r="P49" i="6"/>
  <c r="Q49" i="6" s="1"/>
  <c r="R49" i="6"/>
  <c r="S49" i="6"/>
  <c r="P50" i="6"/>
  <c r="Q50" i="6" s="1"/>
  <c r="R50" i="6"/>
  <c r="S50" i="6"/>
  <c r="P51" i="6"/>
  <c r="Q51" i="6" s="1"/>
  <c r="R51" i="6"/>
  <c r="S51" i="6" s="1"/>
  <c r="P52" i="6"/>
  <c r="Q52" i="6" s="1"/>
  <c r="R52" i="6"/>
  <c r="S52" i="6"/>
  <c r="P53" i="6"/>
  <c r="Q53" i="6"/>
  <c r="R53" i="6"/>
  <c r="S53" i="6" s="1"/>
  <c r="P54" i="6"/>
  <c r="Q54" i="6" s="1"/>
  <c r="R54" i="6"/>
  <c r="S54" i="6"/>
  <c r="P55" i="6"/>
  <c r="Q55" i="6" s="1"/>
  <c r="R55" i="6"/>
  <c r="S55" i="6" s="1"/>
  <c r="P56" i="6"/>
  <c r="Q56" i="6" s="1"/>
  <c r="R56" i="6"/>
  <c r="S56" i="6"/>
  <c r="P57" i="6"/>
  <c r="Q57" i="6" s="1"/>
  <c r="R57" i="6"/>
  <c r="S57" i="6"/>
  <c r="P58" i="6"/>
  <c r="Q58" i="6" s="1"/>
  <c r="R58" i="6"/>
  <c r="S58" i="6"/>
  <c r="P59" i="6"/>
  <c r="Q59" i="6"/>
  <c r="R59" i="6"/>
  <c r="S59" i="6" s="1"/>
  <c r="P60" i="6"/>
  <c r="Q60" i="6" s="1"/>
  <c r="R60" i="6"/>
  <c r="S60" i="6"/>
  <c r="P61" i="6"/>
  <c r="Q61" i="6"/>
  <c r="R61" i="6"/>
  <c r="S61" i="6" s="1"/>
  <c r="P62" i="6"/>
  <c r="Q62" i="6" s="1"/>
  <c r="R62" i="6"/>
  <c r="S62" i="6"/>
  <c r="P63" i="6"/>
  <c r="Q63" i="6" s="1"/>
  <c r="R63" i="6"/>
  <c r="S63" i="6"/>
  <c r="P64" i="6"/>
  <c r="Q64" i="6" s="1"/>
  <c r="R64" i="6"/>
  <c r="S64" i="6"/>
  <c r="P65" i="6"/>
  <c r="Q65" i="6" s="1"/>
  <c r="R65" i="6"/>
  <c r="S65" i="6"/>
  <c r="P66" i="6"/>
  <c r="Q66" i="6" s="1"/>
  <c r="R66" i="6"/>
  <c r="S66" i="6"/>
  <c r="P67" i="6"/>
  <c r="Q67" i="6" s="1"/>
  <c r="R67" i="6"/>
  <c r="S67" i="6" s="1"/>
  <c r="P68" i="6"/>
  <c r="Q68" i="6" s="1"/>
  <c r="R68" i="6"/>
  <c r="S68" i="6"/>
  <c r="P69" i="6"/>
  <c r="Q69" i="6"/>
  <c r="R69" i="6"/>
  <c r="S69" i="6" s="1"/>
  <c r="P70" i="6"/>
  <c r="Q70" i="6" s="1"/>
  <c r="R70" i="6"/>
  <c r="S70" i="6"/>
  <c r="P71" i="6"/>
  <c r="Q71" i="6" s="1"/>
  <c r="R71" i="6"/>
  <c r="S71" i="6" s="1"/>
  <c r="P72" i="6"/>
  <c r="Q72" i="6" s="1"/>
  <c r="R72" i="6"/>
  <c r="S72" i="6"/>
  <c r="P73" i="6"/>
  <c r="Q73" i="6" s="1"/>
  <c r="R73" i="6"/>
  <c r="S73" i="6"/>
  <c r="P74" i="6"/>
  <c r="Q74" i="6" s="1"/>
  <c r="R74" i="6"/>
  <c r="S74" i="6"/>
  <c r="P75" i="6"/>
  <c r="Q75" i="6"/>
  <c r="R75" i="6"/>
  <c r="S75" i="6" s="1"/>
  <c r="P76" i="6"/>
  <c r="Q76" i="6" s="1"/>
  <c r="R76" i="6"/>
  <c r="S76" i="6"/>
  <c r="P77" i="6"/>
  <c r="Q77" i="6"/>
  <c r="R77" i="6"/>
  <c r="S77" i="6" s="1"/>
  <c r="P78" i="6"/>
  <c r="Q78" i="6" s="1"/>
  <c r="R78" i="6"/>
  <c r="S78" i="6"/>
  <c r="P79" i="6"/>
  <c r="Q79" i="6"/>
  <c r="R79" i="6"/>
  <c r="S79" i="6"/>
  <c r="P80" i="6"/>
  <c r="Q80" i="6" s="1"/>
  <c r="R80" i="6"/>
  <c r="S80" i="6"/>
  <c r="P81" i="6"/>
  <c r="Q81" i="6" s="1"/>
  <c r="R81" i="6"/>
  <c r="S81" i="6"/>
  <c r="P82" i="6"/>
  <c r="Q82" i="6" s="1"/>
  <c r="R82" i="6"/>
  <c r="S82" i="6"/>
  <c r="P83" i="6"/>
  <c r="Q83" i="6" s="1"/>
  <c r="R83" i="6"/>
  <c r="S83" i="6"/>
  <c r="P84" i="6"/>
  <c r="Q84" i="6" s="1"/>
  <c r="R84" i="6"/>
  <c r="S84" i="6"/>
  <c r="P85" i="6"/>
  <c r="Q85" i="6"/>
  <c r="R85" i="6"/>
  <c r="S85" i="6" s="1"/>
  <c r="P86" i="6"/>
  <c r="Q86" i="6" s="1"/>
  <c r="R86" i="6"/>
  <c r="S86" i="6"/>
  <c r="P87" i="6"/>
  <c r="Q87" i="6" s="1"/>
  <c r="R87" i="6"/>
  <c r="S87" i="6" s="1"/>
  <c r="P88" i="6"/>
  <c r="Q88" i="6" s="1"/>
  <c r="R88" i="6"/>
  <c r="S88" i="6"/>
  <c r="P89" i="6"/>
  <c r="Q89" i="6" s="1"/>
  <c r="R89" i="6"/>
  <c r="S89" i="6"/>
  <c r="P90" i="6"/>
  <c r="Q90" i="6" s="1"/>
  <c r="R90" i="6"/>
  <c r="S90" i="6"/>
  <c r="P91" i="6"/>
  <c r="Q91" i="6"/>
  <c r="R91" i="6"/>
  <c r="S91" i="6" s="1"/>
  <c r="P92" i="6"/>
  <c r="Q92" i="6" s="1"/>
  <c r="R92" i="6"/>
  <c r="S92" i="6"/>
  <c r="P93" i="6"/>
  <c r="Q93" i="6"/>
  <c r="R93" i="6"/>
  <c r="S93" i="6" s="1"/>
  <c r="P94" i="6"/>
  <c r="Q94" i="6" s="1"/>
  <c r="R94" i="6"/>
  <c r="S94" i="6"/>
  <c r="P95" i="6"/>
  <c r="Q95" i="6" s="1"/>
  <c r="R95" i="6"/>
  <c r="S95" i="6"/>
  <c r="P96" i="6"/>
  <c r="Q96" i="6" s="1"/>
  <c r="R96" i="6"/>
  <c r="S96" i="6"/>
  <c r="P97" i="6"/>
  <c r="Q97" i="6" s="1"/>
  <c r="R97" i="6"/>
  <c r="S97" i="6"/>
  <c r="P98" i="6"/>
  <c r="Q98" i="6" s="1"/>
  <c r="R98" i="6"/>
  <c r="S98" i="6"/>
  <c r="P99" i="6"/>
  <c r="Q99" i="6" s="1"/>
  <c r="R99" i="6"/>
  <c r="S99" i="6" s="1"/>
  <c r="P100" i="6"/>
  <c r="Q100" i="6" s="1"/>
  <c r="R100" i="6"/>
  <c r="S100" i="6"/>
  <c r="P101" i="6"/>
  <c r="Q101" i="6"/>
  <c r="R101" i="6"/>
  <c r="S101" i="6" s="1"/>
  <c r="P102" i="6"/>
  <c r="Q102" i="6" s="1"/>
  <c r="R102" i="6"/>
  <c r="S102" i="6"/>
  <c r="P103" i="6"/>
  <c r="Q103" i="6" s="1"/>
  <c r="R103" i="6"/>
  <c r="S103" i="6" s="1"/>
  <c r="P104" i="6"/>
  <c r="Q104" i="6" s="1"/>
  <c r="R104" i="6"/>
  <c r="S104" i="6"/>
  <c r="P105" i="6"/>
  <c r="Q105" i="6" s="1"/>
  <c r="R105" i="6"/>
  <c r="S105" i="6"/>
  <c r="P106" i="6"/>
  <c r="Q106" i="6" s="1"/>
  <c r="R106" i="6"/>
  <c r="S106" i="6"/>
  <c r="P107" i="6"/>
  <c r="Q107" i="6"/>
  <c r="R107" i="6"/>
  <c r="S107" i="6" s="1"/>
  <c r="P108" i="6"/>
  <c r="Q108" i="6" s="1"/>
  <c r="R108" i="6"/>
  <c r="S108" i="6"/>
  <c r="P109" i="6"/>
  <c r="Q109" i="6"/>
  <c r="R109" i="6"/>
  <c r="S109" i="6" s="1"/>
  <c r="P110" i="6"/>
  <c r="Q110" i="6" s="1"/>
  <c r="R110" i="6"/>
  <c r="S110" i="6"/>
  <c r="P111" i="6"/>
  <c r="Q111" i="6" s="1"/>
  <c r="R111" i="6"/>
  <c r="S111" i="6"/>
  <c r="P112" i="6"/>
  <c r="Q112" i="6" s="1"/>
  <c r="R112" i="6"/>
  <c r="S112" i="6"/>
  <c r="P113" i="6"/>
  <c r="Q113" i="6" s="1"/>
  <c r="R113" i="6"/>
  <c r="S113" i="6"/>
  <c r="P114" i="6"/>
  <c r="Q114" i="6" s="1"/>
  <c r="R114" i="6"/>
  <c r="S114" i="6"/>
  <c r="P115" i="6"/>
  <c r="Q115" i="6" s="1"/>
  <c r="R115" i="6"/>
  <c r="S115" i="6" s="1"/>
  <c r="P116" i="6"/>
  <c r="Q116" i="6" s="1"/>
  <c r="R116" i="6"/>
  <c r="S116" i="6"/>
  <c r="P117" i="6"/>
  <c r="Q117" i="6"/>
  <c r="R117" i="6"/>
  <c r="S117" i="6" s="1"/>
  <c r="P118" i="6"/>
  <c r="Q118" i="6" s="1"/>
  <c r="R118" i="6"/>
  <c r="S118" i="6"/>
  <c r="P119" i="6"/>
  <c r="Q119" i="6" s="1"/>
  <c r="R119" i="6"/>
  <c r="S119" i="6" s="1"/>
  <c r="P120" i="6"/>
  <c r="Q120" i="6" s="1"/>
  <c r="R120" i="6"/>
  <c r="S120" i="6"/>
  <c r="P121" i="6"/>
  <c r="Q121" i="6" s="1"/>
  <c r="R121" i="6"/>
  <c r="S121" i="6"/>
  <c r="P122" i="6"/>
  <c r="Q122" i="6" s="1"/>
  <c r="R122" i="6"/>
  <c r="S122" i="6"/>
  <c r="P123" i="6"/>
  <c r="Q123" i="6"/>
  <c r="R123" i="6"/>
  <c r="S123" i="6" s="1"/>
  <c r="P124" i="6"/>
  <c r="Q124" i="6" s="1"/>
  <c r="R124" i="6"/>
  <c r="S124" i="6"/>
  <c r="P125" i="6"/>
  <c r="Q125" i="6"/>
  <c r="R125" i="6"/>
  <c r="S125" i="6" s="1"/>
  <c r="P126" i="6"/>
  <c r="Q126" i="6" s="1"/>
  <c r="R126" i="6"/>
  <c r="S126" i="6"/>
  <c r="P127" i="6"/>
  <c r="Q127" i="6" s="1"/>
  <c r="R127" i="6"/>
  <c r="S127" i="6"/>
  <c r="P128" i="6"/>
  <c r="Q128" i="6" s="1"/>
  <c r="R128" i="6"/>
  <c r="S128" i="6"/>
  <c r="P129" i="6"/>
  <c r="Q129" i="6" s="1"/>
  <c r="R129" i="6"/>
  <c r="S129" i="6"/>
  <c r="P130" i="6"/>
  <c r="Q130" i="6" s="1"/>
  <c r="R130" i="6"/>
  <c r="S130" i="6"/>
  <c r="P131" i="6"/>
  <c r="Q131" i="6" s="1"/>
  <c r="R131" i="6"/>
  <c r="S131" i="6" s="1"/>
  <c r="P132" i="6"/>
  <c r="Q132" i="6" s="1"/>
  <c r="R132" i="6"/>
  <c r="S132" i="6"/>
  <c r="P133" i="6"/>
  <c r="Q133" i="6"/>
  <c r="R133" i="6"/>
  <c r="S133" i="6" s="1"/>
  <c r="P134" i="6"/>
  <c r="Q134" i="6" s="1"/>
  <c r="R134" i="6"/>
  <c r="S134" i="6"/>
  <c r="P135" i="6"/>
  <c r="Q135" i="6" s="1"/>
  <c r="R135" i="6"/>
  <c r="S135" i="6" s="1"/>
  <c r="P136" i="6"/>
  <c r="Q136" i="6" s="1"/>
  <c r="R136" i="6"/>
  <c r="S136" i="6"/>
  <c r="P137" i="6"/>
  <c r="Q137" i="6" s="1"/>
  <c r="R137" i="6"/>
  <c r="S137" i="6"/>
  <c r="P138" i="6"/>
  <c r="Q138" i="6" s="1"/>
  <c r="R138" i="6"/>
  <c r="S138" i="6" s="1"/>
  <c r="P139" i="6"/>
  <c r="Q139" i="6"/>
  <c r="R139" i="6"/>
  <c r="S139" i="6" s="1"/>
  <c r="P140" i="6"/>
  <c r="Q140" i="6" s="1"/>
  <c r="R140" i="6"/>
  <c r="S140" i="6" s="1"/>
  <c r="P141" i="6"/>
  <c r="Q141" i="6"/>
  <c r="R141" i="6"/>
  <c r="S141" i="6" s="1"/>
  <c r="P142" i="6"/>
  <c r="Q142" i="6" s="1"/>
  <c r="R142" i="6"/>
  <c r="S142" i="6"/>
  <c r="P143" i="6"/>
  <c r="Q143" i="6" s="1"/>
  <c r="R143" i="6"/>
  <c r="S143" i="6"/>
  <c r="P144" i="6"/>
  <c r="Q144" i="6" s="1"/>
  <c r="R144" i="6"/>
  <c r="S144" i="6"/>
  <c r="P145" i="6"/>
  <c r="Q145" i="6" s="1"/>
  <c r="R145" i="6"/>
  <c r="S145" i="6"/>
  <c r="P146" i="6"/>
  <c r="Q146" i="6" s="1"/>
  <c r="R146" i="6"/>
  <c r="S146" i="6"/>
  <c r="P147" i="6"/>
  <c r="Q147" i="6" s="1"/>
  <c r="R147" i="6"/>
  <c r="S147" i="6" s="1"/>
  <c r="P148" i="6"/>
  <c r="Q148" i="6" s="1"/>
  <c r="R148" i="6"/>
  <c r="S148" i="6" s="1"/>
  <c r="P149" i="6"/>
  <c r="Q149" i="6"/>
  <c r="R149" i="6"/>
  <c r="S149" i="6" s="1"/>
  <c r="P150" i="6"/>
  <c r="Q150" i="6" s="1"/>
  <c r="R150" i="6"/>
  <c r="S150" i="6"/>
  <c r="P151" i="6"/>
  <c r="Q151" i="6"/>
  <c r="R151" i="6"/>
  <c r="S151" i="6"/>
  <c r="P152" i="6"/>
  <c r="Q152" i="6" s="1"/>
  <c r="R152" i="6"/>
  <c r="S152" i="6"/>
  <c r="P153" i="6"/>
  <c r="Q153" i="6" s="1"/>
  <c r="R153" i="6"/>
  <c r="S153" i="6"/>
  <c r="P154" i="6"/>
  <c r="Q154" i="6" s="1"/>
  <c r="R154" i="6"/>
  <c r="S154" i="6" s="1"/>
  <c r="P155" i="6"/>
  <c r="Q155" i="6"/>
  <c r="R155" i="6"/>
  <c r="S155" i="6"/>
  <c r="P156" i="6"/>
  <c r="Q156" i="6" s="1"/>
  <c r="R156" i="6"/>
  <c r="S156" i="6" s="1"/>
  <c r="P157" i="6"/>
  <c r="Q157" i="6"/>
  <c r="R157" i="6"/>
  <c r="S157" i="6" s="1"/>
  <c r="P158" i="6"/>
  <c r="Q158" i="6" s="1"/>
  <c r="R158" i="6"/>
  <c r="S158" i="6"/>
  <c r="P159" i="6"/>
  <c r="Q159" i="6" s="1"/>
  <c r="R159" i="6"/>
  <c r="S159" i="6"/>
  <c r="P160" i="6"/>
  <c r="Q160" i="6" s="1"/>
  <c r="R160" i="6"/>
  <c r="S160" i="6"/>
  <c r="P161" i="6"/>
  <c r="Q161" i="6" s="1"/>
  <c r="R161" i="6"/>
  <c r="S161" i="6"/>
  <c r="P162" i="6"/>
  <c r="Q162" i="6" s="1"/>
  <c r="R162" i="6"/>
  <c r="S162" i="6"/>
  <c r="P163" i="6"/>
  <c r="Q163" i="6" s="1"/>
  <c r="R163" i="6"/>
  <c r="S163" i="6" s="1"/>
  <c r="P164" i="6"/>
  <c r="Q164" i="6" s="1"/>
  <c r="R164" i="6"/>
  <c r="S164" i="6" s="1"/>
  <c r="P165" i="6"/>
  <c r="Q165" i="6"/>
  <c r="R165" i="6"/>
  <c r="S165" i="6" s="1"/>
  <c r="P166" i="6"/>
  <c r="Q166" i="6" s="1"/>
  <c r="R166" i="6"/>
  <c r="S166" i="6"/>
  <c r="P167" i="6"/>
  <c r="Q167" i="6"/>
  <c r="R167" i="6"/>
  <c r="S167" i="6"/>
  <c r="P168" i="6"/>
  <c r="Q168" i="6" s="1"/>
  <c r="R168" i="6"/>
  <c r="S168" i="6"/>
  <c r="P169" i="6"/>
  <c r="Q169" i="6" s="1"/>
  <c r="R169" i="6"/>
  <c r="S169" i="6"/>
  <c r="P170" i="6"/>
  <c r="Q170" i="6" s="1"/>
  <c r="R170" i="6"/>
  <c r="S170" i="6" s="1"/>
  <c r="P171" i="6"/>
  <c r="Q171" i="6"/>
  <c r="R171" i="6"/>
  <c r="S171" i="6"/>
  <c r="P172" i="6"/>
  <c r="Q172" i="6" s="1"/>
  <c r="R172" i="6"/>
  <c r="S172" i="6" s="1"/>
  <c r="P173" i="6"/>
  <c r="Q173" i="6"/>
  <c r="R173" i="6"/>
  <c r="S173" i="6" s="1"/>
  <c r="P174" i="6"/>
  <c r="Q174" i="6" s="1"/>
  <c r="R174" i="6"/>
  <c r="S174" i="6" s="1"/>
  <c r="P175" i="6"/>
  <c r="Q175" i="6" s="1"/>
  <c r="R175" i="6"/>
  <c r="S175" i="6"/>
  <c r="P176" i="6"/>
  <c r="Q176" i="6" s="1"/>
  <c r="R176" i="6"/>
  <c r="S176" i="6"/>
  <c r="P177" i="6"/>
  <c r="Q177" i="6" s="1"/>
  <c r="R177" i="6"/>
  <c r="S177" i="6"/>
  <c r="P178" i="6"/>
  <c r="Q178" i="6" s="1"/>
  <c r="R178" i="6"/>
  <c r="S178" i="6"/>
  <c r="P179" i="6"/>
  <c r="Q179" i="6" s="1"/>
  <c r="R179" i="6"/>
  <c r="S179" i="6"/>
  <c r="P180" i="6"/>
  <c r="Q180" i="6" s="1"/>
  <c r="R180" i="6"/>
  <c r="S180" i="6"/>
  <c r="P181" i="6"/>
  <c r="Q181" i="6" s="1"/>
  <c r="R181" i="6"/>
  <c r="S181" i="6"/>
  <c r="P182" i="6"/>
  <c r="Q182" i="6" s="1"/>
  <c r="R182" i="6"/>
  <c r="S182" i="6" s="1"/>
  <c r="P183" i="6"/>
  <c r="Q183" i="6" s="1"/>
  <c r="R183" i="6"/>
  <c r="S183" i="6" s="1"/>
  <c r="P184" i="6"/>
  <c r="Q184" i="6" s="1"/>
  <c r="R184" i="6"/>
  <c r="S184" i="6"/>
  <c r="P185" i="6"/>
  <c r="Q185" i="6" s="1"/>
  <c r="R185" i="6"/>
  <c r="S185" i="6" s="1"/>
  <c r="P186" i="6"/>
  <c r="Q186" i="6" s="1"/>
  <c r="R186" i="6"/>
  <c r="S186" i="6" s="1"/>
  <c r="P187" i="6"/>
  <c r="Q187" i="6" s="1"/>
  <c r="R187" i="6"/>
  <c r="S187" i="6" s="1"/>
  <c r="P188" i="6"/>
  <c r="Q188" i="6" s="1"/>
  <c r="R188" i="6"/>
  <c r="S188" i="6" s="1"/>
  <c r="P189" i="6"/>
  <c r="Q189" i="6" s="1"/>
  <c r="R189" i="6"/>
  <c r="S189" i="6" s="1"/>
  <c r="P190" i="6"/>
  <c r="Q190" i="6" s="1"/>
  <c r="R190" i="6"/>
  <c r="S190" i="6" s="1"/>
  <c r="P191" i="6"/>
  <c r="Q191" i="6" s="1"/>
  <c r="R191" i="6"/>
  <c r="S191" i="6" s="1"/>
  <c r="P192" i="6"/>
  <c r="Q192" i="6" s="1"/>
  <c r="R192" i="6"/>
  <c r="S192" i="6" s="1"/>
  <c r="P193" i="6"/>
  <c r="Q193" i="6" s="1"/>
  <c r="R193" i="6"/>
  <c r="S193" i="6" s="1"/>
  <c r="P194" i="6"/>
  <c r="Q194" i="6" s="1"/>
  <c r="R194" i="6"/>
  <c r="S194" i="6"/>
  <c r="P195" i="6"/>
  <c r="Q195" i="6" s="1"/>
  <c r="R195" i="6"/>
  <c r="S195" i="6" s="1"/>
  <c r="P196" i="6"/>
  <c r="Q196" i="6" s="1"/>
  <c r="R196" i="6"/>
  <c r="S196" i="6"/>
  <c r="P197" i="6"/>
  <c r="Q197" i="6" s="1"/>
  <c r="R197" i="6"/>
  <c r="S197" i="6" s="1"/>
  <c r="P198" i="6"/>
  <c r="Q198" i="6" s="1"/>
  <c r="R198" i="6"/>
  <c r="S198" i="6" s="1"/>
  <c r="P199" i="6"/>
  <c r="Q199" i="6" s="1"/>
  <c r="R199" i="6"/>
  <c r="S199" i="6" s="1"/>
  <c r="P200" i="6"/>
  <c r="Q200" i="6" s="1"/>
  <c r="R200" i="6"/>
  <c r="S200" i="6"/>
  <c r="P201" i="6"/>
  <c r="Q201" i="6" s="1"/>
  <c r="R201" i="6"/>
  <c r="S201" i="6" s="1"/>
  <c r="P202" i="6"/>
  <c r="Q202" i="6" s="1"/>
  <c r="R202" i="6"/>
  <c r="S202" i="6" s="1"/>
  <c r="P203" i="6"/>
  <c r="Q203" i="6" s="1"/>
  <c r="R203" i="6"/>
  <c r="S203" i="6" s="1"/>
  <c r="P204" i="6"/>
  <c r="Q204" i="6" s="1"/>
  <c r="R204" i="6"/>
  <c r="S204" i="6" s="1"/>
  <c r="P205" i="6"/>
  <c r="Q205" i="6" s="1"/>
  <c r="R205" i="6"/>
  <c r="S205" i="6" s="1"/>
  <c r="P206" i="6"/>
  <c r="Q206" i="6" s="1"/>
  <c r="R206" i="6"/>
  <c r="S206" i="6"/>
  <c r="P207" i="6"/>
  <c r="Q207" i="6" s="1"/>
  <c r="R207" i="6"/>
  <c r="S207" i="6" s="1"/>
  <c r="P208" i="6"/>
  <c r="Q208" i="6" s="1"/>
  <c r="R208" i="6"/>
  <c r="S208" i="6" s="1"/>
  <c r="P209" i="6"/>
  <c r="Q209" i="6" s="1"/>
  <c r="R209" i="6"/>
  <c r="S209" i="6" s="1"/>
  <c r="P210" i="6"/>
  <c r="Q210" i="6" s="1"/>
  <c r="R210" i="6"/>
  <c r="S210" i="6"/>
  <c r="P211" i="6"/>
  <c r="Q211" i="6" s="1"/>
  <c r="R211" i="6"/>
  <c r="S211" i="6" s="1"/>
  <c r="P212" i="6"/>
  <c r="Q212" i="6" s="1"/>
  <c r="R212" i="6"/>
  <c r="S212" i="6"/>
  <c r="P213" i="6"/>
  <c r="Q213" i="6" s="1"/>
  <c r="R213" i="6"/>
  <c r="S213" i="6" s="1"/>
  <c r="P214" i="6"/>
  <c r="Q214" i="6" s="1"/>
  <c r="R214" i="6"/>
  <c r="S214" i="6" s="1"/>
  <c r="P215" i="6"/>
  <c r="Q215" i="6" s="1"/>
  <c r="R215" i="6"/>
  <c r="S215" i="6" s="1"/>
  <c r="P216" i="6"/>
  <c r="Q216" i="6" s="1"/>
  <c r="R216" i="6"/>
  <c r="S216" i="6"/>
  <c r="P217" i="6"/>
  <c r="Q217" i="6" s="1"/>
  <c r="R217" i="6"/>
  <c r="S217" i="6" s="1"/>
  <c r="P218" i="6"/>
  <c r="Q218" i="6" s="1"/>
  <c r="R218" i="6"/>
  <c r="S218" i="6"/>
  <c r="P219" i="6"/>
  <c r="Q219" i="6" s="1"/>
  <c r="R219" i="6"/>
  <c r="S219" i="6" s="1"/>
  <c r="P220" i="6"/>
  <c r="Q220" i="6" s="1"/>
  <c r="R220" i="6"/>
  <c r="S220" i="6" s="1"/>
  <c r="P221" i="6"/>
  <c r="Q221" i="6" s="1"/>
  <c r="R221" i="6"/>
  <c r="S221" i="6" s="1"/>
  <c r="P222" i="6"/>
  <c r="Q222" i="6" s="1"/>
  <c r="R222" i="6"/>
  <c r="S222" i="6"/>
  <c r="P223" i="6"/>
  <c r="Q223" i="6" s="1"/>
  <c r="R223" i="6"/>
  <c r="S223" i="6" s="1"/>
  <c r="P224" i="6"/>
  <c r="Q224" i="6" s="1"/>
  <c r="R224" i="6"/>
  <c r="S224" i="6" s="1"/>
  <c r="P225" i="6"/>
  <c r="Q225" i="6" s="1"/>
  <c r="R225" i="6"/>
  <c r="S225" i="6" s="1"/>
  <c r="P226" i="6"/>
  <c r="Q226" i="6" s="1"/>
  <c r="R226" i="6"/>
  <c r="S226" i="6"/>
  <c r="P227" i="6"/>
  <c r="Q227" i="6" s="1"/>
  <c r="R227" i="6"/>
  <c r="S227" i="6" s="1"/>
  <c r="P228" i="6"/>
  <c r="Q228" i="6" s="1"/>
  <c r="R228" i="6"/>
  <c r="S228" i="6"/>
  <c r="P229" i="6"/>
  <c r="Q229" i="6" s="1"/>
  <c r="R229" i="6"/>
  <c r="S229" i="6" s="1"/>
  <c r="P230" i="6"/>
  <c r="Q230" i="6" s="1"/>
  <c r="R230" i="6"/>
  <c r="S230" i="6" s="1"/>
  <c r="P231" i="6"/>
  <c r="Q231" i="6" s="1"/>
  <c r="R231" i="6"/>
  <c r="S231" i="6" s="1"/>
  <c r="P232" i="6"/>
  <c r="Q232" i="6" s="1"/>
  <c r="R232" i="6"/>
  <c r="S232" i="6"/>
  <c r="P233" i="6"/>
  <c r="Q233" i="6" s="1"/>
  <c r="R233" i="6"/>
  <c r="S233" i="6" s="1"/>
  <c r="P234" i="6"/>
  <c r="Q234" i="6" s="1"/>
  <c r="R234" i="6"/>
  <c r="S234" i="6" s="1"/>
  <c r="P235" i="6"/>
  <c r="Q235" i="6" s="1"/>
  <c r="R235" i="6"/>
  <c r="S235" i="6" s="1"/>
  <c r="P236" i="6"/>
  <c r="Q236" i="6" s="1"/>
  <c r="R236" i="6"/>
  <c r="S236" i="6" s="1"/>
  <c r="P237" i="6"/>
  <c r="Q237" i="6" s="1"/>
  <c r="R237" i="6"/>
  <c r="S237" i="6" s="1"/>
  <c r="P238" i="6"/>
  <c r="Q238" i="6" s="1"/>
  <c r="R238" i="6"/>
  <c r="S238" i="6"/>
  <c r="P239" i="6"/>
  <c r="Q239" i="6" s="1"/>
  <c r="R239" i="6"/>
  <c r="S239" i="6" s="1"/>
  <c r="P240" i="6"/>
  <c r="Q240" i="6" s="1"/>
  <c r="R240" i="6"/>
  <c r="S240" i="6" s="1"/>
  <c r="P241" i="6"/>
  <c r="Q241" i="6" s="1"/>
  <c r="R241" i="6"/>
  <c r="S241" i="6" s="1"/>
  <c r="P242" i="6"/>
  <c r="Q242" i="6" s="1"/>
  <c r="R242" i="6"/>
  <c r="S242" i="6"/>
  <c r="P243" i="6"/>
  <c r="Q243" i="6" s="1"/>
  <c r="R243" i="6"/>
  <c r="S243" i="6" s="1"/>
  <c r="P244" i="6"/>
  <c r="Q244" i="6" s="1"/>
  <c r="R244" i="6"/>
  <c r="S244" i="6"/>
  <c r="P245" i="6"/>
  <c r="Q245" i="6" s="1"/>
  <c r="R245" i="6"/>
  <c r="S245" i="6" s="1"/>
  <c r="P246" i="6"/>
  <c r="Q246" i="6" s="1"/>
  <c r="R246" i="6"/>
  <c r="S246" i="6" s="1"/>
  <c r="P247" i="6"/>
  <c r="Q247" i="6" s="1"/>
  <c r="R247" i="6"/>
  <c r="S247" i="6" s="1"/>
  <c r="P248" i="6"/>
  <c r="Q248" i="6" s="1"/>
  <c r="R248" i="6"/>
  <c r="S248" i="6"/>
  <c r="P249" i="6"/>
  <c r="Q249" i="6" s="1"/>
  <c r="R249" i="6"/>
  <c r="S249" i="6" s="1"/>
  <c r="P250" i="6"/>
  <c r="Q250" i="6" s="1"/>
  <c r="R250" i="6"/>
  <c r="S250" i="6" s="1"/>
  <c r="P251" i="6"/>
  <c r="Q251" i="6" s="1"/>
  <c r="R251" i="6"/>
  <c r="S251" i="6" s="1"/>
  <c r="P252" i="6"/>
  <c r="Q252" i="6" s="1"/>
  <c r="R252" i="6"/>
  <c r="S252" i="6" s="1"/>
  <c r="P253" i="6"/>
  <c r="Q253" i="6" s="1"/>
  <c r="R253" i="6"/>
  <c r="S253" i="6" s="1"/>
  <c r="P254" i="6"/>
  <c r="Q254" i="6" s="1"/>
  <c r="R254" i="6"/>
  <c r="S254" i="6"/>
  <c r="P255" i="6"/>
  <c r="Q255" i="6" s="1"/>
  <c r="R255" i="6"/>
  <c r="S255" i="6" s="1"/>
  <c r="P256" i="6"/>
  <c r="Q256" i="6" s="1"/>
  <c r="R256" i="6"/>
  <c r="S256" i="6" s="1"/>
  <c r="P257" i="6"/>
  <c r="Q257" i="6" s="1"/>
  <c r="R257" i="6"/>
  <c r="S257" i="6" s="1"/>
  <c r="P258" i="6"/>
  <c r="Q258" i="6" s="1"/>
  <c r="R258" i="6"/>
  <c r="S258" i="6"/>
  <c r="P259" i="6"/>
  <c r="Q259" i="6" s="1"/>
  <c r="R259" i="6"/>
  <c r="S259" i="6" s="1"/>
  <c r="P260" i="6"/>
  <c r="Q260" i="6" s="1"/>
  <c r="R260" i="6"/>
  <c r="S260" i="6"/>
  <c r="P261" i="6"/>
  <c r="Q261" i="6" s="1"/>
  <c r="R261" i="6"/>
  <c r="S261" i="6" s="1"/>
  <c r="P262" i="6"/>
  <c r="Q262" i="6" s="1"/>
  <c r="R262" i="6"/>
  <c r="S262" i="6" s="1"/>
  <c r="P263" i="6"/>
  <c r="Q263" i="6" s="1"/>
  <c r="R263" i="6"/>
  <c r="S263" i="6" s="1"/>
  <c r="P264" i="6"/>
  <c r="Q264" i="6" s="1"/>
  <c r="R264" i="6"/>
  <c r="S264" i="6"/>
  <c r="P265" i="6"/>
  <c r="Q265" i="6" s="1"/>
  <c r="R265" i="6"/>
  <c r="S265" i="6" s="1"/>
  <c r="P266" i="6"/>
  <c r="Q266" i="6" s="1"/>
  <c r="R266" i="6"/>
  <c r="S266" i="6" s="1"/>
  <c r="P267" i="6"/>
  <c r="Q267" i="6" s="1"/>
  <c r="R267" i="6"/>
  <c r="S267" i="6" s="1"/>
  <c r="P268" i="6"/>
  <c r="Q268" i="6" s="1"/>
  <c r="R268" i="6"/>
  <c r="S268" i="6" s="1"/>
  <c r="P269" i="6"/>
  <c r="Q269" i="6" s="1"/>
  <c r="R269" i="6"/>
  <c r="S269" i="6" s="1"/>
  <c r="P270" i="6"/>
  <c r="Q270" i="6" s="1"/>
  <c r="R270" i="6"/>
  <c r="S270" i="6"/>
  <c r="P271" i="6"/>
  <c r="Q271" i="6" s="1"/>
  <c r="R271" i="6"/>
  <c r="S271" i="6" s="1"/>
  <c r="P272" i="6"/>
  <c r="Q272" i="6" s="1"/>
  <c r="R272" i="6"/>
  <c r="S272" i="6" s="1"/>
  <c r="P273" i="6"/>
  <c r="Q273" i="6" s="1"/>
  <c r="R273" i="6"/>
  <c r="S273" i="6" s="1"/>
  <c r="P274" i="6"/>
  <c r="Q274" i="6" s="1"/>
  <c r="R274" i="6"/>
  <c r="S274" i="6"/>
  <c r="P275" i="6"/>
  <c r="Q275" i="6" s="1"/>
  <c r="R275" i="6"/>
  <c r="S275" i="6" s="1"/>
  <c r="P276" i="6"/>
  <c r="Q276" i="6" s="1"/>
  <c r="R276" i="6"/>
  <c r="S276" i="6"/>
  <c r="P277" i="6"/>
  <c r="Q277" i="6" s="1"/>
  <c r="R277" i="6"/>
  <c r="S277" i="6" s="1"/>
  <c r="P278" i="6"/>
  <c r="Q278" i="6" s="1"/>
  <c r="R278" i="6"/>
  <c r="S278" i="6" s="1"/>
  <c r="P279" i="6"/>
  <c r="Q279" i="6" s="1"/>
  <c r="R279" i="6"/>
  <c r="S279" i="6" s="1"/>
  <c r="P280" i="6"/>
  <c r="Q280" i="6" s="1"/>
  <c r="R280" i="6"/>
  <c r="S280" i="6"/>
  <c r="P281" i="6"/>
  <c r="Q281" i="6" s="1"/>
  <c r="R281" i="6"/>
  <c r="S281" i="6" s="1"/>
  <c r="P282" i="6"/>
  <c r="Q282" i="6" s="1"/>
  <c r="R282" i="6"/>
  <c r="S282" i="6" s="1"/>
  <c r="P283" i="6"/>
  <c r="Q283" i="6" s="1"/>
  <c r="R283" i="6"/>
  <c r="S283" i="6" s="1"/>
  <c r="P284" i="6"/>
  <c r="Q284" i="6" s="1"/>
  <c r="R284" i="6"/>
  <c r="S284" i="6" s="1"/>
  <c r="P285" i="6"/>
  <c r="Q285" i="6" s="1"/>
  <c r="R285" i="6"/>
  <c r="S285" i="6" s="1"/>
  <c r="P286" i="6"/>
  <c r="Q286" i="6" s="1"/>
  <c r="R286" i="6"/>
  <c r="S286" i="6"/>
  <c r="P287" i="6"/>
  <c r="Q287" i="6" s="1"/>
  <c r="R287" i="6"/>
  <c r="S287" i="6" s="1"/>
  <c r="P288" i="6"/>
  <c r="Q288" i="6" s="1"/>
  <c r="R288" i="6"/>
  <c r="S288" i="6" s="1"/>
  <c r="P289" i="6"/>
  <c r="Q289" i="6" s="1"/>
  <c r="R289" i="6"/>
  <c r="S289" i="6" s="1"/>
  <c r="P290" i="6"/>
  <c r="Q290" i="6" s="1"/>
  <c r="R290" i="6"/>
  <c r="S290" i="6"/>
  <c r="P291" i="6"/>
  <c r="Q291" i="6" s="1"/>
  <c r="R291" i="6"/>
  <c r="S291" i="6" s="1"/>
  <c r="P292" i="6"/>
  <c r="Q292" i="6" s="1"/>
  <c r="R292" i="6"/>
  <c r="S292" i="6"/>
  <c r="P293" i="6"/>
  <c r="Q293" i="6" s="1"/>
  <c r="R293" i="6"/>
  <c r="S293" i="6" s="1"/>
  <c r="P294" i="6"/>
  <c r="Q294" i="6" s="1"/>
  <c r="R294" i="6"/>
  <c r="S294" i="6" s="1"/>
  <c r="P295" i="6"/>
  <c r="Q295" i="6" s="1"/>
  <c r="R295" i="6"/>
  <c r="S295" i="6" s="1"/>
  <c r="P296" i="6"/>
  <c r="Q296" i="6"/>
  <c r="R296" i="6"/>
  <c r="S296" i="6"/>
  <c r="P297" i="6"/>
  <c r="Q297" i="6" s="1"/>
  <c r="R297" i="6"/>
  <c r="S297" i="6" s="1"/>
  <c r="P298" i="6"/>
  <c r="Q298" i="6" s="1"/>
  <c r="R298" i="6"/>
  <c r="S298" i="6"/>
  <c r="P299" i="6"/>
  <c r="Q299" i="6" s="1"/>
  <c r="R299" i="6"/>
  <c r="S299" i="6" s="1"/>
  <c r="P300" i="6"/>
  <c r="Q300" i="6" s="1"/>
  <c r="R300" i="6"/>
  <c r="S300" i="6" s="1"/>
  <c r="P301" i="6"/>
  <c r="Q301" i="6"/>
  <c r="R301" i="6"/>
  <c r="S301" i="6"/>
  <c r="P302" i="6"/>
  <c r="Q302" i="6" s="1"/>
  <c r="R302" i="6"/>
  <c r="S302" i="6" s="1"/>
  <c r="P303" i="6"/>
  <c r="Q303" i="6"/>
  <c r="R303" i="6"/>
  <c r="S303" i="6"/>
  <c r="P304" i="6"/>
  <c r="Q304" i="6" s="1"/>
  <c r="R304" i="6"/>
  <c r="S304" i="6" s="1"/>
  <c r="P305" i="6"/>
  <c r="Q305" i="6"/>
  <c r="R305" i="6"/>
  <c r="S305" i="6"/>
  <c r="P306" i="6"/>
  <c r="Q306" i="6" s="1"/>
  <c r="R306" i="6"/>
  <c r="S306" i="6" s="1"/>
  <c r="P307" i="6"/>
  <c r="Q307" i="6"/>
  <c r="R307" i="6"/>
  <c r="S307" i="6"/>
  <c r="P308" i="6"/>
  <c r="Q308" i="6" s="1"/>
  <c r="R308" i="6"/>
  <c r="S308" i="6" s="1"/>
  <c r="P309" i="6"/>
  <c r="Q309" i="6"/>
  <c r="R309" i="6"/>
  <c r="S309" i="6"/>
  <c r="P310" i="6"/>
  <c r="Q310" i="6" s="1"/>
  <c r="R310" i="6"/>
  <c r="S310" i="6" s="1"/>
  <c r="P311" i="6"/>
  <c r="Q311" i="6"/>
  <c r="R311" i="6"/>
  <c r="S311" i="6" s="1"/>
  <c r="P312" i="6"/>
  <c r="Q312" i="6" s="1"/>
  <c r="R312" i="6"/>
  <c r="S312" i="6" s="1"/>
  <c r="P313" i="6"/>
  <c r="Q313" i="6"/>
  <c r="R313" i="6"/>
  <c r="S313" i="6"/>
  <c r="P314" i="6"/>
  <c r="Q314" i="6" s="1"/>
  <c r="R314" i="6"/>
  <c r="S314" i="6" s="1"/>
  <c r="P315" i="6"/>
  <c r="Q315" i="6"/>
  <c r="R315" i="6"/>
  <c r="S315" i="6"/>
  <c r="P316" i="6"/>
  <c r="Q316" i="6" s="1"/>
  <c r="R316" i="6"/>
  <c r="S316" i="6" s="1"/>
  <c r="P317" i="6"/>
  <c r="Q317" i="6"/>
  <c r="R317" i="6"/>
  <c r="S317" i="6"/>
  <c r="P318" i="6"/>
  <c r="Q318" i="6" s="1"/>
  <c r="R318" i="6"/>
  <c r="S318" i="6" s="1"/>
  <c r="P319" i="6"/>
  <c r="Q319" i="6"/>
  <c r="R319" i="6"/>
  <c r="S319" i="6" s="1"/>
  <c r="P320" i="6"/>
  <c r="Q320" i="6" s="1"/>
  <c r="R320" i="6"/>
  <c r="S320" i="6" s="1"/>
  <c r="P321" i="6"/>
  <c r="Q321" i="6"/>
  <c r="R321" i="6"/>
  <c r="S321" i="6"/>
  <c r="P322" i="6"/>
  <c r="Q322" i="6" s="1"/>
  <c r="R322" i="6"/>
  <c r="S322" i="6" s="1"/>
  <c r="P323" i="6"/>
  <c r="Q323" i="6"/>
  <c r="R323" i="6"/>
  <c r="S323" i="6"/>
  <c r="P324" i="6"/>
  <c r="Q324" i="6" s="1"/>
  <c r="R324" i="6"/>
  <c r="S324" i="6" s="1"/>
  <c r="P325" i="6"/>
  <c r="Q325" i="6"/>
  <c r="R325" i="6"/>
  <c r="S325" i="6"/>
  <c r="P326" i="6"/>
  <c r="Q326" i="6" s="1"/>
  <c r="R326" i="6"/>
  <c r="S326" i="6" s="1"/>
  <c r="P327" i="6"/>
  <c r="Q327" i="6"/>
  <c r="R327" i="6"/>
  <c r="S327" i="6" s="1"/>
  <c r="P328" i="6"/>
  <c r="Q328" i="6" s="1"/>
  <c r="R328" i="6"/>
  <c r="S328" i="6" s="1"/>
  <c r="P329" i="6"/>
  <c r="Q329" i="6"/>
  <c r="R329" i="6"/>
  <c r="S329" i="6"/>
  <c r="P330" i="6"/>
  <c r="Q330" i="6" s="1"/>
  <c r="R330" i="6"/>
  <c r="S330" i="6" s="1"/>
  <c r="P331" i="6"/>
  <c r="Q331" i="6"/>
  <c r="R331" i="6"/>
  <c r="S331" i="6"/>
  <c r="P332" i="6"/>
  <c r="Q332" i="6" s="1"/>
  <c r="R332" i="6"/>
  <c r="S332" i="6" s="1"/>
  <c r="P333" i="6"/>
  <c r="Q333" i="6"/>
  <c r="R333" i="6"/>
  <c r="S333" i="6"/>
  <c r="P334" i="6"/>
  <c r="Q334" i="6" s="1"/>
  <c r="R334" i="6"/>
  <c r="S334" i="6" s="1"/>
  <c r="P335" i="6"/>
  <c r="Q335" i="6"/>
  <c r="R335" i="6"/>
  <c r="S335" i="6" s="1"/>
  <c r="P336" i="6"/>
  <c r="Q336" i="6" s="1"/>
  <c r="R336" i="6"/>
  <c r="S336" i="6" s="1"/>
  <c r="P337" i="6"/>
  <c r="Q337" i="6"/>
  <c r="R337" i="6"/>
  <c r="S337" i="6"/>
  <c r="P338" i="6"/>
  <c r="Q338" i="6" s="1"/>
  <c r="R338" i="6"/>
  <c r="S338" i="6" s="1"/>
  <c r="P339" i="6"/>
  <c r="Q339" i="6"/>
  <c r="R339" i="6"/>
  <c r="S339" i="6"/>
  <c r="P340" i="6"/>
  <c r="Q340" i="6" s="1"/>
  <c r="R340" i="6"/>
  <c r="S340" i="6" s="1"/>
  <c r="P341" i="6"/>
  <c r="Q341" i="6"/>
  <c r="R341" i="6"/>
  <c r="S341" i="6"/>
  <c r="P342" i="6"/>
  <c r="Q342" i="6" s="1"/>
  <c r="R342" i="6"/>
  <c r="S342" i="6" s="1"/>
  <c r="P343" i="6"/>
  <c r="Q343" i="6"/>
  <c r="R343" i="6"/>
  <c r="S343" i="6" s="1"/>
  <c r="P344" i="6"/>
  <c r="Q344" i="6" s="1"/>
  <c r="R344" i="6"/>
  <c r="S344" i="6" s="1"/>
  <c r="P345" i="6"/>
  <c r="Q345" i="6"/>
  <c r="R345" i="6"/>
  <c r="S345" i="6"/>
  <c r="P346" i="6"/>
  <c r="Q346" i="6" s="1"/>
  <c r="R346" i="6"/>
  <c r="S346" i="6" s="1"/>
  <c r="P347" i="6"/>
  <c r="Q347" i="6"/>
  <c r="R347" i="6"/>
  <c r="S347" i="6"/>
  <c r="P348" i="6"/>
  <c r="Q348" i="6" s="1"/>
  <c r="R348" i="6"/>
  <c r="S348" i="6" s="1"/>
  <c r="P349" i="6"/>
  <c r="Q349" i="6"/>
  <c r="R349" i="6"/>
  <c r="S349" i="6"/>
  <c r="P350" i="6"/>
  <c r="Q350" i="6" s="1"/>
  <c r="R350" i="6"/>
  <c r="S350" i="6" s="1"/>
  <c r="P351" i="6"/>
  <c r="Q351" i="6"/>
  <c r="R351" i="6"/>
  <c r="S351" i="6" s="1"/>
  <c r="P352" i="6"/>
  <c r="Q352" i="6" s="1"/>
  <c r="R352" i="6"/>
  <c r="S352" i="6" s="1"/>
  <c r="P353" i="6"/>
  <c r="Q353" i="6"/>
  <c r="R353" i="6"/>
  <c r="S353" i="6"/>
  <c r="P354" i="6"/>
  <c r="Q354" i="6" s="1"/>
  <c r="R354" i="6"/>
  <c r="S354" i="6" s="1"/>
  <c r="P355" i="6"/>
  <c r="Q355" i="6"/>
  <c r="R355" i="6"/>
  <c r="S355" i="6"/>
  <c r="P356" i="6"/>
  <c r="Q356" i="6" s="1"/>
  <c r="R356" i="6"/>
  <c r="S356" i="6" s="1"/>
  <c r="P357" i="6"/>
  <c r="Q357" i="6"/>
  <c r="R357" i="6"/>
  <c r="S357" i="6"/>
  <c r="P358" i="6"/>
  <c r="Q358" i="6" s="1"/>
  <c r="R358" i="6"/>
  <c r="S358" i="6" s="1"/>
  <c r="P359" i="6"/>
  <c r="Q359" i="6"/>
  <c r="R359" i="6"/>
  <c r="S359" i="6" s="1"/>
  <c r="P360" i="6"/>
  <c r="Q360" i="6" s="1"/>
  <c r="R360" i="6"/>
  <c r="S360" i="6" s="1"/>
  <c r="P361" i="6"/>
  <c r="Q361" i="6"/>
  <c r="R361" i="6"/>
  <c r="S361" i="6"/>
  <c r="P362" i="6"/>
  <c r="Q362" i="6" s="1"/>
  <c r="R362" i="6"/>
  <c r="S362" i="6" s="1"/>
  <c r="P363" i="6"/>
  <c r="Q363" i="6"/>
  <c r="R363" i="6"/>
  <c r="S363" i="6"/>
  <c r="P364" i="6"/>
  <c r="Q364" i="6" s="1"/>
  <c r="R364" i="6"/>
  <c r="S364" i="6" s="1"/>
  <c r="P365" i="6"/>
  <c r="Q365" i="6"/>
  <c r="R365" i="6"/>
  <c r="S365" i="6"/>
  <c r="P366" i="6"/>
  <c r="Q366" i="6" s="1"/>
  <c r="R366" i="6"/>
  <c r="S366" i="6" s="1"/>
  <c r="P367" i="6"/>
  <c r="Q367" i="6"/>
  <c r="R367" i="6"/>
  <c r="S367" i="6" s="1"/>
  <c r="P368" i="6"/>
  <c r="Q368" i="6" s="1"/>
  <c r="R368" i="6"/>
  <c r="S368" i="6" s="1"/>
  <c r="P369" i="6"/>
  <c r="Q369" i="6"/>
  <c r="R369" i="6"/>
  <c r="S369" i="6"/>
  <c r="P370" i="6"/>
  <c r="Q370" i="6" s="1"/>
  <c r="R370" i="6"/>
  <c r="S370" i="6" s="1"/>
  <c r="P371" i="6"/>
  <c r="Q371" i="6"/>
  <c r="R371" i="6"/>
  <c r="S371" i="6"/>
  <c r="P372" i="6"/>
  <c r="Q372" i="6" s="1"/>
  <c r="R372" i="6"/>
  <c r="S372" i="6" s="1"/>
  <c r="P373" i="6"/>
  <c r="Q373" i="6" s="1"/>
  <c r="R373" i="6"/>
  <c r="S373" i="6"/>
  <c r="P374" i="6"/>
  <c r="Q374" i="6" s="1"/>
  <c r="R374" i="6"/>
  <c r="S374" i="6" s="1"/>
  <c r="P375" i="6"/>
  <c r="Q375" i="6"/>
  <c r="R375" i="6"/>
  <c r="S375" i="6" s="1"/>
  <c r="P376" i="6"/>
  <c r="Q376" i="6" s="1"/>
  <c r="R376" i="6"/>
  <c r="S376" i="6" s="1"/>
  <c r="P377" i="6"/>
  <c r="Q377" i="6"/>
  <c r="R377" i="6"/>
  <c r="S377" i="6"/>
  <c r="P378" i="6"/>
  <c r="Q378" i="6" s="1"/>
  <c r="R378" i="6"/>
  <c r="S378" i="6" s="1"/>
  <c r="P379" i="6"/>
  <c r="Q379" i="6" s="1"/>
  <c r="R379" i="6"/>
  <c r="S379" i="6"/>
  <c r="P380" i="6"/>
  <c r="Q380" i="6" s="1"/>
  <c r="R380" i="6"/>
  <c r="S380" i="6" s="1"/>
  <c r="P381" i="6"/>
  <c r="Q381" i="6" s="1"/>
  <c r="R381" i="6"/>
  <c r="S381" i="6" s="1"/>
  <c r="P382" i="6"/>
  <c r="Q382" i="6" s="1"/>
  <c r="R382" i="6"/>
  <c r="S382" i="6" s="1"/>
  <c r="P383" i="6"/>
  <c r="Q383" i="6"/>
  <c r="R383" i="6"/>
  <c r="S383" i="6" s="1"/>
  <c r="P384" i="6"/>
  <c r="Q384" i="6" s="1"/>
  <c r="R384" i="6"/>
  <c r="S384" i="6" s="1"/>
  <c r="P385" i="6"/>
  <c r="Q385" i="6"/>
  <c r="R385" i="6"/>
  <c r="S385" i="6"/>
  <c r="P386" i="6"/>
  <c r="Q386" i="6" s="1"/>
  <c r="R386" i="6"/>
  <c r="S386" i="6" s="1"/>
  <c r="P387" i="6"/>
  <c r="Q387" i="6" s="1"/>
  <c r="R387" i="6"/>
  <c r="S387" i="6"/>
  <c r="P388" i="6"/>
  <c r="Q388" i="6" s="1"/>
  <c r="R388" i="6"/>
  <c r="S388" i="6" s="1"/>
  <c r="P389" i="6"/>
  <c r="Q389" i="6" s="1"/>
  <c r="R389" i="6"/>
  <c r="S389" i="6" s="1"/>
  <c r="P390" i="6"/>
  <c r="Q390" i="6" s="1"/>
  <c r="R390" i="6"/>
  <c r="S390" i="6" s="1"/>
  <c r="P391" i="6"/>
  <c r="Q391" i="6"/>
  <c r="R391" i="6"/>
  <c r="S391" i="6" s="1"/>
  <c r="P392" i="6"/>
  <c r="Q392" i="6" s="1"/>
  <c r="R392" i="6"/>
  <c r="S392" i="6" s="1"/>
  <c r="P393" i="6"/>
  <c r="Q393" i="6"/>
  <c r="R393" i="6"/>
  <c r="S393" i="6"/>
  <c r="P394" i="6"/>
  <c r="Q394" i="6" s="1"/>
  <c r="R394" i="6"/>
  <c r="S394" i="6" s="1"/>
  <c r="P395" i="6"/>
  <c r="Q395" i="6" s="1"/>
  <c r="R395" i="6"/>
  <c r="S395" i="6"/>
  <c r="P396" i="6"/>
  <c r="Q396" i="6" s="1"/>
  <c r="R396" i="6"/>
  <c r="S396" i="6" s="1"/>
  <c r="P397" i="6"/>
  <c r="Q397" i="6" s="1"/>
  <c r="R397" i="6"/>
  <c r="S397" i="6" s="1"/>
  <c r="P398" i="6"/>
  <c r="Q398" i="6" s="1"/>
  <c r="R398" i="6"/>
  <c r="S398" i="6" s="1"/>
  <c r="P399" i="6"/>
  <c r="Q399" i="6"/>
  <c r="R399" i="6"/>
  <c r="S399" i="6" s="1"/>
  <c r="P400" i="6"/>
  <c r="Q400" i="6" s="1"/>
  <c r="R400" i="6"/>
  <c r="S400" i="6" s="1"/>
  <c r="P401" i="6"/>
  <c r="Q401" i="6"/>
  <c r="R401" i="6"/>
  <c r="S401" i="6"/>
  <c r="P402" i="6"/>
  <c r="Q402" i="6" s="1"/>
  <c r="R402" i="6"/>
  <c r="S402" i="6" s="1"/>
  <c r="P403" i="6"/>
  <c r="Q403" i="6" s="1"/>
  <c r="R403" i="6"/>
  <c r="S403" i="6"/>
  <c r="P404" i="6"/>
  <c r="Q404" i="6" s="1"/>
  <c r="R404" i="6"/>
  <c r="S404" i="6" s="1"/>
  <c r="P405" i="6"/>
  <c r="Q405" i="6" s="1"/>
  <c r="R405" i="6"/>
  <c r="S405" i="6" s="1"/>
  <c r="P406" i="6"/>
  <c r="Q406" i="6" s="1"/>
  <c r="R406" i="6"/>
  <c r="S406" i="6" s="1"/>
  <c r="P407" i="6"/>
  <c r="Q407" i="6"/>
  <c r="R407" i="6"/>
  <c r="S407" i="6" s="1"/>
  <c r="P408" i="6"/>
  <c r="Q408" i="6" s="1"/>
  <c r="R408" i="6"/>
  <c r="S408" i="6" s="1"/>
  <c r="P409" i="6"/>
  <c r="Q409" i="6"/>
  <c r="R409" i="6"/>
  <c r="S409" i="6"/>
  <c r="P410" i="6"/>
  <c r="Q410" i="6" s="1"/>
  <c r="R410" i="6"/>
  <c r="S410" i="6" s="1"/>
  <c r="P411" i="6"/>
  <c r="Q411" i="6" s="1"/>
  <c r="R411" i="6"/>
  <c r="S411" i="6"/>
  <c r="P412" i="6"/>
  <c r="Q412" i="6" s="1"/>
  <c r="R412" i="6"/>
  <c r="S412" i="6" s="1"/>
  <c r="P413" i="6"/>
  <c r="Q413" i="6" s="1"/>
  <c r="R413" i="6"/>
  <c r="S413" i="6" s="1"/>
  <c r="P414" i="6"/>
  <c r="Q414" i="6" s="1"/>
  <c r="R414" i="6"/>
  <c r="S414" i="6" s="1"/>
  <c r="P415" i="6"/>
  <c r="Q415" i="6"/>
  <c r="R415" i="6"/>
  <c r="S415" i="6" s="1"/>
  <c r="P416" i="6"/>
  <c r="Q416" i="6" s="1"/>
  <c r="R416" i="6"/>
  <c r="S416" i="6" s="1"/>
  <c r="P417" i="6"/>
  <c r="Q417" i="6"/>
  <c r="R417" i="6"/>
  <c r="S417" i="6"/>
  <c r="P418" i="6"/>
  <c r="Q418" i="6" s="1"/>
  <c r="R418" i="6"/>
  <c r="S418" i="6" s="1"/>
  <c r="P419" i="6"/>
  <c r="Q419" i="6" s="1"/>
  <c r="R419" i="6"/>
  <c r="S419" i="6"/>
  <c r="P420" i="6"/>
  <c r="Q420" i="6" s="1"/>
  <c r="R420" i="6"/>
  <c r="S420" i="6" s="1"/>
  <c r="P421" i="6"/>
  <c r="Q421" i="6" s="1"/>
  <c r="R421" i="6"/>
  <c r="S421" i="6" s="1"/>
  <c r="P422" i="6"/>
  <c r="Q422" i="6" s="1"/>
  <c r="R422" i="6"/>
  <c r="S422" i="6" s="1"/>
  <c r="P423" i="6"/>
  <c r="Q423" i="6"/>
  <c r="R423" i="6"/>
  <c r="S423" i="6" s="1"/>
  <c r="P424" i="6"/>
  <c r="Q424" i="6" s="1"/>
  <c r="R424" i="6"/>
  <c r="S424" i="6" s="1"/>
  <c r="P425" i="6"/>
  <c r="Q425" i="6"/>
  <c r="R425" i="6"/>
  <c r="S425" i="6"/>
  <c r="P426" i="6"/>
  <c r="Q426" i="6" s="1"/>
  <c r="R426" i="6"/>
  <c r="S426" i="6" s="1"/>
  <c r="P427" i="6"/>
  <c r="Q427" i="6" s="1"/>
  <c r="R427" i="6"/>
  <c r="S427" i="6"/>
  <c r="P428" i="6"/>
  <c r="Q428" i="6" s="1"/>
  <c r="R428" i="6"/>
  <c r="S428" i="6" s="1"/>
  <c r="P429" i="6"/>
  <c r="Q429" i="6" s="1"/>
  <c r="R429" i="6"/>
  <c r="S429" i="6" s="1"/>
  <c r="P430" i="6"/>
  <c r="Q430" i="6" s="1"/>
  <c r="R430" i="6"/>
  <c r="S430" i="6" s="1"/>
  <c r="P431" i="6"/>
  <c r="Q431" i="6"/>
  <c r="R431" i="6"/>
  <c r="S431" i="6" s="1"/>
  <c r="P432" i="6"/>
  <c r="Q432" i="6" s="1"/>
  <c r="R432" i="6"/>
  <c r="S432" i="6" s="1"/>
  <c r="P433" i="6"/>
  <c r="Q433" i="6"/>
  <c r="R433" i="6"/>
  <c r="S433" i="6"/>
  <c r="P434" i="6"/>
  <c r="Q434" i="6" s="1"/>
  <c r="R434" i="6"/>
  <c r="S434" i="6" s="1"/>
  <c r="P435" i="6"/>
  <c r="Q435" i="6" s="1"/>
  <c r="R435" i="6"/>
  <c r="S435" i="6"/>
  <c r="P436" i="6"/>
  <c r="Q436" i="6" s="1"/>
  <c r="R436" i="6"/>
  <c r="S436" i="6" s="1"/>
  <c r="P437" i="6"/>
  <c r="Q437" i="6" s="1"/>
  <c r="R437" i="6"/>
  <c r="S437" i="6" s="1"/>
  <c r="P438" i="6"/>
  <c r="Q438" i="6" s="1"/>
  <c r="R438" i="6"/>
  <c r="S438" i="6" s="1"/>
  <c r="P439" i="6"/>
  <c r="Q439" i="6"/>
  <c r="R439" i="6"/>
  <c r="S439" i="6" s="1"/>
  <c r="P440" i="6"/>
  <c r="Q440" i="6" s="1"/>
  <c r="R440" i="6"/>
  <c r="S440" i="6" s="1"/>
  <c r="P441" i="6"/>
  <c r="Q441" i="6"/>
  <c r="R441" i="6"/>
  <c r="S441" i="6"/>
  <c r="P442" i="6"/>
  <c r="Q442" i="6" s="1"/>
  <c r="R442" i="6"/>
  <c r="S442" i="6" s="1"/>
  <c r="P443" i="6"/>
  <c r="Q443" i="6" s="1"/>
  <c r="R443" i="6"/>
  <c r="S443" i="6"/>
  <c r="P444" i="6"/>
  <c r="Q444" i="6" s="1"/>
  <c r="R444" i="6"/>
  <c r="S444" i="6" s="1"/>
  <c r="P445" i="6"/>
  <c r="Q445" i="6" s="1"/>
  <c r="R445" i="6"/>
  <c r="S445" i="6" s="1"/>
  <c r="P446" i="6"/>
  <c r="Q446" i="6" s="1"/>
  <c r="R446" i="6"/>
  <c r="S446" i="6" s="1"/>
  <c r="P447" i="6"/>
  <c r="Q447" i="6"/>
  <c r="R447" i="6"/>
  <c r="S447" i="6" s="1"/>
  <c r="P448" i="6"/>
  <c r="Q448" i="6" s="1"/>
  <c r="R448" i="6"/>
  <c r="S448" i="6" s="1"/>
  <c r="P449" i="6"/>
  <c r="Q449" i="6"/>
  <c r="R449" i="6"/>
  <c r="S449" i="6"/>
  <c r="P450" i="6"/>
  <c r="Q450" i="6" s="1"/>
  <c r="R450" i="6"/>
  <c r="S450" i="6" s="1"/>
  <c r="P451" i="6"/>
  <c r="Q451" i="6" s="1"/>
  <c r="R451" i="6"/>
  <c r="S451" i="6"/>
  <c r="P452" i="6"/>
  <c r="Q452" i="6" s="1"/>
  <c r="R452" i="6"/>
  <c r="S452" i="6" s="1"/>
  <c r="P453" i="6"/>
  <c r="Q453" i="6" s="1"/>
  <c r="R453" i="6"/>
  <c r="S453" i="6" s="1"/>
  <c r="P454" i="6"/>
  <c r="Q454" i="6" s="1"/>
  <c r="R454" i="6"/>
  <c r="S454" i="6" s="1"/>
  <c r="P455" i="6"/>
  <c r="Q455" i="6"/>
  <c r="R455" i="6"/>
  <c r="S455" i="6" s="1"/>
  <c r="P456" i="6"/>
  <c r="Q456" i="6" s="1"/>
  <c r="R456" i="6"/>
  <c r="S456" i="6"/>
  <c r="P457" i="6"/>
  <c r="Q457" i="6" s="1"/>
  <c r="R457" i="6"/>
  <c r="S457" i="6"/>
  <c r="P458" i="6"/>
  <c r="Q458" i="6"/>
  <c r="R458" i="6"/>
  <c r="S458" i="6"/>
  <c r="P459" i="6"/>
  <c r="Q459" i="6" s="1"/>
  <c r="R459" i="6"/>
  <c r="S459" i="6"/>
  <c r="P460" i="6"/>
  <c r="Q460" i="6"/>
  <c r="R460" i="6"/>
  <c r="S460" i="6"/>
  <c r="P461" i="6"/>
  <c r="Q461" i="6" s="1"/>
  <c r="R461" i="6"/>
  <c r="S461" i="6"/>
  <c r="P462" i="6"/>
  <c r="Q462" i="6"/>
  <c r="R462" i="6"/>
  <c r="S462" i="6"/>
  <c r="P463" i="6"/>
  <c r="Q463" i="6" s="1"/>
  <c r="R463" i="6"/>
  <c r="S463" i="6"/>
  <c r="P464" i="6"/>
  <c r="Q464" i="6"/>
  <c r="R464" i="6"/>
  <c r="S464" i="6"/>
  <c r="P465" i="6"/>
  <c r="Q465" i="6" s="1"/>
  <c r="R465" i="6"/>
  <c r="S465" i="6"/>
  <c r="P466" i="6"/>
  <c r="Q466" i="6"/>
  <c r="R466" i="6"/>
  <c r="S466" i="6" s="1"/>
  <c r="P467" i="6"/>
  <c r="Q467" i="6" s="1"/>
  <c r="R467" i="6"/>
  <c r="S467" i="6"/>
  <c r="P468" i="6"/>
  <c r="Q468" i="6"/>
  <c r="R468" i="6"/>
  <c r="S468" i="6" s="1"/>
  <c r="P469" i="6"/>
  <c r="Q469" i="6" s="1"/>
  <c r="R469" i="6"/>
  <c r="S469" i="6"/>
  <c r="P470" i="6"/>
  <c r="Q470" i="6"/>
  <c r="R470" i="6"/>
  <c r="S470" i="6" s="1"/>
  <c r="P471" i="6"/>
  <c r="Q471" i="6" s="1"/>
  <c r="R471" i="6"/>
  <c r="S471" i="6"/>
  <c r="P472" i="6"/>
  <c r="Q472" i="6"/>
  <c r="R472" i="6"/>
  <c r="S472" i="6" s="1"/>
  <c r="P473" i="6"/>
  <c r="Q473" i="6" s="1"/>
  <c r="R473" i="6"/>
  <c r="S473" i="6"/>
  <c r="P474" i="6"/>
  <c r="Q474" i="6"/>
  <c r="R474" i="6"/>
  <c r="S474" i="6" s="1"/>
  <c r="P475" i="6"/>
  <c r="Q475" i="6" s="1"/>
  <c r="R475" i="6"/>
  <c r="S475" i="6"/>
  <c r="P476" i="6"/>
  <c r="Q476" i="6"/>
  <c r="R476" i="6"/>
  <c r="S476" i="6" s="1"/>
  <c r="P477" i="6"/>
  <c r="Q477" i="6" s="1"/>
  <c r="R477" i="6"/>
  <c r="S477" i="6"/>
  <c r="P478" i="6"/>
  <c r="Q478" i="6"/>
  <c r="R478" i="6"/>
  <c r="S478" i="6" s="1"/>
  <c r="P479" i="6"/>
  <c r="Q479" i="6" s="1"/>
  <c r="R479" i="6"/>
  <c r="S479" i="6"/>
  <c r="P480" i="6"/>
  <c r="Q480" i="6"/>
  <c r="R480" i="6"/>
  <c r="S480" i="6" s="1"/>
  <c r="P481" i="6"/>
  <c r="Q481" i="6" s="1"/>
  <c r="R481" i="6"/>
  <c r="S481" i="6"/>
  <c r="P482" i="6"/>
  <c r="Q482" i="6"/>
  <c r="R482" i="6"/>
  <c r="S482" i="6" s="1"/>
  <c r="P483" i="6"/>
  <c r="Q483" i="6" s="1"/>
  <c r="R483" i="6"/>
  <c r="S483" i="6"/>
  <c r="P484" i="6"/>
  <c r="Q484" i="6"/>
  <c r="R484" i="6"/>
  <c r="S484" i="6" s="1"/>
  <c r="P485" i="6"/>
  <c r="Q485" i="6" s="1"/>
  <c r="R485" i="6"/>
  <c r="S485" i="6"/>
  <c r="P486" i="6"/>
  <c r="Q486" i="6"/>
  <c r="R486" i="6"/>
  <c r="S486" i="6" s="1"/>
  <c r="P487" i="6"/>
  <c r="Q487" i="6" s="1"/>
  <c r="R487" i="6"/>
  <c r="S487" i="6"/>
  <c r="P488" i="6"/>
  <c r="Q488" i="6" s="1"/>
  <c r="R488" i="6"/>
  <c r="S488" i="6" s="1"/>
  <c r="P489" i="6"/>
  <c r="Q489" i="6" s="1"/>
  <c r="R489" i="6"/>
  <c r="S489" i="6"/>
  <c r="P490" i="6"/>
  <c r="Q490" i="6" s="1"/>
  <c r="R490" i="6"/>
  <c r="S490" i="6" s="1"/>
  <c r="P491" i="6"/>
  <c r="Q491" i="6" s="1"/>
  <c r="R491" i="6"/>
  <c r="S491" i="6"/>
  <c r="P492" i="6"/>
  <c r="Q492" i="6" s="1"/>
  <c r="R492" i="6"/>
  <c r="S492" i="6" s="1"/>
  <c r="P493" i="6"/>
  <c r="Q493" i="6" s="1"/>
  <c r="R493" i="6"/>
  <c r="S493" i="6"/>
  <c r="P494" i="6"/>
  <c r="Q494" i="6" s="1"/>
  <c r="R494" i="6"/>
  <c r="S494" i="6" s="1"/>
  <c r="P495" i="6"/>
  <c r="Q495" i="6" s="1"/>
  <c r="R495" i="6"/>
  <c r="S495" i="6"/>
  <c r="P496" i="6"/>
  <c r="Q496" i="6" s="1"/>
  <c r="R496" i="6"/>
  <c r="S496" i="6" s="1"/>
  <c r="P497" i="6"/>
  <c r="Q497" i="6" s="1"/>
  <c r="R497" i="6"/>
  <c r="S497" i="6" s="1"/>
  <c r="P498" i="6"/>
  <c r="Q498" i="6" s="1"/>
  <c r="R498" i="6"/>
  <c r="S498" i="6" s="1"/>
  <c r="P499" i="6"/>
  <c r="Q499" i="6" s="1"/>
  <c r="R499" i="6"/>
  <c r="S499" i="6" s="1"/>
  <c r="P500" i="6"/>
  <c r="Q500" i="6" s="1"/>
  <c r="R500" i="6"/>
  <c r="S500" i="6" s="1"/>
  <c r="P501" i="6"/>
  <c r="Q501" i="6" s="1"/>
  <c r="R501" i="6"/>
  <c r="S501" i="6" s="1"/>
  <c r="P502" i="6"/>
  <c r="Q502" i="6" s="1"/>
  <c r="R502" i="6"/>
  <c r="S502" i="6" s="1"/>
  <c r="P503" i="6"/>
  <c r="Q503" i="6" s="1"/>
  <c r="R503" i="6"/>
  <c r="S503" i="6"/>
  <c r="P504" i="6"/>
  <c r="Q504" i="6" s="1"/>
  <c r="R504" i="6"/>
  <c r="S504" i="6" s="1"/>
  <c r="P505" i="6"/>
  <c r="Q505" i="6" s="1"/>
  <c r="R505" i="6"/>
  <c r="S505" i="6"/>
  <c r="P506" i="6"/>
  <c r="Q506" i="6" s="1"/>
  <c r="R506" i="6"/>
  <c r="S506" i="6" s="1"/>
  <c r="P507" i="6"/>
  <c r="Q507" i="6" s="1"/>
  <c r="R507" i="6"/>
  <c r="S507" i="6"/>
  <c r="P508" i="6"/>
  <c r="Q508" i="6" s="1"/>
  <c r="R508" i="6"/>
  <c r="S508" i="6" s="1"/>
  <c r="P509" i="6"/>
  <c r="Q509" i="6" s="1"/>
  <c r="R509" i="6"/>
  <c r="S509" i="6"/>
  <c r="P510" i="6"/>
  <c r="Q510" i="6" s="1"/>
  <c r="R510" i="6"/>
  <c r="S510" i="6" s="1"/>
  <c r="P511" i="6"/>
  <c r="Q511" i="6" s="1"/>
  <c r="R511" i="6"/>
  <c r="S511" i="6"/>
  <c r="P512" i="6"/>
  <c r="Q512" i="6" s="1"/>
  <c r="R512" i="6"/>
  <c r="S512" i="6" s="1"/>
  <c r="P513" i="6"/>
  <c r="Q513" i="6" s="1"/>
  <c r="R513" i="6"/>
  <c r="S513" i="6"/>
  <c r="P514" i="6"/>
  <c r="Q514" i="6" s="1"/>
  <c r="R514" i="6"/>
  <c r="S514" i="6" s="1"/>
  <c r="P515" i="6"/>
  <c r="Q515" i="6" s="1"/>
  <c r="R515" i="6"/>
  <c r="S515" i="6" s="1"/>
  <c r="P516" i="6"/>
  <c r="Q516" i="6" s="1"/>
  <c r="R516" i="6"/>
  <c r="S516" i="6" s="1"/>
  <c r="P517" i="6"/>
  <c r="Q517" i="6" s="1"/>
  <c r="R517" i="6"/>
  <c r="S517" i="6" s="1"/>
  <c r="P518" i="6"/>
  <c r="Q518" i="6" s="1"/>
  <c r="R518" i="6"/>
  <c r="S518" i="6" s="1"/>
  <c r="P519" i="6"/>
  <c r="Q519" i="6" s="1"/>
  <c r="R519" i="6"/>
  <c r="S519" i="6"/>
  <c r="P520" i="6"/>
  <c r="Q520" i="6" s="1"/>
  <c r="R520" i="6"/>
  <c r="S520" i="6" s="1"/>
  <c r="P521" i="6"/>
  <c r="Q521" i="6" s="1"/>
  <c r="R521" i="6"/>
  <c r="S521" i="6"/>
  <c r="P522" i="6"/>
  <c r="Q522" i="6" s="1"/>
  <c r="R522" i="6"/>
  <c r="S522" i="6" s="1"/>
  <c r="P523" i="6"/>
  <c r="Q523" i="6" s="1"/>
  <c r="R523" i="6"/>
  <c r="S523" i="6"/>
  <c r="P524" i="6"/>
  <c r="Q524" i="6" s="1"/>
  <c r="R524" i="6"/>
  <c r="S524" i="6" s="1"/>
  <c r="P525" i="6"/>
  <c r="Q525" i="6" s="1"/>
  <c r="R525" i="6"/>
  <c r="S525" i="6"/>
  <c r="P526" i="6"/>
  <c r="Q526" i="6" s="1"/>
  <c r="R526" i="6"/>
  <c r="S526" i="6" s="1"/>
  <c r="P527" i="6"/>
  <c r="Q527" i="6" s="1"/>
  <c r="R527" i="6"/>
  <c r="S527" i="6"/>
  <c r="P528" i="6"/>
  <c r="Q528" i="6" s="1"/>
  <c r="R528" i="6"/>
  <c r="S528" i="6" s="1"/>
  <c r="P529" i="6"/>
  <c r="Q529" i="6" s="1"/>
  <c r="R529" i="6"/>
  <c r="S529" i="6"/>
  <c r="P530" i="6"/>
  <c r="Q530" i="6" s="1"/>
  <c r="R530" i="6"/>
  <c r="S530" i="6" s="1"/>
  <c r="P531" i="6"/>
  <c r="Q531" i="6" s="1"/>
  <c r="R531" i="6"/>
  <c r="S531" i="6" s="1"/>
  <c r="P532" i="6"/>
  <c r="Q532" i="6" s="1"/>
  <c r="R532" i="6"/>
  <c r="S532" i="6" s="1"/>
  <c r="P533" i="6"/>
  <c r="Q533" i="6" s="1"/>
  <c r="R533" i="6"/>
  <c r="S533" i="6" s="1"/>
  <c r="P534" i="6"/>
  <c r="Q534" i="6" s="1"/>
  <c r="R534" i="6"/>
  <c r="S534" i="6" s="1"/>
  <c r="P535" i="6"/>
  <c r="Q535" i="6" s="1"/>
  <c r="R535" i="6"/>
  <c r="S535" i="6" s="1"/>
  <c r="P536" i="6"/>
  <c r="Q536" i="6" s="1"/>
  <c r="R536" i="6"/>
  <c r="S536" i="6" s="1"/>
  <c r="P537" i="6"/>
  <c r="Q537" i="6" s="1"/>
  <c r="R537" i="6"/>
  <c r="S537" i="6"/>
  <c r="P538" i="6"/>
  <c r="Q538" i="6" s="1"/>
  <c r="R538" i="6"/>
  <c r="S538" i="6" s="1"/>
  <c r="P539" i="6"/>
  <c r="Q539" i="6" s="1"/>
  <c r="R539" i="6"/>
  <c r="S539" i="6"/>
  <c r="P540" i="6"/>
  <c r="Q540" i="6" s="1"/>
  <c r="R540" i="6"/>
  <c r="S540" i="6" s="1"/>
  <c r="P541" i="6"/>
  <c r="Q541" i="6" s="1"/>
  <c r="R541" i="6"/>
  <c r="S541" i="6"/>
  <c r="P542" i="6"/>
  <c r="Q542" i="6" s="1"/>
  <c r="R542" i="6"/>
  <c r="S542" i="6" s="1"/>
  <c r="P543" i="6"/>
  <c r="Q543" i="6" s="1"/>
  <c r="R543" i="6"/>
  <c r="S543" i="6"/>
  <c r="P544" i="6"/>
  <c r="Q544" i="6" s="1"/>
  <c r="R544" i="6"/>
  <c r="S544" i="6" s="1"/>
  <c r="P545" i="6"/>
  <c r="Q545" i="6" s="1"/>
  <c r="R545" i="6"/>
  <c r="S545" i="6" s="1"/>
  <c r="P546" i="6"/>
  <c r="Q546" i="6" s="1"/>
  <c r="R546" i="6"/>
  <c r="S546" i="6" s="1"/>
  <c r="P547" i="6"/>
  <c r="Q547" i="6" s="1"/>
  <c r="R547" i="6"/>
  <c r="S547" i="6" s="1"/>
  <c r="P548" i="6"/>
  <c r="Q548" i="6" s="1"/>
  <c r="R548" i="6"/>
  <c r="S548" i="6" s="1"/>
  <c r="P549" i="6"/>
  <c r="Q549" i="6" s="1"/>
  <c r="R549" i="6"/>
  <c r="S549" i="6" s="1"/>
  <c r="P550" i="6"/>
  <c r="Q550" i="6" s="1"/>
  <c r="R550" i="6"/>
  <c r="S550" i="6" s="1"/>
  <c r="P551" i="6"/>
  <c r="Q551" i="6" s="1"/>
  <c r="R551" i="6"/>
  <c r="S551" i="6"/>
  <c r="P552" i="6"/>
  <c r="Q552" i="6" s="1"/>
  <c r="R552" i="6"/>
  <c r="S552" i="6" s="1"/>
  <c r="P553" i="6"/>
  <c r="Q553" i="6" s="1"/>
  <c r="R553" i="6"/>
  <c r="S553" i="6"/>
  <c r="P554" i="6"/>
  <c r="Q554" i="6" s="1"/>
  <c r="R554" i="6"/>
  <c r="S554" i="6" s="1"/>
  <c r="P555" i="6"/>
  <c r="Q555" i="6" s="1"/>
  <c r="R555" i="6"/>
  <c r="S555" i="6"/>
  <c r="P556" i="6"/>
  <c r="Q556" i="6" s="1"/>
  <c r="R556" i="6"/>
  <c r="S556" i="6" s="1"/>
  <c r="P557" i="6"/>
  <c r="Q557" i="6" s="1"/>
  <c r="R557" i="6"/>
  <c r="S557" i="6" s="1"/>
  <c r="P558" i="6"/>
  <c r="Q558" i="6" s="1"/>
  <c r="R558" i="6"/>
  <c r="S558" i="6" s="1"/>
  <c r="P559" i="6"/>
  <c r="Q559" i="6" s="1"/>
  <c r="R559" i="6"/>
  <c r="S559" i="6"/>
  <c r="P560" i="6"/>
  <c r="Q560" i="6" s="1"/>
  <c r="R560" i="6"/>
  <c r="S560" i="6" s="1"/>
  <c r="P561" i="6"/>
  <c r="Q561" i="6" s="1"/>
  <c r="R561" i="6"/>
  <c r="S561" i="6"/>
  <c r="P562" i="6"/>
  <c r="Q562" i="6" s="1"/>
  <c r="R562" i="6"/>
  <c r="S562" i="6" s="1"/>
  <c r="P563" i="6"/>
  <c r="Q563" i="6" s="1"/>
  <c r="R563" i="6"/>
  <c r="S563" i="6" s="1"/>
  <c r="P564" i="6"/>
  <c r="Q564" i="6" s="1"/>
  <c r="R564" i="6"/>
  <c r="S564" i="6" s="1"/>
  <c r="P565" i="6"/>
  <c r="Q565" i="6" s="1"/>
  <c r="R565" i="6"/>
  <c r="S565" i="6" s="1"/>
  <c r="P566" i="6"/>
  <c r="Q566" i="6" s="1"/>
  <c r="R566" i="6"/>
  <c r="S566" i="6" s="1"/>
  <c r="P567" i="6"/>
  <c r="Q567" i="6" s="1"/>
  <c r="R567" i="6"/>
  <c r="S567" i="6"/>
  <c r="P568" i="6"/>
  <c r="Q568" i="6" s="1"/>
  <c r="R568" i="6"/>
  <c r="S568" i="6" s="1"/>
  <c r="P569" i="6"/>
  <c r="Q569" i="6" s="1"/>
  <c r="R569" i="6"/>
  <c r="S569" i="6"/>
  <c r="P570" i="6"/>
  <c r="Q570" i="6" s="1"/>
  <c r="R570" i="6"/>
  <c r="S570" i="6" s="1"/>
  <c r="P571" i="6"/>
  <c r="Q571" i="6" s="1"/>
  <c r="R571" i="6"/>
  <c r="S571" i="6"/>
  <c r="P572" i="6"/>
  <c r="Q572" i="6" s="1"/>
  <c r="R572" i="6"/>
  <c r="S572" i="6" s="1"/>
  <c r="P573" i="6"/>
  <c r="Q573" i="6" s="1"/>
  <c r="R573" i="6"/>
  <c r="S573" i="6" s="1"/>
  <c r="P574" i="6"/>
  <c r="Q574" i="6" s="1"/>
  <c r="R574" i="6"/>
  <c r="S574" i="6" s="1"/>
  <c r="P575" i="6"/>
  <c r="Q575" i="6" s="1"/>
  <c r="R575" i="6"/>
  <c r="S575" i="6"/>
  <c r="P576" i="6"/>
  <c r="Q576" i="6" s="1"/>
  <c r="R576" i="6"/>
  <c r="S576" i="6" s="1"/>
  <c r="P577" i="6"/>
  <c r="Q577" i="6" s="1"/>
  <c r="R577" i="6"/>
  <c r="S577" i="6"/>
  <c r="P578" i="6"/>
  <c r="Q578" i="6" s="1"/>
  <c r="R578" i="6"/>
  <c r="S578" i="6" s="1"/>
  <c r="P579" i="6"/>
  <c r="Q579" i="6" s="1"/>
  <c r="R579" i="6"/>
  <c r="S579" i="6" s="1"/>
  <c r="P580" i="6"/>
  <c r="Q580" i="6" s="1"/>
  <c r="R580" i="6"/>
  <c r="S580" i="6" s="1"/>
  <c r="P581" i="6"/>
  <c r="Q581" i="6" s="1"/>
  <c r="R581" i="6"/>
  <c r="S581" i="6" s="1"/>
  <c r="P582" i="6"/>
  <c r="Q582" i="6" s="1"/>
  <c r="R582" i="6"/>
  <c r="S582" i="6" s="1"/>
  <c r="P583" i="6"/>
  <c r="Q583" i="6" s="1"/>
  <c r="R583" i="6"/>
  <c r="S583" i="6"/>
  <c r="P584" i="6"/>
  <c r="Q584" i="6" s="1"/>
  <c r="R584" i="6"/>
  <c r="S584" i="6" s="1"/>
  <c r="P585" i="6"/>
  <c r="Q585" i="6" s="1"/>
  <c r="R585" i="6"/>
  <c r="S585" i="6"/>
  <c r="P586" i="6"/>
  <c r="Q586" i="6" s="1"/>
  <c r="R586" i="6"/>
  <c r="S586" i="6" s="1"/>
  <c r="P587" i="6"/>
  <c r="Q587" i="6" s="1"/>
  <c r="R587" i="6"/>
  <c r="S587" i="6"/>
  <c r="P588" i="6"/>
  <c r="Q588" i="6" s="1"/>
  <c r="R588" i="6"/>
  <c r="S588" i="6" s="1"/>
  <c r="P589" i="6"/>
  <c r="Q589" i="6" s="1"/>
  <c r="R589" i="6"/>
  <c r="S589" i="6" s="1"/>
  <c r="P590" i="6"/>
  <c r="Q590" i="6" s="1"/>
  <c r="R590" i="6"/>
  <c r="S590" i="6" s="1"/>
  <c r="P591" i="6"/>
  <c r="Q591" i="6" s="1"/>
  <c r="R591" i="6"/>
  <c r="S591" i="6"/>
  <c r="P592" i="6"/>
  <c r="Q592" i="6" s="1"/>
  <c r="R592" i="6"/>
  <c r="S592" i="6" s="1"/>
  <c r="P593" i="6"/>
  <c r="Q593" i="6" s="1"/>
  <c r="R593" i="6"/>
  <c r="S593" i="6"/>
  <c r="P594" i="6"/>
  <c r="Q594" i="6" s="1"/>
  <c r="R594" i="6"/>
  <c r="S594" i="6" s="1"/>
  <c r="P595" i="6"/>
  <c r="Q595" i="6" s="1"/>
  <c r="R595" i="6"/>
  <c r="S595" i="6" s="1"/>
  <c r="P596" i="6"/>
  <c r="Q596" i="6" s="1"/>
  <c r="R596" i="6"/>
  <c r="S596" i="6" s="1"/>
  <c r="P597" i="6"/>
  <c r="Q597" i="6" s="1"/>
  <c r="R597" i="6"/>
  <c r="S597" i="6" s="1"/>
  <c r="P598" i="6"/>
  <c r="Q598" i="6" s="1"/>
  <c r="R598" i="6"/>
  <c r="S598" i="6" s="1"/>
  <c r="P599" i="6"/>
  <c r="Q599" i="6" s="1"/>
  <c r="R599" i="6"/>
  <c r="S599" i="6" s="1"/>
  <c r="P600" i="6"/>
  <c r="Q600" i="6" s="1"/>
  <c r="R600" i="6"/>
  <c r="S600" i="6" s="1"/>
  <c r="P601" i="6"/>
  <c r="Q601" i="6" s="1"/>
  <c r="R601" i="6"/>
  <c r="S601" i="6"/>
  <c r="P602" i="6"/>
  <c r="Q602" i="6" s="1"/>
  <c r="R602" i="6"/>
  <c r="S602" i="6" s="1"/>
  <c r="P603" i="6"/>
  <c r="Q603" i="6" s="1"/>
  <c r="R603" i="6"/>
  <c r="S603" i="6"/>
  <c r="P604" i="6"/>
  <c r="Q604" i="6" s="1"/>
  <c r="R604" i="6"/>
  <c r="S604" i="6" s="1"/>
  <c r="P605" i="6"/>
  <c r="Q605" i="6" s="1"/>
  <c r="R605" i="6"/>
  <c r="S605" i="6" s="1"/>
  <c r="P606" i="6"/>
  <c r="Q606" i="6" s="1"/>
  <c r="R606" i="6"/>
  <c r="S606" i="6" s="1"/>
  <c r="P607" i="6"/>
  <c r="Q607" i="6" s="1"/>
  <c r="R607" i="6"/>
  <c r="S607" i="6"/>
  <c r="P608" i="6"/>
  <c r="Q608" i="6" s="1"/>
  <c r="R608" i="6"/>
  <c r="S608" i="6" s="1"/>
  <c r="P609" i="6"/>
  <c r="Q609" i="6" s="1"/>
  <c r="R609" i="6"/>
  <c r="S609" i="6"/>
  <c r="P610" i="6"/>
  <c r="Q610" i="6" s="1"/>
  <c r="R610" i="6"/>
  <c r="S610" i="6" s="1"/>
  <c r="P611" i="6"/>
  <c r="Q611" i="6" s="1"/>
  <c r="R611" i="6"/>
  <c r="S611" i="6" s="1"/>
  <c r="P612" i="6"/>
  <c r="Q612" i="6" s="1"/>
  <c r="R612" i="6"/>
  <c r="S612" i="6" s="1"/>
  <c r="P613" i="6"/>
  <c r="Q613" i="6" s="1"/>
  <c r="R613" i="6"/>
  <c r="S613" i="6" s="1"/>
  <c r="P614" i="6"/>
  <c r="Q614" i="6" s="1"/>
  <c r="R614" i="6"/>
  <c r="S614" i="6" s="1"/>
  <c r="P615" i="6"/>
  <c r="Q615" i="6" s="1"/>
  <c r="R615" i="6"/>
  <c r="S615" i="6" s="1"/>
  <c r="P616" i="6"/>
  <c r="Q616" i="6" s="1"/>
  <c r="R616" i="6"/>
  <c r="S616" i="6" s="1"/>
  <c r="P617" i="6"/>
  <c r="Q617" i="6" s="1"/>
  <c r="R617" i="6"/>
  <c r="S617" i="6"/>
  <c r="P618" i="6"/>
  <c r="Q618" i="6" s="1"/>
  <c r="R618" i="6"/>
  <c r="S618" i="6" s="1"/>
  <c r="P619" i="6"/>
  <c r="Q619" i="6" s="1"/>
  <c r="R619" i="6"/>
  <c r="S619" i="6"/>
  <c r="P620" i="6"/>
  <c r="Q620" i="6" s="1"/>
  <c r="R620" i="6"/>
  <c r="S620" i="6" s="1"/>
  <c r="P621" i="6"/>
  <c r="Q621" i="6" s="1"/>
  <c r="R621" i="6"/>
  <c r="S621" i="6" s="1"/>
  <c r="P622" i="6"/>
  <c r="Q622" i="6" s="1"/>
  <c r="R622" i="6"/>
  <c r="S622" i="6" s="1"/>
  <c r="P623" i="6"/>
  <c r="Q623" i="6" s="1"/>
  <c r="R623" i="6"/>
  <c r="S623" i="6"/>
  <c r="P624" i="6"/>
  <c r="Q624" i="6" s="1"/>
  <c r="R624" i="6"/>
  <c r="S624" i="6" s="1"/>
  <c r="P625" i="6"/>
  <c r="Q625" i="6" s="1"/>
  <c r="R625" i="6"/>
  <c r="S625" i="6"/>
  <c r="P626" i="6"/>
  <c r="Q626" i="6" s="1"/>
  <c r="R626" i="6"/>
  <c r="S626" i="6"/>
  <c r="P627" i="6"/>
  <c r="Q627" i="6" s="1"/>
  <c r="R627" i="6"/>
  <c r="S627" i="6"/>
  <c r="P628" i="6"/>
  <c r="Q628" i="6" s="1"/>
  <c r="R628" i="6"/>
  <c r="S628" i="6"/>
  <c r="P629" i="6"/>
  <c r="Q629" i="6" s="1"/>
  <c r="R629" i="6"/>
  <c r="S629" i="6"/>
  <c r="AE565" i="6" l="1"/>
  <c r="AE558" i="6" s="1"/>
  <c r="AC565" i="6"/>
  <c r="AA565" i="6"/>
  <c r="Y565" i="6"/>
  <c r="O565" i="6"/>
  <c r="M565" i="6"/>
  <c r="K565" i="6"/>
  <c r="I565" i="6"/>
  <c r="AE564" i="6"/>
  <c r="AC564" i="6"/>
  <c r="AA564" i="6"/>
  <c r="Y564" i="6"/>
  <c r="U564" i="6"/>
  <c r="O564" i="6"/>
  <c r="M564" i="6"/>
  <c r="K564" i="6"/>
  <c r="I564" i="6"/>
  <c r="AE563" i="6"/>
  <c r="AC563" i="6"/>
  <c r="AA563" i="6"/>
  <c r="Y563" i="6"/>
  <c r="U563" i="6"/>
  <c r="O563" i="6"/>
  <c r="O558" i="6" s="1"/>
  <c r="M563" i="6"/>
  <c r="M558" i="6" s="1"/>
  <c r="K563" i="6"/>
  <c r="I563" i="6"/>
  <c r="AC562" i="6"/>
  <c r="AA562" i="6"/>
  <c r="Y562" i="6"/>
  <c r="U562" i="6"/>
  <c r="M562" i="6"/>
  <c r="M557" i="6" s="1"/>
  <c r="K562" i="6"/>
  <c r="I562" i="6"/>
  <c r="AC561" i="6"/>
  <c r="AC557" i="6" s="1"/>
  <c r="AA561" i="6"/>
  <c r="AA557" i="6" s="1"/>
  <c r="Y561" i="6"/>
  <c r="U561" i="6"/>
  <c r="M561" i="6"/>
  <c r="K561" i="6"/>
  <c r="K557" i="6" s="1"/>
  <c r="I561" i="6"/>
  <c r="AE560" i="6"/>
  <c r="AC560" i="6"/>
  <c r="AA560" i="6"/>
  <c r="AA556" i="6" s="1"/>
  <c r="Y560" i="6"/>
  <c r="U560" i="6"/>
  <c r="O560" i="6"/>
  <c r="M560" i="6"/>
  <c r="K560" i="6"/>
  <c r="I560" i="6"/>
  <c r="AC558" i="6"/>
  <c r="AA558" i="6"/>
  <c r="Y558" i="6"/>
  <c r="U558" i="6"/>
  <c r="K558" i="6"/>
  <c r="I558" i="6"/>
  <c r="Y557" i="6"/>
  <c r="U557" i="6"/>
  <c r="O557" i="6"/>
  <c r="AE556" i="6"/>
  <c r="AC556" i="6"/>
  <c r="Y556" i="6"/>
  <c r="U556" i="6"/>
  <c r="O556" i="6"/>
  <c r="M556" i="6"/>
  <c r="K556" i="6"/>
  <c r="I556" i="6" l="1"/>
  <c r="I557" i="6"/>
  <c r="AX7" i="6" l="1"/>
  <c r="AY7" i="6" s="1"/>
  <c r="AV7" i="6"/>
  <c r="AW7" i="6" s="1"/>
  <c r="AM7" i="6"/>
  <c r="AL7" i="6"/>
  <c r="AH7" i="6"/>
  <c r="AI7" i="6" s="1"/>
  <c r="AF7" i="6"/>
  <c r="AG7" i="6" s="1"/>
  <c r="S7" i="6"/>
  <c r="BA7" i="6" s="1"/>
  <c r="R7" i="6"/>
  <c r="W7" i="6" s="1"/>
  <c r="P7" i="6"/>
  <c r="Q7" i="6" s="1"/>
  <c r="AZ7" i="6" l="1"/>
  <c r="V7" i="6"/>
  <c r="AX1" i="6" l="1"/>
  <c r="AY1" i="6" s="1"/>
  <c r="AV1" i="6"/>
  <c r="AW1" i="6" s="1"/>
  <c r="AM1" i="6"/>
  <c r="AL1" i="6"/>
  <c r="AH1" i="6"/>
  <c r="AI1" i="6" s="1"/>
  <c r="AF1" i="6"/>
  <c r="AG1" i="6" s="1"/>
  <c r="W1" i="6"/>
  <c r="V1" i="6"/>
  <c r="R1" i="6"/>
  <c r="S1" i="6" s="1"/>
  <c r="P1" i="6"/>
  <c r="Q1" i="6" s="1"/>
  <c r="D142" i="16"/>
  <c r="D120" i="18"/>
  <c r="T106" i="16"/>
  <c r="D151" i="16"/>
  <c r="D144" i="18"/>
  <c r="D120" i="16"/>
  <c r="S152" i="16"/>
  <c r="D102" i="18"/>
  <c r="D145" i="16"/>
  <c r="S147" i="16"/>
  <c r="S141" i="16"/>
  <c r="D114" i="16"/>
  <c r="T114" i="16"/>
  <c r="D137" i="16"/>
  <c r="D110" i="16"/>
  <c r="D135" i="16"/>
  <c r="D152" i="16"/>
  <c r="D110" i="18"/>
  <c r="T113" i="16"/>
  <c r="D109" i="18"/>
  <c r="D114" i="18"/>
  <c r="D105" i="18"/>
  <c r="T119" i="16"/>
  <c r="D144" i="16"/>
  <c r="D138" i="18"/>
  <c r="S151" i="16"/>
  <c r="S145" i="16"/>
  <c r="T103" i="16"/>
  <c r="B9" i="16"/>
  <c r="D136" i="18"/>
  <c r="T104" i="16"/>
  <c r="D108" i="16"/>
  <c r="T121" i="16"/>
  <c r="D134" i="18"/>
  <c r="D132" i="16"/>
  <c r="D103" i="18"/>
  <c r="S150" i="16"/>
  <c r="D116" i="16"/>
  <c r="D103" i="16"/>
  <c r="S146" i="16"/>
  <c r="S144" i="16"/>
  <c r="D118" i="16"/>
  <c r="D113" i="18"/>
  <c r="D119" i="16"/>
  <c r="D143" i="18"/>
  <c r="T101" i="16"/>
  <c r="D149" i="18"/>
  <c r="D145" i="18"/>
  <c r="D101" i="16"/>
  <c r="D109" i="16"/>
  <c r="D148" i="18"/>
  <c r="T108" i="16"/>
  <c r="D140" i="16"/>
  <c r="D104" i="16"/>
  <c r="D112" i="18"/>
  <c r="S136" i="16"/>
  <c r="D107" i="18"/>
  <c r="G165" i="18"/>
  <c r="D121" i="16"/>
  <c r="D149" i="16"/>
  <c r="S142" i="16"/>
  <c r="T111" i="16"/>
  <c r="D141" i="18"/>
  <c r="D105" i="16"/>
  <c r="D139" i="16"/>
  <c r="T115" i="16"/>
  <c r="D117" i="18"/>
  <c r="D136" i="16"/>
  <c r="D100" i="18"/>
  <c r="D118" i="18"/>
  <c r="S149" i="16"/>
  <c r="D150" i="16"/>
  <c r="D141" i="16"/>
  <c r="D140" i="18"/>
  <c r="D133" i="18"/>
  <c r="D134" i="16"/>
  <c r="T118" i="16"/>
  <c r="D147" i="16"/>
  <c r="T120" i="16"/>
  <c r="T116" i="16"/>
  <c r="D108" i="18"/>
  <c r="T105" i="16"/>
  <c r="D150" i="18"/>
  <c r="S134" i="16"/>
  <c r="S140" i="16"/>
  <c r="S132" i="16"/>
  <c r="D119" i="18"/>
  <c r="D115" i="18"/>
  <c r="D106" i="16"/>
  <c r="D104" i="18"/>
  <c r="D135" i="18"/>
  <c r="S139" i="16"/>
  <c r="D131" i="18"/>
  <c r="D111" i="16"/>
  <c r="D146" i="16"/>
  <c r="D151" i="18"/>
  <c r="T109" i="16"/>
  <c r="D139" i="18"/>
  <c r="S137" i="16"/>
  <c r="D113" i="16"/>
  <c r="D115" i="16"/>
  <c r="D146" i="18"/>
  <c r="T110" i="16"/>
  <c r="S135" i="16"/>
  <c r="B9" i="18"/>
  <c r="F170" i="18" l="1"/>
  <c r="BA1" i="6"/>
  <c r="AZ1" i="6"/>
  <c r="F165" i="18"/>
  <c r="F161" i="18"/>
  <c r="F171" i="18"/>
  <c r="F176" i="18"/>
  <c r="F181" i="18"/>
  <c r="F179" i="18"/>
  <c r="F166" i="18"/>
  <c r="F168" i="18"/>
  <c r="F174" i="18"/>
  <c r="F169" i="18"/>
  <c r="F178" i="18"/>
  <c r="F175" i="18"/>
  <c r="F164" i="18"/>
  <c r="F163" i="18"/>
  <c r="F180" i="18"/>
  <c r="F173" i="18"/>
  <c r="O14" i="18"/>
  <c r="I22" i="18"/>
  <c r="B231" i="18"/>
  <c r="B107" i="18"/>
  <c r="C164" i="18"/>
  <c r="H145" i="18"/>
  <c r="I27" i="18"/>
  <c r="D22" i="18"/>
  <c r="I105" i="18"/>
  <c r="F14" i="18"/>
  <c r="I135" i="18"/>
  <c r="G43" i="18"/>
  <c r="I112" i="18"/>
  <c r="H27" i="18"/>
  <c r="D222" i="18"/>
  <c r="G133" i="18"/>
  <c r="H118" i="18"/>
  <c r="G206" i="18"/>
  <c r="I136" i="18"/>
  <c r="G202" i="18"/>
  <c r="E178" i="18"/>
  <c r="K29" i="18"/>
  <c r="F113" i="18"/>
  <c r="F145" i="18"/>
  <c r="F48" i="18"/>
  <c r="B28" i="18"/>
  <c r="C29" i="18"/>
  <c r="K26" i="18"/>
  <c r="G39" i="18"/>
  <c r="K179" i="18"/>
  <c r="G195" i="18"/>
  <c r="C211" i="18"/>
  <c r="C103" i="18"/>
  <c r="G131" i="18"/>
  <c r="C173" i="18"/>
  <c r="K12" i="18"/>
  <c r="J29" i="18"/>
  <c r="F22" i="18"/>
  <c r="I178" i="18"/>
  <c r="I164" i="18"/>
  <c r="N19" i="18"/>
  <c r="K175" i="18"/>
  <c r="H51" i="18"/>
  <c r="K176" i="18"/>
  <c r="O24" i="18"/>
  <c r="F18" i="18"/>
  <c r="B232" i="18"/>
  <c r="C114" i="18"/>
  <c r="G166" i="18"/>
  <c r="E58" i="18"/>
  <c r="C136" i="18"/>
  <c r="M23" i="18"/>
  <c r="G52" i="18"/>
  <c r="F231" i="18"/>
  <c r="E170" i="18"/>
  <c r="C18" i="18"/>
  <c r="G114" i="18"/>
  <c r="F236" i="18"/>
  <c r="D53" i="18"/>
  <c r="F117" i="18"/>
  <c r="D227" i="18"/>
  <c r="C174" i="18"/>
  <c r="G18" i="18"/>
  <c r="F100" i="18"/>
  <c r="D57" i="18"/>
  <c r="G22" i="18"/>
  <c r="E180" i="18"/>
  <c r="D54" i="18"/>
  <c r="G170" i="18"/>
  <c r="E14" i="18"/>
  <c r="C175" i="18"/>
  <c r="E133" i="18"/>
  <c r="H120" i="18"/>
  <c r="H24" i="18"/>
  <c r="B118" i="18"/>
  <c r="F46" i="18"/>
  <c r="B58" i="18"/>
  <c r="H58" i="18"/>
  <c r="G149" i="18"/>
  <c r="E113" i="18"/>
  <c r="I141" i="18"/>
  <c r="B224" i="18"/>
  <c r="B136" i="18"/>
  <c r="F237" i="18"/>
  <c r="J14" i="18"/>
  <c r="E196" i="18"/>
  <c r="G169" i="18"/>
  <c r="F226" i="18"/>
  <c r="F107" i="18"/>
  <c r="C179" i="18"/>
  <c r="E107" i="18"/>
  <c r="I113" i="18"/>
  <c r="E24" i="18"/>
  <c r="F227" i="18"/>
  <c r="F24" i="18"/>
  <c r="B239" i="18"/>
  <c r="G209" i="18"/>
  <c r="B39" i="18"/>
  <c r="D19" i="18"/>
  <c r="D48" i="18"/>
  <c r="C119" i="18"/>
  <c r="D229" i="18"/>
  <c r="E209" i="18"/>
  <c r="E174" i="18"/>
  <c r="K178" i="18"/>
  <c r="F238" i="18"/>
  <c r="K164" i="18"/>
  <c r="F143" i="18"/>
  <c r="E41" i="18"/>
  <c r="B148" i="18"/>
  <c r="G135" i="18"/>
  <c r="C144" i="18"/>
  <c r="B17" i="18"/>
  <c r="F222" i="18"/>
  <c r="B235" i="18"/>
  <c r="F29" i="18"/>
  <c r="D14" i="18"/>
  <c r="N29" i="18"/>
  <c r="H141" i="18"/>
  <c r="D226" i="18"/>
  <c r="F110" i="18"/>
  <c r="H115" i="18"/>
  <c r="C118" i="18"/>
  <c r="B29" i="18"/>
  <c r="C199" i="18"/>
  <c r="G139" i="18"/>
  <c r="C139" i="18"/>
  <c r="E202" i="18"/>
  <c r="E175" i="18"/>
  <c r="N23" i="18"/>
  <c r="E148" i="18"/>
  <c r="M18" i="18"/>
  <c r="N18" i="18"/>
  <c r="B42" i="18"/>
  <c r="D58" i="18"/>
  <c r="J17" i="18"/>
  <c r="B112" i="18"/>
  <c r="K181" i="18"/>
  <c r="E117" i="18"/>
  <c r="I134" i="18"/>
  <c r="G29" i="18"/>
  <c r="C43" i="18"/>
  <c r="B27" i="18"/>
  <c r="G144" i="18"/>
  <c r="F224" i="18"/>
  <c r="C57" i="18"/>
  <c r="M29" i="18"/>
  <c r="C11" i="18"/>
  <c r="E171" i="18"/>
  <c r="G118" i="18"/>
  <c r="D28" i="18"/>
  <c r="B46" i="18"/>
  <c r="C131" i="18"/>
  <c r="F23" i="18"/>
  <c r="L11" i="18"/>
  <c r="C181" i="18"/>
  <c r="L29" i="18"/>
  <c r="G210" i="18"/>
  <c r="F59" i="18"/>
  <c r="F53" i="18"/>
  <c r="K180" i="18"/>
  <c r="I149" i="18"/>
  <c r="C165" i="18"/>
  <c r="B135" i="18"/>
  <c r="M19" i="18"/>
  <c r="L28" i="18"/>
  <c r="C51" i="18"/>
  <c r="H28" i="18"/>
  <c r="H150" i="18"/>
  <c r="E207" i="18"/>
  <c r="B16" i="18"/>
  <c r="G145" i="18"/>
  <c r="H57" i="18"/>
  <c r="F141" i="18"/>
  <c r="C105" i="18"/>
  <c r="J24" i="18"/>
  <c r="H16" i="18"/>
  <c r="F235" i="18"/>
  <c r="M13" i="18"/>
  <c r="I24" i="18"/>
  <c r="H149" i="18"/>
  <c r="I100" i="18"/>
  <c r="C54" i="18"/>
  <c r="K18" i="18"/>
  <c r="G212" i="18"/>
  <c r="I165" i="18"/>
  <c r="D42" i="18"/>
  <c r="C113" i="18"/>
  <c r="E39" i="18"/>
  <c r="I133" i="18"/>
  <c r="F114" i="18"/>
  <c r="H105" i="18"/>
  <c r="F230" i="18"/>
  <c r="AI170" i="12"/>
  <c r="F109" i="18"/>
  <c r="C19" i="18"/>
  <c r="F228" i="18"/>
  <c r="F103" i="18"/>
  <c r="E23" i="18"/>
  <c r="H14" i="18"/>
  <c r="H17" i="18"/>
  <c r="B139" i="18"/>
  <c r="C168" i="18"/>
  <c r="B119" i="18"/>
  <c r="F112" i="18"/>
  <c r="I104" i="18"/>
  <c r="E47" i="18"/>
  <c r="H13" i="18"/>
  <c r="O17" i="18"/>
  <c r="C53" i="18"/>
  <c r="J22" i="18"/>
  <c r="I26" i="18"/>
  <c r="G26" i="18"/>
  <c r="G19" i="18"/>
  <c r="B24" i="18"/>
  <c r="C145" i="18"/>
  <c r="B14" i="18"/>
  <c r="G117" i="18"/>
  <c r="O29" i="18"/>
  <c r="D44" i="18"/>
  <c r="D46" i="18"/>
  <c r="I148" i="18"/>
  <c r="B26" i="18"/>
  <c r="H44" i="18"/>
  <c r="B57" i="18"/>
  <c r="I146" i="18"/>
  <c r="E48" i="18"/>
  <c r="J9" i="18"/>
  <c r="I11" i="18"/>
  <c r="B109" i="18"/>
  <c r="N9" i="18"/>
  <c r="C13" i="18"/>
  <c r="F146" i="18"/>
  <c r="G41" i="18"/>
  <c r="E119" i="18"/>
  <c r="I143" i="18"/>
  <c r="L13" i="18"/>
  <c r="H21" i="18"/>
  <c r="G28" i="18"/>
  <c r="G173" i="18"/>
  <c r="H18" i="18"/>
  <c r="F119" i="18"/>
  <c r="G174" i="18"/>
  <c r="E100" i="18"/>
  <c r="N14" i="18"/>
  <c r="B115" i="18"/>
  <c r="E56" i="18"/>
  <c r="I21" i="18"/>
  <c r="B227" i="18"/>
  <c r="E57" i="18"/>
  <c r="H135" i="18"/>
  <c r="F49" i="18"/>
  <c r="E136" i="18"/>
  <c r="C108" i="18"/>
  <c r="L27" i="18"/>
  <c r="K173" i="18"/>
  <c r="E42" i="18"/>
  <c r="C107" i="18"/>
  <c r="O27" i="18"/>
  <c r="K166" i="18"/>
  <c r="C14" i="18"/>
  <c r="H56" i="18"/>
  <c r="H138" i="18"/>
  <c r="G54" i="18"/>
  <c r="H103" i="18"/>
  <c r="G207" i="18"/>
  <c r="I103" i="18"/>
  <c r="C58" i="18"/>
  <c r="J19" i="18"/>
  <c r="E169" i="18"/>
  <c r="C23" i="18"/>
  <c r="D59" i="18"/>
  <c r="C194" i="18"/>
  <c r="B146" i="18"/>
  <c r="C16" i="18"/>
  <c r="E105" i="18"/>
  <c r="I174" i="18"/>
  <c r="H9" i="18"/>
  <c r="F144" i="18"/>
  <c r="E194" i="18"/>
  <c r="G105" i="18"/>
  <c r="B104" i="18"/>
  <c r="M27" i="18"/>
  <c r="B134" i="18"/>
  <c r="E140" i="18"/>
  <c r="N26" i="18"/>
  <c r="C27" i="18"/>
  <c r="H119" i="18"/>
  <c r="C39" i="18"/>
  <c r="E21" i="18"/>
  <c r="C100" i="18"/>
  <c r="C209" i="18"/>
  <c r="K19" i="18"/>
  <c r="K174" i="18"/>
  <c r="H117" i="18"/>
  <c r="M24" i="18"/>
  <c r="F43" i="18"/>
  <c r="B233" i="18"/>
  <c r="F19" i="18"/>
  <c r="H107" i="18"/>
  <c r="B141" i="18"/>
  <c r="G109" i="18"/>
  <c r="K169" i="18"/>
  <c r="E195" i="18"/>
  <c r="H109" i="18"/>
  <c r="E200" i="18"/>
  <c r="C141" i="18"/>
  <c r="E199" i="18"/>
  <c r="L21" i="18"/>
  <c r="K28" i="18"/>
  <c r="H39" i="18"/>
  <c r="C178" i="18"/>
  <c r="F47" i="18"/>
  <c r="B52" i="18"/>
  <c r="O26" i="18"/>
  <c r="F51" i="18"/>
  <c r="B149" i="18"/>
  <c r="E131" i="18"/>
  <c r="E26" i="18"/>
  <c r="E13" i="18"/>
  <c r="H144" i="18"/>
  <c r="I179" i="18"/>
  <c r="D21" i="18"/>
  <c r="G115" i="18"/>
  <c r="C135" i="18"/>
  <c r="F52" i="18"/>
  <c r="C17" i="18"/>
  <c r="H43" i="18"/>
  <c r="H59" i="18"/>
  <c r="G103" i="18"/>
  <c r="H46" i="18"/>
  <c r="G141" i="18"/>
  <c r="C150" i="18"/>
  <c r="D238" i="18"/>
  <c r="G56" i="18"/>
  <c r="K17" i="18"/>
  <c r="C212" i="18"/>
  <c r="D56" i="18"/>
  <c r="D234" i="18"/>
  <c r="G108" i="18"/>
  <c r="I170" i="18"/>
  <c r="F138" i="18"/>
  <c r="E110" i="18"/>
  <c r="J18" i="18"/>
  <c r="I18" i="18"/>
  <c r="E29" i="18"/>
  <c r="H108" i="18"/>
  <c r="I173" i="18"/>
  <c r="F13" i="18"/>
  <c r="G163" i="18"/>
  <c r="E206" i="18"/>
  <c r="K23" i="18"/>
  <c r="H113" i="18"/>
  <c r="G119" i="18"/>
  <c r="N11" i="18"/>
  <c r="E43" i="18"/>
  <c r="I13" i="18"/>
  <c r="G102" i="18"/>
  <c r="B18" i="18"/>
  <c r="E49" i="18"/>
  <c r="L14" i="18"/>
  <c r="N24" i="18"/>
  <c r="D237" i="18"/>
  <c r="I144" i="18"/>
  <c r="I139" i="18"/>
  <c r="M16" i="18"/>
  <c r="H26" i="18"/>
  <c r="B100" i="18"/>
  <c r="N12" i="18"/>
  <c r="H11" i="18"/>
  <c r="H19" i="18"/>
  <c r="G176" i="18"/>
  <c r="E212" i="18"/>
  <c r="B138" i="18"/>
  <c r="H29" i="18"/>
  <c r="J26" i="18"/>
  <c r="F233" i="18"/>
  <c r="J27" i="18"/>
  <c r="J21" i="18"/>
  <c r="J28" i="18"/>
  <c r="AI171" i="12"/>
  <c r="D52" i="18"/>
  <c r="D49" i="18"/>
  <c r="F115" i="18"/>
  <c r="B238" i="18"/>
  <c r="C46" i="18"/>
  <c r="E168" i="18"/>
  <c r="G104" i="18"/>
  <c r="K24" i="18"/>
  <c r="F57" i="18"/>
  <c r="I17" i="18"/>
  <c r="I19" i="18"/>
  <c r="G146" i="18"/>
  <c r="K171" i="18"/>
  <c r="F229" i="18"/>
  <c r="C56" i="18"/>
  <c r="F232" i="18"/>
  <c r="I140" i="18"/>
  <c r="G57" i="18"/>
  <c r="E44" i="18"/>
  <c r="D225" i="18"/>
  <c r="F54" i="18"/>
  <c r="G24" i="18"/>
  <c r="E176" i="18"/>
  <c r="H140" i="18"/>
  <c r="H100" i="18"/>
  <c r="G51" i="18"/>
  <c r="E139" i="18"/>
  <c r="N17" i="18"/>
  <c r="B237" i="18"/>
  <c r="G151" i="18"/>
  <c r="E146" i="18"/>
  <c r="C115" i="18"/>
  <c r="C12" i="18"/>
  <c r="I23" i="18"/>
  <c r="D47" i="18"/>
  <c r="B108" i="18"/>
  <c r="C207" i="18"/>
  <c r="F118" i="18"/>
  <c r="O21" i="18"/>
  <c r="G46" i="18"/>
  <c r="C109" i="18"/>
  <c r="D228" i="18"/>
  <c r="E151" i="18"/>
  <c r="B151" i="18"/>
  <c r="E164" i="18"/>
  <c r="E11" i="18"/>
  <c r="F28" i="18"/>
  <c r="H49" i="18"/>
  <c r="H112" i="18"/>
  <c r="B53" i="18"/>
  <c r="C143" i="18"/>
  <c r="E166" i="18"/>
  <c r="I16" i="18"/>
  <c r="B48" i="18"/>
  <c r="B140" i="18"/>
  <c r="F105" i="18"/>
  <c r="E181" i="18"/>
  <c r="D39" i="18"/>
  <c r="O22" i="18"/>
  <c r="D236" i="18"/>
  <c r="B47" i="18"/>
  <c r="D9" i="18"/>
  <c r="I14" i="18"/>
  <c r="C206" i="18"/>
  <c r="G110" i="18"/>
  <c r="M14" i="18"/>
  <c r="F42" i="18"/>
  <c r="D11" i="18"/>
  <c r="I145" i="18"/>
  <c r="E163" i="18"/>
  <c r="O23" i="18"/>
  <c r="AJ183" i="12"/>
  <c r="E52" i="18"/>
  <c r="B143" i="18"/>
  <c r="G143" i="18"/>
  <c r="H52" i="18"/>
  <c r="K11" i="18"/>
  <c r="I119" i="18"/>
  <c r="F234" i="18"/>
  <c r="E28" i="18"/>
  <c r="E211" i="18"/>
  <c r="F27" i="18"/>
  <c r="H151" i="18"/>
  <c r="C148" i="18"/>
  <c r="O28" i="18"/>
  <c r="D230" i="18"/>
  <c r="E115" i="18"/>
  <c r="D17" i="18"/>
  <c r="E27" i="18"/>
  <c r="G164" i="18"/>
  <c r="C134" i="18"/>
  <c r="B120" i="18"/>
  <c r="G53" i="18"/>
  <c r="B49" i="18"/>
  <c r="F149" i="18"/>
  <c r="B51" i="18"/>
  <c r="C42" i="18"/>
  <c r="I102" i="18"/>
  <c r="I151" i="18"/>
  <c r="C26" i="18"/>
  <c r="N21" i="18"/>
  <c r="F11" i="18"/>
  <c r="G199" i="18"/>
  <c r="C133" i="18"/>
  <c r="C169" i="18"/>
  <c r="I138" i="18"/>
  <c r="G197" i="18"/>
  <c r="E108" i="18"/>
  <c r="K16" i="18"/>
  <c r="F131" i="18"/>
  <c r="G112" i="18"/>
  <c r="M17" i="18"/>
  <c r="G181" i="18"/>
  <c r="F102" i="18"/>
  <c r="M26" i="18"/>
  <c r="H54" i="18"/>
  <c r="K27" i="18"/>
  <c r="J11" i="18"/>
  <c r="C201" i="18"/>
  <c r="I168" i="18"/>
  <c r="B54" i="18"/>
  <c r="C197" i="18"/>
  <c r="B12" i="18"/>
  <c r="G23" i="18"/>
  <c r="O16" i="18"/>
  <c r="D18" i="18"/>
  <c r="I114" i="18"/>
  <c r="C210" i="18"/>
  <c r="H139" i="18"/>
  <c r="D23" i="18"/>
  <c r="G13" i="18"/>
  <c r="G136" i="18"/>
  <c r="E201" i="18"/>
  <c r="G171" i="18"/>
  <c r="D24" i="18"/>
  <c r="C22" i="18"/>
  <c r="G42" i="18"/>
  <c r="C52" i="18"/>
  <c r="K170" i="18"/>
  <c r="F26" i="18"/>
  <c r="E118" i="18"/>
  <c r="C120" i="18"/>
  <c r="H47" i="18"/>
  <c r="O19" i="18"/>
  <c r="F108" i="18"/>
  <c r="C204" i="18"/>
  <c r="C140" i="18"/>
  <c r="E149" i="18"/>
  <c r="C146" i="18"/>
  <c r="J23" i="18"/>
  <c r="G204" i="18"/>
  <c r="F39" i="18"/>
  <c r="E104" i="18"/>
  <c r="B226" i="18"/>
  <c r="B234" i="18"/>
  <c r="L19" i="18"/>
  <c r="N13" i="18"/>
  <c r="F140" i="18"/>
  <c r="C21" i="18"/>
  <c r="B114" i="18"/>
  <c r="E51" i="18"/>
  <c r="B103" i="18"/>
  <c r="I166" i="18"/>
  <c r="G59" i="18"/>
  <c r="F136" i="18"/>
  <c r="B131" i="18"/>
  <c r="G201" i="18"/>
  <c r="N22" i="18"/>
  <c r="G14" i="18"/>
  <c r="D51" i="18"/>
  <c r="C104" i="18"/>
  <c r="E102" i="18"/>
  <c r="I171" i="18"/>
  <c r="B56" i="18"/>
  <c r="B22" i="18"/>
  <c r="C117" i="18"/>
  <c r="I110" i="18"/>
  <c r="C44" i="18"/>
  <c r="I120" i="18"/>
  <c r="F58" i="18"/>
  <c r="AJ170" i="12"/>
  <c r="B43" i="18"/>
  <c r="I117" i="18"/>
  <c r="B133" i="18"/>
  <c r="D16" i="18"/>
  <c r="G196" i="18"/>
  <c r="E109" i="18"/>
  <c r="B21" i="18"/>
  <c r="G27" i="18"/>
  <c r="E19" i="18"/>
  <c r="J12" i="18"/>
  <c r="G168" i="18"/>
  <c r="E150" i="18"/>
  <c r="C200" i="18"/>
  <c r="AJ182" i="12"/>
  <c r="K163" i="18"/>
  <c r="D29" i="18"/>
  <c r="D233" i="18"/>
  <c r="I28" i="18"/>
  <c r="J16" i="18"/>
  <c r="H53" i="18"/>
  <c r="K168" i="18"/>
  <c r="M21" i="18"/>
  <c r="E103" i="18"/>
  <c r="L24" i="18"/>
  <c r="C202" i="18"/>
  <c r="L18" i="18"/>
  <c r="E114" i="18"/>
  <c r="I108" i="18"/>
  <c r="C180" i="18"/>
  <c r="G21" i="18"/>
  <c r="G11" i="18"/>
  <c r="L26" i="18"/>
  <c r="F16" i="18"/>
  <c r="B110" i="18"/>
  <c r="G175" i="18"/>
  <c r="B230" i="18"/>
  <c r="E173" i="18"/>
  <c r="D43" i="18"/>
  <c r="G12" i="18"/>
  <c r="G179" i="18"/>
  <c r="H131" i="18"/>
  <c r="B23" i="18"/>
  <c r="J13" i="18"/>
  <c r="H22" i="18"/>
  <c r="G140" i="18"/>
  <c r="G148" i="18"/>
  <c r="E205" i="18"/>
  <c r="I115" i="18"/>
  <c r="D239" i="18"/>
  <c r="B102" i="18"/>
  <c r="F17" i="18"/>
  <c r="C151" i="18"/>
  <c r="H133" i="18"/>
  <c r="O13" i="18"/>
  <c r="H114" i="18"/>
  <c r="I150" i="18"/>
  <c r="G180" i="18"/>
  <c r="G211" i="18"/>
  <c r="G48" i="18"/>
  <c r="B222" i="18"/>
  <c r="M22" i="18"/>
  <c r="I163" i="18"/>
  <c r="H102" i="18"/>
  <c r="E210" i="18"/>
  <c r="E12" i="18"/>
  <c r="N16" i="18"/>
  <c r="G120" i="18"/>
  <c r="K21" i="18"/>
  <c r="I180" i="18"/>
  <c r="C149" i="18"/>
  <c r="I107" i="18"/>
  <c r="F239" i="18"/>
  <c r="C163" i="18"/>
  <c r="F151" i="18"/>
  <c r="H136" i="18"/>
  <c r="F133" i="18"/>
  <c r="M11" i="18"/>
  <c r="B225" i="18"/>
  <c r="C205" i="18"/>
  <c r="C195" i="18"/>
  <c r="D26" i="18"/>
  <c r="AI182" i="12"/>
  <c r="O12" i="18"/>
  <c r="H12" i="18"/>
  <c r="D224" i="18"/>
  <c r="F134" i="18"/>
  <c r="D231" i="18"/>
  <c r="L9" i="18"/>
  <c r="F135" i="18"/>
  <c r="D27" i="18"/>
  <c r="H143" i="18"/>
  <c r="B19" i="18"/>
  <c r="F56" i="18"/>
  <c r="C170" i="18"/>
  <c r="B228" i="18"/>
  <c r="I109" i="18"/>
  <c r="E135" i="18"/>
  <c r="D235" i="18"/>
  <c r="C41" i="18"/>
  <c r="G205" i="18"/>
  <c r="C59" i="18"/>
  <c r="E204" i="18"/>
  <c r="B11" i="18"/>
  <c r="E138" i="18"/>
  <c r="I118" i="18"/>
  <c r="C138" i="18"/>
  <c r="C24" i="18"/>
  <c r="C171" i="18"/>
  <c r="E17" i="18"/>
  <c r="K13" i="18"/>
  <c r="K22" i="18"/>
  <c r="F21" i="18"/>
  <c r="E144" i="18"/>
  <c r="E54" i="18"/>
  <c r="I169" i="18"/>
  <c r="H104" i="18"/>
  <c r="G107" i="18"/>
  <c r="D232" i="18"/>
  <c r="E120" i="18"/>
  <c r="F41" i="18"/>
  <c r="B41" i="18"/>
  <c r="I131" i="18"/>
  <c r="C176" i="18"/>
  <c r="G194" i="18"/>
  <c r="E59" i="18"/>
  <c r="E197" i="18"/>
  <c r="H48" i="18"/>
  <c r="C112" i="18"/>
  <c r="B13" i="18"/>
  <c r="E16" i="18"/>
  <c r="F139" i="18"/>
  <c r="F225" i="18"/>
  <c r="B117" i="18"/>
  <c r="E53" i="18"/>
  <c r="C196" i="18"/>
  <c r="F12" i="18"/>
  <c r="C102" i="18"/>
  <c r="G16" i="18"/>
  <c r="H42" i="18"/>
  <c r="G138" i="18"/>
  <c r="B150" i="18"/>
  <c r="F44" i="18"/>
  <c r="E112" i="18"/>
  <c r="F148" i="18"/>
  <c r="I181" i="18"/>
  <c r="D41" i="18"/>
  <c r="B44" i="18"/>
  <c r="B236" i="18"/>
  <c r="H134" i="18"/>
  <c r="C110" i="18"/>
  <c r="G47" i="18"/>
  <c r="B113" i="18"/>
  <c r="L12" i="18"/>
  <c r="I12" i="18"/>
  <c r="F9" i="18"/>
  <c r="H41" i="18"/>
  <c r="C166" i="18"/>
  <c r="E46" i="18"/>
  <c r="H146" i="18"/>
  <c r="G58" i="18"/>
  <c r="C47" i="18"/>
  <c r="E179" i="18"/>
  <c r="G150" i="18"/>
  <c r="G134" i="18"/>
  <c r="K14" i="18"/>
  <c r="B145" i="18"/>
  <c r="AJ171" i="12"/>
  <c r="M28" i="18"/>
  <c r="O11" i="18"/>
  <c r="F120" i="18"/>
  <c r="E143" i="18"/>
  <c r="M12" i="18"/>
  <c r="G100" i="18"/>
  <c r="N27" i="18"/>
  <c r="I29" i="18"/>
  <c r="N28" i="18"/>
  <c r="E22" i="18"/>
  <c r="L22" i="18"/>
  <c r="G17" i="18"/>
  <c r="K165" i="18"/>
  <c r="C28" i="18"/>
  <c r="L23" i="18"/>
  <c r="B105" i="18"/>
  <c r="G113" i="18"/>
  <c r="D13" i="18"/>
  <c r="I176" i="18"/>
  <c r="C48" i="18"/>
  <c r="I175" i="18"/>
  <c r="G178" i="18"/>
  <c r="H148" i="18"/>
  <c r="G49" i="18"/>
  <c r="F150" i="18"/>
  <c r="B144" i="18"/>
  <c r="L17" i="18"/>
  <c r="E18" i="18"/>
  <c r="D12" i="18"/>
  <c r="G44" i="18"/>
  <c r="H110" i="18"/>
  <c r="E134" i="18"/>
  <c r="C49" i="18"/>
  <c r="O18" i="18"/>
  <c r="G200" i="18"/>
  <c r="B59" i="18"/>
  <c r="B229" i="18"/>
  <c r="E141" i="18"/>
  <c r="F104" i="18"/>
  <c r="L16" i="18"/>
  <c r="E145" i="18"/>
  <c r="AI183" i="12"/>
  <c r="H23" i="18"/>
  <c r="E165" i="18"/>
  <c r="C74" i="18" l="1"/>
  <c r="D82" i="18"/>
  <c r="H87" i="18"/>
  <c r="B179" i="18"/>
  <c r="E82" i="18"/>
  <c r="B88" i="18"/>
  <c r="B166" i="18"/>
  <c r="D72" i="18"/>
  <c r="E73" i="18"/>
  <c r="E75" i="18"/>
  <c r="F77" i="18"/>
  <c r="F78" i="18"/>
  <c r="B84" i="18"/>
  <c r="G89" i="18"/>
  <c r="J166" i="18"/>
  <c r="F204" i="18"/>
  <c r="F210" i="18"/>
  <c r="H230" i="18"/>
  <c r="F82" i="18"/>
  <c r="C84" i="18"/>
  <c r="C88" i="18"/>
  <c r="B90" i="18"/>
  <c r="B168" i="18"/>
  <c r="B174" i="18"/>
  <c r="B180" i="18"/>
  <c r="B70" i="18"/>
  <c r="F73" i="18"/>
  <c r="G74" i="18"/>
  <c r="B79" i="18"/>
  <c r="F84" i="18"/>
  <c r="F90" i="18"/>
  <c r="H163" i="18"/>
  <c r="D200" i="18"/>
  <c r="D206" i="18"/>
  <c r="D212" i="18"/>
  <c r="H234" i="18"/>
  <c r="C73" i="18"/>
  <c r="F202" i="18"/>
  <c r="E77" i="18"/>
  <c r="E78" i="18"/>
  <c r="D210" i="18"/>
  <c r="D70" i="18"/>
  <c r="H77" i="18"/>
  <c r="C83" i="18"/>
  <c r="G88" i="18"/>
  <c r="F194" i="18"/>
  <c r="F200" i="18"/>
  <c r="F206" i="18"/>
  <c r="F212" i="18"/>
  <c r="G70" i="18"/>
  <c r="H72" i="18"/>
  <c r="B74" i="18"/>
  <c r="H74" i="18"/>
  <c r="B77" i="18"/>
  <c r="G80" i="18"/>
  <c r="D87" i="18"/>
  <c r="B164" i="18"/>
  <c r="B170" i="18"/>
  <c r="B176" i="18"/>
  <c r="D75" i="18"/>
  <c r="F196" i="18"/>
  <c r="H79" i="18"/>
  <c r="E85" i="18"/>
  <c r="H173" i="18"/>
  <c r="C79" i="18"/>
  <c r="G84" i="18"/>
  <c r="G90" i="18"/>
  <c r="B72" i="18"/>
  <c r="C75" i="18"/>
  <c r="D79" i="18"/>
  <c r="H80" i="18"/>
  <c r="H84" i="18"/>
  <c r="E87" i="18"/>
  <c r="H90" i="18"/>
  <c r="H164" i="18"/>
  <c r="H170" i="18"/>
  <c r="J176" i="18"/>
  <c r="H224" i="18"/>
  <c r="F79" i="18"/>
  <c r="H82" i="18"/>
  <c r="C85" i="18"/>
  <c r="E88" i="18"/>
  <c r="D192" i="18"/>
  <c r="J165" i="18"/>
  <c r="D199" i="18"/>
  <c r="J171" i="18"/>
  <c r="F205" i="18"/>
  <c r="J178" i="18"/>
  <c r="H181" i="18"/>
  <c r="H70" i="18"/>
  <c r="F72" i="18"/>
  <c r="F74" i="18"/>
  <c r="H75" i="18"/>
  <c r="C78" i="18"/>
  <c r="G79" i="18"/>
  <c r="E80" i="18"/>
  <c r="B83" i="18"/>
  <c r="G83" i="18"/>
  <c r="D85" i="18"/>
  <c r="B87" i="18"/>
  <c r="F88" i="18"/>
  <c r="E89" i="18"/>
  <c r="F192" i="18"/>
  <c r="D196" i="18"/>
  <c r="B169" i="18"/>
  <c r="D202" i="18"/>
  <c r="J175" i="18"/>
  <c r="D209" i="18"/>
  <c r="J181" i="18"/>
  <c r="B73" i="18"/>
  <c r="D77" i="18"/>
  <c r="E83" i="18"/>
  <c r="G85" i="18"/>
  <c r="B89" i="18"/>
  <c r="H161" i="18"/>
  <c r="J164" i="18"/>
  <c r="H168" i="18"/>
  <c r="D201" i="18"/>
  <c r="H174" i="18"/>
  <c r="B178" i="18"/>
  <c r="H180" i="18"/>
  <c r="E70" i="18"/>
  <c r="D74" i="18"/>
  <c r="C80" i="18"/>
  <c r="F70" i="18"/>
  <c r="E72" i="18"/>
  <c r="G73" i="18"/>
  <c r="G75" i="18"/>
  <c r="B78" i="18"/>
  <c r="G78" i="18"/>
  <c r="D80" i="18"/>
  <c r="B82" i="18"/>
  <c r="F83" i="18"/>
  <c r="D84" i="18"/>
  <c r="H85" i="18"/>
  <c r="F87" i="18"/>
  <c r="C89" i="18"/>
  <c r="C90" i="18"/>
  <c r="J161" i="18"/>
  <c r="F195" i="18"/>
  <c r="J168" i="18"/>
  <c r="H171" i="18"/>
  <c r="J174" i="18"/>
  <c r="H178" i="18"/>
  <c r="D211" i="18"/>
  <c r="H232" i="18"/>
  <c r="H228"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3" i="18"/>
  <c r="D195" i="18"/>
  <c r="H166" i="18"/>
  <c r="F199" i="18"/>
  <c r="J170" i="18"/>
  <c r="B173" i="18"/>
  <c r="D205" i="18"/>
  <c r="H176" i="18"/>
  <c r="F209" i="18"/>
  <c r="J180" i="18"/>
  <c r="H238" i="18"/>
  <c r="J163" i="18"/>
  <c r="B165" i="18"/>
  <c r="D197" i="18"/>
  <c r="H169" i="18"/>
  <c r="F201" i="18"/>
  <c r="J173" i="18"/>
  <c r="B175" i="18"/>
  <c r="D207" i="18"/>
  <c r="H179" i="18"/>
  <c r="F211" i="18"/>
  <c r="H226" i="18"/>
  <c r="B161" i="18"/>
  <c r="D194" i="18"/>
  <c r="H165" i="18"/>
  <c r="F197" i="18"/>
  <c r="J169" i="18"/>
  <c r="B171" i="18"/>
  <c r="D204" i="18"/>
  <c r="H175" i="18"/>
  <c r="F207" i="18"/>
  <c r="J179" i="18"/>
  <c r="B181" i="18"/>
  <c r="H236" i="18"/>
  <c r="B192" i="18"/>
  <c r="B194" i="18"/>
  <c r="B195" i="18"/>
  <c r="B196" i="18"/>
  <c r="B197" i="18"/>
  <c r="B199" i="18"/>
  <c r="B200" i="18"/>
  <c r="B201" i="18"/>
  <c r="B202" i="18"/>
  <c r="B204" i="18"/>
  <c r="B205" i="18"/>
  <c r="B206" i="18"/>
  <c r="B207" i="18"/>
  <c r="B209" i="18"/>
  <c r="B210" i="18"/>
  <c r="B211" i="18"/>
  <c r="B212" i="18"/>
  <c r="D161" i="18"/>
  <c r="D163" i="18"/>
  <c r="D164" i="18"/>
  <c r="D165" i="18"/>
  <c r="D166" i="18"/>
  <c r="D168" i="18"/>
  <c r="D169" i="18"/>
  <c r="D170" i="18"/>
  <c r="D171" i="18"/>
  <c r="D173" i="18"/>
  <c r="D174" i="18"/>
  <c r="D175" i="18"/>
  <c r="D176" i="18"/>
  <c r="D178" i="18"/>
  <c r="D179" i="18"/>
  <c r="D180" i="18"/>
  <c r="D181" i="18"/>
  <c r="D89" i="18"/>
  <c r="H89" i="18"/>
  <c r="E90" i="18"/>
  <c r="H222" i="18"/>
  <c r="H225" i="18"/>
  <c r="H227" i="18"/>
  <c r="H229" i="18"/>
  <c r="H231" i="18"/>
  <c r="H233" i="18"/>
  <c r="H235" i="18"/>
  <c r="H237" i="18"/>
  <c r="H239" i="18"/>
  <c r="AK171" i="12"/>
  <c r="AK182" i="12"/>
  <c r="AK170" i="12"/>
  <c r="AK183" i="12"/>
  <c r="AB225" i="16" l="1"/>
  <c r="AW209" i="16"/>
  <c r="AV209" i="16"/>
  <c r="AU209" i="16"/>
  <c r="AR209" i="16"/>
  <c r="AQ209" i="16"/>
  <c r="AP209" i="16"/>
  <c r="W209" i="16"/>
  <c r="U209" i="16"/>
  <c r="S209" i="16"/>
  <c r="AW204" i="16"/>
  <c r="AV204" i="16"/>
  <c r="AU204" i="16"/>
  <c r="AR204" i="16"/>
  <c r="AQ204" i="16"/>
  <c r="AP204" i="16"/>
  <c r="AW199" i="16"/>
  <c r="AV199" i="16"/>
  <c r="AU199" i="16"/>
  <c r="AR199" i="16"/>
  <c r="AQ199" i="16"/>
  <c r="AP199" i="16"/>
  <c r="W193" i="16"/>
  <c r="U193" i="16"/>
  <c r="S193" i="16"/>
  <c r="AO181" i="16"/>
  <c r="AN181" i="16"/>
  <c r="AH181" i="16"/>
  <c r="AG181" i="16"/>
  <c r="AO180" i="16"/>
  <c r="AN180" i="16"/>
  <c r="AM180" i="16"/>
  <c r="AL180" i="16"/>
  <c r="AK180" i="16"/>
  <c r="AH180" i="16"/>
  <c r="AG180" i="16"/>
  <c r="AF180" i="16"/>
  <c r="AE180" i="16"/>
  <c r="AD180" i="16"/>
  <c r="BD178" i="16"/>
  <c r="BC178" i="16"/>
  <c r="BB178" i="16"/>
  <c r="BA178" i="16"/>
  <c r="AZ178" i="16"/>
  <c r="AW178" i="16"/>
  <c r="AV178" i="16"/>
  <c r="AU178" i="16"/>
  <c r="AT178" i="16"/>
  <c r="AS178" i="16"/>
  <c r="BD173" i="16"/>
  <c r="BC173" i="16"/>
  <c r="BB173" i="16"/>
  <c r="BA173" i="16"/>
  <c r="AZ173" i="16"/>
  <c r="AW173" i="16"/>
  <c r="AV173" i="16"/>
  <c r="AU173" i="16"/>
  <c r="AT173" i="16"/>
  <c r="AS173" i="16"/>
  <c r="BD168" i="16"/>
  <c r="BC168" i="16"/>
  <c r="BB168" i="16"/>
  <c r="BA168" i="16"/>
  <c r="AZ168" i="16"/>
  <c r="AW168" i="16"/>
  <c r="AV168" i="16"/>
  <c r="AU168" i="16"/>
  <c r="AT168" i="16"/>
  <c r="AS168" i="16"/>
  <c r="AA162" i="16"/>
  <c r="Y162" i="16"/>
  <c r="W162" i="16"/>
  <c r="U162" i="16"/>
  <c r="S162"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I16" i="16"/>
  <c r="E210" i="16"/>
  <c r="V212" i="16"/>
  <c r="I13" i="16"/>
  <c r="C27" i="16"/>
  <c r="Z23" i="16"/>
  <c r="M11" i="16"/>
  <c r="K28" i="16"/>
  <c r="R16" i="16"/>
  <c r="C207" i="16"/>
  <c r="V182" i="16"/>
  <c r="O22" i="16"/>
  <c r="V24" i="16"/>
  <c r="E17" i="16"/>
  <c r="K169" i="16"/>
  <c r="K165" i="16"/>
  <c r="Z166" i="16"/>
  <c r="G165" i="16"/>
  <c r="C174" i="16"/>
  <c r="C19" i="16"/>
  <c r="R177" i="16"/>
  <c r="R182" i="16"/>
  <c r="G200" i="16"/>
  <c r="R196" i="16"/>
  <c r="K179" i="16"/>
  <c r="AD19" i="16"/>
  <c r="C177" i="16"/>
  <c r="I12" i="16"/>
  <c r="I22" i="16"/>
  <c r="T22" i="16"/>
  <c r="X174" i="16"/>
  <c r="E14" i="16"/>
  <c r="X177" i="16"/>
  <c r="V27" i="16"/>
  <c r="T205" i="16"/>
  <c r="AB26" i="16"/>
  <c r="I176" i="16"/>
  <c r="V165" i="16"/>
  <c r="E167" i="16"/>
  <c r="E24" i="16"/>
  <c r="K19" i="16"/>
  <c r="C21" i="16"/>
  <c r="E169" i="16"/>
  <c r="AD24" i="16"/>
  <c r="I167" i="16"/>
  <c r="K14" i="16"/>
  <c r="V172" i="16"/>
  <c r="V198" i="16"/>
  <c r="V23" i="16"/>
  <c r="R165" i="16"/>
  <c r="R202" i="16"/>
  <c r="K166" i="16"/>
  <c r="K170" i="16"/>
  <c r="I14" i="16"/>
  <c r="R212" i="16"/>
  <c r="Z11" i="16"/>
  <c r="C23" i="16"/>
  <c r="C195" i="16"/>
  <c r="G22" i="16"/>
  <c r="V28" i="16"/>
  <c r="C13" i="16"/>
  <c r="O19" i="16"/>
  <c r="R174" i="16"/>
  <c r="Z182" i="16"/>
  <c r="X23" i="16"/>
  <c r="G201" i="16"/>
  <c r="G11" i="16"/>
  <c r="G195" i="16"/>
  <c r="V213" i="16"/>
  <c r="G179" i="16"/>
  <c r="G197" i="16"/>
  <c r="T180" i="16"/>
  <c r="T23" i="16"/>
  <c r="O12" i="16"/>
  <c r="T208" i="16"/>
  <c r="C182" i="16"/>
  <c r="V208" i="16"/>
  <c r="AD18" i="16"/>
  <c r="R171" i="16"/>
  <c r="E16" i="16"/>
  <c r="AB18" i="16"/>
  <c r="R203" i="16"/>
  <c r="I166" i="16"/>
  <c r="G177" i="16"/>
  <c r="E198" i="16"/>
  <c r="O21" i="16"/>
  <c r="AB23" i="16"/>
  <c r="K174" i="16"/>
  <c r="I11" i="16"/>
  <c r="Z14" i="16"/>
  <c r="C24" i="16"/>
  <c r="C205" i="16"/>
  <c r="E26" i="16"/>
  <c r="T29" i="16"/>
  <c r="G12" i="16"/>
  <c r="K22" i="16"/>
  <c r="C206" i="16"/>
  <c r="E27" i="16"/>
  <c r="T13" i="16"/>
  <c r="T179" i="16"/>
  <c r="E195" i="16"/>
  <c r="R181" i="16"/>
  <c r="R197" i="16"/>
  <c r="AB19" i="16"/>
  <c r="E211" i="16"/>
  <c r="E170" i="16"/>
  <c r="O16" i="16"/>
  <c r="C167" i="16"/>
  <c r="Z24" i="16"/>
  <c r="G210" i="16"/>
  <c r="V13" i="16"/>
  <c r="I23" i="16"/>
  <c r="V200" i="16"/>
  <c r="X27" i="16"/>
  <c r="G19" i="16"/>
  <c r="Z169" i="16"/>
  <c r="R201" i="16"/>
  <c r="X170" i="16"/>
  <c r="R17" i="16"/>
  <c r="I182" i="16"/>
  <c r="V211" i="16"/>
  <c r="K164" i="16"/>
  <c r="I175" i="16"/>
  <c r="C180" i="16"/>
  <c r="V169" i="16"/>
  <c r="T197" i="16"/>
  <c r="AB17" i="16"/>
  <c r="I177" i="16"/>
  <c r="E175" i="16"/>
  <c r="O17" i="16"/>
  <c r="V17" i="16"/>
  <c r="R198" i="16"/>
  <c r="C175" i="16"/>
  <c r="E208" i="16"/>
  <c r="T171" i="16"/>
  <c r="E181" i="16"/>
  <c r="E200" i="16"/>
  <c r="G171" i="16"/>
  <c r="K13" i="16"/>
  <c r="X22" i="16"/>
  <c r="X169" i="16"/>
  <c r="G205" i="16"/>
  <c r="AD29" i="16"/>
  <c r="R180" i="16"/>
  <c r="T195" i="16"/>
  <c r="T200" i="16"/>
  <c r="K182" i="16"/>
  <c r="K18" i="16"/>
  <c r="G211" i="16"/>
  <c r="R29" i="16"/>
  <c r="AD23" i="16"/>
  <c r="Z28" i="16"/>
  <c r="M13" i="16"/>
  <c r="Z180" i="16"/>
  <c r="V29" i="16"/>
  <c r="AB12" i="16"/>
  <c r="V176" i="16"/>
  <c r="I17" i="16"/>
  <c r="Z175" i="16"/>
  <c r="M19" i="16"/>
  <c r="G164" i="16"/>
  <c r="C202" i="16"/>
  <c r="C12" i="16"/>
  <c r="V205" i="16"/>
  <c r="T176" i="16"/>
  <c r="R172" i="16"/>
  <c r="T18" i="16"/>
  <c r="R26" i="16"/>
  <c r="X17" i="16"/>
  <c r="G167" i="16"/>
  <c r="R208" i="16"/>
  <c r="C169" i="16"/>
  <c r="V166" i="16"/>
  <c r="V203" i="16"/>
  <c r="R213" i="16"/>
  <c r="M18" i="16"/>
  <c r="C29" i="16"/>
  <c r="T198" i="16"/>
  <c r="R195" i="16"/>
  <c r="V195" i="16"/>
  <c r="V12" i="16"/>
  <c r="I174" i="16"/>
  <c r="G13" i="16"/>
  <c r="X21" i="16"/>
  <c r="I179" i="16"/>
  <c r="Z171" i="16"/>
  <c r="C16" i="16"/>
  <c r="T21" i="16"/>
  <c r="R18" i="16"/>
  <c r="G16" i="16"/>
  <c r="X12" i="16"/>
  <c r="T206" i="16"/>
  <c r="Z21" i="16"/>
  <c r="T181" i="16"/>
  <c r="K172" i="16"/>
  <c r="Z167" i="16"/>
  <c r="V18" i="16"/>
  <c r="V14" i="16"/>
  <c r="T28" i="16"/>
  <c r="E22" i="16"/>
  <c r="AD16" i="16"/>
  <c r="V19" i="16"/>
  <c r="C14" i="16"/>
  <c r="E164" i="16"/>
  <c r="C210" i="16"/>
  <c r="AD27" i="16"/>
  <c r="G206" i="16"/>
  <c r="C196" i="16"/>
  <c r="T24" i="16"/>
  <c r="I26" i="16"/>
  <c r="K17" i="16"/>
  <c r="M12" i="16"/>
  <c r="X181" i="16"/>
  <c r="E212" i="16"/>
  <c r="T12" i="16"/>
  <c r="E203" i="16"/>
  <c r="C212" i="16"/>
  <c r="X16" i="16"/>
  <c r="R210" i="16"/>
  <c r="Z26" i="16"/>
  <c r="C176" i="16"/>
  <c r="V180" i="16"/>
  <c r="M16" i="16"/>
  <c r="I164" i="16"/>
  <c r="K171" i="16"/>
  <c r="I170" i="16"/>
  <c r="Z172" i="16"/>
  <c r="O24" i="16"/>
  <c r="G208" i="16"/>
  <c r="X176" i="16"/>
  <c r="E180" i="16"/>
  <c r="I180" i="16"/>
  <c r="X179" i="16"/>
  <c r="M21" i="16"/>
  <c r="M24" i="16"/>
  <c r="R207" i="16"/>
  <c r="X164" i="16"/>
  <c r="G17" i="16"/>
  <c r="X175" i="16"/>
  <c r="M27" i="16"/>
  <c r="G172" i="16"/>
  <c r="G174" i="16"/>
  <c r="AB28" i="16"/>
  <c r="T213" i="16"/>
  <c r="E207" i="16"/>
  <c r="E196" i="16"/>
  <c r="C165" i="16"/>
  <c r="T26" i="16"/>
  <c r="I19" i="16"/>
  <c r="AB27" i="16"/>
  <c r="AB14" i="16"/>
  <c r="AD17" i="16"/>
  <c r="G180" i="16"/>
  <c r="I169" i="16"/>
  <c r="E19" i="16"/>
  <c r="R169" i="16"/>
  <c r="K29" i="16"/>
  <c r="V197" i="16"/>
  <c r="Z165" i="16"/>
  <c r="V177" i="16"/>
  <c r="C179" i="16"/>
  <c r="E13" i="16"/>
  <c r="T170" i="16"/>
  <c r="R12" i="16"/>
  <c r="G213" i="16"/>
  <c r="Z176" i="16"/>
  <c r="V167" i="16"/>
  <c r="T207" i="16"/>
  <c r="E165" i="16"/>
  <c r="R170" i="16"/>
  <c r="R14" i="16"/>
  <c r="AD12" i="16"/>
  <c r="C170" i="16"/>
  <c r="C171" i="16"/>
  <c r="C28" i="16"/>
  <c r="T177" i="16"/>
  <c r="Z13" i="16"/>
  <c r="Z177" i="16"/>
  <c r="E197" i="16"/>
  <c r="G21" i="16"/>
  <c r="T203" i="16"/>
  <c r="T165" i="16"/>
  <c r="O29" i="16"/>
  <c r="C22" i="16"/>
  <c r="X28" i="16"/>
  <c r="R211" i="16"/>
  <c r="V164" i="16"/>
  <c r="G181" i="16"/>
  <c r="K16" i="16"/>
  <c r="E29" i="16"/>
  <c r="C200" i="16"/>
  <c r="T169" i="16"/>
  <c r="V22" i="16"/>
  <c r="E23" i="16"/>
  <c r="T172" i="16"/>
  <c r="C211" i="16"/>
  <c r="V175" i="16"/>
  <c r="C17" i="16"/>
  <c r="T164" i="16"/>
  <c r="AB24" i="16"/>
  <c r="AB22" i="16"/>
  <c r="V181" i="16"/>
  <c r="AD22" i="16"/>
  <c r="M17" i="16"/>
  <c r="O28" i="16"/>
  <c r="I171" i="16"/>
  <c r="K181" i="16"/>
  <c r="E179" i="16"/>
  <c r="E171" i="16"/>
  <c r="X29" i="16"/>
  <c r="Z179" i="16"/>
  <c r="AD21" i="16"/>
  <c r="R24" i="16"/>
  <c r="K177" i="16"/>
  <c r="V170" i="16"/>
  <c r="E182" i="16"/>
  <c r="V174" i="16"/>
  <c r="X171" i="16"/>
  <c r="V206" i="16"/>
  <c r="X13" i="16"/>
  <c r="G24" i="16"/>
  <c r="R167" i="16"/>
  <c r="T17" i="16"/>
  <c r="M28" i="16"/>
  <c r="V202" i="16"/>
  <c r="G169" i="16"/>
  <c r="G196" i="16"/>
  <c r="R164" i="16"/>
  <c r="T166" i="16"/>
  <c r="C172" i="16"/>
  <c r="AD14" i="16"/>
  <c r="O27" i="16"/>
  <c r="G175" i="16"/>
  <c r="V11" i="16"/>
  <c r="T14" i="16"/>
  <c r="AB29" i="16"/>
  <c r="Z164" i="16"/>
  <c r="E28" i="16"/>
  <c r="V21" i="16"/>
  <c r="R23" i="16"/>
  <c r="T211" i="16"/>
  <c r="R205" i="16"/>
  <c r="R11" i="16"/>
  <c r="M22" i="16"/>
  <c r="E176" i="16"/>
  <c r="R175" i="16"/>
  <c r="E11" i="16"/>
  <c r="I181" i="16"/>
  <c r="E213" i="16"/>
  <c r="O18" i="16"/>
  <c r="G14" i="16"/>
  <c r="G198" i="16"/>
  <c r="E206" i="16"/>
  <c r="X180" i="16"/>
  <c r="V179" i="16"/>
  <c r="Z181" i="16"/>
  <c r="R176" i="16"/>
  <c r="T16" i="16"/>
  <c r="Z29" i="16"/>
  <c r="AD13" i="16"/>
  <c r="X11" i="16"/>
  <c r="Z16" i="16"/>
  <c r="G26" i="16"/>
  <c r="T196" i="16"/>
  <c r="C201" i="16"/>
  <c r="G28" i="16"/>
  <c r="V210" i="16"/>
  <c r="T212" i="16"/>
  <c r="R200" i="16"/>
  <c r="V196" i="16"/>
  <c r="K176" i="16"/>
  <c r="G166" i="16"/>
  <c r="E202" i="16"/>
  <c r="X167" i="16"/>
  <c r="E174" i="16"/>
  <c r="X165" i="16"/>
  <c r="R27" i="16"/>
  <c r="I165" i="16"/>
  <c r="R166" i="16"/>
  <c r="AB16" i="16"/>
  <c r="C181" i="16"/>
  <c r="X24" i="16"/>
  <c r="Z22" i="16"/>
  <c r="O11" i="16"/>
  <c r="G207" i="16"/>
  <c r="I27" i="16"/>
  <c r="AB13" i="16"/>
  <c r="R21" i="16"/>
  <c r="Z174" i="16"/>
  <c r="C198" i="16"/>
  <c r="X172" i="16"/>
  <c r="C197" i="16"/>
  <c r="M23" i="16"/>
  <c r="R22" i="16"/>
  <c r="K12" i="16"/>
  <c r="T182" i="16"/>
  <c r="K23" i="16"/>
  <c r="G29" i="16"/>
  <c r="C18" i="16"/>
  <c r="C164" i="16"/>
  <c r="Z12" i="16"/>
  <c r="K21" i="16"/>
  <c r="X14" i="16"/>
  <c r="Z18" i="16"/>
  <c r="G27" i="16"/>
  <c r="X18" i="16"/>
  <c r="G182" i="16"/>
  <c r="C213" i="16"/>
  <c r="I18" i="16"/>
  <c r="C203" i="16"/>
  <c r="R206" i="16"/>
  <c r="C26" i="16"/>
  <c r="I29" i="16"/>
  <c r="Z27" i="16"/>
  <c r="T19" i="16"/>
  <c r="E18" i="16"/>
  <c r="G23" i="16"/>
  <c r="T27" i="16"/>
  <c r="K24" i="16"/>
  <c r="T201" i="16"/>
  <c r="E21" i="16"/>
  <c r="C11" i="16"/>
  <c r="V201" i="16"/>
  <c r="K175" i="16"/>
  <c r="C208" i="16"/>
  <c r="G170" i="16"/>
  <c r="I28" i="16"/>
  <c r="X166" i="16"/>
  <c r="E201" i="16"/>
  <c r="E172" i="16"/>
  <c r="T174" i="16"/>
  <c r="E12" i="16"/>
  <c r="M26" i="16"/>
  <c r="I24" i="16"/>
  <c r="T202" i="16"/>
  <c r="Z170" i="16"/>
  <c r="Z19" i="16"/>
  <c r="V171" i="16"/>
  <c r="K26" i="16"/>
  <c r="R13" i="16"/>
  <c r="AD26" i="16"/>
  <c r="X26" i="16"/>
  <c r="I172" i="16"/>
  <c r="K167" i="16"/>
  <c r="R28" i="16"/>
  <c r="G202" i="16"/>
  <c r="E166" i="16"/>
  <c r="V26" i="16"/>
  <c r="X182" i="16"/>
  <c r="C166" i="16"/>
  <c r="I21" i="16"/>
  <c r="O26" i="16"/>
  <c r="AB21" i="16"/>
  <c r="X19" i="16"/>
  <c r="R19" i="16"/>
  <c r="T167" i="16"/>
  <c r="O13" i="16"/>
  <c r="T11" i="16"/>
  <c r="T175" i="16"/>
  <c r="K27" i="16"/>
  <c r="M29" i="16"/>
  <c r="R179" i="16"/>
  <c r="Z17" i="16"/>
  <c r="K180" i="16"/>
  <c r="T210" i="16"/>
  <c r="E205" i="16"/>
  <c r="O14" i="16"/>
  <c r="G212" i="16"/>
  <c r="AD11" i="16"/>
  <c r="AD28" i="16"/>
  <c r="K11" i="16"/>
  <c r="G18" i="16"/>
  <c r="V207" i="16"/>
  <c r="O23" i="16"/>
  <c r="M14" i="16"/>
  <c r="G203" i="16"/>
  <c r="G176" i="16"/>
  <c r="V16" i="16"/>
  <c r="E177" i="16"/>
  <c r="AB11" i="16"/>
  <c r="AH162" i="16" l="1"/>
  <c r="AW11" i="16"/>
  <c r="AX12" i="16"/>
  <c r="AM22" i="16"/>
  <c r="AA22" i="16"/>
  <c r="AN26" i="16"/>
  <c r="AC26" i="16"/>
  <c r="AE11" i="16"/>
  <c r="AO11" i="16"/>
  <c r="AR11" i="16"/>
  <c r="AS12" i="16"/>
  <c r="AV16" i="16"/>
  <c r="AA17" i="16"/>
  <c r="AM17" i="16"/>
  <c r="AV23" i="16"/>
  <c r="AS24" i="16"/>
  <c r="AV28" i="16"/>
  <c r="BA170" i="16"/>
  <c r="AU172" i="16"/>
  <c r="W172" i="16"/>
  <c r="S198" i="16"/>
  <c r="AP198" i="16"/>
  <c r="AU205" i="16"/>
  <c r="BB171" i="16"/>
  <c r="AV176" i="16"/>
  <c r="Y176" i="16"/>
  <c r="W202" i="16"/>
  <c r="AR202" i="16"/>
  <c r="AT13" i="16"/>
  <c r="AX14" i="16"/>
  <c r="AW16" i="16"/>
  <c r="AO17" i="16"/>
  <c r="AE17" i="16"/>
  <c r="AX19" i="16"/>
  <c r="AV22" i="16"/>
  <c r="BC165" i="16"/>
  <c r="BB179" i="16"/>
  <c r="AR198" i="16"/>
  <c r="W198" i="16"/>
  <c r="AR206" i="16"/>
  <c r="W206" i="16"/>
  <c r="AW13" i="16"/>
  <c r="AM14" i="16"/>
  <c r="AA14" i="16"/>
  <c r="U18" i="16"/>
  <c r="AJ18" i="16"/>
  <c r="AX23" i="16"/>
  <c r="AS27" i="16"/>
  <c r="AJ29" i="16"/>
  <c r="U29" i="16"/>
  <c r="BC170" i="16"/>
  <c r="BA175" i="16"/>
  <c r="AS180" i="16"/>
  <c r="S180" i="16"/>
  <c r="S182" i="16"/>
  <c r="AS182" i="16"/>
  <c r="AV195" i="16"/>
  <c r="AV11" i="16"/>
  <c r="AW12" i="16"/>
  <c r="S13" i="16"/>
  <c r="AI13" i="16"/>
  <c r="AX13" i="16"/>
  <c r="AN14" i="16"/>
  <c r="AC14" i="16"/>
  <c r="AS18" i="16"/>
  <c r="AN21" i="16"/>
  <c r="AC21" i="16"/>
  <c r="AL26" i="16"/>
  <c r="Y26" i="16"/>
  <c r="AK29" i="16"/>
  <c r="W29" i="16"/>
  <c r="AU171" i="16"/>
  <c r="W171" i="16"/>
  <c r="BB175" i="16"/>
  <c r="AW195" i="16"/>
  <c r="AW206" i="16"/>
  <c r="AU211" i="16"/>
  <c r="AI12" i="16"/>
  <c r="S12" i="16"/>
  <c r="AJ13" i="16"/>
  <c r="U13" i="16"/>
  <c r="AE14" i="16"/>
  <c r="AO14" i="16"/>
  <c r="AA16" i="16"/>
  <c r="AM16" i="16"/>
  <c r="AV17" i="16"/>
  <c r="AT18" i="16"/>
  <c r="AE19" i="16"/>
  <c r="AO19" i="16"/>
  <c r="AR21" i="16"/>
  <c r="AK22" i="16"/>
  <c r="W22" i="16"/>
  <c r="AM26" i="16"/>
  <c r="AA26" i="16"/>
  <c r="AL29" i="16"/>
  <c r="Y29" i="16"/>
  <c r="BB166" i="16"/>
  <c r="BA180" i="16"/>
  <c r="W13" i="16"/>
  <c r="AK13" i="16"/>
  <c r="AN11" i="16"/>
  <c r="AC11" i="16"/>
  <c r="AE12" i="16"/>
  <c r="AO12" i="16"/>
  <c r="AR16" i="16"/>
  <c r="AJ17" i="16"/>
  <c r="U17" i="16"/>
  <c r="AS19" i="16"/>
  <c r="AC22" i="16"/>
  <c r="AN22" i="16"/>
  <c r="AM23" i="16"/>
  <c r="AA23" i="16"/>
  <c r="AR24" i="16"/>
  <c r="S167" i="16"/>
  <c r="AS167" i="16"/>
  <c r="BD169" i="16"/>
  <c r="AV202" i="16"/>
  <c r="AV212" i="16"/>
  <c r="AJ12" i="16"/>
  <c r="U12" i="16"/>
  <c r="AN16" i="16"/>
  <c r="AC16" i="16"/>
  <c r="AL23" i="16"/>
  <c r="Y23" i="16"/>
  <c r="AX29" i="16"/>
  <c r="BC169" i="16"/>
  <c r="AS13" i="16"/>
  <c r="AS16" i="16"/>
  <c r="AK17" i="16"/>
  <c r="W17" i="16"/>
  <c r="AW19" i="16"/>
  <c r="AW21" i="16"/>
  <c r="AU22" i="16"/>
  <c r="AN23" i="16"/>
  <c r="AC23" i="16"/>
  <c r="AU28" i="16"/>
  <c r="Y167" i="16"/>
  <c r="AV167" i="16"/>
  <c r="AS172" i="16"/>
  <c r="S172" i="16"/>
  <c r="BA179" i="16"/>
  <c r="AQ197" i="16"/>
  <c r="U197" i="16"/>
  <c r="AV203" i="16"/>
  <c r="AX16" i="16"/>
  <c r="AU18" i="16"/>
  <c r="AX21" i="16"/>
  <c r="AE29" i="16"/>
  <c r="AO29" i="16"/>
  <c r="BB167" i="16"/>
  <c r="AV177" i="16"/>
  <c r="Y177" i="16"/>
  <c r="Y182" i="16"/>
  <c r="AV182" i="16"/>
  <c r="U201" i="16"/>
  <c r="AQ201" i="16"/>
  <c r="AW202" i="16"/>
  <c r="U208" i="16"/>
  <c r="AQ208" i="16"/>
  <c r="AQ210" i="16"/>
  <c r="U210" i="16"/>
  <c r="AV211" i="16"/>
  <c r="AI11" i="16"/>
  <c r="S11" i="16"/>
  <c r="AS11" i="16"/>
  <c r="AX11" i="16"/>
  <c r="AK12" i="16"/>
  <c r="W12" i="16"/>
  <c r="AT12" i="16"/>
  <c r="AL13" i="16"/>
  <c r="Y13" i="16"/>
  <c r="AU13" i="16"/>
  <c r="AR17" i="16"/>
  <c r="AW17" i="16"/>
  <c r="AA18" i="16"/>
  <c r="AM18" i="16"/>
  <c r="AJ19" i="16"/>
  <c r="U19" i="16"/>
  <c r="AT19" i="16"/>
  <c r="AI21" i="16"/>
  <c r="S21" i="16"/>
  <c r="AR22" i="16"/>
  <c r="AI24" i="16"/>
  <c r="S24" i="16"/>
  <c r="AU26" i="16"/>
  <c r="AA28" i="16"/>
  <c r="AM28" i="16"/>
  <c r="AT29" i="16"/>
  <c r="AS165" i="16"/>
  <c r="S165" i="16"/>
  <c r="BC167" i="16"/>
  <c r="AS169" i="16"/>
  <c r="S169" i="16"/>
  <c r="BC171" i="16"/>
  <c r="BB172" i="16"/>
  <c r="BC176" i="16"/>
  <c r="BA177" i="16"/>
  <c r="BB180" i="16"/>
  <c r="AU196" i="16"/>
  <c r="AV197" i="16"/>
  <c r="S200" i="16"/>
  <c r="AP200" i="16"/>
  <c r="AU201" i="16"/>
  <c r="AW205" i="16"/>
  <c r="S207" i="16"/>
  <c r="AP207" i="16"/>
  <c r="W208" i="16"/>
  <c r="AR208" i="16"/>
  <c r="AW211" i="16"/>
  <c r="U11" i="16"/>
  <c r="AJ11" i="16"/>
  <c r="AT11" i="16"/>
  <c r="AL12" i="16"/>
  <c r="Y12" i="16"/>
  <c r="AN13" i="16"/>
  <c r="AC13" i="16"/>
  <c r="AI14" i="16"/>
  <c r="S14" i="16"/>
  <c r="AT14" i="16"/>
  <c r="AJ16" i="16"/>
  <c r="U16" i="16"/>
  <c r="AT16" i="16"/>
  <c r="AN18" i="16"/>
  <c r="AC18" i="16"/>
  <c r="AV18" i="16"/>
  <c r="AK19" i="16"/>
  <c r="W19" i="16"/>
  <c r="AJ21" i="16"/>
  <c r="U21" i="16"/>
  <c r="AT21" i="16"/>
  <c r="AT23" i="16"/>
  <c r="AJ24" i="16"/>
  <c r="U24" i="16"/>
  <c r="AV24" i="16"/>
  <c r="AV26" i="16"/>
  <c r="AI27" i="16"/>
  <c r="S27" i="16"/>
  <c r="AR28" i="16"/>
  <c r="BB164" i="16"/>
  <c r="AU165" i="16"/>
  <c r="W165" i="16"/>
  <c r="AZ169" i="16"/>
  <c r="AS174" i="16"/>
  <c r="S174" i="16"/>
  <c r="AW181" i="16"/>
  <c r="AA181" i="16"/>
  <c r="BB182" i="16"/>
  <c r="AW197" i="16"/>
  <c r="U200" i="16"/>
  <c r="AQ200" i="16"/>
  <c r="U207" i="16"/>
  <c r="AQ207" i="16"/>
  <c r="AQ213" i="16"/>
  <c r="U213" i="16"/>
  <c r="Y11" i="16"/>
  <c r="AL11" i="16"/>
  <c r="AM12" i="16"/>
  <c r="AA12" i="16"/>
  <c r="AU12" i="16"/>
  <c r="AE13" i="16"/>
  <c r="AO13" i="16"/>
  <c r="AV13" i="16"/>
  <c r="AK14" i="16"/>
  <c r="W14" i="16"/>
  <c r="AK16" i="16"/>
  <c r="W16" i="16"/>
  <c r="AS17" i="16"/>
  <c r="AO18" i="16"/>
  <c r="AE18" i="16"/>
  <c r="AW18" i="16"/>
  <c r="Y19" i="16"/>
  <c r="AL19" i="16"/>
  <c r="W21" i="16"/>
  <c r="AK21" i="16"/>
  <c r="AU21" i="16"/>
  <c r="W24" i="16"/>
  <c r="AK24" i="16"/>
  <c r="AA27" i="16"/>
  <c r="AM27" i="16"/>
  <c r="AS28" i="16"/>
  <c r="S166" i="16"/>
  <c r="AS166" i="16"/>
  <c r="AU170" i="16"/>
  <c r="W170" i="16"/>
  <c r="BC172" i="16"/>
  <c r="BC177" i="16"/>
  <c r="S179" i="16"/>
  <c r="AS179" i="16"/>
  <c r="AZ181" i="16"/>
  <c r="BC182" i="16"/>
  <c r="AV196" i="16"/>
  <c r="W200" i="16"/>
  <c r="AR200" i="16"/>
  <c r="W207" i="16"/>
  <c r="AR207" i="16"/>
  <c r="AP212" i="16"/>
  <c r="S212" i="16"/>
  <c r="AL18" i="16"/>
  <c r="Y18" i="16"/>
  <c r="AI19" i="16"/>
  <c r="S19" i="16"/>
  <c r="AS21" i="16"/>
  <c r="AE22" i="16"/>
  <c r="AO22" i="16"/>
  <c r="AR23" i="16"/>
  <c r="AW27" i="16"/>
  <c r="AU164" i="16"/>
  <c r="W164" i="16"/>
  <c r="BD170" i="16"/>
  <c r="AA11" i="16"/>
  <c r="AM11" i="16"/>
  <c r="AU11" i="16"/>
  <c r="AC12" i="16"/>
  <c r="AN12" i="16"/>
  <c r="AR13" i="16"/>
  <c r="AL14" i="16"/>
  <c r="Y14" i="16"/>
  <c r="AU14" i="16"/>
  <c r="AL16" i="16"/>
  <c r="Y16" i="16"/>
  <c r="AU16" i="16"/>
  <c r="AI17" i="16"/>
  <c r="S17" i="16"/>
  <c r="AR18" i="16"/>
  <c r="AX18" i="16"/>
  <c r="AA19" i="16"/>
  <c r="AM19" i="16"/>
  <c r="Y21" i="16"/>
  <c r="AL21" i="16"/>
  <c r="AV21" i="16"/>
  <c r="AI22" i="16"/>
  <c r="S22" i="16"/>
  <c r="W23" i="16"/>
  <c r="AK23" i="16"/>
  <c r="AU23" i="16"/>
  <c r="AA24" i="16"/>
  <c r="AM24" i="16"/>
  <c r="AW24" i="16"/>
  <c r="W26" i="16"/>
  <c r="AK26" i="16"/>
  <c r="AX26" i="16"/>
  <c r="AR27" i="16"/>
  <c r="AW29" i="16"/>
  <c r="BC164" i="16"/>
  <c r="BB165" i="16"/>
  <c r="AU166" i="16"/>
  <c r="W166" i="16"/>
  <c r="AZ170" i="16"/>
  <c r="BA174" i="16"/>
  <c r="AT175" i="16"/>
  <c r="U175" i="16"/>
  <c r="AA179" i="16"/>
  <c r="AW179" i="16"/>
  <c r="AV200" i="16"/>
  <c r="U206" i="16"/>
  <c r="AQ206" i="16"/>
  <c r="AU207" i="16"/>
  <c r="AU212" i="16"/>
  <c r="AR14" i="16"/>
  <c r="AV14" i="16"/>
  <c r="AE16" i="16"/>
  <c r="AO16" i="16"/>
  <c r="AL17" i="16"/>
  <c r="Y17" i="16"/>
  <c r="AT17" i="16"/>
  <c r="AX17" i="16"/>
  <c r="S18" i="16"/>
  <c r="AI18" i="16"/>
  <c r="AN19" i="16"/>
  <c r="AC19" i="16"/>
  <c r="AU19" i="16"/>
  <c r="AM21" i="16"/>
  <c r="AA21" i="16"/>
  <c r="AJ22" i="16"/>
  <c r="U22" i="16"/>
  <c r="AS22" i="16"/>
  <c r="AW22" i="16"/>
  <c r="AO23" i="16"/>
  <c r="AE23" i="16"/>
  <c r="Y24" i="16"/>
  <c r="AL24" i="16"/>
  <c r="AT24" i="16"/>
  <c r="AX24" i="16"/>
  <c r="AR26" i="16"/>
  <c r="U28" i="16"/>
  <c r="AJ28" i="16"/>
  <c r="AA29" i="16"/>
  <c r="AM29" i="16"/>
  <c r="AT164" i="16"/>
  <c r="U164" i="16"/>
  <c r="U165" i="16"/>
  <c r="AT165" i="16"/>
  <c r="BD165" i="16"/>
  <c r="AT166" i="16"/>
  <c r="U166" i="16"/>
  <c r="AT167" i="16"/>
  <c r="U167" i="16"/>
  <c r="AT171" i="16"/>
  <c r="U171" i="16"/>
  <c r="AT172" i="16"/>
  <c r="U172" i="16"/>
  <c r="BD172" i="16"/>
  <c r="BD174" i="16"/>
  <c r="BD175" i="16"/>
  <c r="AS176" i="16"/>
  <c r="S176" i="16"/>
  <c r="BD176" i="16"/>
  <c r="AU177" i="16"/>
  <c r="W177" i="16"/>
  <c r="BD177" i="16"/>
  <c r="BC180" i="16"/>
  <c r="BC181" i="16"/>
  <c r="U182" i="16"/>
  <c r="AT182" i="16"/>
  <c r="AV198" i="16"/>
  <c r="AU200" i="16"/>
  <c r="W201" i="16"/>
  <c r="AR201" i="16"/>
  <c r="AV207" i="16"/>
  <c r="AU208" i="16"/>
  <c r="AV213" i="16"/>
  <c r="W11" i="16"/>
  <c r="AK11" i="16"/>
  <c r="AR12" i="16"/>
  <c r="AV12" i="16"/>
  <c r="AA13" i="16"/>
  <c r="AM13" i="16"/>
  <c r="AJ14" i="16"/>
  <c r="U14" i="16"/>
  <c r="AS14" i="16"/>
  <c r="AW14" i="16"/>
  <c r="S16" i="16"/>
  <c r="AI16" i="16"/>
  <c r="AC17" i="16"/>
  <c r="AN17" i="16"/>
  <c r="AU17" i="16"/>
  <c r="AK18" i="16"/>
  <c r="W18" i="16"/>
  <c r="AR19" i="16"/>
  <c r="AV19" i="16"/>
  <c r="AE21" i="16"/>
  <c r="AO21" i="16"/>
  <c r="AL22" i="16"/>
  <c r="Y22" i="16"/>
  <c r="AT22" i="16"/>
  <c r="AX22" i="16"/>
  <c r="S23" i="16"/>
  <c r="AI23" i="16"/>
  <c r="AN24" i="16"/>
  <c r="AC24" i="16"/>
  <c r="AU24" i="16"/>
  <c r="AT26" i="16"/>
  <c r="AJ27" i="16"/>
  <c r="U27" i="16"/>
  <c r="AV27" i="16"/>
  <c r="AN28" i="16"/>
  <c r="AC28" i="16"/>
  <c r="AW28" i="16"/>
  <c r="AS29" i="16"/>
  <c r="AV164" i="16"/>
  <c r="Y164" i="16"/>
  <c r="Y165" i="16"/>
  <c r="AV165" i="16"/>
  <c r="AA166" i="16"/>
  <c r="AW166" i="16"/>
  <c r="AV169" i="16"/>
  <c r="Y169" i="16"/>
  <c r="AV170" i="16"/>
  <c r="Y170" i="16"/>
  <c r="AV171" i="16"/>
  <c r="Y171" i="16"/>
  <c r="Y172" i="16"/>
  <c r="AV172" i="16"/>
  <c r="AU174" i="16"/>
  <c r="W174" i="16"/>
  <c r="AW175" i="16"/>
  <c r="AA175" i="16"/>
  <c r="AW176" i="16"/>
  <c r="AA176" i="16"/>
  <c r="AA177" i="16"/>
  <c r="AW177" i="16"/>
  <c r="AT179" i="16"/>
  <c r="U179" i="16"/>
  <c r="AT180" i="16"/>
  <c r="U180" i="16"/>
  <c r="AS181" i="16"/>
  <c r="S181" i="16"/>
  <c r="BD181" i="16"/>
  <c r="W195" i="16"/>
  <c r="AR195" i="16"/>
  <c r="AW198" i="16"/>
  <c r="AU202" i="16"/>
  <c r="AP203" i="16"/>
  <c r="S203" i="16"/>
  <c r="S205" i="16"/>
  <c r="AP205" i="16"/>
  <c r="W210" i="16"/>
  <c r="AR210" i="16"/>
  <c r="AW213" i="16"/>
  <c r="AJ23" i="16"/>
  <c r="U23" i="16"/>
  <c r="AS23" i="16"/>
  <c r="AW23" i="16"/>
  <c r="AO24" i="16"/>
  <c r="AE24" i="16"/>
  <c r="AK27" i="16"/>
  <c r="W27" i="16"/>
  <c r="AO28" i="16"/>
  <c r="AE28" i="16"/>
  <c r="AW164" i="16"/>
  <c r="AA164" i="16"/>
  <c r="AZ165" i="16"/>
  <c r="BA166" i="16"/>
  <c r="BA167" i="16"/>
  <c r="AA169" i="16"/>
  <c r="AW169" i="16"/>
  <c r="AA170" i="16"/>
  <c r="AW170" i="16"/>
  <c r="AW171" i="16"/>
  <c r="AA171" i="16"/>
  <c r="AZ172" i="16"/>
  <c r="AZ174" i="16"/>
  <c r="AZ175" i="16"/>
  <c r="AZ176" i="16"/>
  <c r="AZ177" i="16"/>
  <c r="W179" i="16"/>
  <c r="AU179" i="16"/>
  <c r="AV180" i="16"/>
  <c r="Y180" i="16"/>
  <c r="AV181" i="16"/>
  <c r="Y181" i="16"/>
  <c r="BA182" i="16"/>
  <c r="AU195" i="16"/>
  <c r="AP196" i="16"/>
  <c r="S196" i="16"/>
  <c r="AU203" i="16"/>
  <c r="AQ205" i="16"/>
  <c r="U205" i="16"/>
  <c r="AP206" i="16"/>
  <c r="S206" i="16"/>
  <c r="AU210" i="16"/>
  <c r="W211" i="16"/>
  <c r="AR211" i="16"/>
  <c r="AE26" i="16"/>
  <c r="AO26" i="16"/>
  <c r="Y27" i="16"/>
  <c r="AL27" i="16"/>
  <c r="AT27" i="16"/>
  <c r="AX27" i="16"/>
  <c r="S28" i="16"/>
  <c r="AI28" i="16"/>
  <c r="AC29" i="16"/>
  <c r="AN29" i="16"/>
  <c r="AU29" i="16"/>
  <c r="AZ164" i="16"/>
  <c r="BD164" i="16"/>
  <c r="AA165" i="16"/>
  <c r="AW165" i="16"/>
  <c r="AV166" i="16"/>
  <c r="Y166" i="16"/>
  <c r="BC166" i="16"/>
  <c r="W167" i="16"/>
  <c r="AU167" i="16"/>
  <c r="BA169" i="16"/>
  <c r="AZ171" i="16"/>
  <c r="BD171" i="16"/>
  <c r="AA172" i="16"/>
  <c r="AW172" i="16"/>
  <c r="AT174" i="16"/>
  <c r="U174" i="16"/>
  <c r="BB174" i="16"/>
  <c r="AS175" i="16"/>
  <c r="S175" i="16"/>
  <c r="BA176" i="16"/>
  <c r="AV179" i="16"/>
  <c r="Y179" i="16"/>
  <c r="BC179" i="16"/>
  <c r="W180" i="16"/>
  <c r="AU180" i="16"/>
  <c r="BA181" i="16"/>
  <c r="W182" i="16"/>
  <c r="AU182" i="16"/>
  <c r="AW196" i="16"/>
  <c r="AP197" i="16"/>
  <c r="S197" i="16"/>
  <c r="AQ198" i="16"/>
  <c r="U198" i="16"/>
  <c r="AV201" i="16"/>
  <c r="AW203" i="16"/>
  <c r="AR205" i="16"/>
  <c r="W205" i="16"/>
  <c r="AU206" i="16"/>
  <c r="AV208" i="16"/>
  <c r="AV210" i="16"/>
  <c r="AW212" i="16"/>
  <c r="AP213" i="16"/>
  <c r="S213" i="16"/>
  <c r="S26" i="16"/>
  <c r="AI26" i="16"/>
  <c r="AN27" i="16"/>
  <c r="AC27" i="16"/>
  <c r="AU27" i="16"/>
  <c r="W28" i="16"/>
  <c r="AK28" i="16"/>
  <c r="AR29" i="16"/>
  <c r="AV29" i="16"/>
  <c r="BA164" i="16"/>
  <c r="AZ166" i="16"/>
  <c r="BD166" i="16"/>
  <c r="AW167" i="16"/>
  <c r="AA167" i="16"/>
  <c r="AT169" i="16"/>
  <c r="U169" i="16"/>
  <c r="BB169" i="16"/>
  <c r="S170" i="16"/>
  <c r="AS170" i="16"/>
  <c r="BA171" i="16"/>
  <c r="Y174" i="16"/>
  <c r="AV174" i="16"/>
  <c r="BC174" i="16"/>
  <c r="W175" i="16"/>
  <c r="AU175" i="16"/>
  <c r="AT176" i="16"/>
  <c r="U176" i="16"/>
  <c r="BB176" i="16"/>
  <c r="S177" i="16"/>
  <c r="AS177" i="16"/>
  <c r="AZ179" i="16"/>
  <c r="BD179" i="16"/>
  <c r="AW180" i="16"/>
  <c r="AA180" i="16"/>
  <c r="AT181" i="16"/>
  <c r="U181" i="16"/>
  <c r="BB181" i="16"/>
  <c r="AW182" i="16"/>
  <c r="AA182" i="16"/>
  <c r="AP195" i="16"/>
  <c r="S195" i="16"/>
  <c r="AQ196" i="16"/>
  <c r="U196" i="16"/>
  <c r="AR197" i="16"/>
  <c r="W197" i="16"/>
  <c r="AU198" i="16"/>
  <c r="AW201" i="16"/>
  <c r="AP202" i="16"/>
  <c r="S202" i="16"/>
  <c r="AQ203" i="16"/>
  <c r="U203" i="16"/>
  <c r="AV206" i="16"/>
  <c r="AW208" i="16"/>
  <c r="AW210" i="16"/>
  <c r="AP211" i="16"/>
  <c r="S211" i="16"/>
  <c r="AQ212" i="16"/>
  <c r="U212" i="16"/>
  <c r="AR213" i="16"/>
  <c r="W213" i="16"/>
  <c r="AJ26" i="16"/>
  <c r="U26" i="16"/>
  <c r="AS26" i="16"/>
  <c r="AW26" i="16"/>
  <c r="AO27" i="16"/>
  <c r="AE27" i="16"/>
  <c r="AL28" i="16"/>
  <c r="Y28" i="16"/>
  <c r="AT28" i="16"/>
  <c r="AX28" i="16"/>
  <c r="S29" i="16"/>
  <c r="AI29" i="16"/>
  <c r="AS164" i="16"/>
  <c r="S164" i="16"/>
  <c r="BA165" i="16"/>
  <c r="AZ167" i="16"/>
  <c r="BD167" i="16"/>
  <c r="W169" i="16"/>
  <c r="AU169" i="16"/>
  <c r="AT170" i="16"/>
  <c r="U170" i="16"/>
  <c r="BB170" i="16"/>
  <c r="AS171" i="16"/>
  <c r="S171" i="16"/>
  <c r="BA172" i="16"/>
  <c r="AW174" i="16"/>
  <c r="AA174" i="16"/>
  <c r="AV175" i="16"/>
  <c r="Y175" i="16"/>
  <c r="BC175" i="16"/>
  <c r="W176" i="16"/>
  <c r="AU176" i="16"/>
  <c r="AT177" i="16"/>
  <c r="U177" i="16"/>
  <c r="BB177" i="16"/>
  <c r="AZ180" i="16"/>
  <c r="BD180" i="16"/>
  <c r="W181" i="16"/>
  <c r="AU181" i="16"/>
  <c r="AZ182" i="16"/>
  <c r="BD182" i="16"/>
  <c r="U195" i="16"/>
  <c r="AQ195" i="16"/>
  <c r="W196" i="16"/>
  <c r="AR196" i="16"/>
  <c r="AU197" i="16"/>
  <c r="AW200" i="16"/>
  <c r="S201" i="16"/>
  <c r="AP201" i="16"/>
  <c r="U202" i="16"/>
  <c r="AQ202" i="16"/>
  <c r="AR203" i="16"/>
  <c r="W203" i="16"/>
  <c r="AV205" i="16"/>
  <c r="AW207" i="16"/>
  <c r="AP208" i="16"/>
  <c r="S208" i="16"/>
  <c r="AP210" i="16"/>
  <c r="S210" i="16"/>
  <c r="U211" i="16"/>
  <c r="AQ211" i="16"/>
  <c r="AR212" i="16"/>
  <c r="W212" i="16"/>
  <c r="AU213" i="16"/>
  <c r="AO162" i="16"/>
  <c r="AM165" i="16" l="1"/>
  <c r="F165" i="16"/>
  <c r="AF165" i="16" s="1"/>
  <c r="F171" i="16"/>
  <c r="AF171" i="16" s="1"/>
  <c r="AM166" i="16"/>
  <c r="AM170" i="16"/>
  <c r="F179" i="16"/>
  <c r="AF179" i="16" s="1"/>
  <c r="F169" i="16"/>
  <c r="AF169" i="16" s="1"/>
  <c r="AM167" i="16"/>
  <c r="F180" i="16"/>
  <c r="F177" i="16"/>
  <c r="AF177" i="16" s="1"/>
  <c r="F162" i="16"/>
  <c r="AM171" i="16"/>
  <c r="F176" i="16"/>
  <c r="AF176" i="16" s="1"/>
  <c r="AM169" i="16"/>
  <c r="AM174" i="16"/>
  <c r="F170" i="16"/>
  <c r="AF170" i="16" s="1"/>
  <c r="F182" i="16"/>
  <c r="AF182" i="16" s="1"/>
  <c r="F167" i="16"/>
  <c r="AF167" i="16" s="1"/>
  <c r="F172" i="16"/>
  <c r="AF172" i="16" s="1"/>
  <c r="F174" i="16"/>
  <c r="AF174" i="16" s="1"/>
  <c r="AM164" i="16"/>
  <c r="F164" i="16"/>
  <c r="AF164" i="16" s="1"/>
  <c r="F181" i="16"/>
  <c r="AF181" i="16" s="1"/>
  <c r="AM182" i="16"/>
  <c r="AM179" i="16"/>
  <c r="F175" i="16"/>
  <c r="AF175" i="16" s="1"/>
  <c r="AM176" i="16"/>
  <c r="AM172" i="16"/>
  <c r="F166" i="16"/>
  <c r="AF166" i="16" s="1"/>
  <c r="AM177" i="16"/>
  <c r="AM175" i="16"/>
  <c r="AM162" i="16" l="1"/>
  <c r="AF162" i="16"/>
  <c r="L9" i="16" l="1"/>
  <c r="N18" i="16"/>
  <c r="R146" i="16"/>
  <c r="G145" i="16"/>
  <c r="Q150" i="16"/>
  <c r="C49" i="16"/>
  <c r="Q88" i="16"/>
  <c r="B224" i="16"/>
  <c r="F236" i="16"/>
  <c r="D46" i="16"/>
  <c r="Q144" i="16"/>
  <c r="B51" i="16"/>
  <c r="H54" i="16"/>
  <c r="H18" i="16"/>
  <c r="C59" i="16"/>
  <c r="C41" i="16"/>
  <c r="R80" i="16"/>
  <c r="R241" i="16"/>
  <c r="B237" i="16"/>
  <c r="V144" i="16"/>
  <c r="T72" i="16"/>
  <c r="H119" i="16"/>
  <c r="Y108" i="16"/>
  <c r="F23" i="16"/>
  <c r="U140" i="16"/>
  <c r="S227" i="16"/>
  <c r="H132" i="16"/>
  <c r="W142" i="16"/>
  <c r="E56" i="16"/>
  <c r="H59" i="16"/>
  <c r="W137" i="16"/>
  <c r="I108" i="16"/>
  <c r="W83" i="16"/>
  <c r="R108" i="16"/>
  <c r="R70" i="16"/>
  <c r="S105" i="16"/>
  <c r="R144" i="16"/>
  <c r="B23" i="16"/>
  <c r="S118" i="16"/>
  <c r="B110" i="16"/>
  <c r="F120" i="16"/>
  <c r="X135" i="16"/>
  <c r="D232" i="16"/>
  <c r="X152" i="16"/>
  <c r="E114" i="16"/>
  <c r="F106" i="16"/>
  <c r="I136" i="16"/>
  <c r="E58" i="16"/>
  <c r="B13" i="16"/>
  <c r="H26" i="16"/>
  <c r="I121" i="16"/>
  <c r="R84" i="16"/>
  <c r="Y111" i="16"/>
  <c r="H106" i="16"/>
  <c r="U139" i="16"/>
  <c r="I110" i="16"/>
  <c r="R118" i="16"/>
  <c r="N22" i="16"/>
  <c r="R85" i="16"/>
  <c r="G116" i="16"/>
  <c r="Q140" i="16"/>
  <c r="D27" i="16"/>
  <c r="E135" i="16"/>
  <c r="B53" i="16"/>
  <c r="V108" i="16"/>
  <c r="T84" i="16"/>
  <c r="S121" i="16"/>
  <c r="E120" i="16"/>
  <c r="U75" i="16"/>
  <c r="R89" i="16"/>
  <c r="B137" i="16"/>
  <c r="D235" i="16"/>
  <c r="Q70" i="16"/>
  <c r="E139" i="16"/>
  <c r="W88" i="16"/>
  <c r="C132" i="16"/>
  <c r="C47" i="16"/>
  <c r="U145" i="16"/>
  <c r="S230" i="16"/>
  <c r="W108" i="16"/>
  <c r="D22" i="16"/>
  <c r="E106" i="16"/>
  <c r="R88" i="16"/>
  <c r="D13" i="16"/>
  <c r="W150" i="16"/>
  <c r="C43" i="16"/>
  <c r="T70" i="16"/>
  <c r="V85" i="16"/>
  <c r="C105" i="16"/>
  <c r="S90" i="16"/>
  <c r="E43" i="16"/>
  <c r="V115" i="16"/>
  <c r="V137" i="16"/>
  <c r="Y118" i="16"/>
  <c r="B152" i="16"/>
  <c r="I101" i="16"/>
  <c r="V151" i="16"/>
  <c r="F119" i="16"/>
  <c r="R135" i="16"/>
  <c r="E103" i="16"/>
  <c r="F43" i="16"/>
  <c r="G132" i="16"/>
  <c r="R113" i="16"/>
  <c r="H44" i="16"/>
  <c r="L18" i="16"/>
  <c r="V70" i="16"/>
  <c r="W104" i="16"/>
  <c r="T146" i="16"/>
  <c r="X136" i="16"/>
  <c r="S228" i="16"/>
  <c r="L11" i="16"/>
  <c r="V118" i="16"/>
  <c r="X147" i="16"/>
  <c r="I152" i="16"/>
  <c r="G111" i="16"/>
  <c r="D229" i="16"/>
  <c r="B16" i="16"/>
  <c r="B134" i="16"/>
  <c r="E149" i="16"/>
  <c r="G53" i="16"/>
  <c r="E39" i="16"/>
  <c r="Q141" i="16"/>
  <c r="U88" i="16"/>
  <c r="U105" i="16"/>
  <c r="I113" i="16"/>
  <c r="V114" i="16"/>
  <c r="B54" i="16"/>
  <c r="C106" i="16"/>
  <c r="X105" i="16"/>
  <c r="E53" i="16"/>
  <c r="W135" i="16"/>
  <c r="S224" i="16"/>
  <c r="Q152" i="16"/>
  <c r="U120" i="16"/>
  <c r="D39" i="16"/>
  <c r="W141" i="16"/>
  <c r="G41" i="16"/>
  <c r="R73" i="16"/>
  <c r="J21" i="16"/>
  <c r="E47" i="16"/>
  <c r="U136" i="16"/>
  <c r="V110" i="16"/>
  <c r="X110" i="16"/>
  <c r="E116" i="16"/>
  <c r="G152" i="16"/>
  <c r="D21" i="16"/>
  <c r="R240" i="16"/>
  <c r="H109" i="16"/>
  <c r="B226" i="16"/>
  <c r="F17" i="16"/>
  <c r="V147" i="16"/>
  <c r="U106" i="16"/>
  <c r="B24" i="16"/>
  <c r="S103" i="16"/>
  <c r="D43" i="16"/>
  <c r="S226" i="16"/>
  <c r="F228" i="16"/>
  <c r="W101" i="16"/>
  <c r="S70" i="16"/>
  <c r="V73" i="16"/>
  <c r="F13" i="16"/>
  <c r="L19" i="16"/>
  <c r="F135" i="16"/>
  <c r="D42" i="16"/>
  <c r="F101" i="16"/>
  <c r="D44" i="16"/>
  <c r="Q80" i="16"/>
  <c r="T150" i="16"/>
  <c r="E51" i="16"/>
  <c r="S74" i="16"/>
  <c r="X145" i="16"/>
  <c r="F24" i="16"/>
  <c r="F11" i="16"/>
  <c r="F227" i="16"/>
  <c r="U137" i="16"/>
  <c r="V135" i="16"/>
  <c r="H121" i="16"/>
  <c r="H43" i="16"/>
  <c r="W75" i="16"/>
  <c r="H29" i="16"/>
  <c r="B57" i="16"/>
  <c r="B144" i="16"/>
  <c r="H152" i="16"/>
  <c r="C136" i="16"/>
  <c r="X121" i="16"/>
  <c r="J11" i="16"/>
  <c r="X106" i="16"/>
  <c r="B239" i="16"/>
  <c r="V141" i="16"/>
  <c r="G144" i="16"/>
  <c r="B43" i="16"/>
  <c r="T230" i="16"/>
  <c r="D54" i="16"/>
  <c r="B146" i="16"/>
  <c r="W136" i="16"/>
  <c r="C141" i="16"/>
  <c r="N26" i="16"/>
  <c r="S75" i="16"/>
  <c r="U109" i="16"/>
  <c r="F41" i="16"/>
  <c r="Q75" i="16"/>
  <c r="D26" i="16"/>
  <c r="Q72" i="16"/>
  <c r="T239" i="16"/>
  <c r="U113" i="16"/>
  <c r="B136" i="16"/>
  <c r="D241" i="16"/>
  <c r="I144" i="16"/>
  <c r="J13" i="16"/>
  <c r="F113" i="16"/>
  <c r="T147" i="16"/>
  <c r="D18" i="16"/>
  <c r="U119" i="16"/>
  <c r="E44" i="16"/>
  <c r="T136" i="16"/>
  <c r="R75" i="16"/>
  <c r="D23" i="16"/>
  <c r="G136" i="16"/>
  <c r="L26" i="16"/>
  <c r="S82" i="16"/>
  <c r="F114" i="16"/>
  <c r="C119" i="16"/>
  <c r="I147" i="16"/>
  <c r="X115" i="16"/>
  <c r="G47" i="16"/>
  <c r="F52" i="16"/>
  <c r="R109" i="16"/>
  <c r="S85" i="16"/>
  <c r="B241" i="16"/>
  <c r="X140" i="16"/>
  <c r="Y106" i="16"/>
  <c r="H52" i="16"/>
  <c r="F59" i="16"/>
  <c r="F240" i="16"/>
  <c r="S77" i="16"/>
  <c r="F139" i="16"/>
  <c r="R235" i="16"/>
  <c r="X113" i="16"/>
  <c r="D224" i="16"/>
  <c r="F109" i="16"/>
  <c r="R234" i="16"/>
  <c r="U74" i="16"/>
  <c r="B132" i="16"/>
  <c r="B47" i="16"/>
  <c r="B121" i="16"/>
  <c r="D236" i="16"/>
  <c r="E41" i="16"/>
  <c r="E42" i="16"/>
  <c r="C58" i="16"/>
  <c r="F239" i="16"/>
  <c r="B29" i="16"/>
  <c r="R232" i="16"/>
  <c r="G56" i="16"/>
  <c r="T82" i="16"/>
  <c r="D19" i="16"/>
  <c r="W90" i="16"/>
  <c r="B135" i="16"/>
  <c r="E118" i="16"/>
  <c r="H103" i="16"/>
  <c r="N29" i="16"/>
  <c r="J19" i="16"/>
  <c r="T74" i="16"/>
  <c r="H147" i="16"/>
  <c r="Y121" i="16"/>
  <c r="X134" i="16"/>
  <c r="B52" i="16"/>
  <c r="C39" i="16"/>
  <c r="E132" i="16"/>
  <c r="B149" i="16"/>
  <c r="C115" i="16"/>
  <c r="E134" i="16"/>
  <c r="G139" i="16"/>
  <c r="N9" i="16"/>
  <c r="H49" i="16"/>
  <c r="H141" i="16"/>
  <c r="W140" i="16"/>
  <c r="V119" i="16"/>
  <c r="T83" i="16"/>
  <c r="H58" i="16"/>
  <c r="N14" i="16"/>
  <c r="B42" i="16"/>
  <c r="E105" i="16"/>
  <c r="I149" i="16"/>
  <c r="W109" i="16"/>
  <c r="C145" i="16"/>
  <c r="B229" i="16"/>
  <c r="X141" i="16"/>
  <c r="Q89" i="16"/>
  <c r="T73" i="16"/>
  <c r="S233" i="16"/>
  <c r="S120" i="16"/>
  <c r="B116" i="16"/>
  <c r="B118" i="16"/>
  <c r="V78" i="16"/>
  <c r="G137" i="16"/>
  <c r="V87" i="16"/>
  <c r="T77" i="16"/>
  <c r="F226" i="16"/>
  <c r="S232" i="16"/>
  <c r="L23" i="16"/>
  <c r="U84" i="16"/>
  <c r="Q84" i="16"/>
  <c r="V136" i="16"/>
  <c r="N23" i="16"/>
  <c r="R110" i="16"/>
  <c r="T234" i="16"/>
  <c r="Y115" i="16"/>
  <c r="D11" i="16"/>
  <c r="E151" i="16"/>
  <c r="H101" i="16"/>
  <c r="F58" i="16"/>
  <c r="J18" i="16"/>
  <c r="Y119" i="16"/>
  <c r="V106" i="16"/>
  <c r="R149" i="16"/>
  <c r="V84" i="16"/>
  <c r="I106" i="16"/>
  <c r="B235" i="16"/>
  <c r="F238" i="16"/>
  <c r="T237" i="16"/>
  <c r="H146" i="16"/>
  <c r="F146" i="16"/>
  <c r="B141" i="16"/>
  <c r="W77" i="16"/>
  <c r="T229" i="16"/>
  <c r="R111" i="16"/>
  <c r="R150" i="16"/>
  <c r="B39" i="16"/>
  <c r="Q142" i="16"/>
  <c r="C52" i="16"/>
  <c r="V121" i="16"/>
  <c r="I109" i="16"/>
  <c r="G146" i="16"/>
  <c r="F48" i="16"/>
  <c r="F237" i="16"/>
  <c r="R87" i="16"/>
  <c r="F16" i="16"/>
  <c r="W111" i="16"/>
  <c r="U101" i="16"/>
  <c r="S84" i="16"/>
  <c r="Q78" i="16"/>
  <c r="W110" i="16"/>
  <c r="S101" i="16"/>
  <c r="R141" i="16"/>
  <c r="D17" i="16"/>
  <c r="G104" i="16"/>
  <c r="S88" i="16"/>
  <c r="T80" i="16"/>
  <c r="W82" i="16"/>
  <c r="F149" i="16"/>
  <c r="T241" i="16"/>
  <c r="S72" i="16"/>
  <c r="W85" i="16"/>
  <c r="S89" i="16"/>
  <c r="B238" i="16"/>
  <c r="N24" i="16"/>
  <c r="T139" i="16"/>
  <c r="F22" i="16"/>
  <c r="F142" i="16"/>
  <c r="D48" i="16"/>
  <c r="R120" i="16"/>
  <c r="I142" i="16"/>
  <c r="F145" i="16"/>
  <c r="E152" i="16"/>
  <c r="D16" i="16"/>
  <c r="G105" i="16"/>
  <c r="V145" i="16"/>
  <c r="D239" i="16"/>
  <c r="S79" i="16"/>
  <c r="U82" i="16"/>
  <c r="V79" i="16"/>
  <c r="R147" i="16"/>
  <c r="S104" i="16"/>
  <c r="S231" i="16"/>
  <c r="N16" i="16"/>
  <c r="B113" i="16"/>
  <c r="X108" i="16"/>
  <c r="R224" i="16"/>
  <c r="H144" i="16"/>
  <c r="I111" i="16"/>
  <c r="T132" i="16"/>
  <c r="F14" i="16"/>
  <c r="V139" i="16"/>
  <c r="T87" i="16"/>
  <c r="X119" i="16"/>
  <c r="R105" i="16"/>
  <c r="T134" i="16"/>
  <c r="B59" i="16"/>
  <c r="F47" i="16"/>
  <c r="R142" i="16"/>
  <c r="G149" i="16"/>
  <c r="R236" i="16"/>
  <c r="X104" i="16"/>
  <c r="H22" i="16"/>
  <c r="B58" i="16"/>
  <c r="Y101" i="16"/>
  <c r="J14" i="16"/>
  <c r="L12" i="16"/>
  <c r="Q135" i="16"/>
  <c r="L14" i="16"/>
  <c r="H135" i="16"/>
  <c r="L21" i="16"/>
  <c r="Y103" i="16"/>
  <c r="B49" i="16"/>
  <c r="N11" i="16"/>
  <c r="S78" i="16"/>
  <c r="Q151" i="16"/>
  <c r="I141" i="16"/>
  <c r="Q77" i="16"/>
  <c r="I140" i="16"/>
  <c r="S239" i="16"/>
  <c r="E141" i="16"/>
  <c r="L29" i="16"/>
  <c r="N17" i="16"/>
  <c r="E54" i="16"/>
  <c r="Q139" i="16"/>
  <c r="D227" i="16"/>
  <c r="C134" i="16"/>
  <c r="C152" i="16"/>
  <c r="C109" i="16"/>
  <c r="B21" i="16"/>
  <c r="U146" i="16"/>
  <c r="T228" i="16"/>
  <c r="W78" i="16"/>
  <c r="S238" i="16"/>
  <c r="U79" i="16"/>
  <c r="H28" i="16"/>
  <c r="E113" i="16"/>
  <c r="N12" i="16"/>
  <c r="G114" i="16"/>
  <c r="V89" i="16"/>
  <c r="C121" i="16"/>
  <c r="S73" i="16"/>
  <c r="R90" i="16"/>
  <c r="B104" i="16"/>
  <c r="C113" i="16"/>
  <c r="H47" i="16"/>
  <c r="H56" i="16"/>
  <c r="G134" i="16"/>
  <c r="B48" i="16"/>
  <c r="F49" i="16"/>
  <c r="Q132" i="16"/>
  <c r="N27" i="16"/>
  <c r="R116" i="16"/>
  <c r="B101" i="16"/>
  <c r="R238" i="16"/>
  <c r="D57" i="16"/>
  <c r="Y109" i="16"/>
  <c r="U144" i="16"/>
  <c r="G115" i="16"/>
  <c r="W74" i="16"/>
  <c r="T79" i="16"/>
  <c r="B147" i="16"/>
  <c r="D53" i="16"/>
  <c r="X151" i="16"/>
  <c r="F104" i="16"/>
  <c r="R226" i="16"/>
  <c r="Y104" i="16"/>
  <c r="I135" i="16"/>
  <c r="S87" i="16"/>
  <c r="C44" i="16"/>
  <c r="L27" i="16"/>
  <c r="W119" i="16"/>
  <c r="H9" i="16"/>
  <c r="T140" i="16"/>
  <c r="E142" i="16"/>
  <c r="D49" i="16"/>
  <c r="J9" i="16"/>
  <c r="E57" i="16"/>
  <c r="G58" i="16"/>
  <c r="V82" i="16"/>
  <c r="W121" i="16"/>
  <c r="C101" i="16"/>
  <c r="E146" i="16"/>
  <c r="V105" i="16"/>
  <c r="B26" i="16"/>
  <c r="T238" i="16"/>
  <c r="S240" i="16"/>
  <c r="E121" i="16"/>
  <c r="F137" i="16"/>
  <c r="X150" i="16"/>
  <c r="I114" i="16"/>
  <c r="H137" i="16"/>
  <c r="E110" i="16"/>
  <c r="B108" i="16"/>
  <c r="U135" i="16"/>
  <c r="R115" i="16"/>
  <c r="I105" i="16"/>
  <c r="F108" i="16"/>
  <c r="U83" i="16"/>
  <c r="H113" i="16"/>
  <c r="F12" i="16"/>
  <c r="U118" i="16"/>
  <c r="T88" i="16"/>
  <c r="V75" i="16"/>
  <c r="H140" i="16"/>
  <c r="F224" i="16"/>
  <c r="D47" i="16"/>
  <c r="H21" i="16"/>
  <c r="B236" i="16"/>
  <c r="D58" i="16"/>
  <c r="F234" i="16"/>
  <c r="T145" i="16"/>
  <c r="F9" i="16"/>
  <c r="H24" i="16"/>
  <c r="U132" i="16"/>
  <c r="V132" i="16"/>
  <c r="G147" i="16"/>
  <c r="C111" i="16"/>
  <c r="D234" i="16"/>
  <c r="G150" i="16"/>
  <c r="L13" i="16"/>
  <c r="D228" i="16"/>
  <c r="U80" i="16"/>
  <c r="G151" i="16"/>
  <c r="H142" i="16"/>
  <c r="C51" i="16"/>
  <c r="V88" i="16"/>
  <c r="C104" i="16"/>
  <c r="I103" i="16"/>
  <c r="I137" i="16"/>
  <c r="D231" i="16"/>
  <c r="X142" i="16"/>
  <c r="L22" i="16"/>
  <c r="R79" i="16"/>
  <c r="E101" i="16"/>
  <c r="H104" i="16"/>
  <c r="L24" i="16"/>
  <c r="T151" i="16"/>
  <c r="H116" i="16"/>
  <c r="S106" i="16"/>
  <c r="F118" i="16"/>
  <c r="C110" i="16"/>
  <c r="U121" i="16"/>
  <c r="E111" i="16"/>
  <c r="E150" i="16"/>
  <c r="R139" i="16"/>
  <c r="J22" i="16"/>
  <c r="X120" i="16"/>
  <c r="G141" i="16"/>
  <c r="R132" i="16"/>
  <c r="W151" i="16"/>
  <c r="H13" i="16"/>
  <c r="C53" i="16"/>
  <c r="H53" i="16"/>
  <c r="W149" i="16"/>
  <c r="W139" i="16"/>
  <c r="U147" i="16"/>
  <c r="B19" i="16"/>
  <c r="I132" i="16"/>
  <c r="E46" i="16"/>
  <c r="B56" i="16"/>
  <c r="R136" i="16"/>
  <c r="H48" i="16"/>
  <c r="T78" i="16"/>
  <c r="F144" i="16"/>
  <c r="E136" i="16"/>
  <c r="B145" i="16"/>
  <c r="H39" i="16"/>
  <c r="H150" i="16"/>
  <c r="G54" i="16"/>
  <c r="V109" i="16"/>
  <c r="R101" i="16"/>
  <c r="G42" i="16"/>
  <c r="U141" i="16"/>
  <c r="Q85" i="16"/>
  <c r="J17" i="16"/>
  <c r="X139" i="16"/>
  <c r="V111" i="16"/>
  <c r="F44" i="16"/>
  <c r="D238" i="16"/>
  <c r="V104" i="16"/>
  <c r="F39" i="16"/>
  <c r="Q74" i="16"/>
  <c r="R77" i="16"/>
  <c r="H136" i="16"/>
  <c r="W132" i="16"/>
  <c r="W116" i="16"/>
  <c r="F111" i="16"/>
  <c r="L16" i="16"/>
  <c r="W84" i="16"/>
  <c r="D28" i="16"/>
  <c r="H57" i="16"/>
  <c r="B240" i="16"/>
  <c r="W103" i="16"/>
  <c r="L28" i="16"/>
  <c r="G120" i="16"/>
  <c r="H42" i="16"/>
  <c r="C139" i="16"/>
  <c r="Q149" i="16"/>
  <c r="N19" i="16"/>
  <c r="B46" i="16"/>
  <c r="F233" i="16"/>
  <c r="S235" i="16"/>
  <c r="X101" i="16"/>
  <c r="E49" i="16"/>
  <c r="G121" i="16"/>
  <c r="B28" i="16"/>
  <c r="Y114" i="16"/>
  <c r="Q146" i="16"/>
  <c r="S116" i="16"/>
  <c r="T144" i="16"/>
  <c r="X149" i="16"/>
  <c r="J16" i="16"/>
  <c r="E108" i="16"/>
  <c r="X137" i="16"/>
  <c r="J28" i="16"/>
  <c r="H19" i="16"/>
  <c r="H145" i="16"/>
  <c r="F46" i="16"/>
  <c r="X146" i="16"/>
  <c r="V101" i="16"/>
  <c r="R227" i="16"/>
  <c r="T149" i="16"/>
  <c r="F121" i="16"/>
  <c r="Y116" i="16"/>
  <c r="G108" i="16"/>
  <c r="D41" i="16"/>
  <c r="Q82" i="16"/>
  <c r="E137" i="16"/>
  <c r="S241" i="16"/>
  <c r="N28" i="16"/>
  <c r="R134" i="16"/>
  <c r="S236" i="16"/>
  <c r="I146" i="16"/>
  <c r="W72" i="16"/>
  <c r="W106" i="16"/>
  <c r="C118" i="16"/>
  <c r="I120" i="16"/>
  <c r="W145" i="16"/>
  <c r="R230" i="16"/>
  <c r="F103" i="16"/>
  <c r="F232" i="16"/>
  <c r="R237" i="16"/>
  <c r="F53" i="16"/>
  <c r="F42" i="16"/>
  <c r="U152" i="16"/>
  <c r="U114" i="16"/>
  <c r="X144" i="16"/>
  <c r="I151" i="16"/>
  <c r="R78" i="16"/>
  <c r="F54" i="16"/>
  <c r="L17" i="16"/>
  <c r="S119" i="16"/>
  <c r="Q87" i="16"/>
  <c r="N21" i="16"/>
  <c r="Q134" i="16"/>
  <c r="S237" i="16"/>
  <c r="F132" i="16"/>
  <c r="W146" i="16"/>
  <c r="B114" i="16"/>
  <c r="B139" i="16"/>
  <c r="Q83" i="16"/>
  <c r="E48" i="16"/>
  <c r="H11" i="16"/>
  <c r="D12" i="16"/>
  <c r="R72" i="16"/>
  <c r="D9" i="16"/>
  <c r="B103" i="16"/>
  <c r="V72" i="16"/>
  <c r="R114" i="16"/>
  <c r="V142" i="16"/>
  <c r="V152" i="16"/>
  <c r="W120" i="16"/>
  <c r="T240" i="16"/>
  <c r="E109" i="16"/>
  <c r="U72" i="16"/>
  <c r="B11" i="16"/>
  <c r="W80" i="16"/>
  <c r="U151" i="16"/>
  <c r="C54" i="16"/>
  <c r="R145" i="16"/>
  <c r="H149" i="16"/>
  <c r="C140" i="16"/>
  <c r="Y113" i="16"/>
  <c r="S83" i="16"/>
  <c r="S115" i="16"/>
  <c r="E59" i="16"/>
  <c r="C103" i="16"/>
  <c r="H114" i="16"/>
  <c r="S109" i="16"/>
  <c r="C144" i="16"/>
  <c r="U85" i="16"/>
  <c r="S80" i="16"/>
  <c r="X111" i="16"/>
  <c r="U150" i="16"/>
  <c r="F28" i="16"/>
  <c r="T75" i="16"/>
  <c r="U90" i="16"/>
  <c r="I150" i="16"/>
  <c r="F134" i="16"/>
  <c r="C146" i="16"/>
  <c r="H17" i="16"/>
  <c r="D226" i="16"/>
  <c r="H108" i="16"/>
  <c r="B120" i="16"/>
  <c r="G110" i="16"/>
  <c r="E145" i="16"/>
  <c r="U108" i="16"/>
  <c r="V80" i="16"/>
  <c r="G52" i="16"/>
  <c r="J24" i="16"/>
  <c r="G119" i="16"/>
  <c r="I116" i="16"/>
  <c r="G51" i="16"/>
  <c r="B227" i="16"/>
  <c r="G113" i="16"/>
  <c r="B140" i="16"/>
  <c r="T137" i="16"/>
  <c r="B115" i="16"/>
  <c r="C149" i="16"/>
  <c r="H46" i="16"/>
  <c r="F136" i="16"/>
  <c r="E147" i="16"/>
  <c r="H115" i="16"/>
  <c r="F29" i="16"/>
  <c r="R103" i="16"/>
  <c r="F116" i="16"/>
  <c r="H12" i="16"/>
  <c r="G142" i="16"/>
  <c r="R140" i="16"/>
  <c r="Q90" i="16"/>
  <c r="X132" i="16"/>
  <c r="B230" i="16"/>
  <c r="B18" i="16"/>
  <c r="F241" i="16"/>
  <c r="F235" i="16"/>
  <c r="G46" i="16"/>
  <c r="Y105" i="16"/>
  <c r="U110" i="16"/>
  <c r="V77" i="16"/>
  <c r="T141" i="16"/>
  <c r="W115" i="16"/>
  <c r="U115" i="16"/>
  <c r="C114" i="16"/>
  <c r="R228" i="16"/>
  <c r="C46" i="16"/>
  <c r="F18" i="16"/>
  <c r="V150" i="16"/>
  <c r="C108" i="16"/>
  <c r="H41" i="16"/>
  <c r="U142" i="16"/>
  <c r="F140" i="16"/>
  <c r="I115" i="16"/>
  <c r="S229" i="16"/>
  <c r="B232" i="16"/>
  <c r="H27" i="16"/>
  <c r="H118" i="16"/>
  <c r="R82" i="16"/>
  <c r="R104" i="16"/>
  <c r="T89" i="16"/>
  <c r="G118" i="16"/>
  <c r="J27" i="16"/>
  <c r="G106" i="16"/>
  <c r="C150" i="16"/>
  <c r="H14" i="16"/>
  <c r="H134" i="16"/>
  <c r="U103" i="16"/>
  <c r="S110" i="16"/>
  <c r="R239" i="16"/>
  <c r="D14" i="16"/>
  <c r="B106" i="16"/>
  <c r="C137" i="16"/>
  <c r="W134" i="16"/>
  <c r="D233" i="16"/>
  <c r="D24" i="16"/>
  <c r="G135" i="16"/>
  <c r="D240" i="16"/>
  <c r="W118" i="16"/>
  <c r="F141" i="16"/>
  <c r="R74" i="16"/>
  <c r="X118" i="16"/>
  <c r="F57" i="16"/>
  <c r="Q147" i="16"/>
  <c r="F56" i="16"/>
  <c r="G140" i="16"/>
  <c r="B142" i="16"/>
  <c r="R106" i="16"/>
  <c r="W73" i="16"/>
  <c r="F105" i="16"/>
  <c r="R83" i="16"/>
  <c r="H120" i="16"/>
  <c r="X109" i="16"/>
  <c r="V120" i="16"/>
  <c r="W89" i="16"/>
  <c r="B17" i="16"/>
  <c r="W144" i="16"/>
  <c r="S108" i="16"/>
  <c r="I119" i="16"/>
  <c r="B119" i="16"/>
  <c r="C120" i="16"/>
  <c r="F152" i="16"/>
  <c r="R152" i="16"/>
  <c r="J23" i="16"/>
  <c r="C57" i="16"/>
  <c r="C151" i="16"/>
  <c r="S111" i="16"/>
  <c r="T232" i="16"/>
  <c r="B231" i="16"/>
  <c r="H139" i="16"/>
  <c r="W147" i="16"/>
  <c r="C147" i="16"/>
  <c r="N13" i="16"/>
  <c r="H23" i="16"/>
  <c r="B14" i="16"/>
  <c r="D59" i="16"/>
  <c r="V149" i="16"/>
  <c r="R231" i="16"/>
  <c r="X114" i="16"/>
  <c r="S113" i="16"/>
  <c r="Q145" i="16"/>
  <c r="C116" i="16"/>
  <c r="G103" i="16"/>
  <c r="T235" i="16"/>
  <c r="F229" i="16"/>
  <c r="H51" i="16"/>
  <c r="T226" i="16"/>
  <c r="V140" i="16"/>
  <c r="I104" i="16"/>
  <c r="B27" i="16"/>
  <c r="B109" i="16"/>
  <c r="C56" i="16"/>
  <c r="I134" i="16"/>
  <c r="W113" i="16"/>
  <c r="D52" i="16"/>
  <c r="U89" i="16"/>
  <c r="G49" i="16"/>
  <c r="R151" i="16"/>
  <c r="G39" i="16"/>
  <c r="F151" i="16"/>
  <c r="Q73" i="16"/>
  <c r="T135" i="16"/>
  <c r="E115" i="16"/>
  <c r="C48" i="16"/>
  <c r="I139" i="16"/>
  <c r="T236" i="16"/>
  <c r="J29" i="16"/>
  <c r="T224" i="16"/>
  <c r="B234" i="16"/>
  <c r="Y110" i="16"/>
  <c r="B151" i="16"/>
  <c r="V83" i="16"/>
  <c r="B228" i="16"/>
  <c r="E140" i="16"/>
  <c r="J26" i="16"/>
  <c r="F110" i="16"/>
  <c r="G57" i="16"/>
  <c r="I145" i="16"/>
  <c r="U116" i="16"/>
  <c r="C142" i="16"/>
  <c r="H105" i="16"/>
  <c r="U70" i="16"/>
  <c r="G44" i="16"/>
  <c r="V74" i="16"/>
  <c r="T233" i="16"/>
  <c r="F27" i="16"/>
  <c r="S234" i="16"/>
  <c r="C42" i="16"/>
  <c r="H151" i="16"/>
  <c r="G48" i="16"/>
  <c r="C135" i="16"/>
  <c r="T90" i="16"/>
  <c r="W152" i="16"/>
  <c r="J12" i="16"/>
  <c r="T142" i="16"/>
  <c r="R229" i="16"/>
  <c r="X103" i="16"/>
  <c r="D51" i="16"/>
  <c r="V116" i="16"/>
  <c r="D29" i="16"/>
  <c r="G101" i="16"/>
  <c r="H111" i="16"/>
  <c r="F19" i="16"/>
  <c r="W114" i="16"/>
  <c r="Q137" i="16"/>
  <c r="R121" i="16"/>
  <c r="S114" i="16"/>
  <c r="F51" i="16"/>
  <c r="B22" i="16"/>
  <c r="F231" i="16"/>
  <c r="B233" i="16"/>
  <c r="E144" i="16"/>
  <c r="G109" i="16"/>
  <c r="B105" i="16"/>
  <c r="T152" i="16"/>
  <c r="W105" i="16"/>
  <c r="U149" i="16"/>
  <c r="F150" i="16"/>
  <c r="H16" i="16"/>
  <c r="T231" i="16"/>
  <c r="F115" i="16"/>
  <c r="G43" i="16"/>
  <c r="F230" i="16"/>
  <c r="Y120" i="16"/>
  <c r="B44" i="16"/>
  <c r="F21" i="16"/>
  <c r="R137" i="16"/>
  <c r="B12" i="16"/>
  <c r="V146" i="16"/>
  <c r="F26" i="16"/>
  <c r="W79" i="16"/>
  <c r="W70" i="16"/>
  <c r="R119" i="16"/>
  <c r="Q79" i="16"/>
  <c r="V134" i="16"/>
  <c r="V90" i="16"/>
  <c r="U111" i="16"/>
  <c r="E119" i="16"/>
  <c r="I118" i="16"/>
  <c r="U104" i="16"/>
  <c r="V113" i="16"/>
  <c r="E52" i="16"/>
  <c r="G59" i="16"/>
  <c r="U78" i="16"/>
  <c r="F147" i="16"/>
  <c r="T227" i="16"/>
  <c r="B41" i="16"/>
  <c r="W87" i="16"/>
  <c r="U73" i="16"/>
  <c r="R233" i="16"/>
  <c r="D56" i="16"/>
  <c r="X116" i="16"/>
  <c r="B150" i="16"/>
  <c r="D230" i="16"/>
  <c r="D237" i="16"/>
  <c r="V103" i="16"/>
  <c r="U77" i="16"/>
  <c r="E104" i="16"/>
  <c r="U87" i="16"/>
  <c r="Q136" i="16"/>
  <c r="B111" i="16"/>
  <c r="T85" i="16"/>
  <c r="H110" i="16"/>
  <c r="U134" i="16"/>
  <c r="D202" i="16" l="1"/>
  <c r="AE202" i="16" s="1"/>
  <c r="B172" i="16"/>
  <c r="AD172" i="16" s="1"/>
  <c r="H165" i="16"/>
  <c r="AG165" i="16" s="1"/>
  <c r="AP164" i="16"/>
  <c r="AA237" i="16"/>
  <c r="W237" i="16"/>
  <c r="W230" i="16"/>
  <c r="AA230" i="16"/>
  <c r="AK208" i="16"/>
  <c r="U233" i="16"/>
  <c r="AB227" i="16"/>
  <c r="AP174" i="16"/>
  <c r="AN165" i="16"/>
  <c r="F210" i="16"/>
  <c r="AF210" i="16" s="1"/>
  <c r="H180" i="16"/>
  <c r="AN172" i="16"/>
  <c r="D87" i="16"/>
  <c r="B73" i="16"/>
  <c r="D82" i="16"/>
  <c r="AL212" i="16"/>
  <c r="H230" i="16"/>
  <c r="X230" i="16"/>
  <c r="J176" i="16"/>
  <c r="AI176" i="16" s="1"/>
  <c r="AB231" i="16"/>
  <c r="E77" i="16"/>
  <c r="AJ197" i="16"/>
  <c r="B166" i="16"/>
  <c r="AD166" i="16" s="1"/>
  <c r="B201" i="16"/>
  <c r="AD201" i="16" s="1"/>
  <c r="Z233" i="16"/>
  <c r="V233" i="16"/>
  <c r="X231" i="16"/>
  <c r="H231" i="16"/>
  <c r="B83" i="16"/>
  <c r="AL175" i="16"/>
  <c r="AK182" i="16"/>
  <c r="AJ206" i="16"/>
  <c r="D80" i="16"/>
  <c r="D203" i="16"/>
  <c r="AE203" i="16" s="1"/>
  <c r="B193" i="16"/>
  <c r="C90" i="16"/>
  <c r="AP177" i="16"/>
  <c r="AK195" i="16"/>
  <c r="U229" i="16"/>
  <c r="F73" i="16"/>
  <c r="D88" i="16"/>
  <c r="AB233" i="16"/>
  <c r="D197" i="16"/>
  <c r="AE197" i="16" s="1"/>
  <c r="AN177" i="16"/>
  <c r="J171" i="16"/>
  <c r="AI171" i="16" s="1"/>
  <c r="F87" i="16"/>
  <c r="V228" i="16"/>
  <c r="Z228" i="16"/>
  <c r="AL202" i="16"/>
  <c r="V234" i="16"/>
  <c r="Z234" i="16"/>
  <c r="AB224" i="16"/>
  <c r="F90" i="16"/>
  <c r="AB236" i="16"/>
  <c r="H176" i="16"/>
  <c r="AG176" i="16" s="1"/>
  <c r="AJ205" i="16"/>
  <c r="B170" i="16"/>
  <c r="AD170" i="16" s="1"/>
  <c r="B88" i="16"/>
  <c r="F196" i="16"/>
  <c r="AF196" i="16" s="1"/>
  <c r="AB226" i="16"/>
  <c r="X229" i="16"/>
  <c r="H229" i="16"/>
  <c r="AB235" i="16"/>
  <c r="B195" i="16"/>
  <c r="AD195" i="16" s="1"/>
  <c r="D177" i="16"/>
  <c r="AE177" i="16" s="1"/>
  <c r="AL174" i="16"/>
  <c r="AK206" i="16"/>
  <c r="U231" i="16"/>
  <c r="B75" i="16"/>
  <c r="E84" i="16"/>
  <c r="H74" i="16"/>
  <c r="Z231" i="16"/>
  <c r="V231" i="16"/>
  <c r="AB232" i="16"/>
  <c r="AL172" i="16"/>
  <c r="F84" i="16"/>
  <c r="D181" i="16"/>
  <c r="AE181" i="16" s="1"/>
  <c r="B180" i="16"/>
  <c r="F211" i="16"/>
  <c r="AF211" i="16" s="1"/>
  <c r="AL169" i="16"/>
  <c r="B78" i="16"/>
  <c r="AP181" i="16"/>
  <c r="AK201" i="16"/>
  <c r="D212" i="16"/>
  <c r="AE212" i="16" s="1"/>
  <c r="J166" i="16"/>
  <c r="AI166" i="16" s="1"/>
  <c r="AK167" i="16"/>
  <c r="AK210" i="16"/>
  <c r="AJ210" i="16"/>
  <c r="AA240" i="16"/>
  <c r="W240" i="16"/>
  <c r="C85" i="16"/>
  <c r="W233" i="16"/>
  <c r="AA233" i="16"/>
  <c r="B167" i="16"/>
  <c r="AD167" i="16" s="1"/>
  <c r="C75" i="16"/>
  <c r="U239" i="16"/>
  <c r="AL171" i="16"/>
  <c r="AN164" i="16"/>
  <c r="E75" i="16"/>
  <c r="B198" i="16"/>
  <c r="AD198" i="16" s="1"/>
  <c r="F88" i="16"/>
  <c r="B210" i="16"/>
  <c r="AD210" i="16" s="1"/>
  <c r="AK165" i="16"/>
  <c r="D210" i="16"/>
  <c r="AE210" i="16" s="1"/>
  <c r="E88" i="16"/>
  <c r="V232" i="16"/>
  <c r="Z232" i="16"/>
  <c r="F207" i="16"/>
  <c r="AF207" i="16" s="1"/>
  <c r="D169" i="16"/>
  <c r="AE169" i="16" s="1"/>
  <c r="D79" i="16"/>
  <c r="U228" i="16"/>
  <c r="D175" i="16"/>
  <c r="AE175" i="16" s="1"/>
  <c r="AN176" i="16"/>
  <c r="AJ207" i="16"/>
  <c r="AN171" i="16"/>
  <c r="AL197" i="16"/>
  <c r="X235" i="16"/>
  <c r="H235" i="16"/>
  <c r="X241" i="16"/>
  <c r="H241" i="16"/>
  <c r="B79" i="16"/>
  <c r="V230" i="16"/>
  <c r="Z230" i="16"/>
  <c r="E73" i="16"/>
  <c r="J177" i="16"/>
  <c r="AI177" i="16" s="1"/>
  <c r="AK164" i="16"/>
  <c r="D90" i="16"/>
  <c r="D207" i="16"/>
  <c r="AE207" i="16" s="1"/>
  <c r="B176" i="16"/>
  <c r="AD176" i="16" s="1"/>
  <c r="B205" i="16"/>
  <c r="AD205" i="16" s="1"/>
  <c r="V227" i="16"/>
  <c r="Z227" i="16"/>
  <c r="F208" i="16"/>
  <c r="AF208" i="16" s="1"/>
  <c r="B211" i="16"/>
  <c r="AD211" i="16" s="1"/>
  <c r="F85" i="16"/>
  <c r="AN169" i="16"/>
  <c r="B202" i="16"/>
  <c r="AD202" i="16" s="1"/>
  <c r="B181" i="16"/>
  <c r="D200" i="16"/>
  <c r="AE200" i="16" s="1"/>
  <c r="W226" i="16"/>
  <c r="AA226" i="16"/>
  <c r="E78" i="16"/>
  <c r="D89" i="16"/>
  <c r="AK203" i="16"/>
  <c r="AL170" i="16"/>
  <c r="D206" i="16"/>
  <c r="AE206" i="16" s="1"/>
  <c r="D164" i="16"/>
  <c r="AE164" i="16" s="1"/>
  <c r="AL176" i="16"/>
  <c r="AL205" i="16"/>
  <c r="B72" i="16"/>
  <c r="H170" i="16"/>
  <c r="AG170" i="16" s="1"/>
  <c r="AB240" i="16"/>
  <c r="AJ212" i="16"/>
  <c r="AK175" i="16"/>
  <c r="B164" i="16"/>
  <c r="AD164" i="16" s="1"/>
  <c r="C70" i="16"/>
  <c r="C73" i="16"/>
  <c r="E72" i="16"/>
  <c r="B175" i="16"/>
  <c r="AD175" i="16" s="1"/>
  <c r="H82" i="16"/>
  <c r="G78" i="16"/>
  <c r="AN175" i="16"/>
  <c r="U237" i="16"/>
  <c r="H232" i="16"/>
  <c r="X232" i="16"/>
  <c r="J164" i="16"/>
  <c r="AI164" i="16" s="1"/>
  <c r="U230" i="16"/>
  <c r="F212" i="16"/>
  <c r="AF212" i="16" s="1"/>
  <c r="D179" i="16"/>
  <c r="AE179" i="16" s="1"/>
  <c r="AJ198" i="16"/>
  <c r="H89" i="16"/>
  <c r="B200" i="16"/>
  <c r="AD200" i="16" s="1"/>
  <c r="AL208" i="16"/>
  <c r="J182" i="16"/>
  <c r="AI182" i="16" s="1"/>
  <c r="U227" i="16"/>
  <c r="E80" i="16"/>
  <c r="F89" i="16"/>
  <c r="H169" i="16"/>
  <c r="AG169" i="16" s="1"/>
  <c r="F77" i="16"/>
  <c r="AL177" i="16"/>
  <c r="AL206" i="16"/>
  <c r="B89" i="16"/>
  <c r="B213" i="16"/>
  <c r="AD213" i="16" s="1"/>
  <c r="X233" i="16"/>
  <c r="H233" i="16"/>
  <c r="H80" i="16"/>
  <c r="B212" i="16"/>
  <c r="AD212" i="16" s="1"/>
  <c r="G89" i="16"/>
  <c r="AJ195" i="16"/>
  <c r="V240" i="16"/>
  <c r="Z240" i="16"/>
  <c r="C89" i="16"/>
  <c r="G77" i="16"/>
  <c r="J172" i="16"/>
  <c r="AI172" i="16" s="1"/>
  <c r="AJ208" i="16"/>
  <c r="AP165" i="16"/>
  <c r="W238" i="16"/>
  <c r="AA238" i="16"/>
  <c r="AP172" i="16"/>
  <c r="F78" i="16"/>
  <c r="AP170" i="16"/>
  <c r="B80" i="16"/>
  <c r="E74" i="16"/>
  <c r="AK212" i="16"/>
  <c r="F83" i="16"/>
  <c r="H172" i="16"/>
  <c r="AG172" i="16" s="1"/>
  <c r="AN182" i="16"/>
  <c r="D171" i="16"/>
  <c r="AE171" i="16" s="1"/>
  <c r="J179" i="16"/>
  <c r="AI179" i="16" s="1"/>
  <c r="AL167" i="16"/>
  <c r="D208" i="16"/>
  <c r="AE208" i="16" s="1"/>
  <c r="G85" i="16"/>
  <c r="D196" i="16"/>
  <c r="AE196" i="16" s="1"/>
  <c r="H162" i="16"/>
  <c r="G83" i="16"/>
  <c r="AA231" i="16"/>
  <c r="W231" i="16"/>
  <c r="F195" i="16"/>
  <c r="AF195" i="16" s="1"/>
  <c r="D165" i="16"/>
  <c r="AE165" i="16" s="1"/>
  <c r="W228" i="16"/>
  <c r="AA228" i="16"/>
  <c r="G74" i="16"/>
  <c r="W234" i="16"/>
  <c r="AA234" i="16"/>
  <c r="D172" i="16"/>
  <c r="AE172" i="16" s="1"/>
  <c r="E85" i="16"/>
  <c r="D70" i="16"/>
  <c r="X234" i="16"/>
  <c r="H234" i="16"/>
  <c r="Z236" i="16"/>
  <c r="V236" i="16"/>
  <c r="E82" i="16"/>
  <c r="H224" i="16"/>
  <c r="X224" i="16"/>
  <c r="AN179" i="16"/>
  <c r="D73" i="16"/>
  <c r="D205" i="16"/>
  <c r="AE205" i="16" s="1"/>
  <c r="J169" i="16"/>
  <c r="AI169" i="16" s="1"/>
  <c r="F197" i="16"/>
  <c r="AF197" i="16" s="1"/>
  <c r="AK176" i="16"/>
  <c r="B169" i="16"/>
  <c r="AD169" i="16" s="1"/>
  <c r="H171" i="16"/>
  <c r="AG171" i="16" s="1"/>
  <c r="F206" i="16"/>
  <c r="AF206" i="16" s="1"/>
  <c r="H182" i="16"/>
  <c r="AG182" i="16" s="1"/>
  <c r="AB238" i="16"/>
  <c r="B87" i="16"/>
  <c r="AP166" i="16"/>
  <c r="D162" i="16"/>
  <c r="AJ213" i="16"/>
  <c r="F70" i="16"/>
  <c r="E70" i="16"/>
  <c r="AJ211" i="16"/>
  <c r="G88" i="16"/>
  <c r="AL196" i="16"/>
  <c r="U226" i="16"/>
  <c r="J165" i="16"/>
  <c r="AI165" i="16" s="1"/>
  <c r="B207" i="16"/>
  <c r="AD207" i="16" s="1"/>
  <c r="AL201" i="16"/>
  <c r="U238" i="16"/>
  <c r="B162" i="16"/>
  <c r="AK177" i="16"/>
  <c r="H88" i="16"/>
  <c r="D174" i="16"/>
  <c r="AE174" i="16" s="1"/>
  <c r="B165" i="16"/>
  <c r="AD165" i="16" s="1"/>
  <c r="D182" i="16"/>
  <c r="AE182" i="16" s="1"/>
  <c r="B206" i="16"/>
  <c r="AD206" i="16" s="1"/>
  <c r="H73" i="16"/>
  <c r="H174" i="16"/>
  <c r="AG174" i="16" s="1"/>
  <c r="E89" i="16"/>
  <c r="AB228" i="16"/>
  <c r="B82" i="16"/>
  <c r="D170" i="16"/>
  <c r="AE170" i="16" s="1"/>
  <c r="AA227" i="16"/>
  <c r="W227" i="16"/>
  <c r="H78" i="16"/>
  <c r="G90" i="16"/>
  <c r="H72" i="16"/>
  <c r="AL195" i="16"/>
  <c r="G82" i="16"/>
  <c r="G75" i="16"/>
  <c r="G73" i="16"/>
  <c r="F75" i="16"/>
  <c r="E83" i="16"/>
  <c r="AK196" i="16"/>
  <c r="U236" i="16"/>
  <c r="AK166" i="16"/>
  <c r="AK211" i="16"/>
  <c r="D75" i="16"/>
  <c r="F203" i="16"/>
  <c r="AF203" i="16" s="1"/>
  <c r="U224" i="16"/>
  <c r="AK200" i="16"/>
  <c r="B174" i="16"/>
  <c r="AD174" i="16" s="1"/>
  <c r="H77" i="16"/>
  <c r="AL165" i="16"/>
  <c r="AA239" i="16"/>
  <c r="W239" i="16"/>
  <c r="B197" i="16"/>
  <c r="AD197" i="16" s="1"/>
  <c r="C77" i="16"/>
  <c r="D83" i="16"/>
  <c r="H85" i="16"/>
  <c r="Z238" i="16"/>
  <c r="V238" i="16"/>
  <c r="AB241" i="16"/>
  <c r="B196" i="16"/>
  <c r="AD196" i="16" s="1"/>
  <c r="C78" i="16"/>
  <c r="AJ202" i="16"/>
  <c r="AJ203" i="16"/>
  <c r="D77" i="16"/>
  <c r="X237" i="16"/>
  <c r="H237" i="16"/>
  <c r="F201" i="16"/>
  <c r="AF201" i="16" s="1"/>
  <c r="AP182" i="16"/>
  <c r="B70" i="16"/>
  <c r="AK172" i="16"/>
  <c r="AB229" i="16"/>
  <c r="AB237" i="16"/>
  <c r="X238" i="16"/>
  <c r="H238" i="16"/>
  <c r="Z235" i="16"/>
  <c r="V235" i="16"/>
  <c r="F198" i="16"/>
  <c r="AF198" i="16" s="1"/>
  <c r="AP167" i="16"/>
  <c r="AL211" i="16"/>
  <c r="F79" i="16"/>
  <c r="D193" i="16"/>
  <c r="C72" i="16"/>
  <c r="AL207" i="16"/>
  <c r="AB234" i="16"/>
  <c r="AK171" i="16"/>
  <c r="H84" i="16"/>
  <c r="G84" i="16"/>
  <c r="X226" i="16"/>
  <c r="H226" i="16"/>
  <c r="B179" i="16"/>
  <c r="AD179" i="16" s="1"/>
  <c r="B177" i="16"/>
  <c r="AD177" i="16" s="1"/>
  <c r="V229" i="16"/>
  <c r="Z229" i="16"/>
  <c r="AJ201" i="16"/>
  <c r="H166" i="16"/>
  <c r="AG166" i="16" s="1"/>
  <c r="H75" i="16"/>
  <c r="AP180" i="16"/>
  <c r="H70" i="16"/>
  <c r="D176" i="16"/>
  <c r="AE176" i="16" s="1"/>
  <c r="AL213" i="16"/>
  <c r="F80" i="16"/>
  <c r="H90" i="16"/>
  <c r="D195" i="16"/>
  <c r="AE195" i="16" s="1"/>
  <c r="H179" i="16"/>
  <c r="AG179" i="16" s="1"/>
  <c r="C80" i="16"/>
  <c r="U232" i="16"/>
  <c r="B90" i="16"/>
  <c r="X239" i="16"/>
  <c r="H239" i="16"/>
  <c r="W236" i="16"/>
  <c r="AA236" i="16"/>
  <c r="B182" i="16"/>
  <c r="AD182" i="16" s="1"/>
  <c r="U234" i="16"/>
  <c r="J170" i="16"/>
  <c r="AI170" i="16" s="1"/>
  <c r="AA224" i="16"/>
  <c r="W224" i="16"/>
  <c r="AK205" i="16"/>
  <c r="U235" i="16"/>
  <c r="X240" i="16"/>
  <c r="H240" i="16"/>
  <c r="AL198" i="16"/>
  <c r="V241" i="16"/>
  <c r="Z241" i="16"/>
  <c r="AK170" i="16"/>
  <c r="AK207" i="16"/>
  <c r="D180" i="16"/>
  <c r="J175" i="16"/>
  <c r="AI175" i="16" s="1"/>
  <c r="G87" i="16"/>
  <c r="C84" i="16"/>
  <c r="C79" i="16"/>
  <c r="J174" i="16"/>
  <c r="AI174" i="16" s="1"/>
  <c r="F74" i="16"/>
  <c r="W241" i="16"/>
  <c r="AA241" i="16"/>
  <c r="AN174" i="16"/>
  <c r="AB239" i="16"/>
  <c r="C87" i="16"/>
  <c r="AN170" i="16"/>
  <c r="H87" i="16"/>
  <c r="AB230" i="16"/>
  <c r="V239" i="16"/>
  <c r="Z239" i="16"/>
  <c r="AK198" i="16"/>
  <c r="F72" i="16"/>
  <c r="AK213" i="16"/>
  <c r="E90" i="16"/>
  <c r="D213" i="16"/>
  <c r="AE213" i="16" s="1"/>
  <c r="H227" i="16"/>
  <c r="X227" i="16"/>
  <c r="D72" i="16"/>
  <c r="D85" i="16"/>
  <c r="J162" i="16"/>
  <c r="G80" i="16"/>
  <c r="D74" i="16"/>
  <c r="H228" i="16"/>
  <c r="X228" i="16"/>
  <c r="AL164" i="16"/>
  <c r="B85" i="16"/>
  <c r="AN167" i="16"/>
  <c r="D78" i="16"/>
  <c r="V226" i="16"/>
  <c r="Z226" i="16"/>
  <c r="D201" i="16"/>
  <c r="AE201" i="16" s="1"/>
  <c r="U240" i="16"/>
  <c r="C82" i="16"/>
  <c r="H177" i="16"/>
  <c r="AG177" i="16" s="1"/>
  <c r="AK202" i="16"/>
  <c r="AP171" i="16"/>
  <c r="F82" i="16"/>
  <c r="AK197" i="16"/>
  <c r="D167" i="16"/>
  <c r="AE167" i="16" s="1"/>
  <c r="AP175" i="16"/>
  <c r="F205" i="16"/>
  <c r="AF205" i="16" s="1"/>
  <c r="AN166" i="16"/>
  <c r="B77" i="16"/>
  <c r="W229" i="16"/>
  <c r="AA229" i="16"/>
  <c r="B203" i="16"/>
  <c r="AD203" i="16" s="1"/>
  <c r="AP179" i="16"/>
  <c r="G72" i="16"/>
  <c r="AJ196" i="16"/>
  <c r="G79" i="16"/>
  <c r="AK174" i="16"/>
  <c r="H164" i="16"/>
  <c r="AG164" i="16" s="1"/>
  <c r="AG162" i="16" s="1"/>
  <c r="J180" i="16"/>
  <c r="AI180" i="16" s="1"/>
  <c r="F193" i="16"/>
  <c r="AL210" i="16"/>
  <c r="AP176" i="16"/>
  <c r="D166" i="16"/>
  <c r="AE166" i="16" s="1"/>
  <c r="C74" i="16"/>
  <c r="H167" i="16"/>
  <c r="AG167" i="16" s="1"/>
  <c r="C83" i="16"/>
  <c r="AJ200" i="16"/>
  <c r="AA235" i="16"/>
  <c r="W235" i="16"/>
  <c r="H181" i="16"/>
  <c r="AL182" i="16"/>
  <c r="AP169" i="16"/>
  <c r="C88" i="16"/>
  <c r="B208" i="16"/>
  <c r="AD208" i="16" s="1"/>
  <c r="H83" i="16"/>
  <c r="AK179" i="16"/>
  <c r="F202" i="16"/>
  <c r="AF202" i="16" s="1"/>
  <c r="D198" i="16"/>
  <c r="AE198" i="16" s="1"/>
  <c r="AL203" i="16"/>
  <c r="F213" i="16"/>
  <c r="AF213" i="16" s="1"/>
  <c r="E87" i="16"/>
  <c r="B74" i="16"/>
  <c r="J167" i="16"/>
  <c r="AI167" i="16" s="1"/>
  <c r="H175" i="16"/>
  <c r="AG175" i="16" s="1"/>
  <c r="W232" i="16"/>
  <c r="AA232" i="16"/>
  <c r="J181" i="16"/>
  <c r="AI181" i="16" s="1"/>
  <c r="B171" i="16"/>
  <c r="AD171" i="16" s="1"/>
  <c r="AL179" i="16"/>
  <c r="B84" i="16"/>
  <c r="AL166" i="16"/>
  <c r="AK169" i="16"/>
  <c r="F200" i="16"/>
  <c r="AF200" i="16" s="1"/>
  <c r="D84" i="16"/>
  <c r="AL200" i="16"/>
  <c r="D211" i="16"/>
  <c r="AE211" i="16" s="1"/>
  <c r="Z237" i="16"/>
  <c r="V237" i="16"/>
  <c r="U241" i="16"/>
  <c r="E79" i="16"/>
  <c r="H236" i="16"/>
  <c r="X236" i="16"/>
  <c r="Z224" i="16"/>
  <c r="V224" i="16"/>
  <c r="H79" i="16"/>
  <c r="G70" i="16"/>
  <c r="Y232" i="16" l="1"/>
  <c r="AC232" i="16"/>
  <c r="AE193" i="16"/>
  <c r="AD162" i="16"/>
  <c r="AE162" i="16"/>
  <c r="AF193" i="16"/>
  <c r="AN162" i="16"/>
  <c r="AL162" i="16"/>
  <c r="Y239" i="16"/>
  <c r="AC239" i="16"/>
  <c r="Y224" i="16"/>
  <c r="AC224" i="16"/>
  <c r="Y233" i="16"/>
  <c r="AC233" i="16"/>
  <c r="Y230" i="16"/>
  <c r="AC230" i="16"/>
  <c r="Y227" i="16"/>
  <c r="AC227" i="16"/>
  <c r="AC241" i="16"/>
  <c r="Y241" i="16"/>
  <c r="AD193" i="16"/>
  <c r="AP162" i="16"/>
  <c r="Y236" i="16"/>
  <c r="AC236" i="16"/>
  <c r="AC228" i="16"/>
  <c r="Y228" i="16"/>
  <c r="AC240" i="16"/>
  <c r="Y240" i="16"/>
  <c r="AC238" i="16"/>
  <c r="Y238" i="16"/>
  <c r="AC237" i="16"/>
  <c r="Y237" i="16"/>
  <c r="AL193" i="16"/>
  <c r="AI162" i="16"/>
  <c r="AK162" i="16"/>
  <c r="Y235" i="16"/>
  <c r="AC235" i="16"/>
  <c r="Y229" i="16"/>
  <c r="AC229" i="16"/>
  <c r="AK193" i="16"/>
  <c r="AC231" i="16"/>
  <c r="Y231" i="16"/>
  <c r="Y226" i="16"/>
  <c r="AC226" i="16"/>
  <c r="AC234" i="16"/>
  <c r="Y234" i="16"/>
  <c r="AJ19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10" authorId="0" shapeId="0" xr:uid="{00000000-0006-0000-0000-000001000000}">
      <text>
        <r>
          <rPr>
            <b/>
            <sz val="10"/>
            <color indexed="81"/>
            <rFont val="Tahoma"/>
            <family val="2"/>
          </rPr>
          <t>jmarks:</t>
        </r>
        <r>
          <rPr>
            <sz val="10"/>
            <color indexed="81"/>
            <rFont val="Tahoma"/>
            <family val="2"/>
          </rPr>
          <t xml:space="preserve">
Formula for regional figure to use when all states report.</t>
        </r>
      </text>
    </comment>
    <comment ref="A163" authorId="0" shapeId="0" xr:uid="{00000000-0006-0000-0000-000008000000}">
      <text>
        <r>
          <rPr>
            <b/>
            <sz val="10"/>
            <color indexed="81"/>
            <rFont val="Tahoma"/>
            <family val="2"/>
          </rPr>
          <t>jmarks:</t>
        </r>
        <r>
          <rPr>
            <sz val="10"/>
            <color indexed="81"/>
            <rFont val="Tahoma"/>
            <family val="2"/>
          </rPr>
          <t xml:space="preserve">
Formulas for regional figures to use when all states report.</t>
        </r>
      </text>
    </comment>
    <comment ref="AE180" authorId="0" shapeId="0" xr:uid="{00000000-0006-0000-0000-000009000000}">
      <text>
        <r>
          <rPr>
            <b/>
            <sz val="8"/>
            <color indexed="81"/>
            <rFont val="Tahoma"/>
            <family val="2"/>
          </rPr>
          <t>jmarks:</t>
        </r>
        <r>
          <rPr>
            <sz val="8"/>
            <color indexed="81"/>
            <rFont val="Tahoma"/>
            <family val="2"/>
          </rPr>
          <t xml:space="preserve">
differs to match grouping of funding data</t>
        </r>
      </text>
    </comment>
    <comment ref="AF180" authorId="0" shapeId="0" xr:uid="{00000000-0006-0000-0000-00000A000000}">
      <text>
        <r>
          <rPr>
            <b/>
            <sz val="8"/>
            <color indexed="81"/>
            <rFont val="Tahoma"/>
            <family val="2"/>
          </rPr>
          <t>jmarks:</t>
        </r>
        <r>
          <rPr>
            <sz val="8"/>
            <color indexed="81"/>
            <rFont val="Tahoma"/>
            <family val="2"/>
          </rPr>
          <t xml:space="preserve">
differs to match grouping of funding data</t>
        </r>
      </text>
    </comment>
    <comment ref="AG180" authorId="0" shapeId="0" xr:uid="{00000000-0006-0000-0000-00000B000000}">
      <text>
        <r>
          <rPr>
            <b/>
            <sz val="8"/>
            <color indexed="81"/>
            <rFont val="Tahoma"/>
            <family val="2"/>
          </rPr>
          <t>jmarks:</t>
        </r>
        <r>
          <rPr>
            <sz val="8"/>
            <color indexed="81"/>
            <rFont val="Tahoma"/>
            <family val="2"/>
          </rPr>
          <t xml:space="preserve">
differs to match grouping of funding data</t>
        </r>
      </text>
    </comment>
    <comment ref="AL180" authorId="0" shapeId="0" xr:uid="{00000000-0006-0000-0000-00000C000000}">
      <text>
        <r>
          <rPr>
            <b/>
            <sz val="8"/>
            <color indexed="81"/>
            <rFont val="Tahoma"/>
            <family val="2"/>
          </rPr>
          <t>jmarks:</t>
        </r>
        <r>
          <rPr>
            <sz val="8"/>
            <color indexed="81"/>
            <rFont val="Tahoma"/>
            <family val="2"/>
          </rPr>
          <t xml:space="preserve">
differs to match grouping of funding data</t>
        </r>
      </text>
    </comment>
    <comment ref="AM180" authorId="0" shapeId="0" xr:uid="{00000000-0006-0000-0000-00000D000000}">
      <text>
        <r>
          <rPr>
            <b/>
            <sz val="8"/>
            <color indexed="81"/>
            <rFont val="Tahoma"/>
            <family val="2"/>
          </rPr>
          <t>jmarks:</t>
        </r>
        <r>
          <rPr>
            <sz val="8"/>
            <color indexed="81"/>
            <rFont val="Tahoma"/>
            <family val="2"/>
          </rPr>
          <t xml:space="preserve">
differs to match grouping of funding data</t>
        </r>
      </text>
    </comment>
    <comment ref="AN180" authorId="0" shapeId="0" xr:uid="{00000000-0006-0000-0000-00000E000000}">
      <text>
        <r>
          <rPr>
            <b/>
            <sz val="8"/>
            <color indexed="81"/>
            <rFont val="Tahoma"/>
            <family val="2"/>
          </rPr>
          <t>jmarks:</t>
        </r>
        <r>
          <rPr>
            <sz val="8"/>
            <color indexed="81"/>
            <rFont val="Tahoma"/>
            <family val="2"/>
          </rPr>
          <t xml:space="preserve">
differs to match grouping of funding data</t>
        </r>
      </text>
    </comment>
    <comment ref="AG181" authorId="0" shapeId="0" xr:uid="{00000000-0006-0000-0000-00000F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1" authorId="0" shapeId="0" xr:uid="{00000000-0006-0000-0000-000010000000}">
      <text>
        <r>
          <rPr>
            <b/>
            <sz val="8"/>
            <color indexed="81"/>
            <rFont val="Tahoma"/>
            <family val="2"/>
          </rPr>
          <t>jmarks:</t>
        </r>
        <r>
          <rPr>
            <sz val="8"/>
            <color indexed="81"/>
            <rFont val="Tahoma"/>
            <family val="2"/>
          </rPr>
          <t xml:space="preserve">
differs to match grouping of funding dat</t>
        </r>
      </text>
    </comment>
    <comment ref="AN181" authorId="0" shapeId="0" xr:uid="{00000000-0006-0000-0000-000011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194" authorId="0" shapeId="0" xr:uid="{00000000-0006-0000-0000-000012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00000000-0006-0000-0100-00000100000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shapeId="0" xr:uid="{00000000-0006-0000-0100-000002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100-000008000000}">
      <text>
        <r>
          <rPr>
            <b/>
            <sz val="10"/>
            <color indexed="81"/>
            <rFont val="Tahoma"/>
            <family val="2"/>
          </rPr>
          <t>jmarks:</t>
        </r>
        <r>
          <rPr>
            <sz val="10"/>
            <color indexed="81"/>
            <rFont val="Tahoma"/>
            <family val="2"/>
          </rPr>
          <t xml:space="preserve">
Formula for regional figure to use when all states report.</t>
        </r>
      </text>
    </comment>
    <comment ref="A162" authorId="0" shapeId="0" xr:uid="{00000000-0006-0000-0100-000009000000}">
      <text>
        <r>
          <rPr>
            <b/>
            <sz val="10"/>
            <color indexed="81"/>
            <rFont val="Tahoma"/>
            <family val="2"/>
          </rPr>
          <t>jmarks:</t>
        </r>
        <r>
          <rPr>
            <sz val="10"/>
            <color indexed="81"/>
            <rFont val="Tahoma"/>
            <family val="2"/>
          </rPr>
          <t xml:space="preserve">
Formulas for regional figures to use when all states report.</t>
        </r>
      </text>
    </comment>
    <comment ref="A193" authorId="0" shapeId="0" xr:uid="{00000000-0006-0000-0100-00000A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jmarks</author>
    <author>Christiana</author>
    <author>Excel Validator</author>
  </authors>
  <commentList>
    <comment ref="Q4" authorId="0" shapeId="0" xr:uid="{EE6C5CB8-9338-4759-BB18-96D4B0D92FB9}">
      <text>
        <r>
          <rPr>
            <b/>
            <sz val="10"/>
            <color rgb="FF000000"/>
            <rFont val="Tahoma"/>
            <family val="2"/>
          </rPr>
          <t>jmarks: Formula must "fit" term code: /30 for semesters; /45 for quarters</t>
        </r>
      </text>
    </comment>
    <comment ref="V4" authorId="1" shapeId="0" xr:uid="{6656F9AB-9ADE-4F68-9103-3EBB0F3C40F4}">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G4" authorId="0" shapeId="0" xr:uid="{C5A1F657-33C9-4075-9A6E-306D6A3EBF28}">
      <text>
        <r>
          <rPr>
            <b/>
            <sz val="10"/>
            <color rgb="FF000000"/>
            <rFont val="Tahoma"/>
            <family val="2"/>
          </rPr>
          <t>jmarks: Formula must "fit" term code: /30 for semesters; /45 for quarters</t>
        </r>
      </text>
    </comment>
    <comment ref="AL4" authorId="1" shapeId="0" xr:uid="{39BD9DF5-CAEB-4793-A88A-E6A9FAD319F3}">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W4" authorId="0" shapeId="0" xr:uid="{032C667D-E5C3-49F6-BC4D-C31EA6928DB7}">
      <text>
        <r>
          <rPr>
            <b/>
            <sz val="10"/>
            <color rgb="FF000000"/>
            <rFont val="Tahoma"/>
            <family val="2"/>
          </rPr>
          <t>jmarks: Formula must "fit" term code: /30 for semesters; /45 for quarters</t>
        </r>
      </text>
    </comment>
    <comment ref="V6" authorId="1" shapeId="0" xr:uid="{BD791331-DE8E-4AFE-A1F1-BC266552ECDD}">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L6" authorId="1" shapeId="0" xr:uid="{B6ACF20E-A7BE-4FEE-94F8-1B791090878C}">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B227" authorId="2" shapeId="0" xr:uid="{F36B8D66-49F9-4C85-B3E7-1CB589C43117}">
      <text>
        <r>
          <rPr>
            <b/>
            <sz val="9"/>
            <color indexed="81"/>
            <rFont val="Tahoma"/>
            <family val="2"/>
          </rPr>
          <t>Christiana:</t>
        </r>
        <r>
          <rPr>
            <sz val="9"/>
            <color indexed="81"/>
            <rFont val="Tahoma"/>
            <family val="2"/>
          </rPr>
          <t xml:space="preserve">
Use with caution: 2019 data contains errors.</t>
        </r>
      </text>
    </comment>
    <comment ref="AA261" authorId="3" shapeId="0" xr:uid="{AE005731-4712-4544-A340-75E6BAD1C168}">
      <text>
        <r>
          <rPr>
            <sz val="8"/>
            <color rgb="FF000000"/>
            <rFont val="Tahoma"/>
            <family val="2"/>
          </rPr>
          <t xml:space="preserve">Low Warning  AA006:  Metric difference from prior year &gt;= 20% </t>
        </r>
      </text>
    </comment>
    <comment ref="AC261" authorId="3" shapeId="0" xr:uid="{56748447-7B53-4AB3-88D7-FA3A6AE5A7F8}">
      <text>
        <r>
          <rPr>
            <sz val="8"/>
            <color rgb="FF000000"/>
            <rFont val="Tahoma"/>
            <family val="2"/>
          </rPr>
          <t>Moderate Warning  AA008:  Large Metric difference from prior year &gt;= 50%</t>
        </r>
      </text>
    </comment>
    <comment ref="AE261" authorId="3" shapeId="0" xr:uid="{427CA1D8-DB71-4F39-8670-E871D60BEB2B}">
      <text>
        <r>
          <rPr>
            <sz val="8"/>
            <color rgb="FF000000"/>
            <rFont val="Tahoma"/>
            <family val="2"/>
          </rPr>
          <t xml:space="preserve">Low Warning  AA006:  Metric difference from prior year &gt;= 20% </t>
        </r>
      </text>
    </comment>
    <comment ref="AC262" authorId="3" shapeId="0" xr:uid="{5DF77010-AE71-4C80-93B6-42E4DC0E9B79}">
      <text>
        <r>
          <rPr>
            <sz val="8"/>
            <color rgb="FF000000"/>
            <rFont val="Tahoma"/>
            <family val="2"/>
          </rPr>
          <t xml:space="preserve">Low Warning  AA006:  Metric difference from prior year &gt;= 20% </t>
        </r>
      </text>
    </comment>
    <comment ref="U263" authorId="3" shapeId="0" xr:uid="{E376A53C-B3D6-4F85-AF8C-F275C56ED7D1}">
      <text>
        <r>
          <rPr>
            <sz val="8"/>
            <color rgb="FF000000"/>
            <rFont val="Tahoma"/>
            <family val="2"/>
          </rPr>
          <t xml:space="preserve">Low Warning  AA006:  Metric difference from prior year &gt;= 20% </t>
        </r>
      </text>
    </comment>
    <comment ref="AA263" authorId="3" shapeId="0" xr:uid="{0D46799E-DAA2-4FC1-8A7E-C9962D48A517}">
      <text>
        <r>
          <rPr>
            <sz val="8"/>
            <color rgb="FF000000"/>
            <rFont val="Tahoma"/>
            <family val="2"/>
          </rPr>
          <t xml:space="preserve">Low Warning  AA006:  Metric difference from prior year &gt;= 20% </t>
        </r>
      </text>
    </comment>
    <comment ref="AC263" authorId="3" shapeId="0" xr:uid="{C5DBD3F4-7EAA-4309-90E1-777233C0F33B}">
      <text>
        <r>
          <rPr>
            <sz val="8"/>
            <color rgb="FF000000"/>
            <rFont val="Tahoma"/>
            <family val="2"/>
          </rPr>
          <t xml:space="preserve">Low Warning  AA006:  Metric difference from prior year &gt;= 20% </t>
        </r>
      </text>
    </comment>
    <comment ref="AE263" authorId="3" shapeId="0" xr:uid="{410EDF7D-251F-4254-B9AC-B337FC682FE1}">
      <text>
        <r>
          <rPr>
            <sz val="8"/>
            <color rgb="FF000000"/>
            <rFont val="Tahoma"/>
            <family val="2"/>
          </rPr>
          <t xml:space="preserve">Low Warning  AA006:  Metric difference from prior year &gt;= 20% </t>
        </r>
      </text>
    </comment>
    <comment ref="AC264" authorId="3" shapeId="0" xr:uid="{16719CC6-3058-47A9-BD4C-136DF5CAB71D}">
      <text>
        <r>
          <rPr>
            <sz val="8"/>
            <color rgb="FF000000"/>
            <rFont val="Tahoma"/>
            <family val="2"/>
          </rPr>
          <t xml:space="preserve">Low Warning  AA006:  Metric difference from prior year &gt;= 20% </t>
        </r>
      </text>
    </comment>
    <comment ref="AE264" authorId="3" shapeId="0" xr:uid="{31FF4DAD-8B81-45DD-B78D-49104DAB7403}">
      <text>
        <r>
          <rPr>
            <sz val="8"/>
            <color rgb="FF000000"/>
            <rFont val="Tahoma"/>
            <family val="2"/>
          </rPr>
          <t xml:space="preserve">Low Warning  AA006:  Metric difference from prior year &gt;= 20% </t>
        </r>
      </text>
    </comment>
    <comment ref="AC265" authorId="3" shapeId="0" xr:uid="{8144C24C-0C33-40A5-B334-B93B683B2E42}">
      <text>
        <r>
          <rPr>
            <sz val="8"/>
            <color rgb="FF000000"/>
            <rFont val="Tahoma"/>
            <family val="2"/>
          </rPr>
          <t xml:space="preserve">Low Warning  AA006:  Metric difference from prior year &gt;= 20% </t>
        </r>
      </text>
    </comment>
    <comment ref="AE265" authorId="3" shapeId="0" xr:uid="{222A9D02-EC6E-47FE-8170-1874F3C71EA5}">
      <text>
        <r>
          <rPr>
            <sz val="8"/>
            <color rgb="FF000000"/>
            <rFont val="Tahoma"/>
            <family val="2"/>
          </rPr>
          <t xml:space="preserve">Low Warning  AA006:  Metric difference from prior year &gt;= 20% </t>
        </r>
      </text>
    </comment>
    <comment ref="U266" authorId="3" shapeId="0" xr:uid="{A4DB23A9-1581-4850-9BF1-BD92D0E5BB71}">
      <text>
        <r>
          <rPr>
            <sz val="8"/>
            <color rgb="FF000000"/>
            <rFont val="Tahoma"/>
            <family val="2"/>
          </rPr>
          <t xml:space="preserve">Low Warning  AA006:  Metric difference from prior year &gt;= 20% </t>
        </r>
      </text>
    </comment>
    <comment ref="AA266" authorId="3" shapeId="0" xr:uid="{794CF462-C136-4818-AF48-DF6E9F06EA20}">
      <text>
        <r>
          <rPr>
            <sz val="8"/>
            <color rgb="FF000000"/>
            <rFont val="Tahoma"/>
            <family val="2"/>
          </rPr>
          <t xml:space="preserve">Low Warning  AA006:  Metric difference from prior year &gt;= 20% </t>
        </r>
      </text>
    </comment>
    <comment ref="AC266" authorId="3" shapeId="0" xr:uid="{D0CC6AB6-1DDD-4556-B0EC-936E72E61519}">
      <text>
        <r>
          <rPr>
            <sz val="8"/>
            <color rgb="FF000000"/>
            <rFont val="Tahoma"/>
            <family val="2"/>
          </rPr>
          <t xml:space="preserve">Low Warning  AA006:  Metric difference from prior year &gt;= 20% </t>
        </r>
      </text>
    </comment>
    <comment ref="AE266" authorId="3" shapeId="0" xr:uid="{9B237258-68F4-4F75-A820-79C76213C18F}">
      <text>
        <r>
          <rPr>
            <sz val="8"/>
            <color rgb="FF000000"/>
            <rFont val="Tahoma"/>
            <family val="2"/>
          </rPr>
          <t xml:space="preserve">Low Warning  AA006:  Metric difference from prior year &gt;= 20% </t>
        </r>
      </text>
    </comment>
    <comment ref="AA267" authorId="3" shapeId="0" xr:uid="{AB29559E-A3F5-40C8-96A1-8B1B6F244D26}">
      <text>
        <r>
          <rPr>
            <sz val="8"/>
            <color rgb="FF000000"/>
            <rFont val="Tahoma"/>
            <family val="2"/>
          </rPr>
          <t xml:space="preserve">Low Warning  AA006:  Metric difference from prior year &gt;= 20% </t>
        </r>
      </text>
    </comment>
    <comment ref="AE267" authorId="3" shapeId="0" xr:uid="{57ED4219-CC21-4033-B722-604862058816}">
      <text>
        <r>
          <rPr>
            <sz val="8"/>
            <color rgb="FF000000"/>
            <rFont val="Tahoma"/>
            <family val="2"/>
          </rPr>
          <t xml:space="preserve">Low Warning  AA006:  Metric difference from prior year &gt;= 20% </t>
        </r>
      </text>
    </comment>
    <comment ref="AA268" authorId="3" shapeId="0" xr:uid="{A3B52FE4-5C93-411F-A4A3-BF061157550C}">
      <text>
        <r>
          <rPr>
            <sz val="8"/>
            <color rgb="FF000000"/>
            <rFont val="Tahoma"/>
            <family val="2"/>
          </rPr>
          <t xml:space="preserve">Low Warning  AA006:  Metric difference from prior year &gt;= 20% </t>
        </r>
      </text>
    </comment>
    <comment ref="AC268" authorId="3" shapeId="0" xr:uid="{8ADA97A6-D017-4CF8-AA4B-58F4AD537AD1}">
      <text>
        <r>
          <rPr>
            <sz val="8"/>
            <color rgb="FF000000"/>
            <rFont val="Tahoma"/>
            <family val="2"/>
          </rPr>
          <t xml:space="preserve">Low Warning  AA006:  Metric difference from prior year &gt;= 20% </t>
        </r>
      </text>
    </comment>
    <comment ref="AE268" authorId="3" shapeId="0" xr:uid="{B2F67DB2-0576-4F92-AD91-F5460FDB001D}">
      <text>
        <r>
          <rPr>
            <sz val="8"/>
            <color rgb="FF000000"/>
            <rFont val="Tahoma"/>
            <family val="2"/>
          </rPr>
          <t xml:space="preserve">Low Warning  AA006:  Metric difference from prior year &gt;= 20% </t>
        </r>
      </text>
    </comment>
    <comment ref="AC269" authorId="3" shapeId="0" xr:uid="{04A028D3-9AD7-4669-941A-3AE49B8E31C7}">
      <text>
        <r>
          <rPr>
            <sz val="8"/>
            <color rgb="FF000000"/>
            <rFont val="Tahoma"/>
            <family val="2"/>
          </rPr>
          <t>Moderate Warning  AA008:  Large Metric difference from prior year &gt;= 50%</t>
        </r>
      </text>
    </comment>
    <comment ref="AE269" authorId="3" shapeId="0" xr:uid="{A9826DC2-0113-4E67-957C-A962955B79EE}">
      <text>
        <r>
          <rPr>
            <sz val="8"/>
            <color rgb="FF000000"/>
            <rFont val="Tahoma"/>
            <family val="2"/>
          </rPr>
          <t xml:space="preserve">Low Warning  AA006:  Metric difference from prior year &gt;= 20% </t>
        </r>
      </text>
    </comment>
    <comment ref="AC270" authorId="3" shapeId="0" xr:uid="{2A7E91AE-9B81-4633-A66F-FC539FEA5C5C}">
      <text>
        <r>
          <rPr>
            <sz val="8"/>
            <color rgb="FF000000"/>
            <rFont val="Tahoma"/>
            <family val="2"/>
          </rPr>
          <t xml:space="preserve">Low Warning  AA006:  Metric difference from prior year &gt;= 20% </t>
        </r>
      </text>
    </comment>
    <comment ref="AE270" authorId="3" shapeId="0" xr:uid="{52D7AC4F-8FE7-4D4D-880E-B11459EA4E9B}">
      <text>
        <r>
          <rPr>
            <sz val="8"/>
            <color rgb="FF000000"/>
            <rFont val="Tahoma"/>
            <family val="2"/>
          </rPr>
          <t xml:space="preserve">Low Warning  AA006:  Metric difference from prior year &gt;= 20% </t>
        </r>
      </text>
    </comment>
    <comment ref="AC271" authorId="3" shapeId="0" xr:uid="{55A943B5-BDC6-4AFF-B886-5F76356A40C6}">
      <text>
        <r>
          <rPr>
            <sz val="8"/>
            <color rgb="FF000000"/>
            <rFont val="Tahoma"/>
            <family val="2"/>
          </rPr>
          <t xml:space="preserve">Low Warning  AA006:  Metric difference from prior year &gt;= 20% </t>
        </r>
      </text>
    </comment>
    <comment ref="AA272" authorId="3" shapeId="0" xr:uid="{AA60ED48-62A8-4D07-85BD-5EC6F10EC771}">
      <text>
        <r>
          <rPr>
            <sz val="8"/>
            <color rgb="FF000000"/>
            <rFont val="Tahoma"/>
            <family val="2"/>
          </rPr>
          <t xml:space="preserve">Low Warning  AA006:  Metric difference from prior year &gt;= 20% </t>
        </r>
      </text>
    </comment>
    <comment ref="AC272" authorId="3" shapeId="0" xr:uid="{F59D54FC-335A-43EE-ABEB-96CDEBD1FA42}">
      <text>
        <r>
          <rPr>
            <sz val="8"/>
            <color rgb="FF000000"/>
            <rFont val="Tahoma"/>
            <family val="2"/>
          </rPr>
          <t xml:space="preserve">Low Warning  AA006:  Metric difference from prior year &gt;= 20% </t>
        </r>
      </text>
    </comment>
    <comment ref="AE272" authorId="3" shapeId="0" xr:uid="{9D9FC86F-E0F5-453D-B19D-4BD965295B9C}">
      <text>
        <r>
          <rPr>
            <sz val="8"/>
            <color rgb="FF000000"/>
            <rFont val="Tahoma"/>
            <family val="2"/>
          </rPr>
          <t xml:space="preserve">Low Warning  AA006:  Metric difference from prior year &gt;= 20% </t>
        </r>
      </text>
    </comment>
    <comment ref="AC273" authorId="3" shapeId="0" xr:uid="{F0C567DB-26EE-41C6-A6D0-779FC8AFA0AF}">
      <text>
        <r>
          <rPr>
            <sz val="8"/>
            <color rgb="FF000000"/>
            <rFont val="Tahoma"/>
            <family val="2"/>
          </rPr>
          <t>Moderate Warning  AA008:  Large Metric difference from prior year &gt;= 50%</t>
        </r>
      </text>
    </comment>
    <comment ref="AE273" authorId="3" shapeId="0" xr:uid="{099A57F5-954B-4CF8-8FED-0E1ED0FEECC2}">
      <text>
        <r>
          <rPr>
            <sz val="8"/>
            <color rgb="FF000000"/>
            <rFont val="Tahoma"/>
            <family val="2"/>
          </rPr>
          <t xml:space="preserve">Low Warning  AA006:  Metric difference from prior year &gt;= 20% </t>
        </r>
      </text>
    </comment>
    <comment ref="AE274" authorId="3" shapeId="0" xr:uid="{66B95424-BB67-470C-98D5-A40B71EA5A0F}">
      <text>
        <r>
          <rPr>
            <sz val="8"/>
            <color rgb="FF000000"/>
            <rFont val="Tahoma"/>
            <family val="2"/>
          </rPr>
          <t xml:space="preserve">Low Warning  AA006:  Metric difference from prior year &gt;= 20% </t>
        </r>
      </text>
    </comment>
    <comment ref="U275" authorId="3" shapeId="0" xr:uid="{1C2692AE-C97E-4568-9E94-83DD01609018}">
      <text>
        <r>
          <rPr>
            <sz val="8"/>
            <color rgb="FF000000"/>
            <rFont val="Tahoma"/>
            <family val="2"/>
          </rPr>
          <t>Moderate Warning  AA008:  Large Metric difference from prior year &gt;= 50%</t>
        </r>
      </text>
    </comment>
    <comment ref="AC276" authorId="3" shapeId="0" xr:uid="{F101177E-F7FD-4415-A0DC-14BA718347BE}">
      <text>
        <r>
          <rPr>
            <sz val="8"/>
            <color rgb="FF000000"/>
            <rFont val="Tahoma"/>
            <family val="2"/>
          </rPr>
          <t xml:space="preserve">Low Warning  AA006:  Metric difference from prior year &gt;= 20% </t>
        </r>
      </text>
    </comment>
    <comment ref="AA277" authorId="3" shapeId="0" xr:uid="{B2E1D2FB-ACCC-46A5-B859-8BF9DFC57E5B}">
      <text>
        <r>
          <rPr>
            <sz val="8"/>
            <color rgb="FF000000"/>
            <rFont val="Tahoma"/>
            <family val="2"/>
          </rPr>
          <t xml:space="preserve">Low Warning  AA006:  Metric difference from prior year &gt;= 20% </t>
        </r>
      </text>
    </comment>
    <comment ref="AC277" authorId="3" shapeId="0" xr:uid="{6184FA4E-F8E8-4941-A9F1-38EBB21A15EB}">
      <text>
        <r>
          <rPr>
            <sz val="8"/>
            <color rgb="FF000000"/>
            <rFont val="Tahoma"/>
            <family val="2"/>
          </rPr>
          <t xml:space="preserve">Low Warning  AA006:  Metric difference from prior year &gt;= 20% </t>
        </r>
      </text>
    </comment>
    <comment ref="AC278" authorId="3" shapeId="0" xr:uid="{2FB0402B-CE3E-425F-AD47-F98F0E6FEF51}">
      <text>
        <r>
          <rPr>
            <sz val="8"/>
            <color rgb="FF000000"/>
            <rFont val="Tahoma"/>
            <family val="2"/>
          </rPr>
          <t xml:space="preserve">Low Warning  AA006:  Metric difference from prior year &gt;= 20% </t>
        </r>
      </text>
    </comment>
    <comment ref="AE278" authorId="3" shapeId="0" xr:uid="{5B08F77F-FE02-47A3-8671-B0ECE29836F5}">
      <text>
        <r>
          <rPr>
            <sz val="8"/>
            <color rgb="FF000000"/>
            <rFont val="Tahoma"/>
            <family val="2"/>
          </rPr>
          <t xml:space="preserve">Low Warning  AA006:  Metric difference from prior year &gt;= 20% </t>
        </r>
      </text>
    </comment>
    <comment ref="U279" authorId="3" shapeId="0" xr:uid="{21A35C64-553B-47C5-A422-7C49001D9790}">
      <text>
        <r>
          <rPr>
            <sz val="8"/>
            <color rgb="FF000000"/>
            <rFont val="Tahoma"/>
            <family val="2"/>
          </rPr>
          <t xml:space="preserve">Low Warning  AA006:  Metric difference from prior year &gt;= 20% </t>
        </r>
      </text>
    </comment>
    <comment ref="AC279" authorId="3" shapeId="0" xr:uid="{8E93CF53-A7EA-4859-8B4F-926904E5E199}">
      <text>
        <r>
          <rPr>
            <sz val="8"/>
            <color rgb="FF000000"/>
            <rFont val="Tahoma"/>
            <family val="2"/>
          </rPr>
          <t xml:space="preserve">Low Warning  AA006:  Metric difference from prior year &gt;= 20% </t>
        </r>
      </text>
    </comment>
    <comment ref="AE279" authorId="3" shapeId="0" xr:uid="{DD9B00AE-BB23-40DD-998A-8F5A89E386E9}">
      <text>
        <r>
          <rPr>
            <sz val="8"/>
            <color rgb="FF000000"/>
            <rFont val="Tahoma"/>
            <family val="2"/>
          </rPr>
          <t xml:space="preserve">Low Warning  AA006:  Metric difference from prior year &gt;= 20% </t>
        </r>
      </text>
    </comment>
    <comment ref="U280" authorId="3" shapeId="0" xr:uid="{0DB27A47-EFED-49DE-B434-EC371746692F}">
      <text>
        <r>
          <rPr>
            <sz val="8"/>
            <color rgb="FF000000"/>
            <rFont val="Tahoma"/>
            <family val="2"/>
          </rPr>
          <t xml:space="preserve">Low Warning  AA006:  Metric difference from prior year &gt;= 20% </t>
        </r>
      </text>
    </comment>
    <comment ref="AA280" authorId="3" shapeId="0" xr:uid="{6558D3CE-919C-41A1-9E2C-4F9A908B4889}">
      <text>
        <r>
          <rPr>
            <sz val="8"/>
            <color rgb="FF000000"/>
            <rFont val="Tahoma"/>
            <family val="2"/>
          </rPr>
          <t xml:space="preserve">Low Warning  AA006:  Metric difference from prior year &gt;= 20% </t>
        </r>
      </text>
    </comment>
    <comment ref="AE280" authorId="3" shapeId="0" xr:uid="{BD29FB40-428F-490D-8860-E581AE8442DC}">
      <text>
        <r>
          <rPr>
            <sz val="8"/>
            <color rgb="FF000000"/>
            <rFont val="Tahoma"/>
            <family val="2"/>
          </rPr>
          <t xml:space="preserve">Low Warning  AA006:  Metric difference from prior year &gt;= 20% </t>
        </r>
      </text>
    </comment>
    <comment ref="U282" authorId="3" shapeId="0" xr:uid="{4FEDEE3C-8B92-494B-8C7B-73DB5CF5D665}">
      <text>
        <r>
          <rPr>
            <sz val="8"/>
            <color rgb="FF000000"/>
            <rFont val="Tahoma"/>
            <family val="2"/>
          </rPr>
          <t xml:space="preserve">Low Warning  AA006:  Metric difference from prior year &gt;= 20% </t>
        </r>
      </text>
    </comment>
    <comment ref="AA282" authorId="3" shapeId="0" xr:uid="{768E7728-3B5B-48AD-B2B8-E0CC9365F7A7}">
      <text>
        <r>
          <rPr>
            <sz val="8"/>
            <color rgb="FF000000"/>
            <rFont val="Tahoma"/>
            <family val="2"/>
          </rPr>
          <t xml:space="preserve">Low Warning  AA006:  Metric difference from prior year &gt;= 20% </t>
        </r>
      </text>
    </comment>
    <comment ref="U283" authorId="3" shapeId="0" xr:uid="{31BD82A3-E60D-447B-9DBA-65E34949675C}">
      <text>
        <r>
          <rPr>
            <sz val="8"/>
            <color rgb="FF000000"/>
            <rFont val="Tahoma"/>
            <family val="2"/>
          </rPr>
          <t xml:space="preserve">Low Warning  AA006:  Metric difference from prior year &gt;= 20% </t>
        </r>
      </text>
    </comment>
    <comment ref="AA283" authorId="3" shapeId="0" xr:uid="{7AB22917-E0D7-454D-9887-F51982738F7F}">
      <text>
        <r>
          <rPr>
            <sz val="8"/>
            <color rgb="FF000000"/>
            <rFont val="Tahoma"/>
            <family val="2"/>
          </rPr>
          <t xml:space="preserve">Low Warning  AA006:  Metric difference from prior year &gt;= 20% </t>
        </r>
      </text>
    </comment>
    <comment ref="AC283" authorId="3" shapeId="0" xr:uid="{648BEC00-BC1A-45AD-ACBD-FA0D8DB2A763}">
      <text>
        <r>
          <rPr>
            <sz val="8"/>
            <color rgb="FF000000"/>
            <rFont val="Tahoma"/>
            <family val="2"/>
          </rPr>
          <t xml:space="preserve">Low Warning  AA006:  Metric difference from prior year &gt;= 20% </t>
        </r>
      </text>
    </comment>
    <comment ref="AE283" authorId="3" shapeId="0" xr:uid="{FCE8DD8D-0811-442C-8CFF-09B850ED3F79}">
      <text>
        <r>
          <rPr>
            <sz val="8"/>
            <color rgb="FF000000"/>
            <rFont val="Tahoma"/>
            <family val="2"/>
          </rPr>
          <t xml:space="preserve">Low Warning  AA006:  Metric difference from prior year &gt;= 20% </t>
        </r>
      </text>
    </comment>
    <comment ref="AA284" authorId="3" shapeId="0" xr:uid="{0F3E9C29-8E8E-4A1F-940E-C0517DC31AB0}">
      <text>
        <r>
          <rPr>
            <sz val="8"/>
            <color rgb="FF000000"/>
            <rFont val="Tahoma"/>
            <family val="2"/>
          </rPr>
          <t xml:space="preserve">Low Warning  AA006:  Metric difference from prior year &gt;= 20% </t>
        </r>
      </text>
    </comment>
    <comment ref="AA285" authorId="3" shapeId="0" xr:uid="{DAF16146-1952-4D21-BC10-A1AE104BFBF1}">
      <text>
        <r>
          <rPr>
            <sz val="8"/>
            <color rgb="FF000000"/>
            <rFont val="Tahoma"/>
            <family val="2"/>
          </rPr>
          <t xml:space="preserve">Low Warning  AA006:  Metric difference from prior year &gt;= 20% </t>
        </r>
      </text>
    </comment>
    <comment ref="AC285" authorId="3" shapeId="0" xr:uid="{839C64D5-7A28-4936-B79E-02B9ECD122C3}">
      <text>
        <r>
          <rPr>
            <sz val="8"/>
            <color rgb="FF000000"/>
            <rFont val="Tahoma"/>
            <family val="2"/>
          </rPr>
          <t>Moderate Warning  AA008:  Large Metric difference from prior year &gt;= 50%</t>
        </r>
      </text>
    </comment>
    <comment ref="AA286" authorId="3" shapeId="0" xr:uid="{7246CF71-D492-4DF7-A241-C018DC4F6BF8}">
      <text>
        <r>
          <rPr>
            <sz val="8"/>
            <color rgb="FF000000"/>
            <rFont val="Tahoma"/>
            <family val="2"/>
          </rPr>
          <t xml:space="preserve">Low Warning  AA006:  Metric difference from prior year &gt;= 20% </t>
        </r>
      </text>
    </comment>
    <comment ref="AC286" authorId="3" shapeId="0" xr:uid="{2B20B6B4-4291-4ECD-B3B0-AE8041C31662}">
      <text>
        <r>
          <rPr>
            <sz val="8"/>
            <color rgb="FF000000"/>
            <rFont val="Tahoma"/>
            <family val="2"/>
          </rPr>
          <t xml:space="preserve">Low Warning  AA006:  Metric difference from prior year &gt;= 20% </t>
        </r>
      </text>
    </comment>
    <comment ref="AE286" authorId="3" shapeId="0" xr:uid="{463DA747-12DF-4E2A-930E-31EC903825B8}">
      <text>
        <r>
          <rPr>
            <sz val="8"/>
            <color rgb="FF000000"/>
            <rFont val="Tahoma"/>
            <family val="2"/>
          </rPr>
          <t xml:space="preserve">Low Warning  AA006:  Metric difference from prior year &gt;= 20% </t>
        </r>
      </text>
    </comment>
    <comment ref="AC287" authorId="3" shapeId="0" xr:uid="{5B46A1E7-BF59-4489-A25B-192A63A9817F}">
      <text>
        <r>
          <rPr>
            <sz val="8"/>
            <color rgb="FF000000"/>
            <rFont val="Tahoma"/>
            <family val="2"/>
          </rPr>
          <t xml:space="preserve">Low Warning  AA006:  Metric difference from prior year &gt;= 20% </t>
        </r>
      </text>
    </comment>
    <comment ref="AC288" authorId="3" shapeId="0" xr:uid="{2B804EE2-3691-47FD-8CB1-CEC9B41DD05B}">
      <text>
        <r>
          <rPr>
            <sz val="8"/>
            <color rgb="FF000000"/>
            <rFont val="Tahoma"/>
            <family val="2"/>
          </rPr>
          <t xml:space="preserve">Low Warning  AA006:  Metric difference from prior year &gt;= 20% </t>
        </r>
      </text>
    </comment>
    <comment ref="AA289" authorId="3" shapeId="0" xr:uid="{AC1C66CC-F5AF-463D-8904-8278A0C5D849}">
      <text>
        <r>
          <rPr>
            <sz val="8"/>
            <color rgb="FF000000"/>
            <rFont val="Tahoma"/>
            <family val="2"/>
          </rPr>
          <t xml:space="preserve">Low Warning  AA006:  Metric difference from prior year &gt;= 20% </t>
        </r>
      </text>
    </comment>
    <comment ref="AC289" authorId="3" shapeId="0" xr:uid="{C240E4F3-DF99-48A1-AF47-15FB15499224}">
      <text>
        <r>
          <rPr>
            <sz val="8"/>
            <color rgb="FF000000"/>
            <rFont val="Tahoma"/>
            <family val="2"/>
          </rPr>
          <t xml:space="preserve">Low Warning  AA006:  Metric difference from prior year &gt;= 20% </t>
        </r>
      </text>
    </comment>
    <comment ref="AE289" authorId="3" shapeId="0" xr:uid="{317111B7-9A6A-4ABB-881A-C0D5668A17F0}">
      <text>
        <r>
          <rPr>
            <sz val="8"/>
            <color rgb="FF000000"/>
            <rFont val="Tahoma"/>
            <family val="2"/>
          </rPr>
          <t xml:space="preserve">Low Warning  AA006:  Metric difference from prior year &gt;= 20% </t>
        </r>
      </text>
    </comment>
    <comment ref="M290" authorId="3" shapeId="0" xr:uid="{60CCACA1-42E5-4A06-BC2B-12C120E63C59}">
      <text>
        <r>
          <rPr>
            <sz val="8"/>
            <color rgb="FF000000"/>
            <rFont val="Tahoma"/>
            <family val="2"/>
          </rPr>
          <t xml:space="preserve">Low Warning  AA006:  Metric difference from prior year &gt;= 20% </t>
        </r>
      </text>
    </comment>
    <comment ref="AC290" authorId="3" shapeId="0" xr:uid="{E939F47D-157C-4B91-A135-3F61A0AACE11}">
      <text>
        <r>
          <rPr>
            <sz val="8"/>
            <color rgb="FF000000"/>
            <rFont val="Tahoma"/>
            <family val="2"/>
          </rPr>
          <t>Moderate Warning  AA008:  Large Metric difference from prior year &gt;= 50%</t>
        </r>
      </text>
    </comment>
    <comment ref="AE290" authorId="3" shapeId="0" xr:uid="{E563B737-1D49-4D62-AF37-9B41E57BED8B}">
      <text>
        <r>
          <rPr>
            <sz val="8"/>
            <color rgb="FF000000"/>
            <rFont val="Tahoma"/>
            <family val="2"/>
          </rPr>
          <t xml:space="preserve">Low Warning  AA006:  Metric difference from prior year &gt;= 20% </t>
        </r>
      </text>
    </comment>
    <comment ref="AA291" authorId="3" shapeId="0" xr:uid="{6115ADB5-1055-486E-B2BA-05E503DD6E94}">
      <text>
        <r>
          <rPr>
            <sz val="8"/>
            <color rgb="FF000000"/>
            <rFont val="Tahoma"/>
            <family val="2"/>
          </rPr>
          <t xml:space="preserve">Low Warning  AA006:  Metric difference from prior year &gt;= 20% </t>
        </r>
      </text>
    </comment>
    <comment ref="AC291" authorId="3" shapeId="0" xr:uid="{E91EFC20-14E5-4C20-B54E-64E50069455E}">
      <text>
        <r>
          <rPr>
            <sz val="8"/>
            <color rgb="FF000000"/>
            <rFont val="Tahoma"/>
            <family val="2"/>
          </rPr>
          <t>Moderate Warning  AA008:  Large Metric difference from prior year &gt;= 50%</t>
        </r>
      </text>
    </comment>
    <comment ref="AE291" authorId="3" shapeId="0" xr:uid="{260C83CE-A6CD-404D-BC7C-68C12AA2BF6F}">
      <text>
        <r>
          <rPr>
            <sz val="8"/>
            <color rgb="FF000000"/>
            <rFont val="Tahoma"/>
            <family val="2"/>
          </rPr>
          <t>Moderate Warning  AA008:  Large Metric difference from prior year &gt;= 50%</t>
        </r>
      </text>
    </comment>
    <comment ref="AA292" authorId="3" shapeId="0" xr:uid="{FD985341-BF89-46E1-A07A-0E9D4FD5E3E4}">
      <text>
        <r>
          <rPr>
            <sz val="8"/>
            <color rgb="FF000000"/>
            <rFont val="Tahoma"/>
            <family val="2"/>
          </rPr>
          <t xml:space="preserve">Low Warning  AA006:  Metric difference from prior year &gt;= 20% </t>
        </r>
      </text>
    </comment>
    <comment ref="AC292" authorId="3" shapeId="0" xr:uid="{E8E2B0DE-EDA4-483D-B953-7AC4A7045653}">
      <text>
        <r>
          <rPr>
            <sz val="8"/>
            <color rgb="FF000000"/>
            <rFont val="Tahoma"/>
            <family val="2"/>
          </rPr>
          <t>Moderate Warning  AA008:  Large Metric difference from prior year &gt;= 50%</t>
        </r>
      </text>
    </comment>
    <comment ref="AE292" authorId="3" shapeId="0" xr:uid="{140651C7-80A0-4825-9085-6F19C90427C2}">
      <text>
        <r>
          <rPr>
            <sz val="8"/>
            <color rgb="FF000000"/>
            <rFont val="Tahoma"/>
            <family val="2"/>
          </rPr>
          <t xml:space="preserve">Low Warning  AA006:  Metric difference from prior year &gt;= 20% </t>
        </r>
      </text>
    </comment>
    <comment ref="AA293" authorId="3" shapeId="0" xr:uid="{5EDEB198-FB2D-4BFC-9E1B-865C2040F5BB}">
      <text>
        <r>
          <rPr>
            <sz val="8"/>
            <color rgb="FF000000"/>
            <rFont val="Tahoma"/>
            <family val="2"/>
          </rPr>
          <t xml:space="preserve">Low Warning  AA006:  Metric difference from prior year &gt;= 20% </t>
        </r>
      </text>
    </comment>
    <comment ref="AC293" authorId="3" shapeId="0" xr:uid="{869D0D22-3189-42E7-B631-7C59306FCF23}">
      <text>
        <r>
          <rPr>
            <sz val="8"/>
            <color rgb="FF000000"/>
            <rFont val="Tahoma"/>
            <family val="2"/>
          </rPr>
          <t>Moderate Warning  AA008:  Large Metric difference from prior year &gt;= 50%</t>
        </r>
      </text>
    </comment>
    <comment ref="AE293" authorId="3" shapeId="0" xr:uid="{449AAF38-D33D-4D58-A023-6622F2507633}">
      <text>
        <r>
          <rPr>
            <sz val="8"/>
            <color rgb="FF000000"/>
            <rFont val="Tahoma"/>
            <family val="2"/>
          </rPr>
          <t xml:space="preserve">Low Warning  AA006:  Metric difference from prior year &gt;= 20% </t>
        </r>
      </text>
    </comment>
    <comment ref="AA294" authorId="3" shapeId="0" xr:uid="{85F812C1-30EB-4C34-96F7-5BB79B9BBC1B}">
      <text>
        <r>
          <rPr>
            <sz val="8"/>
            <color rgb="FF000000"/>
            <rFont val="Tahoma"/>
            <family val="2"/>
          </rPr>
          <t xml:space="preserve">Low Warning  AA006:  Metric difference from prior year &gt;= 20% </t>
        </r>
      </text>
    </comment>
    <comment ref="M295" authorId="3" shapeId="0" xr:uid="{ABFB3EFD-844D-48F2-BBEF-E1AA6A2120E0}">
      <text>
        <r>
          <rPr>
            <sz val="8"/>
            <color rgb="FF000000"/>
            <rFont val="Tahoma"/>
            <family val="2"/>
          </rPr>
          <t xml:space="preserve">Low Warning  AA006:  Metric difference from prior year &gt;= 20% </t>
        </r>
      </text>
    </comment>
    <comment ref="AC295" authorId="3" shapeId="0" xr:uid="{F4FC5D17-D8BE-4908-B238-EBCF2BBA5EBF}">
      <text>
        <r>
          <rPr>
            <sz val="8"/>
            <color rgb="FF000000"/>
            <rFont val="Tahoma"/>
            <family val="2"/>
          </rPr>
          <t xml:space="preserve">Low Warning  AA006:  Metric difference from prior year &gt;= 20% </t>
        </r>
      </text>
    </comment>
    <comment ref="AE295" authorId="3" shapeId="0" xr:uid="{17F21D05-2227-4DA5-B10F-3DE5E95692E3}">
      <text>
        <r>
          <rPr>
            <sz val="8"/>
            <color rgb="FF000000"/>
            <rFont val="Tahoma"/>
            <family val="2"/>
          </rPr>
          <t xml:space="preserve">Low Warning  AA006:  Metric difference from prior year &gt;= 20% </t>
        </r>
      </text>
    </comment>
    <comment ref="AC296" authorId="3" shapeId="0" xr:uid="{CF187B45-780A-47C4-89B0-B84B5BE3A09F}">
      <text>
        <r>
          <rPr>
            <sz val="8"/>
            <color rgb="FF000000"/>
            <rFont val="Tahoma"/>
            <family val="2"/>
          </rPr>
          <t>Moderate Warning  AA008:  Large Metric difference from prior year &gt;= 50%</t>
        </r>
      </text>
    </comment>
    <comment ref="AE296" authorId="3" shapeId="0" xr:uid="{806E5D5E-E1B5-4AF8-9B3E-54CF37A6238F}">
      <text>
        <r>
          <rPr>
            <sz val="8"/>
            <color rgb="FF000000"/>
            <rFont val="Tahoma"/>
            <family val="2"/>
          </rPr>
          <t xml:space="preserve">Low Warning  AA006:  Metric difference from prior year &gt;= 20% </t>
        </r>
      </text>
    </comment>
    <comment ref="AC297" authorId="3" shapeId="0" xr:uid="{4A513AED-9F5D-45BA-8A9F-E9E15650252B}">
      <text>
        <r>
          <rPr>
            <sz val="8"/>
            <color rgb="FF000000"/>
            <rFont val="Tahoma"/>
            <family val="2"/>
          </rPr>
          <t xml:space="preserve">Low Warning  AA006:  Metric difference from prior year &gt;= 20% </t>
        </r>
      </text>
    </comment>
    <comment ref="AE297" authorId="3" shapeId="0" xr:uid="{9356DEB5-A872-4576-B508-16DCC323D7F9}">
      <text>
        <r>
          <rPr>
            <sz val="8"/>
            <color rgb="FF000000"/>
            <rFont val="Tahoma"/>
            <family val="2"/>
          </rPr>
          <t xml:space="preserve">Low Warning  AA006:  Metric difference from prior year &gt;= 20% </t>
        </r>
      </text>
    </comment>
    <comment ref="U298" authorId="3" shapeId="0" xr:uid="{D782D23F-90D5-40DB-87EA-48C40516A349}">
      <text>
        <r>
          <rPr>
            <sz val="8"/>
            <color rgb="FF000000"/>
            <rFont val="Tahoma"/>
            <family val="2"/>
          </rPr>
          <t xml:space="preserve">Severe Warning  AA009:  Substantial Metric difference from prior year &gt;=100% </t>
        </r>
      </text>
    </comment>
    <comment ref="AA298" authorId="3" shapeId="0" xr:uid="{2BE613A7-94B8-4E01-A79B-5DF66F0294F8}">
      <text>
        <r>
          <rPr>
            <sz val="8"/>
            <color rgb="FF000000"/>
            <rFont val="Tahoma"/>
            <family val="2"/>
          </rPr>
          <t xml:space="preserve">Low Warning  AA006:  Metric difference from prior year &gt;= 20% </t>
        </r>
      </text>
    </comment>
    <comment ref="AE298" authorId="3" shapeId="0" xr:uid="{E0F93ACD-2241-49F7-8E3C-98AE179AD1F0}">
      <text>
        <r>
          <rPr>
            <sz val="8"/>
            <color rgb="FF000000"/>
            <rFont val="Tahoma"/>
            <family val="2"/>
          </rPr>
          <t xml:space="preserve">Low Warning  AA006:  Metric difference from prior year &gt;= 20% </t>
        </r>
      </text>
    </comment>
    <comment ref="O299" authorId="3" shapeId="0" xr:uid="{9A43162B-E0B3-46F6-ABE8-C1972655741C}">
      <text>
        <r>
          <rPr>
            <sz val="8"/>
            <color rgb="FF000000"/>
            <rFont val="Tahoma"/>
            <family val="2"/>
          </rPr>
          <t xml:space="preserve">Low Warning  AA006:  Metric difference from prior year &gt;= 20% </t>
        </r>
      </text>
    </comment>
    <comment ref="AA299" authorId="3" shapeId="0" xr:uid="{F07E0E13-25C4-43B9-B71F-9615BC523B06}">
      <text>
        <r>
          <rPr>
            <sz val="8"/>
            <color rgb="FF000000"/>
            <rFont val="Tahoma"/>
            <family val="2"/>
          </rPr>
          <t xml:space="preserve">Low Warning  AA006:  Metric difference from prior year &gt;= 20% </t>
        </r>
      </text>
    </comment>
    <comment ref="AE299" authorId="3" shapeId="0" xr:uid="{B02361F8-8817-4515-A38E-BC8CDACE1F0F}">
      <text>
        <r>
          <rPr>
            <sz val="8"/>
            <color rgb="FF000000"/>
            <rFont val="Tahoma"/>
            <family val="2"/>
          </rPr>
          <t xml:space="preserve">Low Warning  AA006:  Metric difference from prior year &gt;= 20% </t>
        </r>
      </text>
    </comment>
    <comment ref="AA300" authorId="3" shapeId="0" xr:uid="{D24DC071-9F76-418B-AE2D-C387EC3F0101}">
      <text>
        <r>
          <rPr>
            <sz val="8"/>
            <color rgb="FF000000"/>
            <rFont val="Tahoma"/>
            <family val="2"/>
          </rPr>
          <t xml:space="preserve">Low Warning  AA006:  Metric difference from prior year &gt;= 20% </t>
        </r>
      </text>
    </comment>
    <comment ref="AC300" authorId="3" shapeId="0" xr:uid="{CBBEA0B0-82FF-4283-85DD-7EA2ADD02B5F}">
      <text>
        <r>
          <rPr>
            <sz val="8"/>
            <color rgb="FF000000"/>
            <rFont val="Tahoma"/>
            <family val="2"/>
          </rPr>
          <t>Moderate Warning  AA008:  Large Metric difference from prior year &gt;= 50%</t>
        </r>
      </text>
    </comment>
    <comment ref="AE300" authorId="3" shapeId="0" xr:uid="{6F1A79D7-EB5F-4DE7-9ADC-6255D82D9713}">
      <text>
        <r>
          <rPr>
            <sz val="8"/>
            <color rgb="FF000000"/>
            <rFont val="Tahoma"/>
            <family val="2"/>
          </rPr>
          <t xml:space="preserve">Low Warning  AA006:  Metric difference from prior year &gt;= 20% </t>
        </r>
      </text>
    </comment>
    <comment ref="AA301" authorId="3" shapeId="0" xr:uid="{7F1C63CE-8753-4155-9E8E-77EFB789BA3F}">
      <text>
        <r>
          <rPr>
            <sz val="8"/>
            <color rgb="FF000000"/>
            <rFont val="Tahoma"/>
            <family val="2"/>
          </rPr>
          <t xml:space="preserve">Low Warning  AA006:  Metric difference from prior year &gt;= 20% </t>
        </r>
      </text>
    </comment>
    <comment ref="AA302" authorId="3" shapeId="0" xr:uid="{81D8F95D-98CA-4133-853B-8BEBB2B18017}">
      <text>
        <r>
          <rPr>
            <sz val="8"/>
            <color rgb="FF000000"/>
            <rFont val="Tahoma"/>
            <family val="2"/>
          </rPr>
          <t xml:space="preserve">Low Warning  AA006:  Metric difference from prior year &gt;= 20% </t>
        </r>
      </text>
    </comment>
    <comment ref="AC302" authorId="3" shapeId="0" xr:uid="{79494C69-0557-4A99-B305-9A8DEF0084B0}">
      <text>
        <r>
          <rPr>
            <sz val="8"/>
            <color rgb="FF000000"/>
            <rFont val="Tahoma"/>
            <family val="2"/>
          </rPr>
          <t xml:space="preserve">Low Warning  AA006:  Metric difference from prior year &gt;= 20% </t>
        </r>
      </text>
    </comment>
    <comment ref="AE302" authorId="3" shapeId="0" xr:uid="{AA5864F4-7DDC-4BC5-9082-87CE31C51192}">
      <text>
        <r>
          <rPr>
            <sz val="8"/>
            <color rgb="FF000000"/>
            <rFont val="Tahoma"/>
            <family val="2"/>
          </rPr>
          <t xml:space="preserve">Low Warning  AA006:  Metric difference from prior year &gt;= 20% </t>
        </r>
      </text>
    </comment>
    <comment ref="AA303" authorId="3" shapeId="0" xr:uid="{9770B500-DED4-493E-9F7A-A36C150F8659}">
      <text>
        <r>
          <rPr>
            <sz val="8"/>
            <color rgb="FF000000"/>
            <rFont val="Tahoma"/>
            <family val="2"/>
          </rPr>
          <t xml:space="preserve">Severe Warning  AA009:  Substantial Metric difference from prior year &gt;=100% </t>
        </r>
      </text>
    </comment>
    <comment ref="AE303" authorId="3" shapeId="0" xr:uid="{EB46A6E1-D33B-4542-8A60-F8926E1A01B5}">
      <text>
        <r>
          <rPr>
            <sz val="8"/>
            <color rgb="FF000000"/>
            <rFont val="Tahoma"/>
            <family val="2"/>
          </rPr>
          <t xml:space="preserve">Low Warning  AA006:  Metric difference from prior year &gt;= 20% </t>
        </r>
      </text>
    </comment>
    <comment ref="K304" authorId="3" shapeId="0" xr:uid="{8783CD76-9CD6-4D7D-AB12-3B16E2B57D95}">
      <text>
        <r>
          <rPr>
            <sz val="8"/>
            <color rgb="FF000000"/>
            <rFont val="Tahoma"/>
            <family val="2"/>
          </rPr>
          <t xml:space="preserve">Low Warning  AA006:  Metric difference from prior year &gt;= 20% </t>
        </r>
      </text>
    </comment>
    <comment ref="AC304" authorId="3" shapeId="0" xr:uid="{4C2C283B-D2C9-48EC-B7AF-C862B00AA42C}">
      <text>
        <r>
          <rPr>
            <sz val="8"/>
            <color rgb="FF000000"/>
            <rFont val="Tahoma"/>
            <family val="2"/>
          </rPr>
          <t xml:space="preserve">Low Warning  AA006:  Metric difference from prior year &gt;= 20% </t>
        </r>
      </text>
    </comment>
    <comment ref="AE304" authorId="3" shapeId="0" xr:uid="{0056E378-EA85-4316-901E-53E68CD9578B}">
      <text>
        <r>
          <rPr>
            <sz val="8"/>
            <color rgb="FF000000"/>
            <rFont val="Tahoma"/>
            <family val="2"/>
          </rPr>
          <t xml:space="preserve">Low Warning  AA006:  Metric difference from prior year &gt;= 20% </t>
        </r>
      </text>
    </comment>
    <comment ref="AA305" authorId="3" shapeId="0" xr:uid="{ABAAFA60-9EE8-4071-95B6-9CA4ECE80754}">
      <text>
        <r>
          <rPr>
            <sz val="8"/>
            <color rgb="FF000000"/>
            <rFont val="Tahoma"/>
            <family val="2"/>
          </rPr>
          <t xml:space="preserve">Low Warning  AA006:  Metric difference from prior year &gt;= 20% </t>
        </r>
      </text>
    </comment>
    <comment ref="AC305" authorId="3" shapeId="0" xr:uid="{F327869B-9866-4C76-8F87-1CCBA895C4C5}">
      <text>
        <r>
          <rPr>
            <sz val="8"/>
            <color rgb="FF000000"/>
            <rFont val="Tahoma"/>
            <family val="2"/>
          </rPr>
          <t>Moderate Warning  AA008:  Large Metric difference from prior year &gt;= 50%</t>
        </r>
      </text>
    </comment>
    <comment ref="AE305" authorId="3" shapeId="0" xr:uid="{341DF484-0FBA-422B-9E45-CD28224D2C70}">
      <text>
        <r>
          <rPr>
            <sz val="8"/>
            <color rgb="FF000000"/>
            <rFont val="Tahoma"/>
            <family val="2"/>
          </rPr>
          <t>Moderate Warning  AA008:  Large Metric difference from prior year &gt;= 50%</t>
        </r>
      </text>
    </comment>
    <comment ref="AA306" authorId="3" shapeId="0" xr:uid="{4EDC9592-E5C4-4D9E-8223-A8F2EA61EDEB}">
      <text>
        <r>
          <rPr>
            <sz val="8"/>
            <color rgb="FF000000"/>
            <rFont val="Tahoma"/>
            <family val="2"/>
          </rPr>
          <t>Moderate Warning  AA008:  Large Metric difference from prior year &gt;= 50%</t>
        </r>
      </text>
    </comment>
    <comment ref="AC306" authorId="3" shapeId="0" xr:uid="{7F6892CC-9D14-4F3C-8901-214EE91FE48F}">
      <text>
        <r>
          <rPr>
            <sz val="8"/>
            <color rgb="FF000000"/>
            <rFont val="Tahoma"/>
            <family val="2"/>
          </rPr>
          <t>Moderate Warning  AA008:  Large Metric difference from prior year &gt;= 50%</t>
        </r>
      </text>
    </comment>
    <comment ref="AE306" authorId="3" shapeId="0" xr:uid="{0632366A-FFB1-4A76-A0E8-2255F7287F71}">
      <text>
        <r>
          <rPr>
            <sz val="8"/>
            <color rgb="FF000000"/>
            <rFont val="Tahoma"/>
            <family val="2"/>
          </rPr>
          <t xml:space="preserve">Low Warning  AA006:  Metric difference from prior year &gt;= 20% </t>
        </r>
      </text>
    </comment>
    <comment ref="AC307" authorId="3" shapeId="0" xr:uid="{275BD53A-2951-43A1-9B93-171DFCE1C972}">
      <text>
        <r>
          <rPr>
            <sz val="8"/>
            <color rgb="FF000000"/>
            <rFont val="Tahoma"/>
            <family val="2"/>
          </rPr>
          <t xml:space="preserve">Low Warning  AA006:  Metric difference from prior year &gt;= 20% </t>
        </r>
      </text>
    </comment>
    <comment ref="K308" authorId="3" shapeId="0" xr:uid="{115ABAE5-512B-4356-A3CC-98A895E90AC0}">
      <text>
        <r>
          <rPr>
            <sz val="8"/>
            <color rgb="FF000000"/>
            <rFont val="Tahoma"/>
            <family val="2"/>
          </rPr>
          <t>Moderate Warning  AA008:  Large Metric difference from prior year &gt;= 50%</t>
        </r>
      </text>
    </comment>
    <comment ref="O308" authorId="3" shapeId="0" xr:uid="{D670F83D-2C32-401B-AADA-B305EAA2575A}">
      <text>
        <r>
          <rPr>
            <sz val="8"/>
            <color rgb="FF000000"/>
            <rFont val="Tahoma"/>
            <family val="2"/>
          </rPr>
          <t xml:space="preserve">Low Warning  AA006:  Metric difference from prior year &gt;= 20% </t>
        </r>
      </text>
    </comment>
    <comment ref="U309" authorId="3" shapeId="0" xr:uid="{28BA693C-4933-44D3-AD84-6B4DE172FC11}">
      <text>
        <r>
          <rPr>
            <sz val="8"/>
            <color rgb="FF000000"/>
            <rFont val="Tahoma"/>
            <family val="2"/>
          </rPr>
          <t xml:space="preserve">Low Warning  AA006:  Metric difference from prior year &gt;= 20% </t>
        </r>
      </text>
    </comment>
    <comment ref="AA309" authorId="3" shapeId="0" xr:uid="{97600BE4-F680-4A85-A9F8-76DB2E267670}">
      <text>
        <r>
          <rPr>
            <sz val="8"/>
            <color rgb="FF000000"/>
            <rFont val="Tahoma"/>
            <family val="2"/>
          </rPr>
          <t xml:space="preserve">Low Warning  AA006:  Metric difference from prior year &gt;= 20% </t>
        </r>
      </text>
    </comment>
    <comment ref="AC309" authorId="3" shapeId="0" xr:uid="{004B1F8B-1551-46CC-BED6-E2301D3FDC04}">
      <text>
        <r>
          <rPr>
            <sz val="8"/>
            <color rgb="FF000000"/>
            <rFont val="Tahoma"/>
            <family val="2"/>
          </rPr>
          <t>Moderate Warning  AA008:  Large Metric difference from prior year &gt;= 50%</t>
        </r>
      </text>
    </comment>
    <comment ref="AE309" authorId="3" shapeId="0" xr:uid="{92D4F673-AA09-4B6B-9C5A-1ECA4866C3C4}">
      <text>
        <r>
          <rPr>
            <sz val="8"/>
            <color rgb="FF000000"/>
            <rFont val="Tahoma"/>
            <family val="2"/>
          </rPr>
          <t>Moderate Warning  AA008:  Large Metric difference from prior year &gt;= 50%</t>
        </r>
      </text>
    </comment>
    <comment ref="M310" authorId="3" shapeId="0" xr:uid="{FF47B040-D08F-4CEF-8307-137393942813}">
      <text>
        <r>
          <rPr>
            <sz val="8"/>
            <color rgb="FF000000"/>
            <rFont val="Tahoma"/>
            <family val="2"/>
          </rPr>
          <t xml:space="preserve">Low Warning  AA006:  Metric difference from prior year &gt;= 20% </t>
        </r>
      </text>
    </comment>
    <comment ref="O310" authorId="3" shapeId="0" xr:uid="{46C9D0AE-EBBB-4B8F-9E25-3D7023D4C568}">
      <text>
        <r>
          <rPr>
            <sz val="8"/>
            <color rgb="FF000000"/>
            <rFont val="Tahoma"/>
            <family val="2"/>
          </rPr>
          <t xml:space="preserve">Low Warning  AA006:  Metric difference from prior year &gt;= 20% </t>
        </r>
      </text>
    </comment>
    <comment ref="AA310" authorId="3" shapeId="0" xr:uid="{9D69D5DB-9635-4D3A-B03A-FA4F77FBF36A}">
      <text>
        <r>
          <rPr>
            <sz val="8"/>
            <color rgb="FF000000"/>
            <rFont val="Tahoma"/>
            <family val="2"/>
          </rPr>
          <t>Moderate Warning  AA008:  Large Metric difference from prior year &gt;= 50%</t>
        </r>
      </text>
    </comment>
    <comment ref="AC310" authorId="3" shapeId="0" xr:uid="{78D0CECD-1D4C-41EC-A22E-1507BF7F951E}">
      <text>
        <r>
          <rPr>
            <sz val="8"/>
            <color rgb="FF000000"/>
            <rFont val="Tahoma"/>
            <family val="2"/>
          </rPr>
          <t>Moderate Warning  AA008:  Large Metric difference from prior year &gt;= 50%</t>
        </r>
      </text>
    </comment>
    <comment ref="AE310" authorId="3" shapeId="0" xr:uid="{CBAA7393-0F04-4585-A15F-F7EF224FF7BE}">
      <text>
        <r>
          <rPr>
            <sz val="8"/>
            <color rgb="FF000000"/>
            <rFont val="Tahoma"/>
            <family val="2"/>
          </rPr>
          <t xml:space="preserve">Low Warning  AA006:  Metric difference from prior year &gt;= 20% </t>
        </r>
      </text>
    </comment>
    <comment ref="M311" authorId="3" shapeId="0" xr:uid="{E39B1400-EBEB-480B-9435-A173BF84EDA4}">
      <text>
        <r>
          <rPr>
            <sz val="8"/>
            <color rgb="FF000000"/>
            <rFont val="Tahoma"/>
            <family val="2"/>
          </rPr>
          <t xml:space="preserve">Low Warning  AA006:  Metric difference from prior year &gt;= 20% </t>
        </r>
      </text>
    </comment>
    <comment ref="AA311" authorId="3" shapeId="0" xr:uid="{7E849DF6-ED23-44EC-B882-E7D01C3EB627}">
      <text>
        <r>
          <rPr>
            <sz val="8"/>
            <color rgb="FF000000"/>
            <rFont val="Tahoma"/>
            <family val="2"/>
          </rPr>
          <t xml:space="preserve">Low Warning  AA006:  Metric difference from prior year &gt;= 20% </t>
        </r>
      </text>
    </comment>
    <comment ref="AE311" authorId="3" shapeId="0" xr:uid="{1B3697F7-EB3E-4D63-B088-252061F2587A}">
      <text>
        <r>
          <rPr>
            <sz val="8"/>
            <color rgb="FF000000"/>
            <rFont val="Tahoma"/>
            <family val="2"/>
          </rPr>
          <t xml:space="preserve">Low Warning  AA006:  Metric difference from prior year &gt;= 20% </t>
        </r>
      </text>
    </comment>
    <comment ref="M312" authorId="3" shapeId="0" xr:uid="{2D25CB58-4510-4102-B093-0AD4634B028E}">
      <text>
        <r>
          <rPr>
            <sz val="8"/>
            <color rgb="FF000000"/>
            <rFont val="Tahoma"/>
            <family val="2"/>
          </rPr>
          <t xml:space="preserve">Low Warning  AA006:  Metric difference from prior year &gt;= 20% </t>
        </r>
      </text>
    </comment>
    <comment ref="AA312" authorId="3" shapeId="0" xr:uid="{ADBE2772-540C-41F7-865A-B40E51E26B42}">
      <text>
        <r>
          <rPr>
            <sz val="8"/>
            <color rgb="FF000000"/>
            <rFont val="Tahoma"/>
            <family val="2"/>
          </rPr>
          <t xml:space="preserve">Low Warning  AA006:  Metric difference from prior year &gt;= 20% </t>
        </r>
      </text>
    </comment>
    <comment ref="AC312" authorId="3" shapeId="0" xr:uid="{F5E11050-7E1B-44B2-8FD8-765B32335502}">
      <text>
        <r>
          <rPr>
            <sz val="8"/>
            <color rgb="FF000000"/>
            <rFont val="Tahoma"/>
            <family val="2"/>
          </rPr>
          <t xml:space="preserve">Low Warning  AA006:  Metric difference from prior year &gt;= 20% </t>
        </r>
      </text>
    </comment>
    <comment ref="M313" authorId="3" shapeId="0" xr:uid="{0FA7F0FE-5581-488C-A402-EBBF73ED8223}">
      <text>
        <r>
          <rPr>
            <sz val="8"/>
            <color rgb="FF000000"/>
            <rFont val="Tahoma"/>
            <family val="2"/>
          </rPr>
          <t xml:space="preserve">Low Warning  AA006:  Metric difference from prior year &gt;= 20% </t>
        </r>
      </text>
    </comment>
    <comment ref="AA313" authorId="3" shapeId="0" xr:uid="{A73005B3-6E25-4489-80D9-D8622AA77F67}">
      <text>
        <r>
          <rPr>
            <sz val="8"/>
            <color rgb="FF000000"/>
            <rFont val="Tahoma"/>
            <family val="2"/>
          </rPr>
          <t xml:space="preserve">Low Warning  AA006:  Metric difference from prior year &gt;= 20% </t>
        </r>
      </text>
    </comment>
    <comment ref="AC313" authorId="3" shapeId="0" xr:uid="{C70E002F-14A8-4C0B-9ECF-7E1A3131293E}">
      <text>
        <r>
          <rPr>
            <sz val="8"/>
            <color rgb="FF000000"/>
            <rFont val="Tahoma"/>
            <family val="2"/>
          </rPr>
          <t>Moderate Warning  AA008:  Large Metric difference from prior year &gt;= 50%</t>
        </r>
      </text>
    </comment>
    <comment ref="AE313" authorId="3" shapeId="0" xr:uid="{991EB824-C2B5-48E7-8CD2-FEB355233D6D}">
      <text>
        <r>
          <rPr>
            <sz val="8"/>
            <color rgb="FF000000"/>
            <rFont val="Tahoma"/>
            <family val="2"/>
          </rPr>
          <t xml:space="preserve">Low Warning  AA006:  Metric difference from prior year &gt;= 20% </t>
        </r>
      </text>
    </comment>
    <comment ref="AA314" authorId="3" shapeId="0" xr:uid="{D26E2E5C-6665-45A7-A6EF-B6239A0B6E82}">
      <text>
        <r>
          <rPr>
            <sz val="8"/>
            <color rgb="FF000000"/>
            <rFont val="Tahoma"/>
            <family val="2"/>
          </rPr>
          <t xml:space="preserve">Low Warning  AA006:  Metric difference from prior year &gt;= 20% </t>
        </r>
      </text>
    </comment>
    <comment ref="AC314" authorId="3" shapeId="0" xr:uid="{B35E163A-FC1E-49E5-B628-F75C391836C3}">
      <text>
        <r>
          <rPr>
            <sz val="8"/>
            <color rgb="FF000000"/>
            <rFont val="Tahoma"/>
            <family val="2"/>
          </rPr>
          <t>Moderate Warning  AA008:  Large Metric difference from prior year &gt;= 50%</t>
        </r>
      </text>
    </comment>
    <comment ref="AE314" authorId="3" shapeId="0" xr:uid="{69757E67-08AA-4909-AA06-8135FCD48FCB}">
      <text>
        <r>
          <rPr>
            <sz val="8"/>
            <color rgb="FF000000"/>
            <rFont val="Tahoma"/>
            <family val="2"/>
          </rPr>
          <t>Moderate Warning  AA008:  Large Metric difference from prior year &gt;= 50%</t>
        </r>
      </text>
    </comment>
    <comment ref="AA315" authorId="3" shapeId="0" xr:uid="{22DAB2FD-D8BD-4147-B691-27F321A216F9}">
      <text>
        <r>
          <rPr>
            <sz val="8"/>
            <color rgb="FF000000"/>
            <rFont val="Tahoma"/>
            <family val="2"/>
          </rPr>
          <t xml:space="preserve">Low Warning  AA006:  Metric difference from prior year &gt;= 20% </t>
        </r>
      </text>
    </comment>
    <comment ref="AC315" authorId="3" shapeId="0" xr:uid="{CE6907AC-C821-441B-9758-CFC60F5273BC}">
      <text>
        <r>
          <rPr>
            <sz val="8"/>
            <color rgb="FF000000"/>
            <rFont val="Tahoma"/>
            <family val="2"/>
          </rPr>
          <t xml:space="preserve">Low Warning  AA006:  Metric difference from prior year &gt;= 20% </t>
        </r>
      </text>
    </comment>
    <comment ref="AE315" authorId="3" shapeId="0" xr:uid="{1658BD6E-B71B-4F09-9491-EC52622EDEC1}">
      <text>
        <r>
          <rPr>
            <sz val="8"/>
            <color rgb="FF000000"/>
            <rFont val="Tahoma"/>
            <family val="2"/>
          </rPr>
          <t xml:space="preserve">Low Warning  AA006:  Metric difference from prior year &gt;= 20% </t>
        </r>
      </text>
    </comment>
    <comment ref="AA316" authorId="3" shapeId="0" xr:uid="{14B9CF75-7510-4BDB-87F8-746252A38BFD}">
      <text>
        <r>
          <rPr>
            <sz val="8"/>
            <color rgb="FF000000"/>
            <rFont val="Tahoma"/>
            <family val="2"/>
          </rPr>
          <t xml:space="preserve">Low Warning  AA006:  Metric difference from prior year &gt;= 20% </t>
        </r>
      </text>
    </comment>
    <comment ref="AC316" authorId="3" shapeId="0" xr:uid="{4800FCC8-2D6D-4DD5-AA4A-C5D35F222DA5}">
      <text>
        <r>
          <rPr>
            <sz val="8"/>
            <color rgb="FF000000"/>
            <rFont val="Tahoma"/>
            <family val="2"/>
          </rPr>
          <t>Moderate Warning  AA008:  Large Metric difference from prior year &gt;= 50%</t>
        </r>
      </text>
    </comment>
    <comment ref="AE316" authorId="3" shapeId="0" xr:uid="{6EF6B442-C8D8-4AAA-BA03-A1D3948AE1E5}">
      <text>
        <r>
          <rPr>
            <sz val="8"/>
            <color rgb="FF000000"/>
            <rFont val="Tahoma"/>
            <family val="2"/>
          </rPr>
          <t xml:space="preserve">Low Warning  AA006:  Metric difference from prior year &gt;= 20% </t>
        </r>
      </text>
    </comment>
    <comment ref="AA317" authorId="3" shapeId="0" xr:uid="{52F6C010-EDDA-406F-A7B7-876ABB7696EF}">
      <text>
        <r>
          <rPr>
            <sz val="8"/>
            <color rgb="FF000000"/>
            <rFont val="Tahoma"/>
            <family val="2"/>
          </rPr>
          <t>Moderate Warning  AA008:  Large Metric difference from prior year &gt;= 50%</t>
        </r>
      </text>
    </comment>
    <comment ref="AC317" authorId="3" shapeId="0" xr:uid="{9763C63E-F899-4896-B7B1-8E1C3C7FB9DF}">
      <text>
        <r>
          <rPr>
            <sz val="8"/>
            <color rgb="FF000000"/>
            <rFont val="Tahoma"/>
            <family val="2"/>
          </rPr>
          <t>Moderate Warning  AA008:  Large Metric difference from prior year &gt;= 50%</t>
        </r>
      </text>
    </comment>
    <comment ref="AE317" authorId="3" shapeId="0" xr:uid="{A6844151-A0F6-42EE-BF1D-BD426E92E23D}">
      <text>
        <r>
          <rPr>
            <sz val="8"/>
            <color rgb="FF000000"/>
            <rFont val="Tahoma"/>
            <family val="2"/>
          </rPr>
          <t xml:space="preserve">Low Warning  AA006:  Metric difference from prior year &gt;= 20% </t>
        </r>
      </text>
    </comment>
    <comment ref="AA318" authorId="3" shapeId="0" xr:uid="{60804817-77D5-48D6-9E7A-A953376938F6}">
      <text>
        <r>
          <rPr>
            <sz val="8"/>
            <color rgb="FF000000"/>
            <rFont val="Tahoma"/>
            <family val="2"/>
          </rPr>
          <t xml:space="preserve">Low Warning  AA006:  Metric difference from prior year &gt;= 20% </t>
        </r>
      </text>
    </comment>
    <comment ref="AC318" authorId="3" shapeId="0" xr:uid="{B7059CD6-9826-48BE-A5FC-85D24548A37D}">
      <text>
        <r>
          <rPr>
            <sz val="8"/>
            <color rgb="FF000000"/>
            <rFont val="Tahoma"/>
            <family val="2"/>
          </rPr>
          <t>Moderate Warning  AA008:  Large Metric difference from prior year &gt;= 50%</t>
        </r>
      </text>
    </comment>
    <comment ref="AE318" authorId="3" shapeId="0" xr:uid="{1AE68FF3-264F-4304-996E-1B271E85F74A}">
      <text>
        <r>
          <rPr>
            <sz val="8"/>
            <color rgb="FF000000"/>
            <rFont val="Tahoma"/>
            <family val="2"/>
          </rPr>
          <t xml:space="preserve">Low Warning  AA006:  Metric difference from prior year &gt;= 20% </t>
        </r>
      </text>
    </comment>
    <comment ref="AE322" authorId="3" shapeId="0" xr:uid="{3282606E-D6A3-4B27-A94D-3334019F0CC6}">
      <text>
        <r>
          <rPr>
            <sz val="8"/>
            <color rgb="FF000000"/>
            <rFont val="Tahoma"/>
            <family val="2"/>
          </rPr>
          <t>Moderate Warning  AA008:  Large Metric difference from prior year &gt;= 50%</t>
        </r>
      </text>
    </comment>
    <comment ref="AE323" authorId="3" shapeId="0" xr:uid="{91240562-C0BC-4C81-964D-05150EA4C804}">
      <text>
        <r>
          <rPr>
            <sz val="8"/>
            <color rgb="FF000000"/>
            <rFont val="Tahoma"/>
            <family val="2"/>
          </rPr>
          <t xml:space="preserve">Low Warning  AA006:  Metric difference from prior year &gt;= 20% </t>
        </r>
      </text>
    </comment>
    <comment ref="AE325" authorId="3" shapeId="0" xr:uid="{B17E9A67-5529-4C92-AE86-582135781C17}">
      <text>
        <r>
          <rPr>
            <sz val="8"/>
            <color rgb="FF000000"/>
            <rFont val="Tahoma"/>
            <family val="2"/>
          </rPr>
          <t xml:space="preserve">Low Warning  AA006:  Metric difference from prior year &gt;= 20% </t>
        </r>
      </text>
    </comment>
    <comment ref="AE327" authorId="3" shapeId="0" xr:uid="{61DC8DA2-6825-460B-B02B-003B5405952B}">
      <text>
        <r>
          <rPr>
            <sz val="8"/>
            <color rgb="FF000000"/>
            <rFont val="Tahoma"/>
            <family val="2"/>
          </rPr>
          <t xml:space="preserve">Low Warning  AA006:  Metric difference from prior year &gt;= 20% </t>
        </r>
      </text>
    </comment>
    <comment ref="AE328" authorId="3" shapeId="0" xr:uid="{F69C3195-FE96-4F58-A243-C3D155094923}">
      <text>
        <r>
          <rPr>
            <sz val="8"/>
            <color rgb="FF000000"/>
            <rFont val="Tahoma"/>
            <family val="2"/>
          </rPr>
          <t>Moderate Warning  AA008:  Large Metric difference from prior year &gt;= 50%</t>
        </r>
      </text>
    </comment>
    <comment ref="AE330" authorId="3" shapeId="0" xr:uid="{CE35D456-43FE-4CF5-91DB-8B62005AB7B8}">
      <text>
        <r>
          <rPr>
            <sz val="8"/>
            <color rgb="FF000000"/>
            <rFont val="Tahoma"/>
            <family val="2"/>
          </rPr>
          <t xml:space="preserve">Low Warning  AA006:  Metric difference from prior year &gt;= 20% </t>
        </r>
      </text>
    </comment>
    <comment ref="AE332" authorId="3" shapeId="0" xr:uid="{CD2EAFA1-DBDF-43A1-BA3C-A06763C7299F}">
      <text>
        <r>
          <rPr>
            <sz val="8"/>
            <color rgb="FF000000"/>
            <rFont val="Tahoma"/>
            <family val="2"/>
          </rPr>
          <t>Moderate Warning  AA008:  Large Metric difference from prior year &gt;= 50%</t>
        </r>
      </text>
    </comment>
    <comment ref="AE336" authorId="3" shapeId="0" xr:uid="{114E8080-7697-44E7-9175-86C67311983B}">
      <text>
        <r>
          <rPr>
            <sz val="8"/>
            <color rgb="FF000000"/>
            <rFont val="Tahoma"/>
            <family val="2"/>
          </rPr>
          <t>Moderate Warning  AA008:  Large Metric difference from prior year &gt;= 50%</t>
        </r>
      </text>
    </comment>
    <comment ref="AE338" authorId="3" shapeId="0" xr:uid="{F652299E-A9BB-45FA-BE76-3E5B2B132703}">
      <text>
        <r>
          <rPr>
            <sz val="8"/>
            <color rgb="FF000000"/>
            <rFont val="Tahoma"/>
            <family val="2"/>
          </rPr>
          <t xml:space="preserve">Low Warning  AA006:  Metric difference from prior year &gt;= 20% </t>
        </r>
      </text>
    </comment>
    <comment ref="AE346" authorId="3" shapeId="0" xr:uid="{F39E277D-14DA-4CB9-8634-0152CE9C1ACB}">
      <text>
        <r>
          <rPr>
            <sz val="8"/>
            <color rgb="FF000000"/>
            <rFont val="Tahoma"/>
            <family val="2"/>
          </rPr>
          <t>Moderate Warning  AA008:  Large Metric difference from prior year &gt;= 50%</t>
        </r>
      </text>
    </comment>
    <comment ref="AE347" authorId="3" shapeId="0" xr:uid="{BCC19DF8-555A-4FF7-A170-C89BDF08FE84}">
      <text>
        <r>
          <rPr>
            <sz val="8"/>
            <color rgb="FF000000"/>
            <rFont val="Tahoma"/>
            <family val="2"/>
          </rPr>
          <t>Moderate Warning  AA008:  Large Metric difference from prior year &gt;= 50%</t>
        </r>
      </text>
    </comment>
    <comment ref="AE348" authorId="3" shapeId="0" xr:uid="{4E743F87-BC15-4BD3-9E80-06BAD67F9A34}">
      <text>
        <r>
          <rPr>
            <sz val="8"/>
            <color rgb="FF000000"/>
            <rFont val="Tahoma"/>
            <family val="2"/>
          </rPr>
          <t>Moderate Warning  AA008:  Large Metric difference from prior year &gt;= 50%</t>
        </r>
      </text>
    </comment>
    <comment ref="AE349" authorId="3" shapeId="0" xr:uid="{FBBDF49D-5AED-4076-852D-440C1C44CC8E}">
      <text>
        <r>
          <rPr>
            <sz val="8"/>
            <color rgb="FF000000"/>
            <rFont val="Tahoma"/>
            <family val="2"/>
          </rPr>
          <t>Moderate Warning  AA008:  Large Metric difference from prior year &gt;= 50%</t>
        </r>
      </text>
    </comment>
    <comment ref="AE351" authorId="3" shapeId="0" xr:uid="{34D54324-5196-453C-852D-3B16E8737BE2}">
      <text>
        <r>
          <rPr>
            <sz val="8"/>
            <color rgb="FF000000"/>
            <rFont val="Tahoma"/>
            <family val="2"/>
          </rPr>
          <t xml:space="preserve">Low Warning  AA006:  Metric difference from prior year &gt;= 20% </t>
        </r>
      </text>
    </comment>
    <comment ref="AE354" authorId="3" shapeId="0" xr:uid="{49702F87-63AB-4037-A292-4D8A77EF395D}">
      <text>
        <r>
          <rPr>
            <sz val="8"/>
            <color rgb="FF000000"/>
            <rFont val="Tahoma"/>
            <family val="2"/>
          </rPr>
          <t xml:space="preserve">Low Warning  AA006:  Metric difference from prior year &gt;= 20% </t>
        </r>
      </text>
    </comment>
    <comment ref="AE355" authorId="3" shapeId="0" xr:uid="{D03F2DA1-4287-4406-B1CC-A9824FA16F5B}">
      <text>
        <r>
          <rPr>
            <sz val="8"/>
            <color rgb="FF000000"/>
            <rFont val="Tahoma"/>
            <family val="2"/>
          </rPr>
          <t xml:space="preserve">Low Warning  AA006:  Metric difference from prior year &gt;= 20% </t>
        </r>
      </text>
    </comment>
    <comment ref="AE358" authorId="3" shapeId="0" xr:uid="{3B216064-3722-409D-85B0-8553AA1490AA}">
      <text>
        <r>
          <rPr>
            <sz val="8"/>
            <color rgb="FF000000"/>
            <rFont val="Tahoma"/>
            <family val="2"/>
          </rPr>
          <t>Moderate Warning  AA008:  Large Metric difference from prior year &gt;= 50%</t>
        </r>
      </text>
    </comment>
    <comment ref="AE359" authorId="3" shapeId="0" xr:uid="{D9280FFA-3249-4DAA-B777-75F11C6D0196}">
      <text>
        <r>
          <rPr>
            <sz val="8"/>
            <color rgb="FF000000"/>
            <rFont val="Tahoma"/>
            <family val="2"/>
          </rPr>
          <t xml:space="preserve">Severe Warning  AA009:  Substantial Metric difference from prior year &gt;=100% </t>
        </r>
      </text>
    </comment>
    <comment ref="AE361" authorId="3" shapeId="0" xr:uid="{A9015CAF-6868-4B68-8BFF-CD5F54D52348}">
      <text>
        <r>
          <rPr>
            <sz val="8"/>
            <color rgb="FF000000"/>
            <rFont val="Tahoma"/>
            <family val="2"/>
          </rPr>
          <t xml:space="preserve">Low Warning  AA006:  Metric difference from prior year &gt;= 20% </t>
        </r>
      </text>
    </comment>
    <comment ref="M450" authorId="3" shapeId="0" xr:uid="{7ACFBD63-DF23-45F9-9DAD-A7E610CE452C}">
      <text>
        <r>
          <rPr>
            <sz val="8"/>
            <color rgb="FF000000"/>
            <rFont val="Tahoma"/>
            <family val="2"/>
          </rPr>
          <t xml:space="preserve">Low Warning  AA006:  Metric difference from prior year &gt;= 20% </t>
        </r>
      </text>
    </comment>
    <comment ref="U451" authorId="3" shapeId="0" xr:uid="{FC9EBAE3-4874-419A-B37F-2865D76DC7DB}">
      <text>
        <r>
          <rPr>
            <sz val="8"/>
            <color rgb="FF000000"/>
            <rFont val="Tahoma"/>
            <family val="2"/>
          </rPr>
          <t xml:space="preserve">Low Warning  AA006:  Metric difference from prior year &gt;= 20% </t>
        </r>
      </text>
    </comment>
    <comment ref="M452" authorId="3" shapeId="0" xr:uid="{ECC0D4A3-DB7A-4FF2-B27D-6A4F40E7224E}">
      <text>
        <r>
          <rPr>
            <sz val="8"/>
            <color rgb="FF000000"/>
            <rFont val="Tahoma"/>
            <family val="2"/>
          </rPr>
          <t xml:space="preserve">Low Warning  AA006:  Metric difference from prior year &gt;= 20% </t>
        </r>
      </text>
    </comment>
    <comment ref="AS452" authorId="3" shapeId="0" xr:uid="{E941884F-CE9C-48A8-88FD-932B2ACABD9F}">
      <text>
        <r>
          <rPr>
            <sz val="8"/>
            <color rgb="FF000000"/>
            <rFont val="Tahoma"/>
            <family val="2"/>
          </rPr>
          <t xml:space="preserve">Low Warning  AA006:  Metric difference from prior year &gt;= 20% </t>
        </r>
      </text>
    </comment>
    <comment ref="M455" authorId="3" shapeId="0" xr:uid="{CCF01163-6C74-4B19-9B4D-D6B58AAD5FB4}">
      <text>
        <r>
          <rPr>
            <sz val="8"/>
            <color rgb="FF000000"/>
            <rFont val="Tahoma"/>
            <family val="2"/>
          </rPr>
          <t>Moderate Warning  AA008:  Large Metric difference from prior year &gt;= 50%</t>
        </r>
      </text>
    </comment>
    <comment ref="M456" authorId="3" shapeId="0" xr:uid="{EC13AB35-4EF9-48A2-A561-0B662587006E}">
      <text>
        <r>
          <rPr>
            <sz val="8"/>
            <color rgb="FF000000"/>
            <rFont val="Tahoma"/>
            <family val="2"/>
          </rPr>
          <t xml:space="preserve">Low Warning  AA006:  Metric difference from prior year &gt;= 20% </t>
        </r>
      </text>
    </comment>
    <comment ref="M457" authorId="3" shapeId="0" xr:uid="{6F38100E-2265-4274-82F5-4E73ACD555DD}">
      <text>
        <r>
          <rPr>
            <sz val="8"/>
            <color rgb="FF000000"/>
            <rFont val="Tahoma"/>
            <family val="2"/>
          </rPr>
          <t xml:space="preserve">Low Warning  AA006:  Metric difference from prior year &gt;= 20% </t>
        </r>
      </text>
    </comment>
    <comment ref="U457" authorId="3" shapeId="0" xr:uid="{34A542A1-7016-4DB0-B670-A4930960295B}">
      <text>
        <r>
          <rPr>
            <sz val="8"/>
            <color rgb="FF000000"/>
            <rFont val="Tahoma"/>
            <family val="2"/>
          </rPr>
          <t>Moderate Warning  AA008:  Large Metric difference from prior year &gt;= 50%</t>
        </r>
      </text>
    </comment>
    <comment ref="AS459" authorId="3" shapeId="0" xr:uid="{6971E6A3-07B7-4CA3-A8D3-EC75912C727B}">
      <text>
        <r>
          <rPr>
            <sz val="8"/>
            <color rgb="FF000000"/>
            <rFont val="Tahoma"/>
            <family val="2"/>
          </rPr>
          <t xml:space="preserve">Low Warning  AA006:  Metric difference from prior year &gt;= 20% </t>
        </r>
      </text>
    </comment>
    <comment ref="AQ462" authorId="3" shapeId="0" xr:uid="{180C53A1-45B6-4550-9823-AAF9988F187C}">
      <text>
        <r>
          <rPr>
            <sz val="8"/>
            <color rgb="FF000000"/>
            <rFont val="Tahoma"/>
            <family val="2"/>
          </rPr>
          <t xml:space="preserve">Low Warning  AA006:  Metric difference from prior year &gt;= 20% </t>
        </r>
      </text>
    </comment>
    <comment ref="AS462" authorId="3" shapeId="0" xr:uid="{DAA30DF2-9B16-4BCF-8087-8CB303D28CAC}">
      <text>
        <r>
          <rPr>
            <sz val="8"/>
            <color rgb="FF000000"/>
            <rFont val="Tahoma"/>
            <family val="2"/>
          </rPr>
          <t xml:space="preserve">Low Warning  AA006:  Metric difference from prior year &gt;= 20% </t>
        </r>
      </text>
    </comment>
    <comment ref="U463" authorId="3" shapeId="0" xr:uid="{05F85172-9DD5-4586-B07C-A44411F38975}">
      <text>
        <r>
          <rPr>
            <sz val="8"/>
            <color rgb="FF000000"/>
            <rFont val="Tahoma"/>
            <family val="2"/>
          </rPr>
          <t xml:space="preserve">Severe Warning  AA009:  Substantial Metric difference from prior year &gt;=100% </t>
        </r>
      </text>
    </comment>
    <comment ref="U464" authorId="3" shapeId="0" xr:uid="{E9E18DA5-E183-42E7-89CF-22B04518BBB4}">
      <text>
        <r>
          <rPr>
            <sz val="8"/>
            <color rgb="FF000000"/>
            <rFont val="Tahoma"/>
            <family val="2"/>
          </rPr>
          <t>Moderate Warning  AA008:  Large Metric difference from prior year &gt;= 50%</t>
        </r>
      </text>
    </comment>
    <comment ref="AS464" authorId="3" shapeId="0" xr:uid="{16FF0AC8-968B-4D3F-A72F-A2815E6A6478}">
      <text>
        <r>
          <rPr>
            <sz val="8"/>
            <color rgb="FF000000"/>
            <rFont val="Tahoma"/>
            <family val="2"/>
          </rPr>
          <t xml:space="preserve">Low Warning  AA006:  Metric difference from prior year &gt;= 20% </t>
        </r>
      </text>
    </comment>
    <comment ref="U467" authorId="3" shapeId="0" xr:uid="{939B559C-5551-47DA-9589-8BF73E0B5243}">
      <text>
        <r>
          <rPr>
            <sz val="8"/>
            <color rgb="FF000000"/>
            <rFont val="Tahoma"/>
            <family val="2"/>
          </rPr>
          <t xml:space="preserve">Low Warning  AA006:  Metric difference from prior year &gt;= 20% </t>
        </r>
      </text>
    </comment>
    <comment ref="M469" authorId="3" shapeId="0" xr:uid="{DE4CCA08-53EF-4776-AF6E-9B3F3C60C950}">
      <text>
        <r>
          <rPr>
            <sz val="8"/>
            <color rgb="FF000000"/>
            <rFont val="Tahoma"/>
            <family val="2"/>
          </rPr>
          <t xml:space="preserve">Low Warning  AA006:  Metric difference from prior year &gt;= 20% </t>
        </r>
      </text>
    </comment>
    <comment ref="AS469" authorId="3" shapeId="0" xr:uid="{25C50FC6-380D-40F9-9BD6-DAC710C861EC}">
      <text>
        <r>
          <rPr>
            <sz val="8"/>
            <color rgb="FF000000"/>
            <rFont val="Tahoma"/>
            <family val="2"/>
          </rPr>
          <t>Moderate Warning  AA008:  Large Metric difference from prior year &gt;= 50%</t>
        </r>
      </text>
    </comment>
    <comment ref="M470" authorId="3" shapeId="0" xr:uid="{E1211B2B-DE56-4D21-A54F-2F23C2371433}">
      <text>
        <r>
          <rPr>
            <sz val="8"/>
            <color rgb="FF000000"/>
            <rFont val="Tahoma"/>
            <family val="2"/>
          </rPr>
          <t xml:space="preserve">Low Warning  AA006:  Metric difference from prior year &gt;= 20% </t>
        </r>
      </text>
    </comment>
    <comment ref="AQ470" authorId="3" shapeId="0" xr:uid="{3EAD899E-A6CE-4854-9564-8E86480AADE9}">
      <text>
        <r>
          <rPr>
            <sz val="8"/>
            <color rgb="FF000000"/>
            <rFont val="Tahoma"/>
            <family val="2"/>
          </rPr>
          <t>Moderate Warning  AA008:  Large Metric difference from prior year &gt;= 50%</t>
        </r>
      </text>
    </comment>
    <comment ref="AS470" authorId="3" shapeId="0" xr:uid="{DB2EF605-4DC5-4BFE-9A77-3F2A0C0115BF}">
      <text>
        <r>
          <rPr>
            <sz val="8"/>
            <color rgb="FF000000"/>
            <rFont val="Tahoma"/>
            <family val="2"/>
          </rPr>
          <t xml:space="preserve">Severe Warning  AA009:  Substantial Metric difference from prior year &gt;=100% </t>
        </r>
      </text>
    </comment>
    <comment ref="U472" authorId="3" shapeId="0" xr:uid="{672A9477-D9D4-4C1A-A03D-1021A8C15B71}">
      <text>
        <r>
          <rPr>
            <sz val="8"/>
            <color rgb="FF000000"/>
            <rFont val="Tahoma"/>
            <family val="2"/>
          </rPr>
          <t xml:space="preserve">Low Warning  AA006:  Metric difference from prior year &gt;= 20% </t>
        </r>
      </text>
    </comment>
    <comment ref="M473" authorId="3" shapeId="0" xr:uid="{3D644898-ABA7-4730-B0DA-840D2AAD26D6}">
      <text>
        <r>
          <rPr>
            <sz val="8"/>
            <color rgb="FF000000"/>
            <rFont val="Tahoma"/>
            <family val="2"/>
          </rPr>
          <t xml:space="preserve">Low Warning  AA006:  Metric difference from prior year &gt;= 20% </t>
        </r>
      </text>
    </comment>
    <comment ref="O473" authorId="3" shapeId="0" xr:uid="{62540632-F454-48BA-8CF1-41A8A0EDA56D}">
      <text>
        <r>
          <rPr>
            <sz val="8"/>
            <color rgb="FF000000"/>
            <rFont val="Tahoma"/>
            <family val="2"/>
          </rPr>
          <t xml:space="preserve">Low Warning  AA006:  Metric difference from prior year &gt;= 20% </t>
        </r>
      </text>
    </comment>
    <comment ref="U473" authorId="3" shapeId="0" xr:uid="{68F5D847-C5BD-48D9-91EE-32D0C8AF36D7}">
      <text>
        <r>
          <rPr>
            <sz val="8"/>
            <color rgb="FF000000"/>
            <rFont val="Tahoma"/>
            <family val="2"/>
          </rPr>
          <t>Moderate Warning  AA008:  Large Metric difference from prior year &gt;= 50%</t>
        </r>
      </text>
    </comment>
    <comment ref="AS473" authorId="3" shapeId="0" xr:uid="{E7299831-9CFB-4F82-9DCD-77328A9F2736}">
      <text>
        <r>
          <rPr>
            <sz val="8"/>
            <color rgb="FF000000"/>
            <rFont val="Tahoma"/>
            <family val="2"/>
          </rPr>
          <t xml:space="preserve">Low Warning  AA006:  Metric difference from prior year &gt;= 20% </t>
        </r>
      </text>
    </comment>
    <comment ref="M474" authorId="3" shapeId="0" xr:uid="{CFF29571-B5BB-4936-B82C-A6FA696840B9}">
      <text>
        <r>
          <rPr>
            <sz val="8"/>
            <color rgb="FF000000"/>
            <rFont val="Tahoma"/>
            <family val="2"/>
          </rPr>
          <t xml:space="preserve">Low Warning  AA006:  Metric difference from prior year &gt;= 20% </t>
        </r>
      </text>
    </comment>
    <comment ref="M475" authorId="3" shapeId="0" xr:uid="{DAFC7C3B-B8AE-4C18-A273-FE641F63E2C0}">
      <text>
        <r>
          <rPr>
            <sz val="8"/>
            <color rgb="FF000000"/>
            <rFont val="Tahoma"/>
            <family val="2"/>
          </rPr>
          <t>Moderate Warning  AA008:  Large Metric difference from prior year &gt;= 50%</t>
        </r>
      </text>
    </comment>
    <comment ref="U475" authorId="3" shapeId="0" xr:uid="{19968C82-DD7D-423E-94B1-891C06935ADC}">
      <text>
        <r>
          <rPr>
            <sz val="8"/>
            <color rgb="FF000000"/>
            <rFont val="Tahoma"/>
            <family val="2"/>
          </rPr>
          <t xml:space="preserve">Low Warning  AA006:  Metric difference from prior year &gt;= 20% </t>
        </r>
      </text>
    </comment>
    <comment ref="AQ476" authorId="3" shapeId="0" xr:uid="{68DBA863-B20B-45AA-8443-2F53D8D22B17}">
      <text>
        <r>
          <rPr>
            <sz val="8"/>
            <color rgb="FF000000"/>
            <rFont val="Tahoma"/>
            <family val="2"/>
          </rPr>
          <t xml:space="preserve">Low Warning  AA006:  Metric difference from prior year &gt;= 20% </t>
        </r>
      </text>
    </comment>
    <comment ref="M477" authorId="3" shapeId="0" xr:uid="{1D34CE15-5FD6-4EDF-AC05-3C37DE236670}">
      <text>
        <r>
          <rPr>
            <sz val="8"/>
            <color rgb="FF000000"/>
            <rFont val="Tahoma"/>
            <family val="2"/>
          </rPr>
          <t xml:space="preserve">Low Warning  AA006:  Metric difference from prior year &gt;= 20% </t>
        </r>
      </text>
    </comment>
    <comment ref="AS477" authorId="3" shapeId="0" xr:uid="{4E358591-4089-4B85-8A04-B8C4C3BD2E8D}">
      <text>
        <r>
          <rPr>
            <sz val="8"/>
            <color rgb="FF000000"/>
            <rFont val="Tahoma"/>
            <family val="2"/>
          </rPr>
          <t xml:space="preserve">Low Warning  AA006:  Metric difference from prior year &gt;= 20% </t>
        </r>
      </text>
    </comment>
    <comment ref="AU477" authorId="3" shapeId="0" xr:uid="{7BEDDFEA-A402-4594-9D14-21AFF67B69CB}">
      <text>
        <r>
          <rPr>
            <sz val="8"/>
            <color rgb="FF000000"/>
            <rFont val="Tahoma"/>
            <family val="2"/>
          </rPr>
          <t xml:space="preserve">Low Warning  AA006:  Metric difference from prior year &gt;= 20% </t>
        </r>
      </text>
    </comment>
    <comment ref="AU479" authorId="3" shapeId="0" xr:uid="{82B81AF7-4014-43B9-B635-4305BE9D7B2C}">
      <text>
        <r>
          <rPr>
            <sz val="8"/>
            <color rgb="FF000000"/>
            <rFont val="Tahoma"/>
            <family val="2"/>
          </rPr>
          <t xml:space="preserve">Low Warning  AA006:  Metric difference from prior year &gt;= 20% </t>
        </r>
      </text>
    </comment>
    <comment ref="M481" authorId="3" shapeId="0" xr:uid="{CBB727A9-3649-4B4B-B102-906EDE1779C2}">
      <text>
        <r>
          <rPr>
            <sz val="8"/>
            <color rgb="FF000000"/>
            <rFont val="Tahoma"/>
            <family val="2"/>
          </rPr>
          <t xml:space="preserve">Low Warning  AA006:  Metric difference from prior year &gt;= 20% </t>
        </r>
      </text>
    </comment>
    <comment ref="U481" authorId="3" shapeId="0" xr:uid="{51E42490-B91F-4DDF-9DC2-7E32048313A7}">
      <text>
        <r>
          <rPr>
            <sz val="8"/>
            <color rgb="FF000000"/>
            <rFont val="Tahoma"/>
            <family val="2"/>
          </rPr>
          <t>Moderate Warning  AA008:  Large Metric difference from prior year &gt;= 50%</t>
        </r>
      </text>
    </comment>
    <comment ref="U482" authorId="3" shapeId="0" xr:uid="{B7AAD4D6-D6AE-4D0E-9915-AE7B74EDE687}">
      <text>
        <r>
          <rPr>
            <sz val="8"/>
            <color rgb="FF000000"/>
            <rFont val="Tahoma"/>
            <family val="2"/>
          </rPr>
          <t>Moderate Warning  AA008:  Large Metric difference from prior year &gt;= 50%</t>
        </r>
      </text>
    </comment>
    <comment ref="AS482" authorId="3" shapeId="0" xr:uid="{9F1A4729-E887-4FAC-A2A0-53031387E0DD}">
      <text>
        <r>
          <rPr>
            <sz val="8"/>
            <color rgb="FF000000"/>
            <rFont val="Tahoma"/>
            <family val="2"/>
          </rPr>
          <t xml:space="preserve">Low Warning  AA006:  Metric difference from prior year &gt;= 20% </t>
        </r>
      </text>
    </comment>
    <comment ref="AU482" authorId="3" shapeId="0" xr:uid="{B1FA9245-FC4F-4F34-B269-DE4B8AE707D5}">
      <text>
        <r>
          <rPr>
            <sz val="8"/>
            <color rgb="FF000000"/>
            <rFont val="Tahoma"/>
            <family val="2"/>
          </rPr>
          <t xml:space="preserve">Low Warning  AA006:  Metric difference from prior year &gt;= 20% </t>
        </r>
      </text>
    </comment>
    <comment ref="AQ483" authorId="3" shapeId="0" xr:uid="{E53149B9-F68F-4F92-A761-6F1179C9E646}">
      <text>
        <r>
          <rPr>
            <sz val="8"/>
            <color rgb="FF000000"/>
            <rFont val="Tahoma"/>
            <family val="2"/>
          </rPr>
          <t xml:space="preserve">Low Warning  AA006:  Metric difference from prior year &gt;= 20% </t>
        </r>
      </text>
    </comment>
    <comment ref="AS484" authorId="3" shapeId="0" xr:uid="{EAC8D6B4-2AB0-438F-84CB-0F34D3F62BAA}">
      <text>
        <r>
          <rPr>
            <sz val="8"/>
            <color rgb="FF000000"/>
            <rFont val="Tahoma"/>
            <family val="2"/>
          </rPr>
          <t>Moderate Warning  AA008:  Large Metric difference from prior year &gt;= 50%</t>
        </r>
      </text>
    </comment>
    <comment ref="M485" authorId="3" shapeId="0" xr:uid="{6FBA398E-398C-4025-AAEB-C7573BB84ACC}">
      <text>
        <r>
          <rPr>
            <sz val="8"/>
            <color rgb="FF000000"/>
            <rFont val="Tahoma"/>
            <family val="2"/>
          </rPr>
          <t xml:space="preserve">Low Warning  AA006:  Metric difference from prior year &gt;= 20% </t>
        </r>
      </text>
    </comment>
    <comment ref="U485" authorId="3" shapeId="0" xr:uid="{5ACFC67C-E142-4577-A96D-B951B27CC05D}">
      <text>
        <r>
          <rPr>
            <sz val="8"/>
            <color rgb="FF000000"/>
            <rFont val="Tahoma"/>
            <family val="2"/>
          </rPr>
          <t xml:space="preserve">Low Warning  AA006:  Metric difference from prior year &gt;= 20% </t>
        </r>
      </text>
    </comment>
    <comment ref="AQ485" authorId="3" shapeId="0" xr:uid="{D34B9982-AA6D-4841-8869-5040D8E68275}">
      <text>
        <r>
          <rPr>
            <sz val="8"/>
            <color rgb="FF000000"/>
            <rFont val="Tahoma"/>
            <family val="2"/>
          </rPr>
          <t xml:space="preserve">Low Warning  AA006:  Metric difference from prior year &gt;= 20% </t>
        </r>
      </text>
    </comment>
    <comment ref="Y486" authorId="3" shapeId="0" xr:uid="{C1D720DF-B77C-4211-A6D4-BAE38BC5E9A7}">
      <text>
        <r>
          <rPr>
            <sz val="8"/>
            <color rgb="FF000000"/>
            <rFont val="Tahoma"/>
            <family val="2"/>
          </rPr>
          <t xml:space="preserve">Low Warning  AA006:  Metric difference from prior year &gt;= 20% </t>
        </r>
      </text>
    </comment>
    <comment ref="AA486" authorId="3" shapeId="0" xr:uid="{0BCDE7AB-915E-4053-A194-58935390141C}">
      <text>
        <r>
          <rPr>
            <sz val="8"/>
            <color rgb="FF000000"/>
            <rFont val="Tahoma"/>
            <family val="2"/>
          </rPr>
          <t xml:space="preserve">Low Warning  AA006:  Metric difference from prior year &gt;= 20% </t>
        </r>
      </text>
    </comment>
    <comment ref="AC486" authorId="3" shapeId="0" xr:uid="{B35F7CDB-6EDF-4B84-AD24-70CC810EE1E8}">
      <text>
        <r>
          <rPr>
            <sz val="8"/>
            <color rgb="FF000000"/>
            <rFont val="Tahoma"/>
            <family val="2"/>
          </rPr>
          <t>Moderate Warning  AA008:  Large Metric difference from prior year &gt;= 50%</t>
        </r>
      </text>
    </comment>
    <comment ref="AA487" authorId="3" shapeId="0" xr:uid="{135AF249-7C10-4009-AEB2-9E68ED17BAF2}">
      <text>
        <r>
          <rPr>
            <sz val="8"/>
            <color rgb="FF000000"/>
            <rFont val="Tahoma"/>
            <family val="2"/>
          </rPr>
          <t xml:space="preserve">Low Warning  AA006:  Metric difference from prior year &gt;= 20% </t>
        </r>
      </text>
    </comment>
    <comment ref="AC487" authorId="3" shapeId="0" xr:uid="{513CED71-655A-48B0-ABAA-728DB2255636}">
      <text>
        <r>
          <rPr>
            <sz val="8"/>
            <color rgb="FF000000"/>
            <rFont val="Tahoma"/>
            <family val="2"/>
          </rPr>
          <t xml:space="preserve">Low Warning  AA006:  Metric difference from prior year &gt;= 20% </t>
        </r>
      </text>
    </comment>
    <comment ref="Y488" authorId="3" shapeId="0" xr:uid="{E711305B-5AEF-4AC0-A438-43FFE5F48F68}">
      <text>
        <r>
          <rPr>
            <sz val="8"/>
            <color rgb="FF000000"/>
            <rFont val="Tahoma"/>
            <family val="2"/>
          </rPr>
          <t xml:space="preserve">Low Warning  AA006:  Metric difference from prior year &gt;= 20% </t>
        </r>
      </text>
    </comment>
    <comment ref="AC488" authorId="3" shapeId="0" xr:uid="{8E31A4C9-58AE-49BB-858F-7B63BD8FE7F8}">
      <text>
        <r>
          <rPr>
            <sz val="8"/>
            <color rgb="FF000000"/>
            <rFont val="Tahoma"/>
            <family val="2"/>
          </rPr>
          <t xml:space="preserve">Low Warning  AA006:  Metric difference from prior year &gt;= 20% </t>
        </r>
      </text>
    </comment>
    <comment ref="AE488" authorId="3" shapeId="0" xr:uid="{B38DFBAE-D7C9-4204-9AF7-4E695784E8CA}">
      <text>
        <r>
          <rPr>
            <sz val="8"/>
            <color rgb="FF000000"/>
            <rFont val="Tahoma"/>
            <family val="2"/>
          </rPr>
          <t xml:space="preserve">Low Warning  AA006:  Metric difference from prior year &gt;= 20% </t>
        </r>
      </text>
    </comment>
    <comment ref="AA489" authorId="3" shapeId="0" xr:uid="{229D02D5-2A1A-4B3E-9161-B68FB9A0EB68}">
      <text>
        <r>
          <rPr>
            <sz val="8"/>
            <color rgb="FF000000"/>
            <rFont val="Tahoma"/>
            <family val="2"/>
          </rPr>
          <t>Moderate Warning  AA008:  Large Metric difference from prior year &gt;= 50%</t>
        </r>
      </text>
    </comment>
    <comment ref="AC489" authorId="3" shapeId="0" xr:uid="{8102E5FE-75F7-4CAD-A553-CFF1F6D2AE97}">
      <text>
        <r>
          <rPr>
            <sz val="8"/>
            <color rgb="FF000000"/>
            <rFont val="Tahoma"/>
            <family val="2"/>
          </rPr>
          <t xml:space="preserve">Low Warning  AA006:  Metric difference from prior year &gt;= 20% </t>
        </r>
      </text>
    </comment>
    <comment ref="AE489" authorId="3" shapeId="0" xr:uid="{BFF36993-9B14-430F-8192-19919C01ABCF}">
      <text>
        <r>
          <rPr>
            <sz val="8"/>
            <color rgb="FF000000"/>
            <rFont val="Tahoma"/>
            <family val="2"/>
          </rPr>
          <t>Moderate Warning  AA008:  Large Metric difference from prior year &gt;= 50%</t>
        </r>
      </text>
    </comment>
    <comment ref="AA490" authorId="3" shapeId="0" xr:uid="{5DBC86E9-4E7D-4484-AECF-C0827925C6DE}">
      <text>
        <r>
          <rPr>
            <sz val="8"/>
            <color rgb="FF000000"/>
            <rFont val="Tahoma"/>
            <family val="2"/>
          </rPr>
          <t xml:space="preserve">Low Warning  AA006:  Metric difference from prior year &gt;= 20% </t>
        </r>
      </text>
    </comment>
    <comment ref="AA491" authorId="3" shapeId="0" xr:uid="{88B96317-27FD-444D-AA22-A1F61286AE01}">
      <text>
        <r>
          <rPr>
            <sz val="8"/>
            <color rgb="FF000000"/>
            <rFont val="Tahoma"/>
            <family val="2"/>
          </rPr>
          <t>Moderate Warning  AA008:  Large Metric difference from prior year &gt;= 50%</t>
        </r>
      </text>
    </comment>
    <comment ref="AC491" authorId="3" shapeId="0" xr:uid="{09F1EE4F-3B09-4B78-BD2F-093B1304E6E6}">
      <text>
        <r>
          <rPr>
            <sz val="8"/>
            <color rgb="FF000000"/>
            <rFont val="Tahoma"/>
            <family val="2"/>
          </rPr>
          <t>Moderate Warning  AA008:  Large Metric difference from prior year &gt;= 50%</t>
        </r>
      </text>
    </comment>
    <comment ref="O492" authorId="3" shapeId="0" xr:uid="{D73F3F93-866B-49E4-9D6B-3FD160A54FC0}">
      <text>
        <r>
          <rPr>
            <sz val="8"/>
            <color rgb="FF000000"/>
            <rFont val="Tahoma"/>
            <family val="2"/>
          </rPr>
          <t>Moderate Warning  AA008:  Large Metric difference from prior year &gt;= 50%</t>
        </r>
      </text>
    </comment>
    <comment ref="U492" authorId="3" shapeId="0" xr:uid="{2D042B69-EB39-4E11-89E1-F1C0DB2344F1}">
      <text>
        <r>
          <rPr>
            <sz val="8"/>
            <color rgb="FF000000"/>
            <rFont val="Tahoma"/>
            <family val="2"/>
          </rPr>
          <t xml:space="preserve">Low Warning  AA006:  Metric difference from prior year &gt;= 20% </t>
        </r>
      </text>
    </comment>
    <comment ref="AA492" authorId="3" shapeId="0" xr:uid="{C46B7408-D126-453F-93FE-47ECFD984BEC}">
      <text>
        <r>
          <rPr>
            <sz val="8"/>
            <color rgb="FF000000"/>
            <rFont val="Tahoma"/>
            <family val="2"/>
          </rPr>
          <t>Moderate Warning  AA008:  Large Metric difference from prior year &gt;= 50%</t>
        </r>
      </text>
    </comment>
    <comment ref="AC492" authorId="3" shapeId="0" xr:uid="{390FBC9A-1470-4E34-BF34-270F2653F6FA}">
      <text>
        <r>
          <rPr>
            <sz val="8"/>
            <color rgb="FF000000"/>
            <rFont val="Tahoma"/>
            <family val="2"/>
          </rPr>
          <t>Moderate Warning  AA008:  Large Metric difference from prior year &gt;= 50%</t>
        </r>
      </text>
    </comment>
    <comment ref="AE492" authorId="3" shapeId="0" xr:uid="{EB3A8393-AED6-4E3B-A6D0-83CC402EB7ED}">
      <text>
        <r>
          <rPr>
            <sz val="8"/>
            <color rgb="FF000000"/>
            <rFont val="Tahoma"/>
            <family val="2"/>
          </rPr>
          <t>Moderate Warning  AA008:  Large Metric difference from prior year &gt;= 50%</t>
        </r>
      </text>
    </comment>
    <comment ref="O493" authorId="3" shapeId="0" xr:uid="{FC9E9D31-ABB4-4A63-BCB3-56036D2C74EA}">
      <text>
        <r>
          <rPr>
            <sz val="8"/>
            <color rgb="FF000000"/>
            <rFont val="Tahoma"/>
            <family val="2"/>
          </rPr>
          <t xml:space="preserve">Low Warning  AA006:  Metric difference from prior year &gt;= 20% </t>
        </r>
      </text>
    </comment>
    <comment ref="AA493" authorId="3" shapeId="0" xr:uid="{F9F8DF6B-58E3-4A11-A00B-EF25891CAB45}">
      <text>
        <r>
          <rPr>
            <sz val="8"/>
            <color rgb="FF000000"/>
            <rFont val="Tahoma"/>
            <family val="2"/>
          </rPr>
          <t>Moderate Warning  AA008:  Large Metric difference from prior year &gt;= 50%</t>
        </r>
      </text>
    </comment>
    <comment ref="AA494" authorId="3" shapeId="0" xr:uid="{92B9D080-597E-48A4-BA35-48A25FFCE3A9}">
      <text>
        <r>
          <rPr>
            <sz val="8"/>
            <color rgb="FF000000"/>
            <rFont val="Tahoma"/>
            <family val="2"/>
          </rPr>
          <t>Moderate Warning  AA008:  Large Metric difference from prior year &gt;= 50%</t>
        </r>
      </text>
    </comment>
    <comment ref="AC494" authorId="3" shapeId="0" xr:uid="{4503A48E-0F78-43F1-8894-4E78CD1D3E6A}">
      <text>
        <r>
          <rPr>
            <sz val="8"/>
            <color rgb="FF000000"/>
            <rFont val="Tahoma"/>
            <family val="2"/>
          </rPr>
          <t xml:space="preserve">Low Warning  AA006:  Metric difference from prior year &gt;= 20% </t>
        </r>
      </text>
    </comment>
    <comment ref="AE494" authorId="3" shapeId="0" xr:uid="{C7EF960C-326D-43E3-B88D-381C9F6D9515}">
      <text>
        <r>
          <rPr>
            <sz val="8"/>
            <color rgb="FF000000"/>
            <rFont val="Tahoma"/>
            <family val="2"/>
          </rPr>
          <t xml:space="preserve">Low Warning  AA006:  Metric difference from prior year &gt;= 20% </t>
        </r>
      </text>
    </comment>
    <comment ref="O495" authorId="3" shapeId="0" xr:uid="{46EEAE64-D48A-4458-B2E8-11213B06B370}">
      <text>
        <r>
          <rPr>
            <sz val="8"/>
            <color rgb="FF000000"/>
            <rFont val="Tahoma"/>
            <family val="2"/>
          </rPr>
          <t xml:space="preserve">Low Warning  AA006:  Metric difference from prior year &gt;= 20% </t>
        </r>
      </text>
    </comment>
    <comment ref="AA495" authorId="3" shapeId="0" xr:uid="{B7EDF754-85FC-4A99-BBDF-8E6D1CA28B75}">
      <text>
        <r>
          <rPr>
            <sz val="8"/>
            <color rgb="FF000000"/>
            <rFont val="Tahoma"/>
            <family val="2"/>
          </rPr>
          <t>Moderate Warning  AA008:  Large Metric difference from prior year &gt;= 50%</t>
        </r>
      </text>
    </comment>
    <comment ref="O496" authorId="3" shapeId="0" xr:uid="{BC0B1500-1F84-4244-A6C2-73A970D33EA1}">
      <text>
        <r>
          <rPr>
            <sz val="8"/>
            <color rgb="FF000000"/>
            <rFont val="Tahoma"/>
            <family val="2"/>
          </rPr>
          <t>Moderate Warning  AA008:  Large Metric difference from prior year &gt;= 50%</t>
        </r>
      </text>
    </comment>
    <comment ref="U496" authorId="3" shapeId="0" xr:uid="{B2B1D1F2-B5A3-4EED-A171-9E36B099652F}">
      <text>
        <r>
          <rPr>
            <sz val="8"/>
            <color rgb="FF000000"/>
            <rFont val="Tahoma"/>
            <family val="2"/>
          </rPr>
          <t xml:space="preserve">Low Warning  AA006:  Metric difference from prior year &gt;= 20% </t>
        </r>
      </text>
    </comment>
    <comment ref="AA496" authorId="3" shapeId="0" xr:uid="{A9A7EB65-B211-4772-A5D0-8F3C49508F27}">
      <text>
        <r>
          <rPr>
            <sz val="8"/>
            <color rgb="FF000000"/>
            <rFont val="Tahoma"/>
            <family val="2"/>
          </rPr>
          <t>Moderate Warning  AA008:  Large Metric difference from prior year &gt;= 50%</t>
        </r>
      </text>
    </comment>
    <comment ref="AC496" authorId="3" shapeId="0" xr:uid="{710FE7BB-B3A7-4488-A341-C3A0638D035A}">
      <text>
        <r>
          <rPr>
            <sz val="8"/>
            <color rgb="FF000000"/>
            <rFont val="Tahoma"/>
            <family val="2"/>
          </rPr>
          <t>Moderate Warning  AA008:  Large Metric difference from prior year &gt;= 50%</t>
        </r>
      </text>
    </comment>
    <comment ref="AE496" authorId="3" shapeId="0" xr:uid="{1EFA814E-FA59-4428-9C85-C0E9B43D34D9}">
      <text>
        <r>
          <rPr>
            <sz val="8"/>
            <color rgb="FF000000"/>
            <rFont val="Tahoma"/>
            <family val="2"/>
          </rPr>
          <t>Moderate Warning  AA008:  Large Metric difference from prior year &gt;= 50%</t>
        </r>
      </text>
    </comment>
    <comment ref="O497" authorId="3" shapeId="0" xr:uid="{B9249072-29C3-4C19-A70C-401DA7664DCD}">
      <text>
        <r>
          <rPr>
            <sz val="8"/>
            <color rgb="FF000000"/>
            <rFont val="Tahoma"/>
            <family val="2"/>
          </rPr>
          <t>Moderate Warning  AA008:  Large Metric difference from prior year &gt;= 50%</t>
        </r>
      </text>
    </comment>
    <comment ref="U497" authorId="3" shapeId="0" xr:uid="{C410E051-667F-4AF6-B628-B637C6695747}">
      <text>
        <r>
          <rPr>
            <sz val="8"/>
            <color rgb="FF000000"/>
            <rFont val="Tahoma"/>
            <family val="2"/>
          </rPr>
          <t>Moderate Warning  AA008:  Large Metric difference from prior year &gt;= 50%</t>
        </r>
      </text>
    </comment>
    <comment ref="Y497" authorId="3" shapeId="0" xr:uid="{EF0E8601-FAE2-4472-91EC-80C2957EA416}">
      <text>
        <r>
          <rPr>
            <sz val="8"/>
            <color rgb="FF000000"/>
            <rFont val="Tahoma"/>
            <family val="2"/>
          </rPr>
          <t xml:space="preserve">Severe Warning  AA009:  Substantial Metric difference from prior year &gt;=100% </t>
        </r>
      </text>
    </comment>
    <comment ref="AC497" authorId="3" shapeId="0" xr:uid="{76E969B9-322A-4761-8911-ADD82E377436}">
      <text>
        <r>
          <rPr>
            <sz val="8"/>
            <color rgb="FF000000"/>
            <rFont val="Tahoma"/>
            <family val="2"/>
          </rPr>
          <t>Moderate Warning  AA008:  Large Metric difference from prior year &gt;= 50%</t>
        </r>
      </text>
    </comment>
    <comment ref="AE497" authorId="3" shapeId="0" xr:uid="{D59C7216-7C7F-4A01-8C6F-D454BDDB6F0E}">
      <text>
        <r>
          <rPr>
            <sz val="8"/>
            <color rgb="FF000000"/>
            <rFont val="Tahoma"/>
            <family val="2"/>
          </rPr>
          <t>Moderate Warning  AA008:  Large Metric difference from prior year &gt;= 50%</t>
        </r>
      </text>
    </comment>
    <comment ref="AA498" authorId="3" shapeId="0" xr:uid="{F9111FAF-EE89-41F3-BED0-2741C21D3675}">
      <text>
        <r>
          <rPr>
            <sz val="8"/>
            <color rgb="FF000000"/>
            <rFont val="Tahoma"/>
            <family val="2"/>
          </rPr>
          <t>Moderate Warning  AA008:  Large Metric difference from prior year &gt;= 50%</t>
        </r>
      </text>
    </comment>
    <comment ref="AC498" authorId="3" shapeId="0" xr:uid="{CF380703-C282-4066-A9AE-A64E82DE1D99}">
      <text>
        <r>
          <rPr>
            <sz val="8"/>
            <color rgb="FF000000"/>
            <rFont val="Tahoma"/>
            <family val="2"/>
          </rPr>
          <t>Moderate Warning  AA008:  Large Metric difference from prior year &gt;= 50%</t>
        </r>
      </text>
    </comment>
    <comment ref="AE498" authorId="3" shapeId="0" xr:uid="{63EDF7C4-04A0-41CB-A3A4-D9D3C5C5953A}">
      <text>
        <r>
          <rPr>
            <sz val="8"/>
            <color rgb="FF000000"/>
            <rFont val="Tahoma"/>
            <family val="2"/>
          </rPr>
          <t>Moderate Warning  AA008:  Large Metric difference from prior year &gt;= 50%</t>
        </r>
      </text>
    </comment>
    <comment ref="O499" authorId="3" shapeId="0" xr:uid="{79D1D968-F647-4F18-B844-AFBEBA006AF9}">
      <text>
        <r>
          <rPr>
            <sz val="8"/>
            <color rgb="FF000000"/>
            <rFont val="Tahoma"/>
            <family val="2"/>
          </rPr>
          <t xml:space="preserve">Low Warning  AA006:  Metric difference from prior year &gt;= 20% </t>
        </r>
      </text>
    </comment>
    <comment ref="AA499" authorId="3" shapeId="0" xr:uid="{17237D8E-8982-4D15-8039-95BFCC51B3BB}">
      <text>
        <r>
          <rPr>
            <sz val="8"/>
            <color rgb="FF000000"/>
            <rFont val="Tahoma"/>
            <family val="2"/>
          </rPr>
          <t xml:space="preserve">Low Warning  AA006:  Metric difference from prior year &gt;= 20% </t>
        </r>
      </text>
    </comment>
    <comment ref="AC499" authorId="3" shapeId="0" xr:uid="{1E69A5B9-E98F-451B-9A31-814CE5C63B7F}">
      <text>
        <r>
          <rPr>
            <sz val="8"/>
            <color rgb="FF000000"/>
            <rFont val="Tahoma"/>
            <family val="2"/>
          </rPr>
          <t xml:space="preserve">Low Warning  AA006:  Metric difference from prior year &gt;= 20% </t>
        </r>
      </text>
    </comment>
    <comment ref="AE499" authorId="3" shapeId="0" xr:uid="{3555223A-B4C7-47C8-950A-493A867D2BD5}">
      <text>
        <r>
          <rPr>
            <sz val="8"/>
            <color rgb="FF000000"/>
            <rFont val="Tahoma"/>
            <family val="2"/>
          </rPr>
          <t xml:space="preserve">Low Warning  AA006:  Metric difference from prior year &gt;= 20% </t>
        </r>
      </text>
    </comment>
    <comment ref="O500" authorId="3" shapeId="0" xr:uid="{7ABC1BDF-F7F1-46A0-A29C-C768ED05A8F4}">
      <text>
        <r>
          <rPr>
            <sz val="8"/>
            <color rgb="FF000000"/>
            <rFont val="Tahoma"/>
            <family val="2"/>
          </rPr>
          <t xml:space="preserve">Low Warning  AA006:  Metric difference from prior year &gt;= 20% </t>
        </r>
      </text>
    </comment>
    <comment ref="U500" authorId="3" shapeId="0" xr:uid="{CEC8F361-25E1-4F2D-9386-6BEB6D9BDE7F}">
      <text>
        <r>
          <rPr>
            <sz val="8"/>
            <color rgb="FF000000"/>
            <rFont val="Tahoma"/>
            <family val="2"/>
          </rPr>
          <t xml:space="preserve">Low Warning  AA006:  Metric difference from prior year &gt;= 20% </t>
        </r>
      </text>
    </comment>
    <comment ref="Y500" authorId="3" shapeId="0" xr:uid="{05756040-2818-4160-8421-FEFB047443D7}">
      <text>
        <r>
          <rPr>
            <sz val="8"/>
            <color rgb="FF000000"/>
            <rFont val="Tahoma"/>
            <family val="2"/>
          </rPr>
          <t>Moderate Warning  AA008:  Large Metric difference from prior year &gt;= 50%</t>
        </r>
      </text>
    </comment>
    <comment ref="AA500" authorId="3" shapeId="0" xr:uid="{813E5833-E89D-482D-8C68-85346A615C86}">
      <text>
        <r>
          <rPr>
            <sz val="8"/>
            <color rgb="FF000000"/>
            <rFont val="Tahoma"/>
            <family val="2"/>
          </rPr>
          <t>Moderate Warning  AA008:  Large Metric difference from prior year &gt;= 50%</t>
        </r>
      </text>
    </comment>
    <comment ref="AE500" authorId="3" shapeId="0" xr:uid="{53A1A38C-2556-4A72-AD87-6A9A00315AF5}">
      <text>
        <r>
          <rPr>
            <sz val="8"/>
            <color rgb="FF000000"/>
            <rFont val="Tahoma"/>
            <family val="2"/>
          </rPr>
          <t xml:space="preserve">Low Warning  AA006:  Metric difference from prior year &gt;= 20% </t>
        </r>
      </text>
    </comment>
    <comment ref="AA501" authorId="3" shapeId="0" xr:uid="{256A15AB-8918-41CD-8394-AB167D01DE59}">
      <text>
        <r>
          <rPr>
            <sz val="8"/>
            <color rgb="FF000000"/>
            <rFont val="Tahoma"/>
            <family val="2"/>
          </rPr>
          <t>Moderate Warning  AA008:  Large Metric difference from prior year &gt;= 50%</t>
        </r>
      </text>
    </comment>
    <comment ref="AA502" authorId="3" shapeId="0" xr:uid="{8359AF19-B762-46C5-807B-3A7900E8A78B}">
      <text>
        <r>
          <rPr>
            <sz val="8"/>
            <color rgb="FF000000"/>
            <rFont val="Tahoma"/>
            <family val="2"/>
          </rPr>
          <t xml:space="preserve">Low Warning  AA006:  Metric difference from prior year &gt;= 20% </t>
        </r>
      </text>
    </comment>
    <comment ref="O503" authorId="3" shapeId="0" xr:uid="{195CCBD1-4BE0-44C6-861D-3EC16487792D}">
      <text>
        <r>
          <rPr>
            <sz val="8"/>
            <color rgb="FF000000"/>
            <rFont val="Tahoma"/>
            <family val="2"/>
          </rPr>
          <t>Moderate Warning  AA008:  Large Metric difference from prior year &gt;= 50%</t>
        </r>
      </text>
    </comment>
    <comment ref="U503" authorId="3" shapeId="0" xr:uid="{D18FAE1F-0DE2-4634-BA5A-C248BB2D7E13}">
      <text>
        <r>
          <rPr>
            <sz val="8"/>
            <color rgb="FF000000"/>
            <rFont val="Tahoma"/>
            <family val="2"/>
          </rPr>
          <t xml:space="preserve">Low Warning  AA006:  Metric difference from prior year &gt;= 20% </t>
        </r>
      </text>
    </comment>
    <comment ref="AA503" authorId="3" shapeId="0" xr:uid="{ADDC7B7F-DB12-4D64-8306-CE971361D548}">
      <text>
        <r>
          <rPr>
            <sz val="8"/>
            <color rgb="FF000000"/>
            <rFont val="Tahoma"/>
            <family val="2"/>
          </rPr>
          <t>Moderate Warning  AA008:  Large Metric difference from prior year &gt;= 50%</t>
        </r>
      </text>
    </comment>
    <comment ref="AC503" authorId="3" shapeId="0" xr:uid="{9A87ACEC-4E98-41AF-ACF4-2901EA635E16}">
      <text>
        <r>
          <rPr>
            <sz val="8"/>
            <color rgb="FF000000"/>
            <rFont val="Tahoma"/>
            <family val="2"/>
          </rPr>
          <t>Moderate Warning  AA008:  Large Metric difference from prior year &gt;= 50%</t>
        </r>
      </text>
    </comment>
    <comment ref="AE503" authorId="3" shapeId="0" xr:uid="{F20AC388-2A37-4905-966A-AF96E59D0A71}">
      <text>
        <r>
          <rPr>
            <sz val="8"/>
            <color rgb="FF000000"/>
            <rFont val="Tahoma"/>
            <family val="2"/>
          </rPr>
          <t>Moderate Warning  AA008:  Large Metric difference from prior year &gt;= 50%</t>
        </r>
      </text>
    </comment>
    <comment ref="K504" authorId="3" shapeId="0" xr:uid="{CCB872B9-F1A3-4652-9A6C-AC34D72439DC}">
      <text>
        <r>
          <rPr>
            <sz val="8"/>
            <color rgb="FF000000"/>
            <rFont val="Tahoma"/>
            <family val="2"/>
          </rPr>
          <t xml:space="preserve">Low Warning  AA006:  Metric difference from prior year &gt;= 20% </t>
        </r>
      </text>
    </comment>
    <comment ref="Y504" authorId="3" shapeId="0" xr:uid="{BEF1FB7C-F0AE-4EDD-8C87-571DF0454D71}">
      <text>
        <r>
          <rPr>
            <sz val="8"/>
            <color rgb="FF000000"/>
            <rFont val="Tahoma"/>
            <family val="2"/>
          </rPr>
          <t xml:space="preserve">Low Warning  AA006:  Metric difference from prior year &gt;= 20% </t>
        </r>
      </text>
    </comment>
    <comment ref="AA504" authorId="3" shapeId="0" xr:uid="{BC4C5C77-AE93-4DD0-B0AC-A9C8F5F634BA}">
      <text>
        <r>
          <rPr>
            <sz val="8"/>
            <color rgb="FF000000"/>
            <rFont val="Tahoma"/>
            <family val="2"/>
          </rPr>
          <t xml:space="preserve">Low Warning  AA006:  Metric difference from prior year &gt;= 20% </t>
        </r>
      </text>
    </comment>
    <comment ref="AE504" authorId="3" shapeId="0" xr:uid="{B001650F-AD80-4AAF-B13C-736FF326FAAD}">
      <text>
        <r>
          <rPr>
            <sz val="8"/>
            <color rgb="FF000000"/>
            <rFont val="Tahoma"/>
            <family val="2"/>
          </rPr>
          <t xml:space="preserve">Low Warning  AA006:  Metric difference from prior year &gt;= 20% </t>
        </r>
      </text>
    </comment>
    <comment ref="AA505" authorId="3" shapeId="0" xr:uid="{E1B0AEAE-3958-4881-AED8-E8AA3156B98E}">
      <text>
        <r>
          <rPr>
            <sz val="8"/>
            <color rgb="FF000000"/>
            <rFont val="Tahoma"/>
            <family val="2"/>
          </rPr>
          <t xml:space="preserve">Low Warning  AA006:  Metric difference from prior year &gt;= 20% </t>
        </r>
      </text>
    </comment>
    <comment ref="AC505" authorId="3" shapeId="0" xr:uid="{D3C24650-B3DF-4620-8610-67E1927341B0}">
      <text>
        <r>
          <rPr>
            <sz val="8"/>
            <color rgb="FF000000"/>
            <rFont val="Tahoma"/>
            <family val="2"/>
          </rPr>
          <t xml:space="preserve">Low Warning  AA006:  Metric difference from prior year &gt;= 20% </t>
        </r>
      </text>
    </comment>
    <comment ref="AE505" authorId="3" shapeId="0" xr:uid="{DFE539E7-A202-4087-98DD-539C0B88CB69}">
      <text>
        <r>
          <rPr>
            <sz val="8"/>
            <color rgb="FF000000"/>
            <rFont val="Tahoma"/>
            <family val="2"/>
          </rPr>
          <t xml:space="preserve">Low Warning  AA006:  Metric difference from prior year &gt;= 20% </t>
        </r>
      </text>
    </comment>
    <comment ref="O506" authorId="3" shapeId="0" xr:uid="{8F2EA9F0-D12E-46BB-B871-6CC01CCBB50F}">
      <text>
        <r>
          <rPr>
            <sz val="8"/>
            <color rgb="FF000000"/>
            <rFont val="Tahoma"/>
            <family val="2"/>
          </rPr>
          <t>Moderate Warning  AA008:  Large Metric difference from prior year &gt;= 50%</t>
        </r>
      </text>
    </comment>
    <comment ref="U506" authorId="3" shapeId="0" xr:uid="{89BE5AA7-2790-431F-887F-BCCEE8EFD5A7}">
      <text>
        <r>
          <rPr>
            <sz val="8"/>
            <color rgb="FF000000"/>
            <rFont val="Tahoma"/>
            <family val="2"/>
          </rPr>
          <t xml:space="preserve">Low Warning  AA006:  Metric difference from prior year &gt;= 20% </t>
        </r>
      </text>
    </comment>
    <comment ref="Y506" authorId="3" shapeId="0" xr:uid="{CCB86212-C5CA-40F6-9539-C912C19FCBD9}">
      <text>
        <r>
          <rPr>
            <sz val="8"/>
            <color rgb="FF000000"/>
            <rFont val="Tahoma"/>
            <family val="2"/>
          </rPr>
          <t xml:space="preserve">Low Warning  AA006:  Metric difference from prior year &gt;= 20% </t>
        </r>
      </text>
    </comment>
    <comment ref="AA506" authorId="3" shapeId="0" xr:uid="{A2E8EE1B-AE2B-4804-A926-ED75AA280607}">
      <text>
        <r>
          <rPr>
            <sz val="8"/>
            <color rgb="FF000000"/>
            <rFont val="Tahoma"/>
            <family val="2"/>
          </rPr>
          <t>Moderate Warning  AA008:  Large Metric difference from prior year &gt;= 50%</t>
        </r>
      </text>
    </comment>
    <comment ref="AC506" authorId="3" shapeId="0" xr:uid="{594507B2-0F18-43E2-BFDD-DB9AA97A2B8F}">
      <text>
        <r>
          <rPr>
            <sz val="8"/>
            <color rgb="FF000000"/>
            <rFont val="Tahoma"/>
            <family val="2"/>
          </rPr>
          <t>Moderate Warning  AA008:  Large Metric difference from prior year &gt;= 50%</t>
        </r>
      </text>
    </comment>
    <comment ref="AE506" authorId="3" shapeId="0" xr:uid="{5F1D85A1-F728-435F-AB61-74F56268B9E1}">
      <text>
        <r>
          <rPr>
            <sz val="8"/>
            <color rgb="FF000000"/>
            <rFont val="Tahoma"/>
            <family val="2"/>
          </rPr>
          <t>Moderate Warning  AA008:  Large Metric difference from prior year &gt;= 50%</t>
        </r>
      </text>
    </comment>
    <comment ref="AA507" authorId="3" shapeId="0" xr:uid="{97977BFE-65CE-4BE0-95E7-F1946E822459}">
      <text>
        <r>
          <rPr>
            <sz val="8"/>
            <color rgb="FF000000"/>
            <rFont val="Tahoma"/>
            <family val="2"/>
          </rPr>
          <t>Moderate Warning  AA008:  Large Metric difference from prior year &gt;= 50%</t>
        </r>
      </text>
    </comment>
    <comment ref="AC507" authorId="3" shapeId="0" xr:uid="{BC7641A9-6712-471D-8F20-529F78DF6663}">
      <text>
        <r>
          <rPr>
            <sz val="8"/>
            <color rgb="FF000000"/>
            <rFont val="Tahoma"/>
            <family val="2"/>
          </rPr>
          <t xml:space="preserve">Low Warning  AA006:  Metric difference from prior year &gt;= 20% </t>
        </r>
      </text>
    </comment>
    <comment ref="AA508" authorId="3" shapeId="0" xr:uid="{4C6AD324-06DA-4811-8491-C4F3787FDD9B}">
      <text>
        <r>
          <rPr>
            <sz val="8"/>
            <color rgb="FF000000"/>
            <rFont val="Tahoma"/>
            <family val="2"/>
          </rPr>
          <t xml:space="preserve">Low Warning  AA006:  Metric difference from prior year &gt;= 20% </t>
        </r>
      </text>
    </comment>
    <comment ref="AC508" authorId="3" shapeId="0" xr:uid="{FB27A587-77D4-4267-AD8B-0419BAAF0AB1}">
      <text>
        <r>
          <rPr>
            <sz val="8"/>
            <color rgb="FF000000"/>
            <rFont val="Tahoma"/>
            <family val="2"/>
          </rPr>
          <t xml:space="preserve">Low Warning  AA006:  Metric difference from prior year &gt;= 20% </t>
        </r>
      </text>
    </comment>
    <comment ref="AE508" authorId="3" shapeId="0" xr:uid="{9A15CA2C-5E4D-43E6-8057-DEFAC0FBECEF}">
      <text>
        <r>
          <rPr>
            <sz val="8"/>
            <color rgb="FF000000"/>
            <rFont val="Tahoma"/>
            <family val="2"/>
          </rPr>
          <t>Moderate Warning  AA008:  Large Metric difference from prior year &gt;= 50%</t>
        </r>
      </text>
    </comment>
    <comment ref="O509" authorId="3" shapeId="0" xr:uid="{2DF414CE-A998-4BB2-A08A-AB597B3E166C}">
      <text>
        <r>
          <rPr>
            <sz val="8"/>
            <color rgb="FF000000"/>
            <rFont val="Tahoma"/>
            <family val="2"/>
          </rPr>
          <t>Moderate Warning  AA008:  Large Metric difference from prior year &gt;= 50%</t>
        </r>
      </text>
    </comment>
    <comment ref="U509" authorId="3" shapeId="0" xr:uid="{A54504F1-89A8-40BB-8CD0-50C1488D24FA}">
      <text>
        <r>
          <rPr>
            <sz val="8"/>
            <color rgb="FF000000"/>
            <rFont val="Tahoma"/>
            <family val="2"/>
          </rPr>
          <t xml:space="preserve">Low Warning  AA006:  Metric difference from prior year &gt;= 20% </t>
        </r>
      </text>
    </comment>
    <comment ref="AA509" authorId="3" shapeId="0" xr:uid="{BAC91227-D9BB-47AB-A0C0-46A3E3BD08BC}">
      <text>
        <r>
          <rPr>
            <sz val="8"/>
            <color rgb="FF000000"/>
            <rFont val="Tahoma"/>
            <family val="2"/>
          </rPr>
          <t xml:space="preserve">Low Warning  AA006:  Metric difference from prior year &gt;= 20% </t>
        </r>
      </text>
    </comment>
    <comment ref="AC509" authorId="3" shapeId="0" xr:uid="{287F3C6A-6A00-400E-9923-24004B4F8B3B}">
      <text>
        <r>
          <rPr>
            <sz val="8"/>
            <color rgb="FF000000"/>
            <rFont val="Tahoma"/>
            <family val="2"/>
          </rPr>
          <t>Moderate Warning  AA008:  Large Metric difference from prior year &gt;= 50%</t>
        </r>
      </text>
    </comment>
    <comment ref="AE509" authorId="3" shapeId="0" xr:uid="{61A22B76-C44D-4BAB-A240-BB4719A06EBC}">
      <text>
        <r>
          <rPr>
            <sz val="8"/>
            <color rgb="FF000000"/>
            <rFont val="Tahoma"/>
            <family val="2"/>
          </rPr>
          <t>Moderate Warning  AA008:  Large Metric difference from prior year &gt;= 50%</t>
        </r>
      </text>
    </comment>
    <comment ref="AA510" authorId="3" shapeId="0" xr:uid="{AC84F893-1B45-4D21-9759-E8A89289E056}">
      <text>
        <r>
          <rPr>
            <sz val="8"/>
            <color rgb="FF000000"/>
            <rFont val="Tahoma"/>
            <family val="2"/>
          </rPr>
          <t xml:space="preserve">Low Warning  AA006:  Metric difference from prior year &gt;= 20% </t>
        </r>
      </text>
    </comment>
    <comment ref="AE510" authorId="3" shapeId="0" xr:uid="{67ED47F8-2E81-40A6-9FEC-E325BD44C84E}">
      <text>
        <r>
          <rPr>
            <sz val="8"/>
            <color rgb="FF000000"/>
            <rFont val="Tahoma"/>
            <family val="2"/>
          </rPr>
          <t xml:space="preserve">Low Warning  AA006:  Metric difference from prior year &gt;= 20% </t>
        </r>
      </text>
    </comment>
    <comment ref="AA511" authorId="3" shapeId="0" xr:uid="{2DD159C4-7006-4C51-BF52-CB023A36A632}">
      <text>
        <r>
          <rPr>
            <sz val="8"/>
            <color rgb="FF000000"/>
            <rFont val="Tahoma"/>
            <family val="2"/>
          </rPr>
          <t>Moderate Warning  AA008:  Large Metric difference from prior year &gt;= 50%</t>
        </r>
      </text>
    </comment>
    <comment ref="AC511" authorId="3" shapeId="0" xr:uid="{ABD66666-3512-4A56-8054-BF21D8F70DD0}">
      <text>
        <r>
          <rPr>
            <sz val="8"/>
            <color rgb="FF000000"/>
            <rFont val="Tahoma"/>
            <family val="2"/>
          </rPr>
          <t>Moderate Warning  AA008:  Large Metric difference from prior year &gt;= 50%</t>
        </r>
      </text>
    </comment>
    <comment ref="AE511" authorId="3" shapeId="0" xr:uid="{5FD13AD2-758F-4404-B1ED-CA75535FF715}">
      <text>
        <r>
          <rPr>
            <sz val="8"/>
            <color rgb="FF000000"/>
            <rFont val="Tahoma"/>
            <family val="2"/>
          </rPr>
          <t>Moderate Warning  AA008:  Large Metric difference from prior year &gt;= 50%</t>
        </r>
      </text>
    </comment>
    <comment ref="Y512" authorId="3" shapeId="0" xr:uid="{BC8B5B97-EEB5-4CAF-A348-CBBBEC987A23}">
      <text>
        <r>
          <rPr>
            <sz val="8"/>
            <color rgb="FF000000"/>
            <rFont val="Tahoma"/>
            <family val="2"/>
          </rPr>
          <t xml:space="preserve">Low Warning  AA006:  Metric difference from prior year &gt;= 20% </t>
        </r>
      </text>
    </comment>
    <comment ref="AA512" authorId="3" shapeId="0" xr:uid="{27A80CDC-B987-4620-A0D3-A348FD049395}">
      <text>
        <r>
          <rPr>
            <sz val="8"/>
            <color rgb="FF000000"/>
            <rFont val="Tahoma"/>
            <family val="2"/>
          </rPr>
          <t xml:space="preserve">Low Warning  AA006:  Metric difference from prior year &gt;= 20% </t>
        </r>
      </text>
    </comment>
    <comment ref="AE512" authorId="3" shapeId="0" xr:uid="{240E49F7-F3EF-45A0-9C61-93D52F1A7840}">
      <text>
        <r>
          <rPr>
            <sz val="8"/>
            <color rgb="FF000000"/>
            <rFont val="Tahoma"/>
            <family val="2"/>
          </rPr>
          <t xml:space="preserve">Low Warning  AA006:  Metric difference from prior year &gt;= 20% </t>
        </r>
      </text>
    </comment>
    <comment ref="K513" authorId="3" shapeId="0" xr:uid="{FBFBFFEF-8320-445F-9D44-3731AFB56246}">
      <text>
        <r>
          <rPr>
            <sz val="8"/>
            <color rgb="FF000000"/>
            <rFont val="Tahoma"/>
            <family val="2"/>
          </rPr>
          <t xml:space="preserve">Low Warning  AA006:  Metric difference from prior year &gt;= 20% </t>
        </r>
      </text>
    </comment>
    <comment ref="AA513" authorId="3" shapeId="0" xr:uid="{517841D7-C085-4E4D-8DE4-011E3F2A9C2D}">
      <text>
        <r>
          <rPr>
            <sz val="8"/>
            <color rgb="FF000000"/>
            <rFont val="Tahoma"/>
            <family val="2"/>
          </rPr>
          <t>Moderate Warning  AA008:  Large Metric difference from prior year &gt;= 50%</t>
        </r>
      </text>
    </comment>
    <comment ref="AC513" authorId="3" shapeId="0" xr:uid="{637AE576-D5E8-43BF-933C-CC093900CF92}">
      <text>
        <r>
          <rPr>
            <sz val="8"/>
            <color rgb="FF000000"/>
            <rFont val="Tahoma"/>
            <family val="2"/>
          </rPr>
          <t>Moderate Warning  AA008:  Large Metric difference from prior year &gt;= 50%</t>
        </r>
      </text>
    </comment>
    <comment ref="AE513" authorId="3" shapeId="0" xr:uid="{7893B081-2918-499C-A7BC-CEC8392A02D5}">
      <text>
        <r>
          <rPr>
            <sz val="8"/>
            <color rgb="FF000000"/>
            <rFont val="Tahoma"/>
            <family val="2"/>
          </rPr>
          <t>Moderate Warning  AA008:  Large Metric difference from prior year &gt;= 50%</t>
        </r>
      </text>
    </comment>
    <comment ref="AA514" authorId="3" shapeId="0" xr:uid="{A3B50544-2D49-41F8-B47D-8D558EC2F66F}">
      <text>
        <r>
          <rPr>
            <sz val="8"/>
            <color rgb="FF000000"/>
            <rFont val="Tahoma"/>
            <family val="2"/>
          </rPr>
          <t>Moderate Warning  AA008:  Large Metric difference from prior year &gt;= 50%</t>
        </r>
      </text>
    </comment>
    <comment ref="AC514" authorId="3" shapeId="0" xr:uid="{D8EAED97-29FB-495A-9B11-F6216C92557E}">
      <text>
        <r>
          <rPr>
            <sz val="8"/>
            <color rgb="FF000000"/>
            <rFont val="Tahoma"/>
            <family val="2"/>
          </rPr>
          <t xml:space="preserve">Low Warning  AA006:  Metric difference from prior year &gt;= 20% </t>
        </r>
      </text>
    </comment>
    <comment ref="AE514" authorId="3" shapeId="0" xr:uid="{F350EC79-DFD8-48EB-BD29-38F97FE51FBB}">
      <text>
        <r>
          <rPr>
            <sz val="8"/>
            <color rgb="FF000000"/>
            <rFont val="Tahoma"/>
            <family val="2"/>
          </rPr>
          <t xml:space="preserve">Low Warning  AA006:  Metric difference from prior year &gt;= 20% </t>
        </r>
      </text>
    </comment>
    <comment ref="M515" authorId="3" shapeId="0" xr:uid="{50A8AD30-70D0-43B0-832E-7CA6E63E774B}">
      <text>
        <r>
          <rPr>
            <sz val="8"/>
            <color rgb="FF000000"/>
            <rFont val="Tahoma"/>
            <family val="2"/>
          </rPr>
          <t>Moderate Warning  AA008:  Large Metric difference from prior year &gt;= 50%</t>
        </r>
      </text>
    </comment>
    <comment ref="Y515" authorId="3" shapeId="0" xr:uid="{817FB4D6-6719-4A18-AB40-62C2C665DDC4}">
      <text>
        <r>
          <rPr>
            <sz val="8"/>
            <color rgb="FF000000"/>
            <rFont val="Tahoma"/>
            <family val="2"/>
          </rPr>
          <t xml:space="preserve">Low Warning  AA006:  Metric difference from prior year &gt;= 20% </t>
        </r>
      </text>
    </comment>
    <comment ref="AA515" authorId="3" shapeId="0" xr:uid="{339D76DE-6DCF-4D5A-9547-4AAC69F6D626}">
      <text>
        <r>
          <rPr>
            <sz val="8"/>
            <color rgb="FF000000"/>
            <rFont val="Tahoma"/>
            <family val="2"/>
          </rPr>
          <t xml:space="preserve">Low Warning  AA006:  Metric difference from prior year &gt;= 20% </t>
        </r>
      </text>
    </comment>
    <comment ref="AC515" authorId="3" shapeId="0" xr:uid="{4B887B35-12FD-4604-8F8D-6C97D23A8DAC}">
      <text>
        <r>
          <rPr>
            <sz val="8"/>
            <color rgb="FF000000"/>
            <rFont val="Tahoma"/>
            <family val="2"/>
          </rPr>
          <t>Moderate Warning  AA008:  Large Metric difference from prior year &gt;= 50%</t>
        </r>
      </text>
    </comment>
    <comment ref="AE515" authorId="3" shapeId="0" xr:uid="{41B64F86-A7E8-43E4-B084-5FD872E854F5}">
      <text>
        <r>
          <rPr>
            <sz val="8"/>
            <color rgb="FF000000"/>
            <rFont val="Tahoma"/>
            <family val="2"/>
          </rPr>
          <t>Moderate Warning  AA008:  Large Metric difference from prior year &gt;= 50%</t>
        </r>
      </text>
    </comment>
    <comment ref="U516" authorId="3" shapeId="0" xr:uid="{1EFF4D1B-CB2C-4DC0-8A48-9F5E44DC3764}">
      <text>
        <r>
          <rPr>
            <sz val="8"/>
            <color rgb="FF000000"/>
            <rFont val="Tahoma"/>
            <family val="2"/>
          </rPr>
          <t xml:space="preserve">Low Warning  AA006:  Metric difference from prior year &gt;= 20% </t>
        </r>
      </text>
    </comment>
    <comment ref="Y516" authorId="3" shapeId="0" xr:uid="{7A690B11-C39C-4CF7-98FE-510F37C9D450}">
      <text>
        <r>
          <rPr>
            <sz val="8"/>
            <color rgb="FF000000"/>
            <rFont val="Tahoma"/>
            <family val="2"/>
          </rPr>
          <t xml:space="preserve">Low Warning  AA006:  Metric difference from prior year &gt;= 20% </t>
        </r>
      </text>
    </comment>
    <comment ref="AA516" authorId="3" shapeId="0" xr:uid="{4E95D86C-6A33-4E4E-9953-1696F59FD25D}">
      <text>
        <r>
          <rPr>
            <sz val="8"/>
            <color rgb="FF000000"/>
            <rFont val="Tahoma"/>
            <family val="2"/>
          </rPr>
          <t>Moderate Warning  AA008:  Large Metric difference from prior year &gt;= 50%</t>
        </r>
      </text>
    </comment>
    <comment ref="AC516" authorId="3" shapeId="0" xr:uid="{CDA5A4DD-D08F-4816-82FD-5FA9D6034F84}">
      <text>
        <r>
          <rPr>
            <sz val="8"/>
            <color rgb="FF000000"/>
            <rFont val="Tahoma"/>
            <family val="2"/>
          </rPr>
          <t xml:space="preserve">Low Warning  AA006:  Metric difference from prior year &gt;= 20% </t>
        </r>
      </text>
    </comment>
    <comment ref="AA517" authorId="3" shapeId="0" xr:uid="{D8B21EBD-C5EB-4E48-926D-59DA342A579B}">
      <text>
        <r>
          <rPr>
            <sz val="8"/>
            <color rgb="FF000000"/>
            <rFont val="Tahoma"/>
            <family val="2"/>
          </rPr>
          <t xml:space="preserve">Low Warning  AA006:  Metric difference from prior year &gt;= 20% </t>
        </r>
      </text>
    </comment>
    <comment ref="AC517" authorId="3" shapeId="0" xr:uid="{FCCFDAF4-DB00-4C7B-9EA8-AC8DFF32CE60}">
      <text>
        <r>
          <rPr>
            <sz val="8"/>
            <color rgb="FF000000"/>
            <rFont val="Tahoma"/>
            <family val="2"/>
          </rPr>
          <t xml:space="preserve">Low Warning  AA006:  Metric difference from prior year &gt;= 20% </t>
        </r>
      </text>
    </comment>
    <comment ref="AE517" authorId="3" shapeId="0" xr:uid="{75E01496-A82A-4AA4-876F-7FB5F0CCDFB7}">
      <text>
        <r>
          <rPr>
            <sz val="8"/>
            <color rgb="FF000000"/>
            <rFont val="Tahoma"/>
            <family val="2"/>
          </rPr>
          <t xml:space="preserve">Low Warning  AA006:  Metric difference from prior year &gt;= 20% </t>
        </r>
      </text>
    </comment>
    <comment ref="K518" authorId="3" shapeId="0" xr:uid="{DE079AFD-BC2B-4AAB-B37B-931C3C5F06DB}">
      <text>
        <r>
          <rPr>
            <sz val="8"/>
            <color rgb="FF000000"/>
            <rFont val="Tahoma"/>
            <family val="2"/>
          </rPr>
          <t xml:space="preserve">Low Warning  AA006:  Metric difference from prior year &gt;= 20% </t>
        </r>
      </text>
    </comment>
    <comment ref="Y518" authorId="3" shapeId="0" xr:uid="{C8C41E50-4ED5-4B2C-A311-58D66B06E8EE}">
      <text>
        <r>
          <rPr>
            <sz val="8"/>
            <color rgb="FF000000"/>
            <rFont val="Tahoma"/>
            <family val="2"/>
          </rPr>
          <t>Moderate Warning  AA008:  Large Metric difference from prior year &gt;= 50%</t>
        </r>
      </text>
    </comment>
    <comment ref="AA518" authorId="3" shapeId="0" xr:uid="{5D7AE3D2-F6AE-4287-B847-3173CCC8FD5E}">
      <text>
        <r>
          <rPr>
            <sz val="8"/>
            <color rgb="FF000000"/>
            <rFont val="Tahoma"/>
            <family val="2"/>
          </rPr>
          <t xml:space="preserve">Severe Warning  AA009:  Substantial Metric difference from prior year &gt;=100% </t>
        </r>
      </text>
    </comment>
    <comment ref="AC518" authorId="3" shapeId="0" xr:uid="{3CE9C8DF-96F0-48D5-82E5-71800B857977}">
      <text>
        <r>
          <rPr>
            <sz val="8"/>
            <color rgb="FF000000"/>
            <rFont val="Tahoma"/>
            <family val="2"/>
          </rPr>
          <t xml:space="preserve">Low Warning  AA006:  Metric difference from prior year &gt;= 20% </t>
        </r>
      </text>
    </comment>
    <comment ref="AE518" authorId="3" shapeId="0" xr:uid="{C4A985C7-FCB3-404C-BF59-89AC7C5FFEFC}">
      <text>
        <r>
          <rPr>
            <sz val="8"/>
            <color rgb="FF000000"/>
            <rFont val="Tahoma"/>
            <family val="2"/>
          </rPr>
          <t xml:space="preserve">Low Warning  AA006:  Metric difference from prior year &gt;= 20% </t>
        </r>
      </text>
    </comment>
    <comment ref="O519" authorId="3" shapeId="0" xr:uid="{C0A3B72A-38DE-49D3-916D-46E144F570CE}">
      <text>
        <r>
          <rPr>
            <sz val="8"/>
            <color rgb="FF000000"/>
            <rFont val="Tahoma"/>
            <family val="2"/>
          </rPr>
          <t>Moderate Warning  AA008:  Large Metric difference from prior year &gt;= 50%</t>
        </r>
      </text>
    </comment>
    <comment ref="U519" authorId="3" shapeId="0" xr:uid="{844042AE-4361-4620-92D1-9379DC807DAF}">
      <text>
        <r>
          <rPr>
            <sz val="8"/>
            <color rgb="FF000000"/>
            <rFont val="Tahoma"/>
            <family val="2"/>
          </rPr>
          <t xml:space="preserve">Low Warning  AA006:  Metric difference from prior year &gt;= 20% </t>
        </r>
      </text>
    </comment>
    <comment ref="AA519" authorId="3" shapeId="0" xr:uid="{BB789C7F-99A5-4C72-B0E8-3E452C599661}">
      <text>
        <r>
          <rPr>
            <sz val="8"/>
            <color rgb="FF000000"/>
            <rFont val="Tahoma"/>
            <family val="2"/>
          </rPr>
          <t xml:space="preserve">Severe Warning  AA009:  Substantial Metric difference from prior year &gt;=100% </t>
        </r>
      </text>
    </comment>
    <comment ref="AC519" authorId="3" shapeId="0" xr:uid="{DFC4C9DE-6B2A-45B2-A535-5F4F32FFC6EF}">
      <text>
        <r>
          <rPr>
            <sz val="8"/>
            <color rgb="FF000000"/>
            <rFont val="Tahoma"/>
            <family val="2"/>
          </rPr>
          <t xml:space="preserve">Low Warning  AA006:  Metric difference from prior year &gt;= 20% </t>
        </r>
      </text>
    </comment>
    <comment ref="AE519" authorId="3" shapeId="0" xr:uid="{78E4A3EE-A237-4373-875F-5C67B0C680AD}">
      <text>
        <r>
          <rPr>
            <sz val="8"/>
            <color rgb="FF000000"/>
            <rFont val="Tahoma"/>
            <family val="2"/>
          </rPr>
          <t>Moderate Warning  AA008:  Large Metric difference from prior year &gt;= 50%</t>
        </r>
      </text>
    </comment>
    <comment ref="Y520" authorId="3" shapeId="0" xr:uid="{F4C65E00-C997-4504-8CAD-0B45B9BA84A8}">
      <text>
        <r>
          <rPr>
            <sz val="8"/>
            <color rgb="FF000000"/>
            <rFont val="Tahoma"/>
            <family val="2"/>
          </rPr>
          <t>Moderate Warning  AA008:  Large Metric difference from prior year &gt;= 50%</t>
        </r>
      </text>
    </comment>
    <comment ref="AA520" authorId="3" shapeId="0" xr:uid="{FAFB07BE-3780-4FE1-A6A8-EA167369F834}">
      <text>
        <r>
          <rPr>
            <sz val="8"/>
            <color rgb="FF000000"/>
            <rFont val="Tahoma"/>
            <family val="2"/>
          </rPr>
          <t>Moderate Warning  AA008:  Large Metric difference from prior year &gt;= 50%</t>
        </r>
      </text>
    </comment>
    <comment ref="AC520" authorId="3" shapeId="0" xr:uid="{BB6DFFA4-5803-4B58-A633-71B8E2321D71}">
      <text>
        <r>
          <rPr>
            <sz val="8"/>
            <color rgb="FF000000"/>
            <rFont val="Tahoma"/>
            <family val="2"/>
          </rPr>
          <t xml:space="preserve">Low Warning  AA006:  Metric difference from prior year &gt;= 20% </t>
        </r>
      </text>
    </comment>
    <comment ref="M521" authorId="3" shapeId="0" xr:uid="{C7B123F8-E4EA-4E68-BDD3-E43A145230E5}">
      <text>
        <r>
          <rPr>
            <sz val="8"/>
            <color rgb="FF000000"/>
            <rFont val="Tahoma"/>
            <family val="2"/>
          </rPr>
          <t xml:space="preserve">Low Warning  AA006:  Metric difference from prior year &gt;= 20% </t>
        </r>
      </text>
    </comment>
    <comment ref="Y521" authorId="3" shapeId="0" xr:uid="{66B7900E-6096-4FE4-92F3-247163979012}">
      <text>
        <r>
          <rPr>
            <sz val="8"/>
            <color rgb="FF000000"/>
            <rFont val="Tahoma"/>
            <family val="2"/>
          </rPr>
          <t xml:space="preserve">Severe Warning  AA009:  Substantial Metric difference from prior year &gt;=100% </t>
        </r>
      </text>
    </comment>
    <comment ref="AA521" authorId="3" shapeId="0" xr:uid="{294B4BAA-1C9D-4572-8179-7944C1AE3DB5}">
      <text>
        <r>
          <rPr>
            <sz val="8"/>
            <color rgb="FF000000"/>
            <rFont val="Tahoma"/>
            <family val="2"/>
          </rPr>
          <t>Moderate Warning  AA008:  Large Metric difference from prior year &gt;= 50%</t>
        </r>
      </text>
    </comment>
    <comment ref="AC521" authorId="3" shapeId="0" xr:uid="{152EF68A-3042-49A4-9666-A81756431C85}">
      <text>
        <r>
          <rPr>
            <sz val="8"/>
            <color rgb="FF000000"/>
            <rFont val="Tahoma"/>
            <family val="2"/>
          </rPr>
          <t>Moderate Warning  AA008:  Large Metric difference from prior year &gt;= 50%</t>
        </r>
      </text>
    </comment>
    <comment ref="AE521" authorId="3" shapeId="0" xr:uid="{101E9D59-E370-4334-BC64-74AD0C06CD34}">
      <text>
        <r>
          <rPr>
            <sz val="8"/>
            <color rgb="FF000000"/>
            <rFont val="Tahoma"/>
            <family val="2"/>
          </rPr>
          <t xml:space="preserve">Severe Warning  AA009:  Substantial Metric difference from prior year &gt;=100% </t>
        </r>
      </text>
    </comment>
    <comment ref="Y522" authorId="3" shapeId="0" xr:uid="{D5C4AD8D-3B34-47C1-AFD3-14B87878B406}">
      <text>
        <r>
          <rPr>
            <sz val="8"/>
            <color rgb="FF000000"/>
            <rFont val="Tahoma"/>
            <family val="2"/>
          </rPr>
          <t>Moderate Warning  AA008:  Large Metric difference from prior year &gt;= 50%</t>
        </r>
      </text>
    </comment>
    <comment ref="AA522" authorId="3" shapeId="0" xr:uid="{4B1F3A20-618A-4DF7-9065-53C059719249}">
      <text>
        <r>
          <rPr>
            <sz val="8"/>
            <color rgb="FF000000"/>
            <rFont val="Tahoma"/>
            <family val="2"/>
          </rPr>
          <t>Moderate Warning  AA008:  Large Metric difference from prior year &gt;= 50%</t>
        </r>
      </text>
    </comment>
    <comment ref="AC522" authorId="3" shapeId="0" xr:uid="{7EE2825E-940B-4EA1-ACCF-7240841805AB}">
      <text>
        <r>
          <rPr>
            <sz val="8"/>
            <color rgb="FF000000"/>
            <rFont val="Tahoma"/>
            <family val="2"/>
          </rPr>
          <t>Moderate Warning  AA008:  Large Metric difference from prior year &gt;= 50%</t>
        </r>
      </text>
    </comment>
    <comment ref="AE522" authorId="3" shapeId="0" xr:uid="{24141E00-E79E-4A00-8743-A0B2D7D78719}">
      <text>
        <r>
          <rPr>
            <sz val="8"/>
            <color rgb="FF000000"/>
            <rFont val="Tahoma"/>
            <family val="2"/>
          </rPr>
          <t xml:space="preserve">Low Warning  AA006:  Metric difference from prior year &gt;= 20% </t>
        </r>
      </text>
    </comment>
    <comment ref="AA523" authorId="3" shapeId="0" xr:uid="{1773A4B3-D18F-42E3-A996-5B7C42B131D4}">
      <text>
        <r>
          <rPr>
            <sz val="8"/>
            <color rgb="FF000000"/>
            <rFont val="Tahoma"/>
            <family val="2"/>
          </rPr>
          <t xml:space="preserve">Low Warning  AA006:  Metric difference from prior year &gt;= 20% </t>
        </r>
      </text>
    </comment>
    <comment ref="AC523" authorId="3" shapeId="0" xr:uid="{263D4C82-EEDC-4E82-A0F7-B38AE72360A4}">
      <text>
        <r>
          <rPr>
            <sz val="8"/>
            <color rgb="FF000000"/>
            <rFont val="Tahoma"/>
            <family val="2"/>
          </rPr>
          <t xml:space="preserve">Low Warning  AA006:  Metric difference from prior year &gt;= 20% </t>
        </r>
      </text>
    </comment>
    <comment ref="Y524" authorId="3" shapeId="0" xr:uid="{7ACFE53E-153A-457A-A726-681EDE20526E}">
      <text>
        <r>
          <rPr>
            <sz val="8"/>
            <color rgb="FF000000"/>
            <rFont val="Tahoma"/>
            <family val="2"/>
          </rPr>
          <t xml:space="preserve">Low Warning  AA006:  Metric difference from prior year &gt;= 20% </t>
        </r>
      </text>
    </comment>
    <comment ref="AA524" authorId="3" shapeId="0" xr:uid="{DDFACB19-0FEE-4737-A4DF-0395719CD98A}">
      <text>
        <r>
          <rPr>
            <sz val="8"/>
            <color rgb="FF000000"/>
            <rFont val="Tahoma"/>
            <family val="2"/>
          </rPr>
          <t>Moderate Warning  AA008:  Large Metric difference from prior year &gt;= 50%</t>
        </r>
      </text>
    </comment>
    <comment ref="AC524" authorId="3" shapeId="0" xr:uid="{47C619DB-C01C-4748-930A-8812D1E1A579}">
      <text>
        <r>
          <rPr>
            <sz val="8"/>
            <color rgb="FF000000"/>
            <rFont val="Tahoma"/>
            <family val="2"/>
          </rPr>
          <t>Moderate Warning  AA008:  Large Metric difference from prior year &gt;= 50%</t>
        </r>
      </text>
    </comment>
    <comment ref="AE524" authorId="3" shapeId="0" xr:uid="{2EB50A7A-1339-4A8D-8CC8-D3347DA651B4}">
      <text>
        <r>
          <rPr>
            <sz val="8"/>
            <color rgb="FF000000"/>
            <rFont val="Tahoma"/>
            <family val="2"/>
          </rPr>
          <t>Moderate Warning  AA008:  Large Metric difference from prior year &gt;= 50%</t>
        </r>
      </text>
    </comment>
    <comment ref="AA525" authorId="3" shapeId="0" xr:uid="{5B47F337-6570-4E78-8A7B-51B36422895D}">
      <text>
        <r>
          <rPr>
            <sz val="8"/>
            <color rgb="FF000000"/>
            <rFont val="Tahoma"/>
            <family val="2"/>
          </rPr>
          <t>Moderate Warning  AA008:  Large Metric difference from prior year &gt;= 50%</t>
        </r>
      </text>
    </comment>
    <comment ref="AC525" authorId="3" shapeId="0" xr:uid="{B0C72970-C151-49B9-B41F-A28FDDA76359}">
      <text>
        <r>
          <rPr>
            <sz val="8"/>
            <color rgb="FF000000"/>
            <rFont val="Tahoma"/>
            <family val="2"/>
          </rPr>
          <t>Moderate Warning  AA008:  Large Metric difference from prior year &gt;= 50%</t>
        </r>
      </text>
    </comment>
    <comment ref="AE525" authorId="3" shapeId="0" xr:uid="{085C0ED6-92D1-48B6-8529-80E61C2C5936}">
      <text>
        <r>
          <rPr>
            <sz val="8"/>
            <color rgb="FF000000"/>
            <rFont val="Tahoma"/>
            <family val="2"/>
          </rPr>
          <t>Moderate Warning  AA008:  Large Metric difference from prior year &gt;= 50%</t>
        </r>
      </text>
    </comment>
    <comment ref="I526" authorId="3" shapeId="0" xr:uid="{5F0A3C4C-DAF1-42B3-A099-8FFF771CD2F4}">
      <text>
        <r>
          <rPr>
            <sz val="8"/>
            <color rgb="FF000000"/>
            <rFont val="Tahoma"/>
            <family val="2"/>
          </rPr>
          <t xml:space="preserve">Low Warning  AA006:  Metric difference from prior year &gt;= 20% </t>
        </r>
      </text>
    </comment>
    <comment ref="K526" authorId="3" shapeId="0" xr:uid="{BB399EF0-A72E-4488-8ED5-1BBA8C4C10B4}">
      <text>
        <r>
          <rPr>
            <sz val="8"/>
            <color rgb="FF000000"/>
            <rFont val="Tahoma"/>
            <family val="2"/>
          </rPr>
          <t xml:space="preserve">Low Warning  AA006:  Metric difference from prior year &gt;= 20% </t>
        </r>
      </text>
    </comment>
    <comment ref="O526" authorId="3" shapeId="0" xr:uid="{2778F1C9-43A5-4506-B907-AEE2E5C32280}">
      <text>
        <r>
          <rPr>
            <sz val="8"/>
            <color rgb="FF000000"/>
            <rFont val="Tahoma"/>
            <family val="2"/>
          </rPr>
          <t xml:space="preserve">Low Warning  AA006:  Metric difference from prior year &gt;= 20% </t>
        </r>
      </text>
    </comment>
    <comment ref="AA526" authorId="3" shapeId="0" xr:uid="{79F2B3D4-0ABA-4C3E-AD9B-873BB17E73F5}">
      <text>
        <r>
          <rPr>
            <sz val="8"/>
            <color rgb="FF000000"/>
            <rFont val="Tahoma"/>
            <family val="2"/>
          </rPr>
          <t>Moderate Warning  AA008:  Large Metric difference from prior year &gt;= 50%</t>
        </r>
      </text>
    </comment>
    <comment ref="I527" authorId="3" shapeId="0" xr:uid="{D9532A63-D8E2-4589-926D-F23901480858}">
      <text>
        <r>
          <rPr>
            <sz val="8"/>
            <color rgb="FF000000"/>
            <rFont val="Tahoma"/>
            <family val="2"/>
          </rPr>
          <t xml:space="preserve">Low Warning  AA006:  Metric difference from prior year &gt;= 20% </t>
        </r>
      </text>
    </comment>
    <comment ref="K527" authorId="3" shapeId="0" xr:uid="{36789E6A-81B0-4E5B-81A9-954B6DCA5056}">
      <text>
        <r>
          <rPr>
            <sz val="8"/>
            <color rgb="FF000000"/>
            <rFont val="Tahoma"/>
            <family val="2"/>
          </rPr>
          <t>Moderate Warning  AA008:  Large Metric difference from prior year &gt;= 50%</t>
        </r>
      </text>
    </comment>
    <comment ref="U527" authorId="3" shapeId="0" xr:uid="{50506D95-73A0-43E6-8061-F605B7F99DE3}">
      <text>
        <r>
          <rPr>
            <sz val="8"/>
            <color rgb="FF000000"/>
            <rFont val="Tahoma"/>
            <family val="2"/>
          </rPr>
          <t>Moderate Warning  AA008:  Large Metric difference from prior year &gt;= 50%</t>
        </r>
      </text>
    </comment>
    <comment ref="Y527" authorId="3" shapeId="0" xr:uid="{F4DEB56D-306A-4847-96E4-AEF0FBE3C842}">
      <text>
        <r>
          <rPr>
            <sz val="8"/>
            <color rgb="FF000000"/>
            <rFont val="Tahoma"/>
            <family val="2"/>
          </rPr>
          <t xml:space="preserve">Low Warning  AA006:  Metric difference from prior year &gt;= 20% </t>
        </r>
      </text>
    </comment>
    <comment ref="AA527" authorId="3" shapeId="0" xr:uid="{AB503FE2-83B4-423E-8260-DCCECDB66B27}">
      <text>
        <r>
          <rPr>
            <sz val="8"/>
            <color rgb="FF000000"/>
            <rFont val="Tahoma"/>
            <family val="2"/>
          </rPr>
          <t>Moderate Warning  AA008:  Large Metric difference from prior year &gt;= 50%</t>
        </r>
      </text>
    </comment>
    <comment ref="AC527" authorId="3" shapeId="0" xr:uid="{C9D22791-E53F-455A-92C6-ED67C484265F}">
      <text>
        <r>
          <rPr>
            <sz val="8"/>
            <color rgb="FF000000"/>
            <rFont val="Tahoma"/>
            <family val="2"/>
          </rPr>
          <t>Moderate Warning  AA008:  Large Metric difference from prior year &gt;= 50%</t>
        </r>
      </text>
    </comment>
    <comment ref="AE527" authorId="3" shapeId="0" xr:uid="{6676542C-F6A5-4CD6-BCA4-635902A6AD68}">
      <text>
        <r>
          <rPr>
            <sz val="8"/>
            <color rgb="FF000000"/>
            <rFont val="Tahoma"/>
            <family val="2"/>
          </rPr>
          <t xml:space="preserve">Low Warning  AA006:  Metric difference from prior year &gt;= 20% </t>
        </r>
      </text>
    </comment>
    <comment ref="M528" authorId="3" shapeId="0" xr:uid="{F3AD315E-6397-4F6B-A2C2-369705F9007A}">
      <text>
        <r>
          <rPr>
            <sz val="8"/>
            <color rgb="FF000000"/>
            <rFont val="Tahoma"/>
            <family val="2"/>
          </rPr>
          <t>Moderate Warning  AA008:  Large Metric difference from prior year &gt;= 50%</t>
        </r>
      </text>
    </comment>
    <comment ref="O528" authorId="3" shapeId="0" xr:uid="{2AA9929F-EA50-4328-99CE-36C1FAA87FFC}">
      <text>
        <r>
          <rPr>
            <sz val="8"/>
            <color rgb="FF000000"/>
            <rFont val="Tahoma"/>
            <family val="2"/>
          </rPr>
          <t xml:space="preserve">Low Warning  AA006:  Metric difference from prior year &gt;= 20% </t>
        </r>
      </text>
    </comment>
    <comment ref="Y528" authorId="3" shapeId="0" xr:uid="{FF27E48B-1A54-4F89-8769-274C987F3832}">
      <text>
        <r>
          <rPr>
            <sz val="8"/>
            <color rgb="FF000000"/>
            <rFont val="Tahoma"/>
            <family val="2"/>
          </rPr>
          <t xml:space="preserve">Low Warning  AA006:  Metric difference from prior year &gt;= 20% </t>
        </r>
      </text>
    </comment>
    <comment ref="AA528" authorId="3" shapeId="0" xr:uid="{08C9A796-FF9A-4B14-8D13-1D1D6571D036}">
      <text>
        <r>
          <rPr>
            <sz val="8"/>
            <color rgb="FF000000"/>
            <rFont val="Tahoma"/>
            <family val="2"/>
          </rPr>
          <t>Moderate Warning  AA008:  Large Metric difference from prior year &gt;= 50%</t>
        </r>
      </text>
    </comment>
    <comment ref="AC528" authorId="3" shapeId="0" xr:uid="{D2319888-B7A3-4720-AE02-D30D6F04421D}">
      <text>
        <r>
          <rPr>
            <sz val="8"/>
            <color rgb="FF000000"/>
            <rFont val="Tahoma"/>
            <family val="2"/>
          </rPr>
          <t xml:space="preserve">Low Warning  AA006:  Metric difference from prior year &gt;= 20% </t>
        </r>
      </text>
    </comment>
    <comment ref="AE528" authorId="3" shapeId="0" xr:uid="{D2661F43-2D44-4434-B390-0084E1E8C7A6}">
      <text>
        <r>
          <rPr>
            <sz val="8"/>
            <color rgb="FF000000"/>
            <rFont val="Tahoma"/>
            <family val="2"/>
          </rPr>
          <t>Moderate Warning  AA008:  Large Metric difference from prior year &gt;= 50%</t>
        </r>
      </text>
    </comment>
    <comment ref="Y529" authorId="3" shapeId="0" xr:uid="{C6429C6F-7006-452D-8C02-ABC27F6DA562}">
      <text>
        <r>
          <rPr>
            <sz val="8"/>
            <color rgb="FF000000"/>
            <rFont val="Tahoma"/>
            <family val="2"/>
          </rPr>
          <t xml:space="preserve">Low Warning  AA006:  Metric difference from prior year &gt;= 20% </t>
        </r>
      </text>
    </comment>
    <comment ref="AA529" authorId="3" shapeId="0" xr:uid="{4CF0D371-CF99-4997-BC48-CBFA283C6B85}">
      <text>
        <r>
          <rPr>
            <sz val="8"/>
            <color rgb="FF000000"/>
            <rFont val="Tahoma"/>
            <family val="2"/>
          </rPr>
          <t xml:space="preserve">Low Warning  AA006:  Metric difference from prior year &gt;= 20% </t>
        </r>
      </text>
    </comment>
    <comment ref="AC529" authorId="3" shapeId="0" xr:uid="{45FBFD3C-542C-489E-9391-A21849D054C3}">
      <text>
        <r>
          <rPr>
            <sz val="8"/>
            <color rgb="FF000000"/>
            <rFont val="Tahoma"/>
            <family val="2"/>
          </rPr>
          <t>Moderate Warning  AA008:  Large Metric difference from prior year &gt;= 50%</t>
        </r>
      </text>
    </comment>
    <comment ref="AE529" authorId="3" shapeId="0" xr:uid="{F7F16290-D10E-4D75-B937-04C62EDC68B4}">
      <text>
        <r>
          <rPr>
            <sz val="8"/>
            <color rgb="FF000000"/>
            <rFont val="Tahoma"/>
            <family val="2"/>
          </rPr>
          <t xml:space="preserve">Low Warning  AA006:  Metric difference from prior year &gt;= 20% </t>
        </r>
      </text>
    </comment>
    <comment ref="Y530" authorId="3" shapeId="0" xr:uid="{1DA4FBB6-C985-4EA3-8E75-D6E4EB51BD71}">
      <text>
        <r>
          <rPr>
            <sz val="8"/>
            <color rgb="FF000000"/>
            <rFont val="Tahoma"/>
            <family val="2"/>
          </rPr>
          <t xml:space="preserve">Low Warning  AA006:  Metric difference from prior year &gt;= 20% </t>
        </r>
      </text>
    </comment>
    <comment ref="AA530" authorId="3" shapeId="0" xr:uid="{0086AF44-FF7B-488A-A13C-9FAA33235142}">
      <text>
        <r>
          <rPr>
            <sz val="8"/>
            <color rgb="FF000000"/>
            <rFont val="Tahoma"/>
            <family val="2"/>
          </rPr>
          <t>Moderate Warning  AA008:  Large Metric difference from prior year &gt;= 50%</t>
        </r>
      </text>
    </comment>
    <comment ref="AC530" authorId="3" shapeId="0" xr:uid="{F9F01321-AAB6-4820-8CDF-5B678016BF42}">
      <text>
        <r>
          <rPr>
            <sz val="8"/>
            <color rgb="FF000000"/>
            <rFont val="Tahoma"/>
            <family val="2"/>
          </rPr>
          <t>Moderate Warning  AA008:  Large Metric difference from prior year &gt;= 50%</t>
        </r>
      </text>
    </comment>
    <comment ref="AE530" authorId="3" shapeId="0" xr:uid="{DF38EC85-412F-4D3D-99FD-A5D7619C23F7}">
      <text>
        <r>
          <rPr>
            <sz val="8"/>
            <color rgb="FF000000"/>
            <rFont val="Tahoma"/>
            <family val="2"/>
          </rPr>
          <t>Moderate Warning  AA008:  Large Metric difference from prior year &gt;= 50%</t>
        </r>
      </text>
    </comment>
    <comment ref="Y531" authorId="3" shapeId="0" xr:uid="{10BF61CC-FC3F-4729-85C9-54B258D58A81}">
      <text>
        <r>
          <rPr>
            <sz val="8"/>
            <color rgb="FF000000"/>
            <rFont val="Tahoma"/>
            <family val="2"/>
          </rPr>
          <t>Moderate Warning  AA008:  Large Metric difference from prior year &gt;= 50%</t>
        </r>
      </text>
    </comment>
    <comment ref="AA531" authorId="3" shapeId="0" xr:uid="{3321398D-6A3D-4D35-9BE0-F2350973646B}">
      <text>
        <r>
          <rPr>
            <sz val="8"/>
            <color rgb="FF000000"/>
            <rFont val="Tahoma"/>
            <family val="2"/>
          </rPr>
          <t xml:space="preserve">Low Warning  AA006:  Metric difference from prior year &gt;= 20% </t>
        </r>
      </text>
    </comment>
    <comment ref="AC531" authorId="3" shapeId="0" xr:uid="{E7D62CDD-9144-41FD-9B3A-04E67BCD7030}">
      <text>
        <r>
          <rPr>
            <sz val="8"/>
            <color rgb="FF000000"/>
            <rFont val="Tahoma"/>
            <family val="2"/>
          </rPr>
          <t>Moderate Warning  AA008:  Large Metric difference from prior year &gt;= 50%</t>
        </r>
      </text>
    </comment>
    <comment ref="AE531" authorId="3" shapeId="0" xr:uid="{90FDCF16-E183-420C-9ADE-1F84A9255000}">
      <text>
        <r>
          <rPr>
            <sz val="8"/>
            <color rgb="FF000000"/>
            <rFont val="Tahoma"/>
            <family val="2"/>
          </rPr>
          <t>Moderate Warning  AA008:  Large Metric difference from prior year &gt;= 50%</t>
        </r>
      </text>
    </comment>
    <comment ref="Y532" authorId="3" shapeId="0" xr:uid="{C53A06BF-DC6D-47BC-9154-E86B6FC936AA}">
      <text>
        <r>
          <rPr>
            <sz val="8"/>
            <color rgb="FF000000"/>
            <rFont val="Tahoma"/>
            <family val="2"/>
          </rPr>
          <t xml:space="preserve">Severe Warning  AA009:  Substantial Metric difference from prior year &gt;=100% </t>
        </r>
      </text>
    </comment>
    <comment ref="AA532" authorId="3" shapeId="0" xr:uid="{9FA44667-FAB3-4B68-AD18-B1DA30E752F2}">
      <text>
        <r>
          <rPr>
            <sz val="8"/>
            <color rgb="FF000000"/>
            <rFont val="Tahoma"/>
            <family val="2"/>
          </rPr>
          <t>Moderate Warning  AA008:  Large Metric difference from prior year &gt;= 50%</t>
        </r>
      </text>
    </comment>
    <comment ref="AC532" authorId="3" shapeId="0" xr:uid="{0EAB0683-E33C-4E66-ADCA-AC870D010C6A}">
      <text>
        <r>
          <rPr>
            <sz val="8"/>
            <color rgb="FF000000"/>
            <rFont val="Tahoma"/>
            <family val="2"/>
          </rPr>
          <t>Moderate Warning  AA008:  Large Metric difference from prior year &gt;= 50%</t>
        </r>
      </text>
    </comment>
    <comment ref="AE532" authorId="3" shapeId="0" xr:uid="{471C534D-26F8-4160-910F-82E18E145326}">
      <text>
        <r>
          <rPr>
            <sz val="8"/>
            <color rgb="FF000000"/>
            <rFont val="Tahoma"/>
            <family val="2"/>
          </rPr>
          <t xml:space="preserve">Low Warning  AA006:  Metric difference from prior year &gt;= 20% </t>
        </r>
      </text>
    </comment>
    <comment ref="Y533" authorId="3" shapeId="0" xr:uid="{2071B82D-E4CA-4C4F-B144-CFDB74EB2323}">
      <text>
        <r>
          <rPr>
            <sz val="8"/>
            <color rgb="FF000000"/>
            <rFont val="Tahoma"/>
            <family val="2"/>
          </rPr>
          <t xml:space="preserve">Low Warning  AA006:  Metric difference from prior year &gt;= 20% </t>
        </r>
      </text>
    </comment>
    <comment ref="AA533" authorId="3" shapeId="0" xr:uid="{36362730-0672-4B93-B945-17E1E007CBA8}">
      <text>
        <r>
          <rPr>
            <sz val="8"/>
            <color rgb="FF000000"/>
            <rFont val="Tahoma"/>
            <family val="2"/>
          </rPr>
          <t>Moderate Warning  AA008:  Large Metric difference from prior year &gt;= 50%</t>
        </r>
      </text>
    </comment>
    <comment ref="AC533" authorId="3" shapeId="0" xr:uid="{5873E614-9F81-4EFF-B255-34846CD3E59B}">
      <text>
        <r>
          <rPr>
            <sz val="8"/>
            <color rgb="FF000000"/>
            <rFont val="Tahoma"/>
            <family val="2"/>
          </rPr>
          <t xml:space="preserve">Low Warning  AA006:  Metric difference from prior year &gt;= 20% </t>
        </r>
      </text>
    </comment>
    <comment ref="AE533" authorId="3" shapeId="0" xr:uid="{2DE81FFD-A6D9-4FFB-8A5E-FC8C0F9830C3}">
      <text>
        <r>
          <rPr>
            <sz val="8"/>
            <color rgb="FF000000"/>
            <rFont val="Tahoma"/>
            <family val="2"/>
          </rPr>
          <t xml:space="preserve">Low Warning  AA006:  Metric difference from prior year &gt;= 20% </t>
        </r>
      </text>
    </comment>
    <comment ref="Y534" authorId="3" shapeId="0" xr:uid="{D9E08A61-FD10-4AE0-8154-976EAF264A90}">
      <text>
        <r>
          <rPr>
            <sz val="8"/>
            <color rgb="FF000000"/>
            <rFont val="Tahoma"/>
            <family val="2"/>
          </rPr>
          <t xml:space="preserve">Low Warning  AA006:  Metric difference from prior year &gt;= 20% </t>
        </r>
      </text>
    </comment>
    <comment ref="AA534" authorId="3" shapeId="0" xr:uid="{EA7C601B-8656-417F-AEE2-DE52523BF5E7}">
      <text>
        <r>
          <rPr>
            <sz val="8"/>
            <color rgb="FF000000"/>
            <rFont val="Tahoma"/>
            <family val="2"/>
          </rPr>
          <t>Moderate Warning  AA008:  Large Metric difference from prior year &gt;= 50%</t>
        </r>
      </text>
    </comment>
    <comment ref="AC534" authorId="3" shapeId="0" xr:uid="{EEE12189-D1A3-4265-BAB6-0DC8B5CAA845}">
      <text>
        <r>
          <rPr>
            <sz val="8"/>
            <color rgb="FF000000"/>
            <rFont val="Tahoma"/>
            <family val="2"/>
          </rPr>
          <t>Moderate Warning  AA008:  Large Metric difference from prior year &gt;= 50%</t>
        </r>
      </text>
    </comment>
    <comment ref="AE534" authorId="3" shapeId="0" xr:uid="{9FDA48FE-67CF-4459-9C09-B3BA3B52B0AD}">
      <text>
        <r>
          <rPr>
            <sz val="8"/>
            <color rgb="FF000000"/>
            <rFont val="Tahoma"/>
            <family val="2"/>
          </rPr>
          <t>Moderate Warning  AA008:  Large Metric difference from prior year &gt;= 50%</t>
        </r>
      </text>
    </comment>
    <comment ref="I535" authorId="3" shapeId="0" xr:uid="{53C1BF30-DB18-41DF-A6F2-9667D4C10910}">
      <text>
        <r>
          <rPr>
            <sz val="8"/>
            <color rgb="FF000000"/>
            <rFont val="Tahoma"/>
            <family val="2"/>
          </rPr>
          <t xml:space="preserve">Low Warning  AA006:  Metric difference from prior year &gt;= 20% </t>
        </r>
      </text>
    </comment>
    <comment ref="K535" authorId="3" shapeId="0" xr:uid="{47663740-F553-489E-B621-307B89F88AE5}">
      <text>
        <r>
          <rPr>
            <sz val="8"/>
            <color rgb="FF000000"/>
            <rFont val="Tahoma"/>
            <family val="2"/>
          </rPr>
          <t>Moderate Warning  AA008:  Large Metric difference from prior year &gt;= 50%</t>
        </r>
      </text>
    </comment>
    <comment ref="M535" authorId="3" shapeId="0" xr:uid="{0572FAAA-DB5B-4D21-AA1D-9DCE8E2769FC}">
      <text>
        <r>
          <rPr>
            <sz val="8"/>
            <color rgb="FF000000"/>
            <rFont val="Tahoma"/>
            <family val="2"/>
          </rPr>
          <t>Moderate Warning  AA008:  Large Metric difference from prior year &gt;= 50%</t>
        </r>
      </text>
    </comment>
    <comment ref="U535" authorId="3" shapeId="0" xr:uid="{2B6D8962-3883-4D8B-A4DD-CA8A947A0894}">
      <text>
        <r>
          <rPr>
            <sz val="8"/>
            <color rgb="FF000000"/>
            <rFont val="Tahoma"/>
            <family val="2"/>
          </rPr>
          <t xml:space="preserve">Low Warning  AA006:  Metric difference from prior year &gt;= 20% </t>
        </r>
      </text>
    </comment>
    <comment ref="Y535" authorId="3" shapeId="0" xr:uid="{9E6EAC60-1412-4F5B-B47E-420D95ADBDCB}">
      <text>
        <r>
          <rPr>
            <sz val="8"/>
            <color rgb="FF000000"/>
            <rFont val="Tahoma"/>
            <family val="2"/>
          </rPr>
          <t xml:space="preserve">Low Warning  AA006:  Metric difference from prior year &gt;= 20% </t>
        </r>
      </text>
    </comment>
    <comment ref="AC535" authorId="3" shapeId="0" xr:uid="{75F62224-B173-4D0C-9641-609D6CD7C29B}">
      <text>
        <r>
          <rPr>
            <sz val="8"/>
            <color rgb="FF000000"/>
            <rFont val="Tahoma"/>
            <family val="2"/>
          </rPr>
          <t xml:space="preserve">Low Warning  AA006:  Metric difference from prior year &gt;= 20% </t>
        </r>
      </text>
    </comment>
    <comment ref="AE535" authorId="3" shapeId="0" xr:uid="{64343385-78B4-462D-903B-E1033D6BA0C7}">
      <text>
        <r>
          <rPr>
            <sz val="8"/>
            <color rgb="FF000000"/>
            <rFont val="Tahoma"/>
            <family val="2"/>
          </rPr>
          <t xml:space="preserve">Low Warning  AA006:  Metric difference from prior year &gt;= 20% </t>
        </r>
      </text>
    </comment>
    <comment ref="K536" authorId="3" shapeId="0" xr:uid="{0194E4A6-788B-4BE0-97B0-0DF4B78BBED1}">
      <text>
        <r>
          <rPr>
            <sz val="8"/>
            <color rgb="FF000000"/>
            <rFont val="Tahoma"/>
            <family val="2"/>
          </rPr>
          <t>Moderate Warning  AA008:  Large Metric difference from prior year &gt;= 50%</t>
        </r>
      </text>
    </comment>
    <comment ref="O536" authorId="3" shapeId="0" xr:uid="{D0F683FB-E409-4B67-925B-7365466E4F4A}">
      <text>
        <r>
          <rPr>
            <sz val="8"/>
            <color rgb="FF000000"/>
            <rFont val="Tahoma"/>
            <family val="2"/>
          </rPr>
          <t xml:space="preserve">Low Warning  AA006:  Metric difference from prior year &gt;= 20% </t>
        </r>
      </text>
    </comment>
    <comment ref="Y536" authorId="3" shapeId="0" xr:uid="{EDF5E256-2D87-48DE-953A-F5211FBA8579}">
      <text>
        <r>
          <rPr>
            <sz val="8"/>
            <color rgb="FF000000"/>
            <rFont val="Tahoma"/>
            <family val="2"/>
          </rPr>
          <t xml:space="preserve">Low Warning  AA006:  Metric difference from prior year &gt;= 20% </t>
        </r>
      </text>
    </comment>
    <comment ref="AA536" authorId="3" shapeId="0" xr:uid="{115A4E2F-F7F3-44D5-91ED-A6EB93D07EB1}">
      <text>
        <r>
          <rPr>
            <sz val="8"/>
            <color rgb="FF000000"/>
            <rFont val="Tahoma"/>
            <family val="2"/>
          </rPr>
          <t>Moderate Warning  AA008:  Large Metric difference from prior year &gt;= 50%</t>
        </r>
      </text>
    </comment>
    <comment ref="AC536" authorId="3" shapeId="0" xr:uid="{8E41B790-12EC-4DAE-A42E-0D906A8E17F7}">
      <text>
        <r>
          <rPr>
            <sz val="8"/>
            <color rgb="FF000000"/>
            <rFont val="Tahoma"/>
            <family val="2"/>
          </rPr>
          <t>Moderate Warning  AA008:  Large Metric difference from prior year &gt;= 50%</t>
        </r>
      </text>
    </comment>
    <comment ref="K537" authorId="3" shapeId="0" xr:uid="{BEBF357A-08B7-4FC0-B4CB-0988EDD3621A}">
      <text>
        <r>
          <rPr>
            <sz val="8"/>
            <color rgb="FF000000"/>
            <rFont val="Tahoma"/>
            <family val="2"/>
          </rPr>
          <t>Moderate Warning  AA008:  Large Metric difference from prior year &gt;= 50%</t>
        </r>
      </text>
    </comment>
    <comment ref="O537" authorId="3" shapeId="0" xr:uid="{CD33CD6F-3A3C-4AD8-A8E7-932D534235CA}">
      <text>
        <r>
          <rPr>
            <sz val="8"/>
            <color rgb="FF000000"/>
            <rFont val="Tahoma"/>
            <family val="2"/>
          </rPr>
          <t xml:space="preserve">Low Warning  AA006:  Metric difference from prior year &gt;= 20% </t>
        </r>
      </text>
    </comment>
    <comment ref="U537" authorId="3" shapeId="0" xr:uid="{995FDB62-A934-4DEC-83E9-A5192965576C}">
      <text>
        <r>
          <rPr>
            <sz val="8"/>
            <color rgb="FF000000"/>
            <rFont val="Tahoma"/>
            <family val="2"/>
          </rPr>
          <t xml:space="preserve">Low Warning  AA006:  Metric difference from prior year &gt;= 20% </t>
        </r>
      </text>
    </comment>
    <comment ref="Y537" authorId="3" shapeId="0" xr:uid="{3693D9FC-80DE-4C13-8642-58EC4152C410}">
      <text>
        <r>
          <rPr>
            <sz val="8"/>
            <color rgb="FF000000"/>
            <rFont val="Tahoma"/>
            <family val="2"/>
          </rPr>
          <t>Moderate Warning  AA008:  Large Metric difference from prior year &gt;= 50%</t>
        </r>
      </text>
    </comment>
    <comment ref="AA537" authorId="3" shapeId="0" xr:uid="{D5130601-92E8-4BC6-8CCD-8B6A23FACD18}">
      <text>
        <r>
          <rPr>
            <sz val="8"/>
            <color rgb="FF000000"/>
            <rFont val="Tahoma"/>
            <family val="2"/>
          </rPr>
          <t>Moderate Warning  AA008:  Large Metric difference from prior year &gt;= 50%</t>
        </r>
      </text>
    </comment>
    <comment ref="AA538" authorId="3" shapeId="0" xr:uid="{624F152F-E9D1-46E9-86A1-74908A8DB36C}">
      <text>
        <r>
          <rPr>
            <sz val="8"/>
            <color rgb="FF000000"/>
            <rFont val="Tahoma"/>
            <family val="2"/>
          </rPr>
          <t xml:space="preserve">Low Warning  AA006:  Metric difference from prior year &gt;= 20% </t>
        </r>
      </text>
    </comment>
    <comment ref="AC538" authorId="3" shapeId="0" xr:uid="{024FE538-D141-4459-BEA4-119F9AC28B0C}">
      <text>
        <r>
          <rPr>
            <sz val="8"/>
            <color rgb="FF000000"/>
            <rFont val="Tahoma"/>
            <family val="2"/>
          </rPr>
          <t xml:space="preserve">Low Warning  AA006:  Metric difference from prior year &gt;= 20% </t>
        </r>
      </text>
    </comment>
    <comment ref="AA539" authorId="3" shapeId="0" xr:uid="{595E876B-476B-4FDC-B908-9D2F18FB8551}">
      <text>
        <r>
          <rPr>
            <sz val="8"/>
            <color rgb="FF000000"/>
            <rFont val="Tahoma"/>
            <family val="2"/>
          </rPr>
          <t xml:space="preserve">Low Warning  AA006:  Metric difference from prior year &gt;= 20% </t>
        </r>
      </text>
    </comment>
    <comment ref="AC539" authorId="3" shapeId="0" xr:uid="{BD01C8EE-31CD-48D1-9F89-9796F8A8B4EE}">
      <text>
        <r>
          <rPr>
            <sz val="8"/>
            <color rgb="FF000000"/>
            <rFont val="Tahoma"/>
            <family val="2"/>
          </rPr>
          <t xml:space="preserve">Low Warning  AA006:  Metric difference from prior year &gt;= 20% </t>
        </r>
      </text>
    </comment>
    <comment ref="Y540" authorId="3" shapeId="0" xr:uid="{E9F8F917-3275-41FB-B27C-AB7197367A1D}">
      <text>
        <r>
          <rPr>
            <sz val="8"/>
            <color rgb="FF000000"/>
            <rFont val="Tahoma"/>
            <family val="2"/>
          </rPr>
          <t xml:space="preserve">Low Warning  AA006:  Metric difference from prior year &gt;= 20% </t>
        </r>
      </text>
    </comment>
    <comment ref="AA540" authorId="3" shapeId="0" xr:uid="{BEB8B6B2-3321-4B5A-B42B-211C50BB42DD}">
      <text>
        <r>
          <rPr>
            <sz val="8"/>
            <color rgb="FF000000"/>
            <rFont val="Tahoma"/>
            <family val="2"/>
          </rPr>
          <t>Moderate Warning  AA008:  Large Metric difference from prior year &gt;= 50%</t>
        </r>
      </text>
    </comment>
    <comment ref="AC540" authorId="3" shapeId="0" xr:uid="{F13DA80A-B064-43FE-9404-19C4AF441EB8}">
      <text>
        <r>
          <rPr>
            <sz val="8"/>
            <color rgb="FF000000"/>
            <rFont val="Tahoma"/>
            <family val="2"/>
          </rPr>
          <t xml:space="preserve">Low Warning  AA006:  Metric difference from prior year &gt;= 20% </t>
        </r>
      </text>
    </comment>
    <comment ref="AE540" authorId="3" shapeId="0" xr:uid="{AE253C9F-4B89-45AA-ABED-73095622204E}">
      <text>
        <r>
          <rPr>
            <sz val="8"/>
            <color rgb="FF000000"/>
            <rFont val="Tahoma"/>
            <family val="2"/>
          </rPr>
          <t>Moderate Warning  AA008:  Large Metric difference from prior year &gt;= 50%</t>
        </r>
      </text>
    </comment>
    <comment ref="AA541" authorId="3" shapeId="0" xr:uid="{74EE6778-25FC-4C16-AE9D-691431AC5923}">
      <text>
        <r>
          <rPr>
            <sz val="8"/>
            <color rgb="FF000000"/>
            <rFont val="Tahoma"/>
            <family val="2"/>
          </rPr>
          <t>Moderate Warning  AA008:  Large Metric difference from prior year &gt;= 50%</t>
        </r>
      </text>
    </comment>
    <comment ref="AC541" authorId="3" shapeId="0" xr:uid="{F0172274-CE29-4969-9170-543342EF04D0}">
      <text>
        <r>
          <rPr>
            <sz val="8"/>
            <color rgb="FF000000"/>
            <rFont val="Tahoma"/>
            <family val="2"/>
          </rPr>
          <t xml:space="preserve">Low Warning  AA006:  Metric difference from prior year &gt;= 20% </t>
        </r>
      </text>
    </comment>
    <comment ref="AE541" authorId="3" shapeId="0" xr:uid="{FFA35C0D-2684-47A5-8657-ABB76648656B}">
      <text>
        <r>
          <rPr>
            <sz val="8"/>
            <color rgb="FF000000"/>
            <rFont val="Tahoma"/>
            <family val="2"/>
          </rPr>
          <t xml:space="preserve">Low Warning  AA006:  Metric difference from prior year &gt;= 20% </t>
        </r>
      </text>
    </comment>
    <comment ref="Y542" authorId="3" shapeId="0" xr:uid="{28FBB55B-B542-44A1-9376-1DB2139344DF}">
      <text>
        <r>
          <rPr>
            <sz val="8"/>
            <color rgb="FF000000"/>
            <rFont val="Tahoma"/>
            <family val="2"/>
          </rPr>
          <t xml:space="preserve">Low Warning  AA006:  Metric difference from prior year &gt;= 20% </t>
        </r>
      </text>
    </comment>
    <comment ref="AA542" authorId="3" shapeId="0" xr:uid="{C492F272-EC53-459D-86FE-611B2DF86EB3}">
      <text>
        <r>
          <rPr>
            <sz val="8"/>
            <color rgb="FF000000"/>
            <rFont val="Tahoma"/>
            <family val="2"/>
          </rPr>
          <t>Moderate Warning  AA008:  Large Metric difference from prior year &gt;= 50%</t>
        </r>
      </text>
    </comment>
    <comment ref="AC542" authorId="3" shapeId="0" xr:uid="{87AAAC49-9E4B-4C80-8378-877A507A65BE}">
      <text>
        <r>
          <rPr>
            <sz val="8"/>
            <color rgb="FF000000"/>
            <rFont val="Tahoma"/>
            <family val="2"/>
          </rPr>
          <t>Moderate Warning  AA008:  Large Metric difference from prior year &gt;= 50%</t>
        </r>
      </text>
    </comment>
    <comment ref="AE542" authorId="3" shapeId="0" xr:uid="{D6E3F91C-B13F-4B63-9969-EC663FBD0FAC}">
      <text>
        <r>
          <rPr>
            <sz val="8"/>
            <color rgb="FF000000"/>
            <rFont val="Tahoma"/>
            <family val="2"/>
          </rPr>
          <t xml:space="preserve">Severe Warning  AA009:  Substantial Metric difference from prior year &gt;=100% </t>
        </r>
      </text>
    </comment>
    <comment ref="K543" authorId="3" shapeId="0" xr:uid="{AE8E1F8F-24A0-490C-ADFA-CFEE234C184D}">
      <text>
        <r>
          <rPr>
            <sz val="8"/>
            <color rgb="FF000000"/>
            <rFont val="Tahoma"/>
            <family val="2"/>
          </rPr>
          <t xml:space="preserve">Low Warning  AA006:  Metric difference from prior year &gt;= 20% </t>
        </r>
      </text>
    </comment>
    <comment ref="M543" authorId="3" shapeId="0" xr:uid="{B84803AD-19D4-434B-B9A4-56978ED1A8AD}">
      <text>
        <r>
          <rPr>
            <sz val="8"/>
            <color rgb="FF000000"/>
            <rFont val="Tahoma"/>
            <family val="2"/>
          </rPr>
          <t xml:space="preserve">Low Warning  AA006:  Metric difference from prior year &gt;= 20% </t>
        </r>
      </text>
    </comment>
    <comment ref="Y543" authorId="3" shapeId="0" xr:uid="{E8B05657-4CB2-44A0-804E-3BC8CFD70B95}">
      <text>
        <r>
          <rPr>
            <sz val="8"/>
            <color rgb="FF000000"/>
            <rFont val="Tahoma"/>
            <family val="2"/>
          </rPr>
          <t>Moderate Warning  AA008:  Large Metric difference from prior year &gt;= 50%</t>
        </r>
      </text>
    </comment>
    <comment ref="M544" authorId="3" shapeId="0" xr:uid="{2C925CA9-ADDD-4F6C-BEB3-3F033172EF98}">
      <text>
        <r>
          <rPr>
            <sz val="8"/>
            <color rgb="FF000000"/>
            <rFont val="Tahoma"/>
            <family val="2"/>
          </rPr>
          <t xml:space="preserve">Low Warning  AA006:  Metric difference from prior year &gt;= 20% </t>
        </r>
      </text>
    </comment>
    <comment ref="Y544" authorId="3" shapeId="0" xr:uid="{2161BDF8-E108-4952-82D7-08F6925F722E}">
      <text>
        <r>
          <rPr>
            <sz val="8"/>
            <color rgb="FF000000"/>
            <rFont val="Tahoma"/>
            <family val="2"/>
          </rPr>
          <t xml:space="preserve">Low Warning  AA006:  Metric difference from prior year &gt;= 20% </t>
        </r>
      </text>
    </comment>
    <comment ref="AA544" authorId="3" shapeId="0" xr:uid="{559232D4-BE5A-46D7-968A-8F449F940464}">
      <text>
        <r>
          <rPr>
            <sz val="8"/>
            <color rgb="FF000000"/>
            <rFont val="Tahoma"/>
            <family val="2"/>
          </rPr>
          <t>Moderate Warning  AA008:  Large Metric difference from prior year &gt;= 50%</t>
        </r>
      </text>
    </comment>
    <comment ref="AC544" authorId="3" shapeId="0" xr:uid="{155F9A5B-7D2A-4D31-AE8C-E5C4FE0F6C76}">
      <text>
        <r>
          <rPr>
            <sz val="8"/>
            <color rgb="FF000000"/>
            <rFont val="Tahoma"/>
            <family val="2"/>
          </rPr>
          <t>Moderate Warning  AA008:  Large Metric difference from prior year &gt;= 50%</t>
        </r>
      </text>
    </comment>
    <comment ref="AE544" authorId="3" shapeId="0" xr:uid="{E993C5FD-9C8D-4EE2-BF0A-55797F23160D}">
      <text>
        <r>
          <rPr>
            <sz val="8"/>
            <color rgb="FF000000"/>
            <rFont val="Tahoma"/>
            <family val="2"/>
          </rPr>
          <t xml:space="preserve">Low Warning  AA006:  Metric difference from prior year &gt;= 20% </t>
        </r>
      </text>
    </comment>
    <comment ref="K545" authorId="3" shapeId="0" xr:uid="{B6C75025-B83F-44E9-A2AA-12EC077E00AB}">
      <text>
        <r>
          <rPr>
            <sz val="8"/>
            <color rgb="FF000000"/>
            <rFont val="Tahoma"/>
            <family val="2"/>
          </rPr>
          <t>Moderate Warning  AA008:  Large Metric difference from prior year &gt;= 50%</t>
        </r>
      </text>
    </comment>
    <comment ref="Y545" authorId="3" shapeId="0" xr:uid="{694889C2-43F5-47F7-AD62-5F66D27C5B9E}">
      <text>
        <r>
          <rPr>
            <sz val="8"/>
            <color rgb="FF000000"/>
            <rFont val="Tahoma"/>
            <family val="2"/>
          </rPr>
          <t xml:space="preserve">Severe Warning  AA009:  Substantial Metric difference from prior year &gt;=100% </t>
        </r>
      </text>
    </comment>
    <comment ref="AC545" authorId="3" shapeId="0" xr:uid="{66BA8339-205C-49B8-8225-87D18BA2C697}">
      <text>
        <r>
          <rPr>
            <sz val="8"/>
            <color rgb="FF000000"/>
            <rFont val="Tahoma"/>
            <family val="2"/>
          </rPr>
          <t xml:space="preserve">Low Warning  AA006:  Metric difference from prior year &gt;= 20% </t>
        </r>
      </text>
    </comment>
    <comment ref="AE545" authorId="3" shapeId="0" xr:uid="{FB939842-43DB-44B2-96EF-ABDC009EDB18}">
      <text>
        <r>
          <rPr>
            <sz val="8"/>
            <color rgb="FF000000"/>
            <rFont val="Tahoma"/>
            <family val="2"/>
          </rPr>
          <t xml:space="preserve">Low Warning  AA006:  Metric difference from prior year &gt;= 20% </t>
        </r>
      </text>
    </comment>
    <comment ref="K546" authorId="3" shapeId="0" xr:uid="{70BD22A3-1CD6-42BA-8BD3-FE0D3F61044B}">
      <text>
        <r>
          <rPr>
            <sz val="8"/>
            <color rgb="FF000000"/>
            <rFont val="Tahoma"/>
            <family val="2"/>
          </rPr>
          <t>Moderate Warning  AA008:  Large Metric difference from prior year &gt;= 50%</t>
        </r>
      </text>
    </comment>
    <comment ref="U546" authorId="3" shapeId="0" xr:uid="{347722EB-9F79-4589-AD5F-4382F6C1265F}">
      <text>
        <r>
          <rPr>
            <sz val="8"/>
            <color rgb="FF000000"/>
            <rFont val="Tahoma"/>
            <family val="2"/>
          </rPr>
          <t xml:space="preserve">Low Warning  AA006:  Metric difference from prior year &gt;= 20% </t>
        </r>
      </text>
    </comment>
    <comment ref="Y546" authorId="3" shapeId="0" xr:uid="{D73275F2-B196-4D52-94C1-F76F8F08927E}">
      <text>
        <r>
          <rPr>
            <sz val="8"/>
            <color rgb="FF000000"/>
            <rFont val="Tahoma"/>
            <family val="2"/>
          </rPr>
          <t xml:space="preserve">Low Warning  AA006:  Metric difference from prior year &gt;= 20% </t>
        </r>
      </text>
    </comment>
    <comment ref="AA546" authorId="3" shapeId="0" xr:uid="{F11BE310-18F5-4CA2-9003-E9FD6F563FCB}">
      <text>
        <r>
          <rPr>
            <sz val="8"/>
            <color rgb="FF000000"/>
            <rFont val="Tahoma"/>
            <family val="2"/>
          </rPr>
          <t>Moderate Warning  AA008:  Large Metric difference from prior year &gt;= 50%</t>
        </r>
      </text>
    </comment>
    <comment ref="AC546" authorId="3" shapeId="0" xr:uid="{ECE38603-F3A4-4180-9356-5ED0A732CB75}">
      <text>
        <r>
          <rPr>
            <sz val="8"/>
            <color rgb="FF000000"/>
            <rFont val="Tahoma"/>
            <family val="2"/>
          </rPr>
          <t>Moderate Warning  AA008:  Large Metric difference from prior year &gt;= 50%</t>
        </r>
      </text>
    </comment>
    <comment ref="AE546" authorId="3" shapeId="0" xr:uid="{21D2B6A2-5CAD-4321-9FB9-387624728562}">
      <text>
        <r>
          <rPr>
            <sz val="8"/>
            <color rgb="FF000000"/>
            <rFont val="Tahoma"/>
            <family val="2"/>
          </rPr>
          <t>Moderate Warning  AA008:  Large Metric difference from prior year &gt;= 50%</t>
        </r>
      </text>
    </comment>
    <comment ref="AA547" authorId="3" shapeId="0" xr:uid="{0FA0C1CC-9126-45CE-9F4B-370920F273A7}">
      <text>
        <r>
          <rPr>
            <sz val="8"/>
            <color rgb="FF000000"/>
            <rFont val="Tahoma"/>
            <family val="2"/>
          </rPr>
          <t>Moderate Warning  AA008:  Large Metric difference from prior year &gt;= 50%</t>
        </r>
      </text>
    </comment>
    <comment ref="AC547" authorId="3" shapeId="0" xr:uid="{7555CC63-4469-41D3-AD3D-B90834F346CA}">
      <text>
        <r>
          <rPr>
            <sz val="8"/>
            <color rgb="FF000000"/>
            <rFont val="Tahoma"/>
            <family val="2"/>
          </rPr>
          <t>Moderate Warning  AA008:  Large Metric difference from prior year &gt;= 50%</t>
        </r>
      </text>
    </comment>
    <comment ref="M548" authorId="3" shapeId="0" xr:uid="{38F0A320-7189-46FF-8929-D67590EC566B}">
      <text>
        <r>
          <rPr>
            <sz val="8"/>
            <color rgb="FF000000"/>
            <rFont val="Tahoma"/>
            <family val="2"/>
          </rPr>
          <t xml:space="preserve">Low Warning  AA006:  Metric difference from prior year &gt;= 20% </t>
        </r>
      </text>
    </comment>
    <comment ref="Y548" authorId="3" shapeId="0" xr:uid="{A6E63811-3EE5-4566-924D-DD8359AA75FC}">
      <text>
        <r>
          <rPr>
            <sz val="8"/>
            <color rgb="FF000000"/>
            <rFont val="Tahoma"/>
            <family val="2"/>
          </rPr>
          <t xml:space="preserve">Low Warning  AA006:  Metric difference from prior year &gt;= 20% </t>
        </r>
      </text>
    </comment>
    <comment ref="AA548" authorId="3" shapeId="0" xr:uid="{33FBB430-096B-4580-87E9-B3EC8E563761}">
      <text>
        <r>
          <rPr>
            <sz val="8"/>
            <color rgb="FF000000"/>
            <rFont val="Tahoma"/>
            <family val="2"/>
          </rPr>
          <t xml:space="preserve">Low Warning  AA006:  Metric difference from prior year &gt;= 20% </t>
        </r>
      </text>
    </comment>
    <comment ref="AE548" authorId="3" shapeId="0" xr:uid="{D6697F37-27F3-455F-88B6-D8D317838197}">
      <text>
        <r>
          <rPr>
            <sz val="8"/>
            <color rgb="FF000000"/>
            <rFont val="Tahoma"/>
            <family val="2"/>
          </rPr>
          <t xml:space="preserve">Low Warning  AA006:  Metric difference from prior year &gt;= 20% </t>
        </r>
      </text>
    </comment>
    <comment ref="M549" authorId="3" shapeId="0" xr:uid="{E5112046-DFBA-4906-86EA-2A63E3826685}">
      <text>
        <r>
          <rPr>
            <sz val="8"/>
            <color rgb="FF000000"/>
            <rFont val="Tahoma"/>
            <family val="2"/>
          </rPr>
          <t xml:space="preserve">Low Warning  AA006:  Metric difference from prior year &gt;= 20% </t>
        </r>
      </text>
    </comment>
    <comment ref="AA549" authorId="3" shapeId="0" xr:uid="{46A2CDEF-6AFB-4D61-8C4E-46B61B02750B}">
      <text>
        <r>
          <rPr>
            <sz val="8"/>
            <color rgb="FF000000"/>
            <rFont val="Tahoma"/>
            <family val="2"/>
          </rPr>
          <t xml:space="preserve">Severe Warning  AA009:  Substantial Metric difference from prior year &gt;=100% </t>
        </r>
      </text>
    </comment>
    <comment ref="AC549" authorId="3" shapeId="0" xr:uid="{B05729EE-BEC8-4A71-9FCF-42A17C5181AD}">
      <text>
        <r>
          <rPr>
            <sz val="8"/>
            <color rgb="FF000000"/>
            <rFont val="Tahoma"/>
            <family val="2"/>
          </rPr>
          <t xml:space="preserve">Low Warning  AA006:  Metric difference from prior year &gt;= 20% </t>
        </r>
      </text>
    </comment>
    <comment ref="I550" authorId="3" shapeId="0" xr:uid="{87B9983E-A46E-4BA8-82FC-5057AD5DFA53}">
      <text>
        <r>
          <rPr>
            <sz val="8"/>
            <color rgb="FF000000"/>
            <rFont val="Tahoma"/>
            <family val="2"/>
          </rPr>
          <t xml:space="preserve">Low Warning  AA006:  Metric difference from prior year &gt;= 20% </t>
        </r>
      </text>
    </comment>
    <comment ref="K550" authorId="3" shapeId="0" xr:uid="{55AE1487-F323-43DE-989F-E041F34523F3}">
      <text>
        <r>
          <rPr>
            <sz val="8"/>
            <color rgb="FF000000"/>
            <rFont val="Tahoma"/>
            <family val="2"/>
          </rPr>
          <t>Moderate Warning  AA008:  Large Metric difference from prior year &gt;= 50%</t>
        </r>
      </text>
    </comment>
    <comment ref="O550" authorId="3" shapeId="0" xr:uid="{32234A87-24AA-4721-B018-C93C6A9EF1EA}">
      <text>
        <r>
          <rPr>
            <sz val="8"/>
            <color rgb="FF000000"/>
            <rFont val="Tahoma"/>
            <family val="2"/>
          </rPr>
          <t xml:space="preserve">Low Warning  AA006:  Metric difference from prior year &gt;= 20% </t>
        </r>
      </text>
    </comment>
    <comment ref="U550" authorId="3" shapeId="0" xr:uid="{E0596B8B-5096-4959-8AD4-8CD33772D8AD}">
      <text>
        <r>
          <rPr>
            <sz val="8"/>
            <color rgb="FF000000"/>
            <rFont val="Tahoma"/>
            <family val="2"/>
          </rPr>
          <t xml:space="preserve">Severe Warning  AA009:  Substantial Metric difference from prior year &gt;=100% </t>
        </r>
      </text>
    </comment>
    <comment ref="I551" authorId="3" shapeId="0" xr:uid="{9705726B-55D2-4D75-BC31-BA8862226320}">
      <text>
        <r>
          <rPr>
            <sz val="8"/>
            <color rgb="FF000000"/>
            <rFont val="Tahoma"/>
            <family val="2"/>
          </rPr>
          <t xml:space="preserve">Low Warning  AA006:  Metric difference from prior year &gt;= 20% </t>
        </r>
      </text>
    </comment>
    <comment ref="K551" authorId="3" shapeId="0" xr:uid="{1FEE4901-9239-41AD-94B0-9813492E76F9}">
      <text>
        <r>
          <rPr>
            <sz val="8"/>
            <color rgb="FF000000"/>
            <rFont val="Tahoma"/>
            <family val="2"/>
          </rPr>
          <t>Moderate Warning  AA008:  Large Metric difference from prior year &gt;= 50%</t>
        </r>
      </text>
    </comment>
    <comment ref="O551" authorId="3" shapeId="0" xr:uid="{11B3D6C8-2A42-41B5-BD98-263DB53CCC0E}">
      <text>
        <r>
          <rPr>
            <sz val="8"/>
            <color rgb="FF000000"/>
            <rFont val="Tahoma"/>
            <family val="2"/>
          </rPr>
          <t xml:space="preserve">Low Warning  AA006:  Metric difference from prior year &gt;= 20% </t>
        </r>
      </text>
    </comment>
    <comment ref="U551" authorId="3" shapeId="0" xr:uid="{A3E5ECB6-BFD7-4528-B8AB-CC852CADE421}">
      <text>
        <r>
          <rPr>
            <sz val="8"/>
            <color rgb="FF000000"/>
            <rFont val="Tahoma"/>
            <family val="2"/>
          </rPr>
          <t xml:space="preserve">Low Warning  AA006:  Metric difference from prior year &gt;= 20% </t>
        </r>
      </text>
    </comment>
    <comment ref="AC551" authorId="3" shapeId="0" xr:uid="{6A712E1C-C364-4173-90F3-A79D84A388F9}">
      <text>
        <r>
          <rPr>
            <sz val="8"/>
            <color rgb="FF000000"/>
            <rFont val="Tahoma"/>
            <family val="2"/>
          </rPr>
          <t xml:space="preserve">Severe Warning  AA009:  Substantial Metric difference from prior year &gt;=100% </t>
        </r>
      </text>
    </comment>
    <comment ref="K552" authorId="3" shapeId="0" xr:uid="{BF07180C-C2AB-4FAF-851A-92FCAB21C165}">
      <text>
        <r>
          <rPr>
            <sz val="8"/>
            <color rgb="FF000000"/>
            <rFont val="Tahoma"/>
            <family val="2"/>
          </rPr>
          <t>Moderate Warning  AA008:  Large Metric difference from prior year &gt;= 50%</t>
        </r>
      </text>
    </comment>
    <comment ref="O552" authorId="3" shapeId="0" xr:uid="{53D49FAA-3A5C-441B-A085-F85F245DDC1D}">
      <text>
        <r>
          <rPr>
            <sz val="8"/>
            <color rgb="FF000000"/>
            <rFont val="Tahoma"/>
            <family val="2"/>
          </rPr>
          <t xml:space="preserve">Low Warning  AA006:  Metric difference from prior year &gt;= 20% </t>
        </r>
      </text>
    </comment>
    <comment ref="U552" authorId="3" shapeId="0" xr:uid="{048CE5CA-4D13-4571-9823-A6EE3378289E}">
      <text>
        <r>
          <rPr>
            <sz val="8"/>
            <color rgb="FF000000"/>
            <rFont val="Tahoma"/>
            <family val="2"/>
          </rPr>
          <t xml:space="preserve">Low Warning  AA006:  Metric difference from prior year &gt;= 20% </t>
        </r>
      </text>
    </comment>
    <comment ref="K553" authorId="3" shapeId="0" xr:uid="{042FA7A8-4274-40FD-B76B-012A9A4876F9}">
      <text>
        <r>
          <rPr>
            <sz val="8"/>
            <color rgb="FF000000"/>
            <rFont val="Tahoma"/>
            <family val="2"/>
          </rPr>
          <t>Moderate Warning  AA008:  Large Metric difference from prior year &gt;= 50%</t>
        </r>
      </text>
    </comment>
    <comment ref="O553" authorId="3" shapeId="0" xr:uid="{D14CAF92-D04A-4F3E-A652-2E8B72A3870E}">
      <text>
        <r>
          <rPr>
            <sz val="8"/>
            <color rgb="FF000000"/>
            <rFont val="Tahoma"/>
            <family val="2"/>
          </rPr>
          <t>Moderate Warning  AA008:  Large Metric difference from prior year &gt;= 50%</t>
        </r>
      </text>
    </comment>
    <comment ref="K554" authorId="3" shapeId="0" xr:uid="{C2E0DA48-4D7E-484A-AB50-5BB739D796B4}">
      <text>
        <r>
          <rPr>
            <sz val="8"/>
            <color rgb="FF000000"/>
            <rFont val="Tahoma"/>
            <family val="2"/>
          </rPr>
          <t xml:space="preserve">Low Warning  AA006:  Metric difference from prior year &gt;= 20% </t>
        </r>
      </text>
    </comment>
    <comment ref="U554" authorId="3" shapeId="0" xr:uid="{36D2941F-40EB-45FF-862F-5871E4040CAC}">
      <text>
        <r>
          <rPr>
            <sz val="8"/>
            <color rgb="FF000000"/>
            <rFont val="Tahoma"/>
            <family val="2"/>
          </rPr>
          <t xml:space="preserve">Severe Warning  AA009:  Substantial Metric difference from prior year &gt;=100% </t>
        </r>
      </text>
    </comment>
    <comment ref="Y554" authorId="3" shapeId="0" xr:uid="{7AA24BC3-989A-4C16-93F6-2F03C05F3975}">
      <text>
        <r>
          <rPr>
            <sz val="8"/>
            <color rgb="FF000000"/>
            <rFont val="Tahoma"/>
            <family val="2"/>
          </rPr>
          <t>Moderate Warning  AA008:  Large Metric difference from prior year &gt;= 50%</t>
        </r>
      </text>
    </comment>
    <comment ref="AA554" authorId="3" shapeId="0" xr:uid="{02351258-C4BD-40B3-88AF-96BDBCD534F1}">
      <text>
        <r>
          <rPr>
            <sz val="8"/>
            <color rgb="FF000000"/>
            <rFont val="Tahoma"/>
            <family val="2"/>
          </rPr>
          <t xml:space="preserve">Severe Warning  AA009:  Substantial Metric difference from prior year &gt;=100% </t>
        </r>
      </text>
    </comment>
    <comment ref="AC554" authorId="3" shapeId="0" xr:uid="{F2578B44-75D0-4EC8-9E14-5172C5B4E360}">
      <text>
        <r>
          <rPr>
            <sz val="8"/>
            <color rgb="FF000000"/>
            <rFont val="Tahoma"/>
            <family val="2"/>
          </rPr>
          <t xml:space="preserve">Low Warning  AA006:  Metric difference from prior year &gt;= 20% </t>
        </r>
      </text>
    </comment>
    <comment ref="AE554" authorId="3" shapeId="0" xr:uid="{797FF2C9-082B-433A-9140-09443646BC1C}">
      <text>
        <r>
          <rPr>
            <sz val="8"/>
            <color rgb="FF000000"/>
            <rFont val="Tahoma"/>
            <family val="2"/>
          </rPr>
          <t>Moderate Warning  AA008:  Large Metric difference from prior year &gt;= 50%</t>
        </r>
      </text>
    </comment>
    <comment ref="K555" authorId="3" shapeId="0" xr:uid="{C1F6E036-FD38-4518-82F9-7D655843015D}">
      <text>
        <r>
          <rPr>
            <sz val="8"/>
            <color rgb="FF000000"/>
            <rFont val="Tahoma"/>
            <family val="2"/>
          </rPr>
          <t xml:space="preserve">Low Warning  AA006:  Metric difference from prior year &gt;= 20% </t>
        </r>
      </text>
    </comment>
    <comment ref="O555" authorId="3" shapeId="0" xr:uid="{C7C026DE-FBA0-4A1C-96A3-A8E5CE128A61}">
      <text>
        <r>
          <rPr>
            <sz val="8"/>
            <color rgb="FF000000"/>
            <rFont val="Tahoma"/>
            <family val="2"/>
          </rPr>
          <t xml:space="preserve">Low Warning  AA006:  Metric difference from prior year &gt;= 20% </t>
        </r>
      </text>
    </comment>
    <comment ref="U555" authorId="3" shapeId="0" xr:uid="{65C3A8FE-2650-463D-B234-D5A8D3887141}">
      <text>
        <r>
          <rPr>
            <sz val="8"/>
            <color rgb="FF000000"/>
            <rFont val="Tahoma"/>
            <family val="2"/>
          </rPr>
          <t xml:space="preserve">Severe Warning  AA009:  Substantial Metric difference from prior year &gt;=100% </t>
        </r>
      </text>
    </comment>
    <comment ref="Y555" authorId="3" shapeId="0" xr:uid="{CBE670E1-61BB-4BD2-8A49-DE451C31AAEA}">
      <text>
        <r>
          <rPr>
            <sz val="8"/>
            <color rgb="FF000000"/>
            <rFont val="Tahoma"/>
            <family val="2"/>
          </rPr>
          <t xml:space="preserve">Low Warning  AA006:  Metric difference from prior year &gt;= 20% </t>
        </r>
      </text>
    </comment>
    <comment ref="AA555" authorId="3" shapeId="0" xr:uid="{33AE9033-B0F4-4610-86BF-84CE09B1ADA7}">
      <text>
        <r>
          <rPr>
            <sz val="8"/>
            <color rgb="FF000000"/>
            <rFont val="Tahoma"/>
            <family val="2"/>
          </rPr>
          <t xml:space="preserve">Low Warning  AA006:  Metric difference from prior year &gt;= 20% </t>
        </r>
      </text>
    </comment>
    <comment ref="AC555" authorId="3" shapeId="0" xr:uid="{5B6F5ABA-2008-4E6E-A31B-F76C50A4DC68}">
      <text>
        <r>
          <rPr>
            <sz val="8"/>
            <color rgb="FF000000"/>
            <rFont val="Tahoma"/>
            <family val="2"/>
          </rPr>
          <t xml:space="preserve">Low Warning  AA006:  Metric difference from prior year &gt;= 20% </t>
        </r>
      </text>
    </comment>
    <comment ref="AE555" authorId="3" shapeId="0" xr:uid="{19F6045E-FC79-4FAF-BDDF-A67F1D001E54}">
      <text>
        <r>
          <rPr>
            <sz val="8"/>
            <color rgb="FF000000"/>
            <rFont val="Tahoma"/>
            <family val="2"/>
          </rPr>
          <t>Moderate Warning  AA008:  Large Metric difference from prior year &gt;= 50%</t>
        </r>
      </text>
    </comment>
    <comment ref="I556" authorId="3" shapeId="0" xr:uid="{A3DB03C1-B2D6-4B0B-903C-50FE9408634C}">
      <text>
        <r>
          <rPr>
            <sz val="8"/>
            <color rgb="FF000000"/>
            <rFont val="Tahoma"/>
            <family val="2"/>
          </rPr>
          <t>Moderate Warning  AA008:  Large Metric difference from prior year &gt;= 50%</t>
        </r>
      </text>
    </comment>
    <comment ref="K556" authorId="3" shapeId="0" xr:uid="{91D1669D-FD4B-4DF9-B31A-E3F26D8CEF97}">
      <text>
        <r>
          <rPr>
            <sz val="8"/>
            <color rgb="FF000000"/>
            <rFont val="Tahoma"/>
            <family val="2"/>
          </rPr>
          <t xml:space="preserve">Low Warning  AA006:  Metric difference from prior year &gt;= 20% </t>
        </r>
      </text>
    </comment>
    <comment ref="O556" authorId="3" shapeId="0" xr:uid="{27348708-A79D-4DCA-8C26-A3BE97D5C2AD}">
      <text>
        <r>
          <rPr>
            <sz val="8"/>
            <color rgb="FF000000"/>
            <rFont val="Tahoma"/>
            <family val="2"/>
          </rPr>
          <t xml:space="preserve">Low Warning  AA006:  Metric difference from prior year &gt;= 20% </t>
        </r>
      </text>
    </comment>
    <comment ref="U556" authorId="3" shapeId="0" xr:uid="{334B5FE7-BFCE-476C-86CA-F6305446B1D8}">
      <text>
        <r>
          <rPr>
            <sz val="8"/>
            <color rgb="FF000000"/>
            <rFont val="Tahoma"/>
            <family val="2"/>
          </rPr>
          <t xml:space="preserve">Severe Warning  AA009:  Substantial Metric difference from prior year &gt;=100% </t>
        </r>
      </text>
    </comment>
    <comment ref="Y556" authorId="3" shapeId="0" xr:uid="{24E4AF11-7C35-4B22-A079-279006C9AABD}">
      <text>
        <r>
          <rPr>
            <sz val="8"/>
            <color rgb="FF000000"/>
            <rFont val="Tahoma"/>
            <family val="2"/>
          </rPr>
          <t xml:space="preserve">Severe Warning  AA009:  Substantial Metric difference from prior year &gt;=100% </t>
        </r>
      </text>
    </comment>
    <comment ref="AC556" authorId="3" shapeId="0" xr:uid="{BF47B979-FC0D-495D-AB7B-31CC95413BF0}">
      <text>
        <r>
          <rPr>
            <sz val="8"/>
            <color rgb="FF000000"/>
            <rFont val="Tahoma"/>
            <family val="2"/>
          </rPr>
          <t>Moderate Warning  AA008:  Large Metric difference from prior year &gt;= 50%</t>
        </r>
      </text>
    </comment>
    <comment ref="AE556" authorId="3" shapeId="0" xr:uid="{0622CD75-38B5-47BE-9F38-EDF80192946B}">
      <text>
        <r>
          <rPr>
            <sz val="8"/>
            <color rgb="FF000000"/>
            <rFont val="Tahoma"/>
            <family val="2"/>
          </rPr>
          <t xml:space="preserve">Low Warning  AA006:  Metric difference from prior year &gt;= 20% </t>
        </r>
      </text>
    </comment>
    <comment ref="O557" authorId="3" shapeId="0" xr:uid="{BCFAAF15-61D0-48D7-9223-F51B3123A7C1}">
      <text>
        <r>
          <rPr>
            <sz val="8"/>
            <color rgb="FF000000"/>
            <rFont val="Tahoma"/>
            <family val="2"/>
          </rPr>
          <t>Moderate Warning  AA008:  Large Metric difference from prior year &gt;= 50%</t>
        </r>
      </text>
    </comment>
    <comment ref="U557" authorId="3" shapeId="0" xr:uid="{4C44A369-D5CD-48C0-B84E-3A7A9D0C24D1}">
      <text>
        <r>
          <rPr>
            <sz val="8"/>
            <color rgb="FF000000"/>
            <rFont val="Tahoma"/>
            <family val="2"/>
          </rPr>
          <t xml:space="preserve">Low Warning  AA006:  Metric difference from prior year &gt;= 20% </t>
        </r>
      </text>
    </comment>
    <comment ref="Y557" authorId="3" shapeId="0" xr:uid="{0959735F-C148-4A2D-B4AB-96BF532C0F60}">
      <text>
        <r>
          <rPr>
            <sz val="8"/>
            <color rgb="FF000000"/>
            <rFont val="Tahoma"/>
            <family val="2"/>
          </rPr>
          <t xml:space="preserve">Low Warning  AA006:  Metric difference from prior year &gt;= 20% </t>
        </r>
      </text>
    </comment>
    <comment ref="AC557" authorId="3" shapeId="0" xr:uid="{49646251-F2A6-4E99-AC4E-2940816A3921}">
      <text>
        <r>
          <rPr>
            <sz val="8"/>
            <color rgb="FF000000"/>
            <rFont val="Tahoma"/>
            <family val="2"/>
          </rPr>
          <t>Moderate Warning  AA008:  Large Metric difference from prior year &gt;= 50%</t>
        </r>
      </text>
    </comment>
    <comment ref="AE557" authorId="3" shapeId="0" xr:uid="{AA970067-AD08-407D-9D26-43F1733AA00B}">
      <text>
        <r>
          <rPr>
            <sz val="8"/>
            <color rgb="FF000000"/>
            <rFont val="Tahoma"/>
            <family val="2"/>
          </rPr>
          <t>Moderate Warning  AA008:  Large Metric difference from prior year &gt;= 50%</t>
        </r>
      </text>
    </comment>
    <comment ref="AA558" authorId="3" shapeId="0" xr:uid="{E5942DE7-6361-49C1-ACBC-332467287712}">
      <text>
        <r>
          <rPr>
            <sz val="8"/>
            <color rgb="FF000000"/>
            <rFont val="Tahoma"/>
            <family val="2"/>
          </rPr>
          <t>Moderate Warning  AA008:  Large Metric difference from prior year &gt;= 50%</t>
        </r>
      </text>
    </comment>
    <comment ref="AC558" authorId="3" shapeId="0" xr:uid="{E63205D5-6E03-4ED3-874C-F917B5FEF870}">
      <text>
        <r>
          <rPr>
            <sz val="8"/>
            <color rgb="FF000000"/>
            <rFont val="Tahoma"/>
            <family val="2"/>
          </rPr>
          <t>Moderate Warning  AA008:  Large Metric difference from prior year &gt;= 50%</t>
        </r>
      </text>
    </comment>
    <comment ref="AE558" authorId="3" shapeId="0" xr:uid="{6BBC7959-CED8-40FC-9E0A-6C7C6421E0DA}">
      <text>
        <r>
          <rPr>
            <sz val="8"/>
            <color rgb="FF000000"/>
            <rFont val="Tahoma"/>
            <family val="2"/>
          </rPr>
          <t>Moderate Warning  AA008:  Large Metric difference from prior year &gt;= 50%</t>
        </r>
      </text>
    </comment>
    <comment ref="M559" authorId="3" shapeId="0" xr:uid="{E2916ADD-04ED-4E7E-8890-61853052C728}">
      <text>
        <r>
          <rPr>
            <sz val="8"/>
            <color rgb="FF000000"/>
            <rFont val="Tahoma"/>
            <family val="2"/>
          </rPr>
          <t xml:space="preserve">Low Warning  AA006:  Metric difference from prior year &gt;= 20% </t>
        </r>
      </text>
    </comment>
    <comment ref="I560" authorId="3" shapeId="0" xr:uid="{46B5A8D3-4244-40E8-A052-18C0B9355C6F}">
      <text>
        <r>
          <rPr>
            <sz val="8"/>
            <color rgb="FF000000"/>
            <rFont val="Tahoma"/>
            <family val="2"/>
          </rPr>
          <t>Moderate Warning  AA008:  Large Metric difference from prior year &gt;= 50%</t>
        </r>
      </text>
    </comment>
    <comment ref="K560" authorId="3" shapeId="0" xr:uid="{DCAFED87-D05C-44B5-A3ED-93F20BAD4AD2}">
      <text>
        <r>
          <rPr>
            <sz val="8"/>
            <color rgb="FF000000"/>
            <rFont val="Tahoma"/>
            <family val="2"/>
          </rPr>
          <t xml:space="preserve">Low Warning  AA006:  Metric difference from prior year &gt;= 20% </t>
        </r>
      </text>
    </comment>
    <comment ref="O560" authorId="3" shapeId="0" xr:uid="{696A0B52-C847-43BD-9EAE-9E1C319FE3E7}">
      <text>
        <r>
          <rPr>
            <sz val="8"/>
            <color rgb="FF000000"/>
            <rFont val="Tahoma"/>
            <family val="2"/>
          </rPr>
          <t xml:space="preserve">Low Warning  AA006:  Metric difference from prior year &gt;= 20% </t>
        </r>
      </text>
    </comment>
    <comment ref="U560" authorId="3" shapeId="0" xr:uid="{A0ED652D-E615-449A-B982-C6EF84D4492F}">
      <text>
        <r>
          <rPr>
            <sz val="8"/>
            <color rgb="FF000000"/>
            <rFont val="Tahoma"/>
            <family val="2"/>
          </rPr>
          <t xml:space="preserve">Severe Warning  AA009:  Substantial Metric difference from prior year &gt;=100% </t>
        </r>
      </text>
    </comment>
    <comment ref="Y560" authorId="3" shapeId="0" xr:uid="{6CA21D57-7264-48E7-8EB9-F90F9AD796DF}">
      <text>
        <r>
          <rPr>
            <sz val="8"/>
            <color rgb="FF000000"/>
            <rFont val="Tahoma"/>
            <family val="2"/>
          </rPr>
          <t xml:space="preserve">Severe Warning  AA009:  Substantial Metric difference from prior year &gt;=100% </t>
        </r>
      </text>
    </comment>
    <comment ref="AA560" authorId="3" shapeId="0" xr:uid="{7F643566-4F52-4D44-9EE1-F3F2E6BB1A24}">
      <text>
        <r>
          <rPr>
            <sz val="8"/>
            <color rgb="FF000000"/>
            <rFont val="Tahoma"/>
            <family val="2"/>
          </rPr>
          <t xml:space="preserve">Low Warning  AA006:  Metric difference from prior year &gt;= 20% </t>
        </r>
      </text>
    </comment>
    <comment ref="AC560" authorId="3" shapeId="0" xr:uid="{602FDAB9-5411-4A3F-B412-66E1693EE3D0}">
      <text>
        <r>
          <rPr>
            <sz val="8"/>
            <color rgb="FF000000"/>
            <rFont val="Tahoma"/>
            <family val="2"/>
          </rPr>
          <t xml:space="preserve">Severe Warning  AA009:  Substantial Metric difference from prior year &gt;=100% </t>
        </r>
      </text>
    </comment>
    <comment ref="AE560" authorId="3" shapeId="0" xr:uid="{17AA9880-84D7-4ECA-A740-17274F990A8C}">
      <text>
        <r>
          <rPr>
            <sz val="8"/>
            <color rgb="FF000000"/>
            <rFont val="Tahoma"/>
            <family val="2"/>
          </rPr>
          <t xml:space="preserve">Low Warning  AA006:  Metric difference from prior year &gt;= 20% </t>
        </r>
      </text>
    </comment>
    <comment ref="O561" authorId="3" shapeId="0" xr:uid="{D60F4576-7680-47BD-9098-B84A884F9BF2}">
      <text>
        <r>
          <rPr>
            <sz val="8"/>
            <color rgb="FF000000"/>
            <rFont val="Tahoma"/>
            <family val="2"/>
          </rPr>
          <t>Moderate Warning  AA008:  Large Metric difference from prior year &gt;= 50%</t>
        </r>
      </text>
    </comment>
    <comment ref="U561" authorId="3" shapeId="0" xr:uid="{2DBE4215-48F5-4D19-B2DF-103DC32A67FC}">
      <text>
        <r>
          <rPr>
            <sz val="8"/>
            <color rgb="FF000000"/>
            <rFont val="Tahoma"/>
            <family val="2"/>
          </rPr>
          <t xml:space="preserve">Low Warning  AA006:  Metric difference from prior year &gt;= 20% </t>
        </r>
      </text>
    </comment>
    <comment ref="Y561" authorId="3" shapeId="0" xr:uid="{A249ECDA-DA1A-492F-8125-399AF54A2B4F}">
      <text>
        <r>
          <rPr>
            <sz val="8"/>
            <color rgb="FF000000"/>
            <rFont val="Tahoma"/>
            <family val="2"/>
          </rPr>
          <t xml:space="preserve">Low Warning  AA006:  Metric difference from prior year &gt;= 20% </t>
        </r>
      </text>
    </comment>
    <comment ref="AA561" authorId="3" shapeId="0" xr:uid="{ED74BFEA-F1B5-4EDF-BB61-CAD81EC2A22E}">
      <text>
        <r>
          <rPr>
            <sz val="8"/>
            <color rgb="FF000000"/>
            <rFont val="Tahoma"/>
            <family val="2"/>
          </rPr>
          <t xml:space="preserve">Low Warning  AA006:  Metric difference from prior year &gt;= 20% </t>
        </r>
      </text>
    </comment>
    <comment ref="AC561" authorId="3" shapeId="0" xr:uid="{5DC03F2C-3D90-4B75-BB8B-9D8E3A9E073C}">
      <text>
        <r>
          <rPr>
            <sz val="8"/>
            <color rgb="FF000000"/>
            <rFont val="Tahoma"/>
            <family val="2"/>
          </rPr>
          <t>Moderate Warning  AA008:  Large Metric difference from prior year &gt;= 50%</t>
        </r>
      </text>
    </comment>
    <comment ref="AE561" authorId="3" shapeId="0" xr:uid="{7BA6BE4E-6BD2-483A-B095-172854D18743}">
      <text>
        <r>
          <rPr>
            <sz val="8"/>
            <color rgb="FF000000"/>
            <rFont val="Tahoma"/>
            <family val="2"/>
          </rPr>
          <t>Moderate Warning  AA008:  Large Metric difference from prior year &gt;= 50%</t>
        </r>
      </text>
    </comment>
    <comment ref="O562" authorId="3" shapeId="0" xr:uid="{E6100A20-0FC1-4D11-B508-8A248723A015}">
      <text>
        <r>
          <rPr>
            <sz val="8"/>
            <color rgb="FF000000"/>
            <rFont val="Tahoma"/>
            <family val="2"/>
          </rPr>
          <t>Moderate Warning  AA008:  Large Metric difference from prior year &gt;= 50%</t>
        </r>
      </text>
    </comment>
    <comment ref="U562" authorId="3" shapeId="0" xr:uid="{5AAC54FE-7017-4483-BF31-0AABE932F0C5}">
      <text>
        <r>
          <rPr>
            <sz val="8"/>
            <color rgb="FF000000"/>
            <rFont val="Tahoma"/>
            <family val="2"/>
          </rPr>
          <t xml:space="preserve">Low Warning  AA006:  Metric difference from prior year &gt;= 20% </t>
        </r>
      </text>
    </comment>
    <comment ref="AA562" authorId="3" shapeId="0" xr:uid="{B6FDD731-10D9-45D1-A005-7439DE818B25}">
      <text>
        <r>
          <rPr>
            <sz val="8"/>
            <color rgb="FF000000"/>
            <rFont val="Tahoma"/>
            <family val="2"/>
          </rPr>
          <t xml:space="preserve">Severe Warning  AA009:  Substantial Metric difference from prior year &gt;=100% </t>
        </r>
      </text>
    </comment>
    <comment ref="AC562" authorId="3" shapeId="0" xr:uid="{4AC793EA-59C1-4EEE-91B7-251FBBD59A1D}">
      <text>
        <r>
          <rPr>
            <sz val="8"/>
            <color rgb="FF000000"/>
            <rFont val="Tahoma"/>
            <family val="2"/>
          </rPr>
          <t xml:space="preserve">Low Warning  AA006:  Metric difference from prior year &gt;= 20% </t>
        </r>
      </text>
    </comment>
    <comment ref="AE562" authorId="3" shapeId="0" xr:uid="{45DA9E88-1E93-4572-AB4D-0D560C192896}">
      <text>
        <r>
          <rPr>
            <sz val="8"/>
            <color rgb="FF000000"/>
            <rFont val="Tahoma"/>
            <family val="2"/>
          </rPr>
          <t>Moderate Warning  AA008:  Large Metric difference from prior year &gt;= 50%</t>
        </r>
      </text>
    </comment>
    <comment ref="AA563" authorId="3" shapeId="0" xr:uid="{E6A229F6-B2CE-4722-98EA-7E702BAA9A4B}">
      <text>
        <r>
          <rPr>
            <sz val="8"/>
            <color rgb="FF000000"/>
            <rFont val="Tahoma"/>
            <family val="2"/>
          </rPr>
          <t>Moderate Warning  AA008:  Large Metric difference from prior year &gt;= 50%</t>
        </r>
      </text>
    </comment>
    <comment ref="AC563" authorId="3" shapeId="0" xr:uid="{A86DB79C-814C-4E17-80DC-404BB766A47E}">
      <text>
        <r>
          <rPr>
            <sz val="8"/>
            <color rgb="FF000000"/>
            <rFont val="Tahoma"/>
            <family val="2"/>
          </rPr>
          <t>Moderate Warning  AA008:  Large Metric difference from prior year &gt;= 50%</t>
        </r>
      </text>
    </comment>
    <comment ref="AE563" authorId="3" shapeId="0" xr:uid="{F3E1B56D-A059-4D99-95CE-85814A6F0D44}">
      <text>
        <r>
          <rPr>
            <sz val="8"/>
            <color rgb="FF000000"/>
            <rFont val="Tahoma"/>
            <family val="2"/>
          </rPr>
          <t>Moderate Warning  AA008:  Large Metric difference from prior year &gt;= 50%</t>
        </r>
      </text>
    </comment>
    <comment ref="AA564" authorId="3" shapeId="0" xr:uid="{F0FCA16D-EFD3-41F8-AD45-15BF03430DF5}">
      <text>
        <r>
          <rPr>
            <sz val="8"/>
            <color rgb="FF000000"/>
            <rFont val="Tahoma"/>
            <family val="2"/>
          </rPr>
          <t>Moderate Warning  AA008:  Large Metric difference from prior year &gt;= 50%</t>
        </r>
      </text>
    </comment>
    <comment ref="AC564" authorId="3" shapeId="0" xr:uid="{53F4A5DC-C73C-4B41-A019-5D8D2C916CC4}">
      <text>
        <r>
          <rPr>
            <sz val="8"/>
            <color rgb="FF000000"/>
            <rFont val="Tahoma"/>
            <family val="2"/>
          </rPr>
          <t>Moderate Warning  AA008:  Large Metric difference from prior year &gt;= 50%</t>
        </r>
      </text>
    </comment>
    <comment ref="I565" authorId="3" shapeId="0" xr:uid="{F5AE2072-DC29-4962-9928-BF5D4D957163}">
      <text>
        <r>
          <rPr>
            <sz val="8"/>
            <color rgb="FF000000"/>
            <rFont val="Tahoma"/>
            <family val="2"/>
          </rPr>
          <t xml:space="preserve">Low Warning  AA006:  Metric difference from prior year &gt;= 20% </t>
        </r>
      </text>
    </comment>
    <comment ref="K565" authorId="3" shapeId="0" xr:uid="{6B603DD4-B4CF-40E4-9700-B4FC83FAA7A2}">
      <text>
        <r>
          <rPr>
            <sz val="8"/>
            <color rgb="FF000000"/>
            <rFont val="Tahoma"/>
            <family val="2"/>
          </rPr>
          <t>Moderate Warning  AA008:  Large Metric difference from prior year &gt;= 50%</t>
        </r>
      </text>
    </comment>
    <comment ref="O565" authorId="3" shapeId="0" xr:uid="{F58C7B41-8284-45A2-9835-B187EE0B884D}">
      <text>
        <r>
          <rPr>
            <sz val="8"/>
            <color rgb="FF000000"/>
            <rFont val="Tahoma"/>
            <family val="2"/>
          </rPr>
          <t xml:space="preserve">Low Warning  AA006:  Metric difference from prior year &gt;= 20% </t>
        </r>
      </text>
    </comment>
    <comment ref="O566" authorId="3" shapeId="0" xr:uid="{30D4BE75-EA43-4D7F-A104-AF37A2A75A55}">
      <text>
        <r>
          <rPr>
            <sz val="8"/>
            <color rgb="FF000000"/>
            <rFont val="Tahoma"/>
            <family val="2"/>
          </rPr>
          <t xml:space="preserve">Severe Warning  AA009:  Substantial Metric difference from prior year &gt;=100% </t>
        </r>
      </text>
    </comment>
    <comment ref="U566" authorId="3" shapeId="0" xr:uid="{DF300564-EE31-400F-B0FE-B541682EA3AB}">
      <text>
        <r>
          <rPr>
            <sz val="8"/>
            <color rgb="FF000000"/>
            <rFont val="Tahoma"/>
            <family val="2"/>
          </rPr>
          <t xml:space="preserve">Severe Warning  AA009:  Substantial Metric difference from prior year &gt;=100% </t>
        </r>
      </text>
    </comment>
    <comment ref="AE566" authorId="3" shapeId="0" xr:uid="{9C251180-C892-4570-A278-1B102458CF66}">
      <text>
        <r>
          <rPr>
            <sz val="8"/>
            <color rgb="FF000000"/>
            <rFont val="Tahoma"/>
            <family val="2"/>
          </rPr>
          <t xml:space="preserve">Severe Warning  AA009:  Substantial Metric difference from prior year &gt;=100%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H11ug1" type="6" refreshedVersion="4" background="1" saveData="1">
    <textPr codePage="437" sourceFile="\\THECB-AUVFS41\UserDoc$\MeadDD\My Documents\My SAS Files\SREB\QWK04245\Page4\CH11ug1.txt">
      <textFields>
        <textField/>
      </textFields>
    </textPr>
  </connection>
  <connection id="2" xr16:uid="{00000000-0015-0000-FFFF-FFFF01000000}" name="CH11ug2" type="6" refreshedVersion="4" background="1" saveData="1">
    <textPr codePage="437" sourceFile="\\THECB-AUVFS41\UserDoc$\MeadDD\My Documents\My SAS Files\SREB\QWK04245\Page4\CH11ug2.txt">
      <textFields>
        <textField/>
      </textFields>
    </textPr>
  </connection>
  <connection id="3" xr16:uid="{00000000-0015-0000-FFFF-FFFF02000000}" name="CH11ug3" type="6" refreshedVersion="4" background="1" saveData="1">
    <textPr codePage="437" sourceFile="\\THECB-AUVFS41\UserDoc$\MeadDD\My Documents\My SAS Files\SREB\QWK04245\Page4\CH11ug3.txt">
      <textFields>
        <textField/>
      </textFields>
    </textPr>
  </connection>
  <connection id="4" xr16:uid="{00000000-0015-0000-FFFF-FFFF03000000}" name="CH11ug4" type="6" refreshedVersion="4" background="1" saveData="1">
    <textPr codePage="437" sourceFile="\\THECB-AUVFS41\UserDoc$\MeadDD\My Documents\My SAS Files\SREB\QWK04245\Page4\CH11ug4.txt">
      <textFields>
        <textField/>
      </textFields>
    </textPr>
  </connection>
  <connection id="5" xr16:uid="{00000000-0015-0000-FFFF-FFFF04000000}" name="CH13ug1" type="6" refreshedVersion="5" background="1" saveData="1">
    <textPr codePage="437" sourceFile="Z:\Mead\SASdocs\SREB\QWK04869\Page4\Paste\CH13ug1.txt">
      <textFields>
        <textField/>
      </textFields>
    </textPr>
  </connection>
  <connection id="6" xr16:uid="{00000000-0015-0000-FFFF-FFFF05000000}" name="CH13ug2" type="6" refreshedVersion="5" background="1" saveData="1">
    <textPr codePage="437" sourceFile="Z:\Mead\SASdocs\SREB\QWK04869\Page4\Paste\CH13ug2.txt">
      <textFields>
        <textField/>
      </textFields>
    </textPr>
  </connection>
  <connection id="7" xr16:uid="{00000000-0015-0000-FFFF-FFFF06000000}" name="CH13ug3" type="6" refreshedVersion="5" background="1" saveData="1">
    <textPr codePage="437" sourceFile="Z:\Mead\SASdocs\SREB\QWK04869\Page4\Paste\CH13ug3.txt">
      <textFields>
        <textField/>
      </textFields>
    </textPr>
  </connection>
  <connection id="8" xr16:uid="{00000000-0015-0000-FFFF-FFFF07000000}" name="CH13ug4" type="6" refreshedVersion="5" background="1" saveData="1">
    <textPr codePage="437" sourceFile="Z:\Mead\SASdocs\SREB\QWK04869\Page4\Paste\CH13ug4.txt">
      <textFields>
        <textField/>
      </textFields>
    </textPr>
  </connection>
  <connection id="9" xr16:uid="{F758E344-3AB3-401E-BD19-8073B2736990}" name="Dual07" type="6" refreshedVersion="3" deleted="1" background="1" saveData="1">
    <textPr codePage="437" sourceFile="\\CBNA42\UserDoc$\meaddd\My Documents\My SAS Files\SREB\QWK03256\Dual07.txt">
      <textFields>
        <textField/>
      </textFields>
    </textPr>
  </connection>
  <connection id="10" xr16:uid="{00000000-0015-0000-FFFF-FFFF08000000}" name="Dual11" type="6" refreshedVersion="4" background="1" saveData="1">
    <textPr codePage="437" sourceFile="\\THECB-AUVFS41\UserDoc$\MeadDD\My Documents\My SAS Files\SREB\QWK04245\Page4\Dual11.txt">
      <textFields>
        <textField/>
      </textFields>
    </textPr>
  </connection>
  <connection id="11" xr16:uid="{00000000-0015-0000-FFFF-FFFF09000000}" name="Dual13" type="6" refreshedVersion="5" background="1" saveData="1">
    <textPr codePage="437" sourceFile="Z:\Mead\SASdocs\SREB\QWK04869\Page4\Paste\Dual13.txt">
      <textFields>
        <textField/>
      </textFields>
    </textPr>
  </connection>
  <connection id="12" xr16:uid="{00000000-0015-0000-FFFF-FFFF0A000000}" name="SCH13ug2" type="6" refreshedVersion="5" background="1" saveData="1">
    <textPr codePage="437" sourceFile="Z:\Mead\SASdocs\SREB\QWK04869\Page4\Paste\SCH13ug2.txt">
      <textFields>
        <textField/>
      </textFields>
    </textPr>
  </connection>
  <connection id="13" xr16:uid="{00000000-0015-0000-FFFF-FFFF0B000000}" name="SCH13ug3" type="6" refreshedVersion="5" background="1" saveData="1">
    <textPr codePage="437" sourceFile="Z:\Mead\SASdocs\SREB\QWK04869\Page4\Paste\SCH13ug3.txt">
      <textFields>
        <textField/>
      </textFields>
    </textPr>
  </connection>
  <connection id="14" xr16:uid="{00000000-0015-0000-FFFF-FFFF0C000000}" name="SCH13ug4" type="6" refreshedVersion="5" background="1" saveData="1">
    <textPr codePage="437" sourceFile="Z:\Mead\SASdocs\SREB\QWK04869\Page4\Paste\SCH13ug4.txt">
      <textFields>
        <textField/>
      </textFields>
    </textPr>
  </connection>
  <connection id="15" xr16:uid="{65EAFA96-8592-4DCF-B540-DE82A77D592F}" name="SCH15ug11" type="6" refreshedVersion="5" background="1" saveData="1">
    <textPr codePage="437" sourceFile="Z:\Mead\SASdocs\SREB\QWK05160\Page4\Paste\SCH15ug1.txt">
      <textFields>
        <textField/>
      </textFields>
    </textPr>
  </connection>
  <connection id="16" xr16:uid="{09C918AD-4566-4AA3-8F68-E05805CA6EE6}" name="SCH15ug111" type="6" refreshedVersion="5" background="1" saveData="1">
    <textPr codePage="437" sourceFile="Z:\Mead\SASdocs\SREB\QWK05160\Page4\Paste\SCH15ug1.txt">
      <textFields>
        <textField/>
      </textFields>
    </textPr>
  </connection>
</connections>
</file>

<file path=xl/sharedStrings.xml><?xml version="1.0" encoding="utf-8"?>
<sst xmlns="http://schemas.openxmlformats.org/spreadsheetml/2006/main" count="3158" uniqueCount="939">
  <si>
    <t xml:space="preserve">Part 4: Credit/Contact Hours </t>
  </si>
  <si>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</si>
  <si>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</si>
  <si>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</si>
  <si>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</si>
  <si>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</si>
  <si>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</si>
  <si>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</si>
  <si>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</si>
  <si>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</si>
  <si>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</si>
  <si>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</si>
  <si>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</si>
  <si>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</si>
  <si>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</si>
  <si>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</si>
  <si>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</si>
  <si>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</si>
  <si>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</si>
  <si>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</si>
  <si>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</si>
  <si>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</si>
  <si>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</si>
  <si>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</si>
  <si>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</si>
  <si>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</si>
  <si>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</si>
  <si>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</si>
  <si>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</si>
  <si>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</si>
  <si>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</si>
  <si>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</si>
  <si>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</si>
  <si>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</si>
  <si>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</si>
  <si>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</si>
  <si>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</si>
  <si>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</si>
  <si>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</si>
  <si>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</si>
  <si>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</si>
  <si>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</si>
  <si>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</si>
  <si>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</si>
  <si>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</si>
  <si>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</si>
  <si>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</si>
  <si>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</si>
  <si>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</si>
  <si>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</si>
  <si>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</si>
  <si>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</si>
  <si>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</si>
  <si>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</si>
  <si>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</si>
  <si>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</si>
  <si>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</si>
  <si>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</si>
  <si>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</si>
  <si>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</si>
  <si>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</si>
  <si>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</si>
  <si>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</si>
  <si>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</si>
  <si>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</si>
  <si>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</si>
  <si>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</si>
  <si>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</si>
  <si>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</si>
  <si>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</si>
  <si>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</si>
  <si>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</si>
  <si>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</si>
  <si>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</si>
  <si>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</si>
  <si>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</si>
  <si>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</si>
  <si>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</si>
  <si>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</si>
  <si>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</si>
  <si>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</si>
  <si>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</si>
  <si>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</si>
  <si>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</si>
  <si>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</si>
  <si>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</si>
  <si>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</si>
  <si>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</si>
  <si>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</si>
  <si>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Bevill State Community College</t>
  </si>
  <si>
    <t>Bishop State Community College</t>
  </si>
  <si>
    <t>Gadsden State Community College</t>
  </si>
  <si>
    <t xml:space="preserve">Lawson State Community College </t>
  </si>
  <si>
    <t>Northwest-Shoals Community College</t>
  </si>
  <si>
    <t>Shelton State Community College</t>
  </si>
  <si>
    <t>Southern Union State Community College</t>
  </si>
  <si>
    <t>Central Alabama Community College</t>
  </si>
  <si>
    <t>George Corley Wallace State Community College - Selma</t>
  </si>
  <si>
    <t xml:space="preserve">Lurleen B. Wallace Community College </t>
  </si>
  <si>
    <t xml:space="preserve">Snead State Community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</si>
  <si>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</si>
  <si>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</si>
  <si>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</si>
  <si>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</si>
  <si>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</si>
  <si>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</si>
  <si>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</si>
  <si>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</si>
  <si>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</si>
  <si>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</si>
  <si>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</si>
  <si>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</si>
  <si>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</si>
  <si>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</si>
  <si>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</si>
  <si>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</si>
  <si>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</si>
  <si>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</si>
  <si>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</si>
  <si>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</si>
  <si>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</si>
  <si>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</si>
  <si>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</si>
  <si>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</si>
  <si>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</si>
  <si>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</si>
  <si>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</si>
  <si>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</si>
  <si>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</si>
  <si>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</si>
  <si>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</si>
  <si>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</si>
  <si>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</si>
  <si>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</si>
  <si>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</si>
  <si>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</si>
  <si>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</si>
  <si>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</si>
  <si>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</si>
  <si>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</si>
  <si>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</si>
  <si>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</si>
  <si>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</si>
  <si>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</si>
  <si>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</si>
  <si>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</si>
  <si>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</si>
  <si>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</si>
  <si>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</si>
  <si>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</si>
  <si>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</si>
  <si>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</si>
  <si>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</si>
  <si>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</si>
  <si>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</si>
  <si>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</si>
  <si>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</si>
  <si>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</si>
  <si>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</si>
  <si>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</si>
  <si>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</si>
  <si>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</si>
  <si>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</si>
  <si>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</si>
  <si>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</si>
  <si>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</si>
  <si>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</si>
  <si>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</si>
  <si>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</si>
  <si>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</si>
  <si>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</si>
  <si>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</si>
  <si>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</si>
  <si>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</si>
  <si>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</si>
  <si>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</si>
  <si>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</si>
  <si>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</si>
  <si>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</si>
  <si>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Atlanta Metropolitan State College</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</si>
  <si>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</si>
  <si>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</si>
  <si>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</si>
  <si>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</si>
  <si>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</si>
  <si>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</si>
  <si>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</si>
  <si>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</si>
  <si>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</si>
  <si>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</si>
  <si>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</si>
  <si>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</si>
  <si>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</si>
  <si>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</si>
  <si>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</si>
  <si>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</si>
  <si>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</si>
  <si>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</si>
  <si>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</si>
  <si>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</si>
  <si>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</si>
  <si>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</si>
  <si>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</si>
  <si>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</si>
  <si>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</si>
  <si>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</si>
  <si>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</si>
  <si>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</si>
  <si>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</si>
  <si>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</si>
  <si>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</si>
  <si>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</si>
  <si>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</si>
  <si>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</si>
  <si>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</si>
  <si>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</si>
  <si>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</si>
  <si>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</si>
  <si>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</si>
  <si>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</si>
  <si>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</si>
  <si>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</si>
  <si>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</si>
  <si>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</si>
  <si>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</si>
  <si>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</si>
  <si>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</si>
  <si>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</si>
  <si>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</si>
  <si>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</si>
  <si>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</si>
  <si>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</si>
  <si>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</si>
  <si>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</si>
  <si>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</si>
  <si>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</si>
  <si>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</si>
  <si>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</si>
  <si>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</si>
  <si>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</si>
  <si>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</si>
  <si>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</si>
  <si>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</si>
  <si>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</si>
  <si>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</si>
  <si>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</si>
  <si>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</si>
  <si>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</si>
  <si>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</si>
  <si>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</si>
  <si>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</si>
  <si>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</si>
  <si>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</si>
  <si>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</si>
  <si>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</si>
  <si>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</si>
  <si>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</si>
  <si>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</si>
  <si>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</si>
  <si>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</si>
  <si>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</si>
  <si>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</si>
  <si>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</si>
  <si>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</si>
  <si>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</si>
  <si>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</si>
  <si>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</si>
  <si>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</si>
  <si>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</si>
  <si>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</si>
  <si>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</si>
  <si>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</si>
  <si>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</si>
  <si>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</si>
  <si>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</si>
  <si>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</si>
  <si>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</si>
  <si>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</si>
  <si>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</si>
  <si>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</si>
  <si>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</si>
  <si>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</si>
  <si>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</si>
  <si>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</si>
  <si>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</si>
  <si>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</si>
  <si>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</si>
  <si>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</si>
  <si>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</si>
  <si>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</si>
  <si>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</si>
  <si>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</si>
  <si>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</si>
  <si>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</si>
  <si>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</si>
  <si>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</si>
  <si>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</si>
  <si>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</si>
  <si>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</si>
  <si>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</si>
  <si>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</si>
  <si>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</si>
  <si>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</si>
  <si>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</si>
  <si>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</si>
  <si>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</si>
  <si>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</si>
  <si>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</si>
  <si>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</si>
  <si>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</si>
  <si>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</si>
  <si>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</si>
  <si>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</si>
  <si>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</si>
  <si>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</si>
  <si>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</si>
  <si>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</si>
  <si>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</si>
  <si>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</si>
  <si>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</si>
  <si>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</si>
  <si>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</si>
  <si>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</si>
  <si>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</si>
  <si>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</si>
  <si>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</si>
  <si>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</si>
  <si>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</si>
  <si>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</si>
  <si>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</si>
  <si>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</si>
  <si>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</si>
  <si>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</si>
  <si>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</si>
  <si>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</si>
  <si>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</si>
  <si>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</si>
  <si>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</si>
  <si>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</si>
  <si>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</si>
  <si>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</si>
  <si>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</si>
  <si>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</si>
  <si>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</si>
  <si>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</si>
  <si>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</si>
  <si>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</si>
  <si>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</si>
  <si>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</si>
  <si>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</si>
  <si>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</si>
  <si>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</si>
  <si>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</si>
  <si>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</si>
  <si>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</si>
  <si>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</si>
  <si>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Center-Riverside Campus          </t>
  </si>
  <si>
    <t xml:space="preserve">Wes Watkins Technology Center                     </t>
  </si>
  <si>
    <t xml:space="preserve">Western Technology Center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</si>
  <si>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</si>
  <si>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</si>
  <si>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</si>
  <si>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</si>
  <si>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</si>
  <si>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</si>
  <si>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</si>
  <si>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</si>
  <si>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</si>
  <si>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</si>
  <si>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</si>
  <si>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</si>
  <si>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</si>
  <si>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</si>
  <si>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</si>
  <si>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</si>
  <si>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</si>
  <si>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</si>
  <si>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</si>
  <si>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</si>
  <si>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</si>
  <si>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</si>
  <si>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</si>
  <si>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</si>
  <si>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</si>
  <si>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</si>
  <si>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</si>
  <si>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</si>
  <si>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</si>
  <si>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</si>
  <si>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</si>
  <si>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</si>
  <si>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</si>
  <si>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</si>
  <si>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</si>
  <si>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</si>
  <si>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</si>
  <si>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</si>
  <si>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</si>
  <si>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</si>
  <si>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</si>
  <si>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</si>
  <si>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</si>
  <si>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</si>
  <si>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</si>
  <si>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</si>
  <si>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</si>
  <si>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</si>
  <si>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</si>
  <si>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</si>
  <si>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</si>
  <si>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</si>
  <si>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</si>
  <si>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</si>
  <si>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</si>
  <si>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</si>
  <si>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</si>
  <si>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</si>
  <si>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</si>
  <si>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</si>
  <si>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</si>
  <si>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</si>
  <si>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</si>
  <si>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</si>
  <si>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</si>
  <si>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</si>
  <si>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</si>
  <si>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</si>
  <si>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</si>
  <si>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</si>
  <si>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</si>
  <si>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</si>
  <si>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</si>
  <si>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</si>
  <si>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Delaware State University</t>
  </si>
  <si>
    <t>Delaware Technical and Community College--Terry</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</si>
  <si>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</si>
  <si>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</si>
  <si>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</si>
  <si>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</si>
  <si>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</si>
  <si>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</si>
  <si>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</si>
  <si>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</si>
  <si>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</si>
  <si>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</si>
  <si>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</si>
  <si>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</si>
  <si>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</si>
  <si>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</si>
  <si>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</si>
  <si>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</si>
  <si>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</si>
  <si>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</si>
  <si>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</si>
  <si>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</si>
  <si>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</si>
  <si>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</si>
  <si>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</si>
  <si>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</si>
  <si>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</si>
  <si>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</si>
  <si>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</si>
  <si>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</si>
  <si>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</si>
  <si>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</si>
  <si>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</si>
  <si>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</si>
  <si>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</si>
  <si>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</si>
  <si>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</si>
  <si>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</si>
  <si>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</si>
  <si>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</si>
  <si>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</si>
  <si>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</si>
  <si>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</si>
  <si>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</si>
  <si>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</si>
  <si>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</si>
  <si>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</si>
  <si>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</si>
  <si>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</si>
  <si>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</si>
  <si>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</si>
  <si>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</si>
  <si>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</si>
  <si>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</si>
  <si>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</si>
  <si>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</si>
  <si>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</si>
  <si>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</si>
  <si>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</si>
  <si>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</si>
  <si>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</si>
  <si>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</si>
  <si>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</si>
  <si>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</si>
  <si>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</si>
  <si>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</si>
  <si>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</si>
  <si>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</si>
  <si>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</si>
  <si>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</si>
  <si>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</si>
  <si>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</si>
  <si>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</si>
  <si>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</si>
  <si>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</si>
  <si>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</si>
  <si>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</si>
  <si>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</si>
  <si>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</si>
  <si>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</si>
  <si>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</si>
  <si>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</si>
  <si>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</si>
  <si>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</si>
  <si>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</si>
  <si>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</si>
  <si>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</si>
  <si>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</si>
  <si>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</si>
  <si>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</si>
  <si>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</si>
  <si>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</si>
  <si>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</si>
  <si>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</si>
  <si>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</si>
  <si>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</si>
  <si>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</si>
  <si>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</si>
  <si>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</si>
  <si>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</si>
  <si>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</si>
  <si>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</si>
  <si>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</si>
  <si>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</si>
  <si>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</si>
  <si>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</si>
  <si>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</si>
  <si>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</si>
  <si>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</si>
  <si>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</si>
  <si>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</si>
  <si>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</si>
  <si>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</si>
  <si>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</si>
  <si>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</si>
  <si>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</si>
  <si>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</si>
  <si>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</si>
  <si>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</si>
  <si>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</si>
  <si>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</si>
  <si>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</si>
  <si>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</si>
  <si>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</si>
  <si>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</si>
  <si>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</si>
  <si>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</si>
  <si>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</si>
  <si>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</si>
  <si>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Central Texas College </t>
  </si>
  <si>
    <t>Collin County Community College District</t>
  </si>
  <si>
    <t xml:space="preserve">Del Mar College </t>
  </si>
  <si>
    <t>El Paso County Community College District</t>
  </si>
  <si>
    <t>Houston Community College</t>
  </si>
  <si>
    <t>Lone Star College System District</t>
  </si>
  <si>
    <t xml:space="preserve">McLennan Community College </t>
  </si>
  <si>
    <t xml:space="preserve">Navarro College </t>
  </si>
  <si>
    <t>North Central Texas Community College</t>
  </si>
  <si>
    <t>Northwest Vista College (ACCD)</t>
  </si>
  <si>
    <t>San Antonio College (ACCD)</t>
  </si>
  <si>
    <t>San Jacinto College</t>
  </si>
  <si>
    <t xml:space="preserve">South Plains College </t>
  </si>
  <si>
    <t>Tarrant County College</t>
  </si>
  <si>
    <t>Trinity Valley Community College</t>
  </si>
  <si>
    <t xml:space="preserve">Tyler Junior College </t>
  </si>
  <si>
    <t xml:space="preserve">Alvin Community College </t>
  </si>
  <si>
    <t xml:space="preserve">Angelina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</si>
  <si>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</si>
  <si>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</si>
  <si>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</si>
  <si>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</si>
  <si>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</si>
  <si>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</si>
  <si>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</si>
  <si>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</si>
  <si>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</si>
  <si>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</si>
  <si>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</si>
  <si>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</si>
  <si>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</si>
  <si>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</si>
  <si>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</si>
  <si>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</si>
  <si>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</si>
  <si>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</si>
  <si>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</si>
  <si>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</si>
  <si>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</si>
  <si>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</si>
  <si>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</si>
  <si>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</si>
  <si>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</si>
  <si>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</si>
  <si>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</si>
  <si>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</si>
  <si>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</si>
  <si>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</si>
  <si>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</si>
  <si>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</si>
  <si>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</si>
  <si>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</si>
  <si>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Howard County Community/Junior College District (HCJCD)</t>
  </si>
  <si>
    <t>University of North Texas at Dallas</t>
  </si>
  <si>
    <t>08b</t>
  </si>
  <si>
    <t>09b</t>
  </si>
  <si>
    <t>10b</t>
  </si>
  <si>
    <t>Texas State Technical College-North Texas</t>
  </si>
  <si>
    <t>Texas State Technical College-Fort Bend</t>
  </si>
  <si>
    <t>VA</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</si>
  <si>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</si>
  <si>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</si>
  <si>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</si>
  <si>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</si>
  <si>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</si>
  <si>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</si>
  <si>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</si>
  <si>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</si>
  <si>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</si>
  <si>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</si>
  <si>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</si>
  <si>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</si>
  <si>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</si>
  <si>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</si>
  <si>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</si>
  <si>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</si>
  <si>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</si>
  <si>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</si>
  <si>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</si>
  <si>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all 8's</t>
  </si>
  <si>
    <t>all 9's</t>
  </si>
  <si>
    <t>Richard Bland College B</t>
  </si>
  <si>
    <t>All'10's except R.B.</t>
  </si>
  <si>
    <t>Row Labels</t>
  </si>
  <si>
    <t>Sum of Old-Total Undg SCH FTE</t>
  </si>
  <si>
    <t>Sum of New-Total Undg SCH FTE</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</si>
  <si>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</si>
  <si>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</si>
  <si>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</si>
  <si>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</si>
  <si>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</si>
  <si>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</si>
  <si>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</si>
  <si>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</si>
  <si>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</si>
  <si>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</si>
  <si>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</si>
  <si>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</si>
  <si>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</si>
  <si>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</si>
  <si>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</si>
  <si>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</si>
  <si>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</si>
  <si>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</si>
  <si>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</si>
  <si>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</si>
  <si>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</si>
  <si>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</si>
  <si>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</si>
  <si>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</si>
  <si>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</si>
  <si>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</si>
  <si>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</si>
  <si>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</si>
  <si>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</si>
  <si>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</si>
  <si>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</si>
  <si>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</si>
  <si>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</si>
  <si>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</si>
  <si>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</si>
  <si>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</si>
  <si>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</si>
  <si>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</si>
  <si>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</si>
  <si>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</si>
  <si>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</si>
  <si>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</si>
  <si>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</si>
  <si>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</si>
  <si>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</si>
  <si>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</si>
  <si>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</si>
  <si>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</si>
  <si>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</si>
  <si>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</si>
  <si>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</si>
  <si>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</si>
  <si>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</si>
  <si>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</si>
  <si>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</si>
  <si>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</si>
  <si>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</si>
  <si>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</si>
  <si>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</si>
  <si>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</si>
  <si>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</si>
  <si>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</si>
  <si>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</si>
  <si>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</si>
  <si>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</si>
  <si>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</si>
  <si>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</si>
  <si>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</si>
  <si>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</si>
  <si>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</si>
  <si>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</si>
  <si>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81</t>
  </si>
  <si>
    <t>Full-Year Full-Time-Equivalent Graduate Enrollment</t>
  </si>
  <si>
    <t>Table 82</t>
  </si>
  <si>
    <t>Total Full-Year Full-Time-Equivalent Enrollment</t>
  </si>
  <si>
    <t>for use in Highlights and Fact Book</t>
  </si>
  <si>
    <t>Table 83</t>
  </si>
  <si>
    <t>Full-Year Full-Time-Equivalent Credit-Hour Enrollment</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</si>
  <si>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</si>
  <si>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</si>
  <si>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</si>
  <si>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</si>
  <si>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</si>
  <si>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</si>
  <si>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</si>
  <si>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</si>
  <si>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</si>
  <si>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</si>
  <si>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</si>
  <si>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</si>
  <si>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</si>
  <si>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</si>
  <si>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</si>
  <si>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</si>
  <si>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</si>
  <si>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</si>
  <si>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</si>
  <si>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</si>
  <si>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</si>
  <si>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</si>
  <si>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</si>
  <si>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</si>
  <si>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</si>
  <si>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t>Table 86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</si>
  <si>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</si>
  <si>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</si>
  <si>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</si>
  <si>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</si>
  <si>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</si>
  <si>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</si>
  <si>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</si>
  <si>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</si>
  <si>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</si>
  <si>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</si>
  <si>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</si>
  <si>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</si>
  <si>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</si>
  <si>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</si>
  <si>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</si>
  <si>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</si>
  <si>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</si>
  <si>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</si>
  <si>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</si>
  <si>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</si>
  <si>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</si>
  <si>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</si>
  <si>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</si>
  <si>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</si>
  <si>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</si>
  <si>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</si>
  <si>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</si>
  <si>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</si>
  <si>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</si>
  <si>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</si>
  <si>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</si>
  <si>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</si>
  <si>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</si>
  <si>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</si>
  <si>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</si>
  <si>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</si>
  <si>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</si>
  <si>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10 minus 10b</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</si>
  <si>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</si>
  <si>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</si>
  <si>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</si>
  <si>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</si>
  <si>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</si>
  <si>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</si>
  <si>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</si>
  <si>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</si>
  <si>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</si>
  <si>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</si>
  <si>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</si>
  <si>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 xml:space="preserve">Georgia State University </t>
  </si>
  <si>
    <t>233338</t>
  </si>
  <si>
    <r>
      <rPr>
        <b/>
        <sz val="10"/>
        <color rgb="FF000000"/>
        <rFont val="Arial"/>
        <family val="2"/>
      </rPr>
      <t xml:space="preserve">Data Columns:  </t>
    </r>
    <r>
      <rPr>
        <sz val="10"/>
        <color rgb="FF000000"/>
        <rFont val="Arial"/>
        <family val="2"/>
      </rPr>
      <t>White = New Data, Peach = Old Data, Purple/Grey = Calculated Data.</t>
    </r>
  </si>
  <si>
    <t xml:space="preserve">John C. Calhoun Community College </t>
  </si>
  <si>
    <t>George C. Wallace Community College-Dothan</t>
  </si>
  <si>
    <t>George C. Wallace State Community College-Hanceville</t>
  </si>
  <si>
    <t>Chattahoochee Valley Community College</t>
  </si>
  <si>
    <t>Enterprise State Community College</t>
  </si>
  <si>
    <t>Northeast Alabama Community College</t>
  </si>
  <si>
    <t>H. Councill Trenholm State Community College</t>
  </si>
  <si>
    <t>J.F. Drake State Community and Technical College</t>
  </si>
  <si>
    <t>University of Arkansas - Pulaski Technical College</t>
  </si>
  <si>
    <t>University of Arkansas Community College Rich Mountain</t>
  </si>
  <si>
    <t>Augusta University</t>
  </si>
  <si>
    <t>Central LA Technical Community College</t>
  </si>
  <si>
    <t>University of North Carolina School of the Arts</t>
  </si>
  <si>
    <t>Tulsa Technology Center-Owasso</t>
  </si>
  <si>
    <t>Tulsa Technology Center-Sand Springs</t>
  </si>
  <si>
    <t xml:space="preserve">Williamsburg Technical College </t>
  </si>
  <si>
    <t>Brookhaven College (DCCCD)</t>
  </si>
  <si>
    <t>Eastfield College (DCCCD)</t>
  </si>
  <si>
    <t>North Lake College (DCCCD)</t>
  </si>
  <si>
    <t>Palo Alto College (ACCD)</t>
  </si>
  <si>
    <t>Richland College (DCCCD)</t>
  </si>
  <si>
    <t>St. Philip's College (ACCD)</t>
  </si>
  <si>
    <t>Cedar Valley College (DCCCD)</t>
  </si>
  <si>
    <t>N/A</t>
  </si>
  <si>
    <t>Dallas County Community College District (DCCCD)</t>
  </si>
  <si>
    <t>15 Total</t>
  </si>
  <si>
    <t>Met the criteria for Four-Year 3 in 2018-19 and 2019-20.</t>
  </si>
  <si>
    <t>Met the criteria for Four-Year 5 in 2019-20.</t>
  </si>
  <si>
    <t>Coastal Alabama Community College</t>
  </si>
  <si>
    <t>Met the criteria for Two-Year 2 in 2018-19 and 2019-20.</t>
  </si>
  <si>
    <t>Arkansas State University Three Rivers</t>
  </si>
  <si>
    <t>2019-20: Institution joined one of our university systems</t>
  </si>
  <si>
    <t>University of Arkansas Community College at Hope-Texarkana</t>
  </si>
  <si>
    <t xml:space="preserve">Met the criteria for Two-Year with Bachelor's in 2019-20. </t>
  </si>
  <si>
    <t xml:space="preserve">North Florida College </t>
  </si>
  <si>
    <t>The College of the Florida Keys</t>
  </si>
  <si>
    <t xml:space="preserve">Met the criteria for Two-Year with Bachelor's in 2018-19 and 2019-20. </t>
  </si>
  <si>
    <t>Met the criteria for Four-Year 2 in 2019-20.</t>
  </si>
  <si>
    <t>Southern University Law Center</t>
  </si>
  <si>
    <t>Met the criteria for Four-Year 4 in 2019-20.</t>
  </si>
  <si>
    <t>Met the criteria for Two-Year 3 in 2018-19 and 2019-20.</t>
  </si>
  <si>
    <t>Met the criteria for Two-Year 2 in 2019-20.</t>
  </si>
  <si>
    <t>Met the criteria for Technical Institute or College 2 in 2019-20.</t>
  </si>
  <si>
    <t>Texas A&amp;M University-San Antonio</t>
  </si>
  <si>
    <t>Met the criteria for Two-Year with Bachelor's in 2019-20.</t>
  </si>
  <si>
    <t>Maryland*</t>
  </si>
  <si>
    <t>*Provisionary data reported. Interpret with caution.</t>
  </si>
  <si>
    <t>Notes: Full-year full-time-equivalent (FTE) undergraduate enrollment for 2018-19 is estimated by taking the credit hours from calendar year 2018 (i.e. winter, spring, summer and fall terms of 2018) and by dividing total undergraduate semester credit hours by 30 and total undergraduate quarter hours by 45.</t>
  </si>
  <si>
    <t>Notes: Full-year full-time-equivalent (FTE) undergraduate enrollment for 2018-19 is estimated by taking the credit hours from calendar year 2018 (i.e. winter, spring, summer and fall terms of 2018) and by dividing total graduate semester credit hours by 24 and total graduate quarter hours by 36.</t>
  </si>
  <si>
    <t>Notes: Full-year full-time-equivalent (FTE) undergraduate enrollment for 2018-19 is estimated by taking the credit hours from calendar year 2018 (i.e. winter, spring, summer and fall terms of 2018) and by dividing total undergraduate semester credit hours by 30; total undergraduate quarter hours by 45; total graduate semester hours by 24; and total graduate quarter hours by 36.</t>
  </si>
  <si>
    <t xml:space="preserve">Notes:  Full-year full-time-equivalent (FTE) undergraduate enrollment for 2018-19 is estimated by taking the credit hours from calendar year 2018 (i.e. winter, spring, summer and fall terms of 2018) and by dividing total undergraduate semester credit hours by 30; total undergraduate quarter hours by 45; total undergraduate contact hours by 900 (the equivalent of a 30 hour week); total graduate semester credit hours by 24; and total graduate quarter hours by 36. </t>
  </si>
  <si>
    <t>Marion Military Institute</t>
  </si>
  <si>
    <t>Changed # from 157173 to 156392</t>
  </si>
  <si>
    <t>Davidson-Davie Community College</t>
  </si>
  <si>
    <t>College of The Albemarle</t>
  </si>
  <si>
    <t>El Centro College  (DCCCD)</t>
  </si>
  <si>
    <t>Mountain View College  (DCCCD)</t>
  </si>
  <si>
    <t xml:space="preserve">Cisco Junior College </t>
  </si>
  <si>
    <t>University of Texas Permian Basin</t>
  </si>
  <si>
    <t>University of Texas-Rio Grande Valley</t>
  </si>
  <si>
    <t>Texas A&amp;M University-Central Texas</t>
  </si>
  <si>
    <t>Blinn College</t>
  </si>
  <si>
    <t xml:space="preserve">Laredo College </t>
  </si>
  <si>
    <t>Changed IPEDS # from 229072</t>
  </si>
  <si>
    <t>Public Four-Year Institutions, 2020-21</t>
  </si>
  <si>
    <t>Public Two-Year Colleges and Technical Institutes or Colleges, 2020-21</t>
  </si>
  <si>
    <t>Public Two-Year Colleges, 2020-21</t>
  </si>
  <si>
    <t>Public Technical Institutes or Colleges, 2020-21</t>
  </si>
  <si>
    <t xml:space="preserve"> and Technical Institutes or Colleges, 2020-21</t>
  </si>
  <si>
    <t>Public Four-Year Institutions, 2019-20</t>
  </si>
  <si>
    <t>Public Two-Year Colleges and Technical Institutes or Colleges, 2019-20</t>
  </si>
  <si>
    <t>Public Two-Year Colleges, 2019-20</t>
  </si>
  <si>
    <t>Public Technical Institutes or Colleges, 2019-20</t>
  </si>
  <si>
    <t xml:space="preserve"> and Technical Institutes or Colleges, 2019-20</t>
  </si>
  <si>
    <t>Notes: Full-year full-time-equivalent (FTE) undergraduate enrollment for 2020-21 is estimated by taking the credit hours from calendar year 2020 (i.e. winter, spring, summer and fall terms of 2020) and by dividing total undergraduate semester credit hours by 30 and total undergraduate quarter hours by 45.</t>
  </si>
  <si>
    <t xml:space="preserve">   Oct 2022</t>
  </si>
  <si>
    <t xml:space="preserve">  Oct 2022</t>
  </si>
  <si>
    <t xml:space="preserve">Notes:  Full-year full-time-equivalent (FTE) undergraduate enrollment for 2020-21 is estimated by taking the credit hours from calendar year 2020 (i.e. winter, spring, summer and fall terms of 2020) and by dividing total undergraduate semester credit hours by 30; total undergraduate contact hours by 900 (the equivalent of a 30 hour week); and total graduate semester credit hours by 24. </t>
  </si>
  <si>
    <t xml:space="preserve">Notes:  Full-year full-time-equivalent (FTE) undergraduate enrollment for 2020-21 is estimated by taking the credit hours from calendar year 2020 (i.e. winter, spring, summer and fall terms of 2020) and by dividing total undergraduate semester credit hours by 30; total undergraduate quarter hours by 45; total undergraduate contact hours by 900 (the equivalent of a 30 hour week); total graduate semester credit hours by 24; and total graduate quarter hours by 36. </t>
  </si>
  <si>
    <t>Notes: Full-year full-time-equivalent (FTE) graduate enrollment for 2020-21 is estimated by taking the credit hours from calendar year 2020 (i.e. winter, spring, summer and fall terms of 2020) and by dividing total graduate semester credit hours by 24 and total graduate quarter hours by 36.</t>
  </si>
  <si>
    <t>Notes: Full-year full-time-equivalent (FTE) enrollment for 2020-21 is estimated by taking the credit hours from calendar year 2020 (i.e. winter, spring, summer and fall terms of 2020), and by dividing total undergraduate semester credit hours by 30; total undergraduate quarter hours by 45; total graduate semester credit hours by 24; and total graduate quarter hours by 36.</t>
  </si>
  <si>
    <t xml:space="preserve">George Mason University </t>
  </si>
  <si>
    <t>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</si>
  <si>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</si>
  <si>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</si>
  <si>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</si>
  <si>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</si>
  <si>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</si>
  <si>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</si>
  <si>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</si>
  <si>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</si>
  <si>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</si>
  <si>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</si>
  <si>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</si>
  <si>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</si>
  <si>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</si>
  <si>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</si>
  <si>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</si>
  <si>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</si>
  <si>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</si>
  <si>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</si>
  <si>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</si>
  <si>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</si>
  <si>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Reclassified Met the criteria for Four-Year 5 in 2018-19, 2019-20, and 2020-21.</t>
  </si>
  <si>
    <t>Reclassified: Met the criteria for Four-Year 5 in 2018-19, 2019-20, and 2020-21.</t>
  </si>
  <si>
    <t xml:space="preserve">corrected sreb category </t>
  </si>
  <si>
    <t>Reclassified: Met the criteria for Four-Year 3 in 2018-19, 2019-20, and 2020-21.</t>
  </si>
  <si>
    <t>Reclassified: Met the criteria for Four-Year 4 in 2018-19, 2019-20, and 2020-21.</t>
  </si>
  <si>
    <t>Reclassified: Met the criteria for Two-Year 1 in 2018-19, 2019-20, and 2020-21.</t>
  </si>
  <si>
    <t>Reclassified: Met the criteria for Two-Year 2 in 2018-19, 2019-20, and 2020-21.</t>
  </si>
  <si>
    <t>Reclassified: Met the criteria for Four-Year 3 in 2018-19 ,2019-20, and 2020-21</t>
  </si>
  <si>
    <t>Reclassified: Met the criteria for Four-Year 4 in 2018-19 and 2019-20, and 2021</t>
  </si>
  <si>
    <t>Reclassifed Met the criteria for Two-Year 2 in 2018-19 and 2019-20 and 2020-21</t>
  </si>
  <si>
    <t>Met the criteria for Four-Year 5 in 2019-20 and 2020-21.</t>
  </si>
  <si>
    <t>Met the criteria for Two-Year 3 in 2020-21.</t>
  </si>
  <si>
    <t>Met the criteria for Four-Year 4 in 2020-21.</t>
  </si>
  <si>
    <t>Met the criteria for Two-Year 2 in 2020-21.</t>
  </si>
  <si>
    <t xml:space="preserve">Met the criteria for Two-Year with Bachelor's in 2019-20 and 2020-21. </t>
  </si>
  <si>
    <t>Met the criteria for Four-Year 6 in 2020-21.</t>
  </si>
  <si>
    <t>Met the criteria for Two-Year 3 in 2019-20 and 2020-21.</t>
  </si>
  <si>
    <t>Met the criteria for Four-Year 2 in 2019-20 and 2020-21.</t>
  </si>
  <si>
    <t xml:space="preserve"> Met the criteria for Technical Institute or College 1 in 2020-21</t>
  </si>
  <si>
    <t>Met the criteria for Technical Institute or College 1 in 2019-20, and 2020-21</t>
  </si>
  <si>
    <t>Met the criteria for Technical Institute or College 1 in 2019-20 and 2020-21.</t>
  </si>
  <si>
    <t>Met the requirments for 4-year 1 in 2020-21</t>
  </si>
  <si>
    <t>Met the requirments for 4 Year 1 in 2020-21</t>
  </si>
  <si>
    <t>Met the criteria Two-Year 2 in 2020-21</t>
  </si>
  <si>
    <t>Met the critera for Two-Year 1 in 2020-21</t>
  </si>
  <si>
    <t>Met the requirments for  Two-year 3 in 2020-21</t>
  </si>
  <si>
    <t>Met the criteria for Two-Year 2 in 2019-20 and 2020-21.</t>
  </si>
  <si>
    <t>Met the criteria for Four-Year 4 in 2019-20 and 2020-21.</t>
  </si>
  <si>
    <t>Not Reported</t>
  </si>
  <si>
    <t>ok</t>
  </si>
  <si>
    <t>(blank)</t>
  </si>
  <si>
    <t>(blank)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</si>
</sst>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_(* #,##0_);_(* \(#,##0\);_(* &quot;-&quot;??_);_(@_)"/>
    <numFmt numFmtId="166" formatCode="General_)"/>
    <numFmt numFmtId="167" formatCode="#,##0.0"/>
    <numFmt numFmtId="168" formatCode="0.0%"/>
    <numFmt numFmtId="169" formatCode="0.000"/>
    <numFmt numFmtId="170" formatCode="0.0"/>
    <numFmt numFmtId="171" formatCode="#,##0.000"/>
  </numFmts>
  <fonts count="103">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indexed="12"/>
      <name val="Arial"/>
      <family val="2"/>
    </font>
    <font>
      <b/>
      <sz val="10"/>
      <color rgb="FFFF0000"/>
      <name val="Arial"/>
      <family val="2"/>
    </font>
    <font>
      <b/>
      <sz val="10"/>
      <color indexed="8"/>
      <name val="Arial"/>
      <family val="2"/>
    </font>
    <font>
      <sz val="10"/>
      <name val="Calibri"/>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0"/>
      <color rgb="FF000000"/>
      <name val="Arial"/>
      <family val="2"/>
    </font>
    <font>
      <sz val="10"/>
      <color rgb="FF000000"/>
      <name val="Arial"/>
      <family val="2"/>
    </font>
    <font>
      <b/>
      <sz val="10"/>
      <color rgb="FF000000"/>
      <name val="Tahoma"/>
      <family val="2"/>
    </font>
    <font>
      <sz val="10"/>
      <color rgb="FF000000"/>
      <name val="Tahoma"/>
      <family val="2"/>
    </font>
    <font>
      <sz val="8"/>
      <name val="Arial, Helvetica"/>
    </font>
    <font>
      <sz val="10"/>
      <color rgb="FF9C0000"/>
      <name val="Arial"/>
      <family val="2"/>
    </font>
    <font>
      <sz val="9"/>
      <color indexed="81"/>
      <name val="Tahoma"/>
      <family val="2"/>
    </font>
    <font>
      <b/>
      <sz val="9"/>
      <color indexed="81"/>
      <name val="Tahoma"/>
      <family val="2"/>
    </font>
    <font>
      <sz val="10"/>
      <color rgb="FFFFFFFF"/>
      <name val="Arial"/>
      <family val="2"/>
    </font>
    <font>
      <b/>
      <sz val="11"/>
      <color rgb="FFC00000"/>
      <name val="Calibri"/>
      <family val="2"/>
    </font>
    <font>
      <b/>
      <sz val="11"/>
      <color rgb="FF000000"/>
      <name val="Calibri"/>
      <family val="2"/>
    </font>
    <font>
      <sz val="12"/>
      <color rgb="FF9C0000"/>
      <name val="AGaramond"/>
      <family val="2"/>
    </font>
    <font>
      <sz val="12"/>
      <color rgb="FFFFFFFF"/>
      <name val="AGaramond"/>
      <family val="2"/>
    </font>
    <font>
      <sz val="11"/>
      <color rgb="FF000000"/>
      <name val="Calibri"/>
      <family val="2"/>
    </font>
    <font>
      <sz val="11"/>
      <color rgb="FF9C0000"/>
      <name val="Calibri"/>
      <family val="2"/>
    </font>
    <font>
      <sz val="11"/>
      <color rgb="FFFFFFFF"/>
      <name val="Calibri"/>
      <family val="2"/>
    </font>
    <font>
      <b/>
      <sz val="11"/>
      <name val="Calibri"/>
      <family val="2"/>
    </font>
    <font>
      <sz val="10"/>
      <color rgb="FFFF0000"/>
      <name val="Arial"/>
      <family val="2"/>
    </font>
    <font>
      <b/>
      <sz val="11"/>
      <color rgb="FFFF0000"/>
      <name val="Calibri"/>
      <family val="2"/>
    </font>
    <font>
      <sz val="8"/>
      <color rgb="FF000000"/>
      <name val="Tahoma"/>
      <family val="2"/>
    </font>
  </fonts>
  <fills count="80">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47"/>
        <bgColor indexed="64"/>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rgb="FF00ABEA"/>
        <bgColor rgb="FF00ABEA"/>
      </patternFill>
    </fill>
    <fill>
      <patternFill patternType="solid">
        <fgColor rgb="FFFF99CC"/>
        <bgColor rgb="FFFF99CC"/>
      </patternFill>
    </fill>
    <fill>
      <patternFill patternType="solid">
        <fgColor rgb="FFCC99FF"/>
        <bgColor rgb="FFCC99FF"/>
      </patternFill>
    </fill>
    <fill>
      <patternFill patternType="solid">
        <fgColor rgb="FFCCFFCC"/>
        <bgColor rgb="FFCCFFCC"/>
      </patternFill>
    </fill>
    <fill>
      <patternFill patternType="solid">
        <fgColor theme="0" tint="-0.249977111117893"/>
        <bgColor indexed="64"/>
      </patternFill>
    </fill>
    <fill>
      <patternFill patternType="solid">
        <fgColor rgb="FFCCFFCC"/>
        <bgColor indexed="64"/>
      </patternFill>
    </fill>
    <fill>
      <patternFill patternType="solid">
        <fgColor rgb="FF99CCFF"/>
        <bgColor rgb="FF99CCFF"/>
      </patternFill>
    </fill>
    <fill>
      <patternFill patternType="solid">
        <fgColor rgb="FFFFCC00"/>
        <bgColor rgb="FFFFCC00"/>
      </patternFill>
    </fill>
    <fill>
      <patternFill patternType="solid">
        <fgColor rgb="FFFF99CC"/>
        <bgColor rgb="FF000000"/>
      </patternFill>
    </fill>
    <fill>
      <patternFill patternType="solid">
        <fgColor rgb="FFFFC8C8"/>
        <bgColor rgb="FFFFC8C8"/>
      </patternFill>
    </fill>
    <fill>
      <patternFill patternType="solid">
        <fgColor rgb="FFFCD5B4"/>
        <bgColor rgb="FFFCD5B4"/>
      </patternFill>
    </fill>
    <fill>
      <patternFill patternType="solid">
        <fgColor rgb="FFB1A0C7"/>
        <bgColor rgb="FF000000"/>
      </patternFill>
    </fill>
    <fill>
      <patternFill patternType="solid">
        <fgColor rgb="FFD9D9D9"/>
        <bgColor rgb="FF000000"/>
      </patternFill>
    </fill>
    <fill>
      <patternFill patternType="solid">
        <fgColor rgb="FFFFCC99"/>
        <bgColor rgb="FF000000"/>
      </patternFill>
    </fill>
    <fill>
      <patternFill patternType="solid">
        <fgColor rgb="FFFF0000"/>
        <bgColor rgb="FFFF0000"/>
      </patternFill>
    </fill>
    <fill>
      <patternFill patternType="solid">
        <fgColor rgb="FFFFFF99"/>
        <bgColor rgb="FF000000"/>
      </patternFill>
    </fill>
    <fill>
      <patternFill patternType="solid">
        <fgColor rgb="FFCCFFCC"/>
        <bgColor rgb="FF000000"/>
      </patternFill>
    </fill>
    <fill>
      <patternFill patternType="solid">
        <fgColor rgb="FF00FFFF"/>
        <bgColor rgb="FF000000"/>
      </patternFill>
    </fill>
    <fill>
      <patternFill patternType="solid">
        <fgColor rgb="FF99CCFF"/>
        <bgColor rgb="FF000000"/>
      </patternFill>
    </fill>
    <fill>
      <patternFill patternType="solid">
        <fgColor rgb="FFFFFF00"/>
        <bgColor rgb="FF000000"/>
      </patternFill>
    </fill>
    <fill>
      <patternFill patternType="solid">
        <fgColor rgb="FFFFCC00"/>
        <bgColor rgb="FF000000"/>
      </patternFill>
    </fill>
    <fill>
      <patternFill patternType="solid">
        <fgColor rgb="FFFCD5B4"/>
        <bgColor rgb="FF000000"/>
      </patternFill>
    </fill>
    <fill>
      <patternFill patternType="solid">
        <fgColor rgb="FFCC99FF"/>
        <bgColor rgb="FF000000"/>
      </patternFill>
    </fill>
    <fill>
      <patternFill patternType="solid">
        <fgColor rgb="FFFDE9D9"/>
        <bgColor rgb="FF000000"/>
      </patternFill>
    </fill>
    <fill>
      <patternFill patternType="solid">
        <fgColor rgb="FFC0C0C0"/>
        <bgColor rgb="FF000000"/>
      </patternFill>
    </fill>
    <fill>
      <patternFill patternType="solid">
        <fgColor rgb="FF99CC00"/>
        <bgColor rgb="FF000000"/>
      </patternFill>
    </fill>
    <fill>
      <patternFill patternType="solid">
        <fgColor rgb="FF33CCCC"/>
        <bgColor rgb="FF000000"/>
      </patternFill>
    </fill>
    <fill>
      <patternFill patternType="solid">
        <fgColor rgb="FFFFFF00"/>
        <bgColor rgb="FFCCFFCC"/>
      </patternFill>
    </fill>
    <fill>
      <patternFill patternType="solid">
        <fgColor rgb="FFCCFFCC"/>
        <bgColor rgb="FFFFC8C8"/>
      </patternFill>
    </fill>
    <fill>
      <patternFill patternType="solid">
        <fgColor rgb="FF8DB4E2"/>
        <bgColor rgb="FF000000"/>
      </patternFill>
    </fill>
    <fill>
      <patternFill patternType="solid">
        <fgColor rgb="FFDA9694"/>
        <bgColor rgb="FF000000"/>
      </patternFill>
    </fill>
    <fill>
      <patternFill patternType="solid">
        <fgColor rgb="FFFF99CC"/>
        <bgColor rgb="FFFFFFFF"/>
      </patternFill>
    </fill>
    <fill>
      <patternFill patternType="solid">
        <fgColor rgb="FFFFCC99"/>
        <bgColor rgb="FFFFFFFF"/>
      </patternFill>
    </fill>
    <fill>
      <patternFill patternType="solid">
        <fgColor rgb="FF99CCFF"/>
        <bgColor rgb="FFFFFFFF"/>
      </patternFill>
    </fill>
    <fill>
      <patternFill patternType="solid">
        <fgColor rgb="FFFFCC00"/>
        <bgColor rgb="FFFFFFFF"/>
      </patternFill>
    </fill>
    <fill>
      <patternFill patternType="solid">
        <fgColor rgb="FFCC99FF"/>
        <bgColor rgb="FFFFFFFF"/>
      </patternFill>
    </fill>
    <fill>
      <patternFill patternType="solid">
        <fgColor rgb="FFCCFFCC"/>
        <bgColor rgb="FFFFFFFF"/>
      </patternFill>
    </fill>
    <fill>
      <patternFill patternType="solid">
        <fgColor rgb="FF92D050"/>
        <bgColor rgb="FF000000"/>
      </patternFill>
    </fill>
    <fill>
      <patternFill patternType="solid">
        <fgColor rgb="FFE6B8B7"/>
        <bgColor rgb="FF000000"/>
      </patternFill>
    </fill>
    <fill>
      <patternFill patternType="solid">
        <fgColor rgb="FFFFFFCC"/>
        <bgColor rgb="FFFFFFFF"/>
      </patternFill>
    </fill>
    <fill>
      <patternFill patternType="solid">
        <fgColor rgb="FFFFC000"/>
        <bgColor rgb="FF000000"/>
      </patternFill>
    </fill>
    <fill>
      <patternFill patternType="solid">
        <fgColor theme="9" tint="0.59999389629810485"/>
        <bgColor theme="9" tint="0.59999389629810485"/>
      </patternFill>
    </fill>
  </fills>
  <borders count="107">
    <border>
      <left/>
      <right/>
      <top/>
      <bottom/>
      <diagonal/>
    </border>
    <border>
      <left style="medium">
        <color auto="1"/>
      </left>
      <right style="medium">
        <color auto="1"/>
      </right>
      <top/>
      <bottom/>
      <diagonal/>
    </border>
    <border>
      <left style="thin">
        <color indexed="8"/>
      </left>
      <right/>
      <top style="thin">
        <color indexed="65"/>
      </top>
      <bottom/>
      <diagonal/>
    </border>
    <border>
      <left style="double">
        <color auto="1"/>
      </left>
      <right/>
      <top/>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style="double">
        <color auto="1"/>
      </right>
      <top/>
      <bottom style="double">
        <color auto="1"/>
      </bottom>
      <diagonal/>
    </border>
    <border>
      <left style="double">
        <color auto="1"/>
      </left>
      <right style="thin">
        <color auto="1"/>
      </right>
      <top/>
      <bottom style="double">
        <color auto="1"/>
      </bottom>
      <diagonal/>
    </border>
    <border>
      <left style="thin">
        <color rgb="FFA9A9A9"/>
      </left>
      <right style="thin">
        <color rgb="FFA9A9A9"/>
      </right>
      <top style="thin">
        <color rgb="FFA9A9A9"/>
      </top>
      <bottom style="thin">
        <color rgb="FFA9A9A9"/>
      </bottom>
      <diagonal/>
    </border>
    <border>
      <left style="thin">
        <color rgb="FFA9A9A9"/>
      </left>
      <right style="thin">
        <color rgb="FF000000"/>
      </right>
      <top style="thin">
        <color rgb="FFA9A9A9"/>
      </top>
      <bottom style="thin">
        <color rgb="FFA9A9A9"/>
      </bottom>
      <diagonal/>
    </border>
    <border>
      <left style="thin">
        <color rgb="FFA9A9A9"/>
      </left>
      <right style="thin">
        <color rgb="FFA9A9A9"/>
      </right>
      <top style="thin">
        <color rgb="FFA9A9A9"/>
      </top>
      <bottom style="thin">
        <color rgb="FF000000"/>
      </bottom>
      <diagonal/>
    </border>
    <border>
      <left/>
      <right style="thin">
        <color rgb="FFC1C1C1"/>
      </right>
      <top/>
      <bottom style="thin">
        <color rgb="FFC1C1C1"/>
      </bottom>
      <diagonal/>
    </border>
    <border>
      <left style="thin">
        <color auto="1"/>
      </left>
      <right style="thin">
        <color auto="1"/>
      </right>
      <top/>
      <bottom style="thin">
        <color auto="1"/>
      </bottom>
      <diagonal/>
    </border>
    <border>
      <left/>
      <right/>
      <top style="medium">
        <color auto="1"/>
      </top>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right/>
      <top style="thin">
        <color rgb="FF999999"/>
      </top>
      <bottom/>
      <diagonal/>
    </border>
    <border>
      <left style="thin">
        <color indexed="65"/>
      </left>
      <right/>
      <top style="thin">
        <color rgb="FF999999"/>
      </top>
      <bottom style="thin">
        <color indexed="64"/>
      </bottom>
      <diagonal/>
    </border>
    <border>
      <left/>
      <right/>
      <top style="thin">
        <color rgb="FF999999"/>
      </top>
      <bottom style="thin">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top style="thin">
        <color indexed="65"/>
      </top>
      <bottom/>
      <diagonal/>
    </border>
  </borders>
  <cellStyleXfs count="51606">
    <xf numFmtId="3" fontId="0" fillId="0" borderId="0"/>
    <xf numFmtId="166" fontId="30" fillId="0" borderId="0"/>
    <xf numFmtId="166" fontId="30"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8"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9" applyNumberFormat="0" applyAlignment="0" applyProtection="0"/>
    <xf numFmtId="0" fontId="46" fillId="30" borderId="10"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11" applyNumberFormat="0" applyFill="0" applyAlignment="0" applyProtection="0"/>
    <xf numFmtId="0" fontId="50" fillId="0" borderId="12" applyNumberFormat="0" applyFill="0" applyAlignment="0" applyProtection="0"/>
    <xf numFmtId="0" fontId="51" fillId="0" borderId="13" applyNumberFormat="0" applyFill="0" applyAlignment="0" applyProtection="0"/>
    <xf numFmtId="0" fontId="51" fillId="0" borderId="0" applyNumberFormat="0" applyFill="0" applyBorder="0" applyAlignment="0" applyProtection="0"/>
    <xf numFmtId="0" fontId="52" fillId="16" borderId="9" applyNumberFormat="0" applyAlignment="0" applyProtection="0"/>
    <xf numFmtId="0" fontId="53" fillId="0" borderId="14" applyNumberFormat="0" applyFill="0" applyAlignment="0" applyProtection="0"/>
    <xf numFmtId="0" fontId="54" fillId="31" borderId="0" applyNumberFormat="0" applyBorder="0" applyAlignment="0" applyProtection="0"/>
    <xf numFmtId="0" fontId="38" fillId="0" borderId="0"/>
    <xf numFmtId="0" fontId="24" fillId="32" borderId="15" applyNumberFormat="0" applyFont="0" applyAlignment="0" applyProtection="0"/>
    <xf numFmtId="0" fontId="38" fillId="32" borderId="15" applyNumberFormat="0" applyFont="0" applyAlignment="0" applyProtection="0"/>
    <xf numFmtId="0" fontId="55" fillId="29" borderId="16"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17" applyNumberFormat="0" applyFill="0" applyAlignment="0" applyProtection="0"/>
    <xf numFmtId="0" fontId="58" fillId="0" borderId="0" applyNumberFormat="0" applyFill="0" applyBorder="0" applyAlignment="0" applyProtection="0"/>
    <xf numFmtId="0" fontId="38" fillId="32" borderId="15" applyNumberFormat="0" applyFont="0" applyAlignment="0" applyProtection="0"/>
    <xf numFmtId="0" fontId="24" fillId="32" borderId="15" applyNumberFormat="0" applyFont="0" applyAlignment="0" applyProtection="0"/>
    <xf numFmtId="0" fontId="52" fillId="16" borderId="9" applyNumberFormat="0" applyAlignment="0" applyProtection="0"/>
    <xf numFmtId="0" fontId="45" fillId="29" borderId="9" applyNumberFormat="0" applyAlignment="0" applyProtection="0"/>
    <xf numFmtId="0" fontId="55" fillId="29" borderId="16" applyNumberFormat="0" applyAlignment="0" applyProtection="0"/>
    <xf numFmtId="0" fontId="57" fillId="0" borderId="17"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8"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8"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 fillId="5" borderId="77">
      <protection locked="0"/>
    </xf>
    <xf numFmtId="37" fontId="24" fillId="0" borderId="77">
      <alignment horizontal="center" vertical="top"/>
      <protection locked="0"/>
    </xf>
    <xf numFmtId="38" fontId="32" fillId="6" borderId="77">
      <alignment horizontal="right"/>
    </xf>
    <xf numFmtId="38" fontId="32" fillId="3" borderId="77">
      <alignment horizontal="right"/>
    </xf>
    <xf numFmtId="3" fontId="23" fillId="0" borderId="0"/>
  </cellStyleXfs>
  <cellXfs count="667">
    <xf numFmtId="3" fontId="0" fillId="0" borderId="0" xfId="0"/>
    <xf numFmtId="3" fontId="24" fillId="0" borderId="0" xfId="0" applyFont="1"/>
    <xf numFmtId="0" fontId="24" fillId="0" borderId="0" xfId="0" applyNumberFormat="1" applyFont="1" applyAlignment="1">
      <alignment horizontal="center"/>
    </xf>
    <xf numFmtId="3" fontId="62" fillId="0" borderId="0" xfId="0" applyFont="1"/>
    <xf numFmtId="3" fontId="32" fillId="0" borderId="0" xfId="0" applyFont="1"/>
    <xf numFmtId="1" fontId="24" fillId="33" borderId="0" xfId="0" applyNumberFormat="1" applyFont="1" applyFill="1" applyAlignment="1" applyProtection="1">
      <alignment horizontal="center"/>
      <protection locked="0"/>
    </xf>
    <xf numFmtId="3" fontId="24" fillId="0" borderId="0" xfId="0" applyFont="1" applyAlignment="1">
      <alignment vertical="center"/>
    </xf>
    <xf numFmtId="3" fontId="24" fillId="0" borderId="24" xfId="0" applyFont="1" applyBorder="1"/>
    <xf numFmtId="3" fontId="24" fillId="42" borderId="0" xfId="0" applyFont="1" applyFill="1"/>
    <xf numFmtId="165" fontId="24" fillId="0" borderId="25" xfId="0" applyNumberFormat="1" applyFont="1" applyBorder="1"/>
    <xf numFmtId="165" fontId="24" fillId="0" borderId="26" xfId="0" applyNumberFormat="1" applyFont="1" applyBorder="1"/>
    <xf numFmtId="165" fontId="24" fillId="0" borderId="27" xfId="0" applyNumberFormat="1" applyFont="1" applyBorder="1"/>
    <xf numFmtId="165" fontId="24" fillId="0" borderId="28" xfId="0" applyNumberFormat="1" applyFont="1" applyBorder="1"/>
    <xf numFmtId="165" fontId="24" fillId="42" borderId="25" xfId="0" applyNumberFormat="1" applyFont="1" applyFill="1" applyBorder="1"/>
    <xf numFmtId="165" fontId="24" fillId="42" borderId="27" xfId="0" applyNumberFormat="1" applyFont="1" applyFill="1" applyBorder="1"/>
    <xf numFmtId="165" fontId="24" fillId="0" borderId="21" xfId="0" applyNumberFormat="1" applyFont="1" applyBorder="1"/>
    <xf numFmtId="165" fontId="24" fillId="0" borderId="22" xfId="0" applyNumberFormat="1" applyFont="1" applyBorder="1"/>
    <xf numFmtId="165" fontId="24" fillId="0" borderId="0" xfId="0" applyNumberFormat="1" applyFont="1"/>
    <xf numFmtId="165" fontId="24" fillId="0" borderId="29" xfId="0" applyNumberFormat="1" applyFont="1" applyBorder="1"/>
    <xf numFmtId="165" fontId="24" fillId="0" borderId="29" xfId="0" applyNumberFormat="1" applyFont="1" applyBorder="1" applyAlignment="1">
      <alignment wrapText="1"/>
    </xf>
    <xf numFmtId="165" fontId="24" fillId="42" borderId="29" xfId="0" applyNumberFormat="1" applyFont="1" applyFill="1" applyBorder="1"/>
    <xf numFmtId="165" fontId="24" fillId="42" borderId="30" xfId="0" applyNumberFormat="1" applyFont="1" applyFill="1" applyBorder="1"/>
    <xf numFmtId="165" fontId="24" fillId="0" borderId="20" xfId="0" applyNumberFormat="1" applyFont="1" applyBorder="1"/>
    <xf numFmtId="165" fontId="24" fillId="0" borderId="31" xfId="0" applyNumberFormat="1" applyFont="1" applyBorder="1"/>
    <xf numFmtId="165" fontId="24" fillId="0" borderId="30" xfId="0" applyNumberFormat="1" applyFont="1" applyBorder="1"/>
    <xf numFmtId="165" fontId="24" fillId="0" borderId="32" xfId="0" applyNumberFormat="1" applyFont="1" applyBorder="1"/>
    <xf numFmtId="165" fontId="24" fillId="0" borderId="33" xfId="0" applyNumberFormat="1" applyFont="1" applyBorder="1"/>
    <xf numFmtId="165" fontId="24" fillId="0" borderId="34" xfId="0" applyNumberFormat="1" applyFont="1" applyBorder="1" applyAlignment="1">
      <alignment wrapText="1"/>
    </xf>
    <xf numFmtId="165" fontId="24" fillId="0" borderId="32" xfId="0" applyNumberFormat="1" applyFont="1" applyBorder="1" applyAlignment="1">
      <alignment horizontal="right"/>
    </xf>
    <xf numFmtId="165" fontId="24" fillId="0" borderId="33" xfId="0" applyNumberFormat="1" applyFont="1" applyBorder="1" applyAlignment="1">
      <alignment horizontal="right"/>
    </xf>
    <xf numFmtId="165" fontId="24" fillId="0" borderId="2" xfId="0" applyNumberFormat="1" applyFont="1" applyBorder="1"/>
    <xf numFmtId="165" fontId="24" fillId="42" borderId="2" xfId="0" applyNumberFormat="1" applyFont="1" applyFill="1" applyBorder="1"/>
    <xf numFmtId="165" fontId="24" fillId="42" borderId="32" xfId="0" applyNumberFormat="1" applyFont="1" applyFill="1" applyBorder="1"/>
    <xf numFmtId="165" fontId="24" fillId="42" borderId="34" xfId="0" applyNumberFormat="1" applyFont="1" applyFill="1" applyBorder="1"/>
    <xf numFmtId="165" fontId="24" fillId="42" borderId="35" xfId="0" applyNumberFormat="1" applyFont="1" applyFill="1" applyBorder="1"/>
    <xf numFmtId="165" fontId="24" fillId="0" borderId="36" xfId="0" applyNumberFormat="1" applyFont="1" applyBorder="1"/>
    <xf numFmtId="165" fontId="27" fillId="0" borderId="29" xfId="0" applyNumberFormat="1" applyFont="1" applyBorder="1"/>
    <xf numFmtId="165" fontId="24" fillId="42" borderId="37" xfId="0" applyNumberFormat="1" applyFont="1" applyFill="1" applyBorder="1"/>
    <xf numFmtId="165" fontId="27" fillId="0" borderId="2" xfId="0" applyNumberFormat="1" applyFont="1" applyBorder="1"/>
    <xf numFmtId="165" fontId="24" fillId="0" borderId="38" xfId="0" applyNumberFormat="1" applyFont="1" applyBorder="1"/>
    <xf numFmtId="165" fontId="24" fillId="0" borderId="39" xfId="0" applyNumberFormat="1" applyFont="1" applyBorder="1"/>
    <xf numFmtId="165" fontId="24" fillId="42" borderId="39" xfId="0" applyNumberFormat="1" applyFont="1" applyFill="1" applyBorder="1"/>
    <xf numFmtId="165" fontId="24" fillId="42" borderId="40" xfId="0" applyNumberFormat="1" applyFont="1" applyFill="1" applyBorder="1"/>
    <xf numFmtId="165" fontId="24" fillId="0" borderId="41" xfId="0" applyNumberFormat="1" applyFont="1" applyBorder="1"/>
    <xf numFmtId="165" fontId="24" fillId="0" borderId="42" xfId="0" applyNumberFormat="1" applyFont="1" applyBorder="1"/>
    <xf numFmtId="167" fontId="27" fillId="0" borderId="38" xfId="0" applyNumberFormat="1" applyFont="1" applyBorder="1" applyAlignment="1">
      <alignment horizontal="right"/>
    </xf>
    <xf numFmtId="168" fontId="27" fillId="0" borderId="39" xfId="0" applyNumberFormat="1" applyFont="1" applyBorder="1" applyAlignment="1">
      <alignment horizontal="right"/>
    </xf>
    <xf numFmtId="168" fontId="27" fillId="0" borderId="0" xfId="0" applyNumberFormat="1" applyFont="1" applyAlignment="1">
      <alignment horizontal="right"/>
    </xf>
    <xf numFmtId="168" fontId="27" fillId="0" borderId="43" xfId="0" applyNumberFormat="1" applyFont="1" applyBorder="1" applyAlignment="1">
      <alignment horizontal="right"/>
    </xf>
    <xf numFmtId="168" fontId="27" fillId="42" borderId="39" xfId="0" applyNumberFormat="1" applyFont="1" applyFill="1" applyBorder="1" applyAlignment="1">
      <alignment horizontal="right"/>
    </xf>
    <xf numFmtId="168" fontId="27" fillId="42" borderId="40" xfId="0" applyNumberFormat="1" applyFont="1" applyFill="1" applyBorder="1" applyAlignment="1">
      <alignment horizontal="right"/>
    </xf>
    <xf numFmtId="167" fontId="27" fillId="0" borderId="41" xfId="0" applyNumberFormat="1" applyFont="1" applyBorder="1" applyAlignment="1">
      <alignment horizontal="right"/>
    </xf>
    <xf numFmtId="167" fontId="27" fillId="0" borderId="42" xfId="0" applyNumberFormat="1" applyFont="1" applyBorder="1" applyAlignment="1">
      <alignment horizontal="right"/>
    </xf>
    <xf numFmtId="165" fontId="24" fillId="0" borderId="43" xfId="0" applyNumberFormat="1" applyFont="1" applyBorder="1"/>
    <xf numFmtId="165" fontId="24" fillId="42" borderId="38" xfId="0" applyNumberFormat="1" applyFont="1" applyFill="1" applyBorder="1"/>
    <xf numFmtId="165" fontId="27" fillId="0" borderId="34" xfId="0" applyNumberFormat="1" applyFont="1" applyBorder="1"/>
    <xf numFmtId="165" fontId="27" fillId="0" borderId="44" xfId="0" applyNumberFormat="1" applyFont="1" applyBorder="1" applyAlignment="1">
      <alignment horizontal="right"/>
    </xf>
    <xf numFmtId="43" fontId="24" fillId="0" borderId="0" xfId="0" applyNumberFormat="1" applyFont="1"/>
    <xf numFmtId="43" fontId="24" fillId="0" borderId="39" xfId="0" applyNumberFormat="1" applyFont="1" applyBorder="1"/>
    <xf numFmtId="167" fontId="64" fillId="0" borderId="0" xfId="0" applyNumberFormat="1" applyFont="1"/>
    <xf numFmtId="3" fontId="64" fillId="0" borderId="0" xfId="0" applyFont="1"/>
    <xf numFmtId="3" fontId="31" fillId="0" borderId="0" xfId="0" applyFont="1"/>
    <xf numFmtId="167" fontId="31" fillId="0" borderId="0" xfId="0" applyNumberFormat="1" applyFont="1"/>
    <xf numFmtId="165" fontId="24" fillId="0" borderId="37" xfId="0" applyNumberFormat="1" applyFont="1" applyBorder="1"/>
    <xf numFmtId="165" fontId="24" fillId="0" borderId="40" xfId="0" applyNumberFormat="1" applyFont="1" applyBorder="1"/>
    <xf numFmtId="168" fontId="27" fillId="0" borderId="40" xfId="0" applyNumberFormat="1" applyFont="1" applyBorder="1" applyAlignment="1">
      <alignment horizontal="right"/>
    </xf>
    <xf numFmtId="167" fontId="27" fillId="0" borderId="20" xfId="0" applyNumberFormat="1" applyFont="1" applyBorder="1"/>
    <xf numFmtId="167" fontId="27" fillId="0" borderId="31" xfId="0" applyNumberFormat="1" applyFont="1" applyBorder="1"/>
    <xf numFmtId="167" fontId="27" fillId="0" borderId="20" xfId="0" applyNumberFormat="1" applyFont="1" applyBorder="1" applyAlignment="1">
      <alignment horizontal="right"/>
    </xf>
    <xf numFmtId="167" fontId="27" fillId="0" borderId="31" xfId="0" applyNumberFormat="1" applyFont="1" applyBorder="1" applyAlignment="1">
      <alignment horizontal="right"/>
    </xf>
    <xf numFmtId="165" fontId="24" fillId="0" borderId="45" xfId="0" applyNumberFormat="1" applyFont="1" applyBorder="1"/>
    <xf numFmtId="165" fontId="24" fillId="0" borderId="46" xfId="0" applyNumberFormat="1" applyFont="1" applyBorder="1"/>
    <xf numFmtId="3" fontId="24" fillId="0" borderId="47" xfId="0" applyFont="1" applyBorder="1"/>
    <xf numFmtId="3" fontId="65" fillId="0" borderId="0" xfId="0" applyFont="1"/>
    <xf numFmtId="167" fontId="24" fillId="0" borderId="0" xfId="0" applyNumberFormat="1" applyFont="1"/>
    <xf numFmtId="3" fontId="24" fillId="0" borderId="29" xfId="0" applyFont="1" applyBorder="1"/>
    <xf numFmtId="3" fontId="24" fillId="0" borderId="25" xfId="0" applyFont="1" applyBorder="1"/>
    <xf numFmtId="3" fontId="24" fillId="42" borderId="25" xfId="0" applyFont="1" applyFill="1" applyBorder="1"/>
    <xf numFmtId="3" fontId="24" fillId="42" borderId="27" xfId="0" applyFont="1" applyFill="1" applyBorder="1"/>
    <xf numFmtId="3" fontId="24" fillId="0" borderId="21" xfId="0" applyFont="1" applyBorder="1"/>
    <xf numFmtId="3" fontId="24" fillId="0" borderId="22" xfId="0" applyFont="1" applyBorder="1"/>
    <xf numFmtId="3" fontId="24" fillId="0" borderId="2" xfId="0" applyFont="1" applyBorder="1"/>
    <xf numFmtId="3" fontId="24" fillId="0" borderId="23" xfId="0" applyFont="1" applyBorder="1"/>
    <xf numFmtId="3" fontId="24" fillId="42" borderId="29" xfId="0" applyFont="1" applyFill="1" applyBorder="1"/>
    <xf numFmtId="3" fontId="24" fillId="42" borderId="30" xfId="0" applyFont="1" applyFill="1" applyBorder="1"/>
    <xf numFmtId="3" fontId="24" fillId="0" borderId="20" xfId="0" applyFont="1" applyBorder="1"/>
    <xf numFmtId="3" fontId="24" fillId="0" borderId="31" xfId="0" applyFont="1" applyBorder="1"/>
    <xf numFmtId="3" fontId="24" fillId="0" borderId="28" xfId="0" applyFont="1" applyBorder="1"/>
    <xf numFmtId="3" fontId="24" fillId="42" borderId="2" xfId="0" applyFont="1" applyFill="1" applyBorder="1"/>
    <xf numFmtId="3" fontId="24" fillId="42" borderId="35" xfId="0" applyFont="1" applyFill="1" applyBorder="1"/>
    <xf numFmtId="3" fontId="24" fillId="0" borderId="36" xfId="0" applyFont="1" applyBorder="1"/>
    <xf numFmtId="3" fontId="27" fillId="0" borderId="29" xfId="0" applyFont="1" applyBorder="1"/>
    <xf numFmtId="3" fontId="27" fillId="0" borderId="2" xfId="0" applyFont="1" applyBorder="1"/>
    <xf numFmtId="3" fontId="24" fillId="0" borderId="39" xfId="0" applyFont="1" applyBorder="1"/>
    <xf numFmtId="3" fontId="24" fillId="42" borderId="39" xfId="0" applyFont="1" applyFill="1" applyBorder="1"/>
    <xf numFmtId="3" fontId="24" fillId="42" borderId="38" xfId="0" applyFont="1" applyFill="1" applyBorder="1"/>
    <xf numFmtId="3" fontId="24" fillId="0" borderId="41" xfId="0" applyFont="1" applyBorder="1"/>
    <xf numFmtId="3" fontId="24" fillId="0" borderId="42" xfId="0" applyFont="1" applyBorder="1"/>
    <xf numFmtId="168" fontId="27" fillId="0" borderId="39" xfId="0" applyNumberFormat="1" applyFont="1" applyBorder="1"/>
    <xf numFmtId="168" fontId="27" fillId="0" borderId="0" xfId="0" applyNumberFormat="1" applyFont="1"/>
    <xf numFmtId="168" fontId="27" fillId="42" borderId="39" xfId="0" applyNumberFormat="1" applyFont="1" applyFill="1" applyBorder="1"/>
    <xf numFmtId="168" fontId="27" fillId="42" borderId="38" xfId="0" applyNumberFormat="1" applyFont="1" applyFill="1" applyBorder="1"/>
    <xf numFmtId="168" fontId="27" fillId="0" borderId="48" xfId="0" applyNumberFormat="1" applyFont="1" applyBorder="1"/>
    <xf numFmtId="168" fontId="27" fillId="42" borderId="48" xfId="0" applyNumberFormat="1" applyFont="1" applyFill="1" applyBorder="1"/>
    <xf numFmtId="168" fontId="27" fillId="42" borderId="44" xfId="0" applyNumberFormat="1" applyFont="1" applyFill="1" applyBorder="1"/>
    <xf numFmtId="3" fontId="27" fillId="0" borderId="34" xfId="0" applyFont="1" applyBorder="1"/>
    <xf numFmtId="3" fontId="31" fillId="0" borderId="39" xfId="0" applyFont="1" applyBorder="1"/>
    <xf numFmtId="168" fontId="31" fillId="0" borderId="49" xfId="0" applyNumberFormat="1" applyFont="1" applyBorder="1"/>
    <xf numFmtId="168" fontId="31" fillId="0" borderId="47" xfId="0" applyNumberFormat="1" applyFont="1" applyBorder="1"/>
    <xf numFmtId="168" fontId="31" fillId="42" borderId="49" xfId="0" applyNumberFormat="1" applyFont="1" applyFill="1" applyBorder="1"/>
    <xf numFmtId="168" fontId="31" fillId="42" borderId="50" xfId="0" applyNumberFormat="1" applyFont="1" applyFill="1" applyBorder="1"/>
    <xf numFmtId="168" fontId="27" fillId="0" borderId="20" xfId="0" applyNumberFormat="1" applyFont="1" applyBorder="1"/>
    <xf numFmtId="168" fontId="27" fillId="0" borderId="31" xfId="0" applyNumberFormat="1" applyFont="1" applyBorder="1"/>
    <xf numFmtId="3" fontId="24" fillId="0" borderId="45" xfId="0" applyFont="1" applyBorder="1"/>
    <xf numFmtId="3" fontId="24" fillId="0" borderId="46" xfId="0" applyFont="1" applyBorder="1"/>
    <xf numFmtId="3" fontId="63" fillId="8" borderId="39" xfId="0" applyFont="1" applyFill="1" applyBorder="1"/>
    <xf numFmtId="37" fontId="26" fillId="0" borderId="0" xfId="0" applyNumberFormat="1" applyFont="1" applyAlignment="1">
      <alignment horizontal="centerContinuous"/>
    </xf>
    <xf numFmtId="3" fontId="66" fillId="0" borderId="0" xfId="0" applyFont="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67" fillId="0" borderId="0" xfId="0" applyFont="1" applyAlignment="1">
      <alignment horizontal="centerContinuous"/>
    </xf>
    <xf numFmtId="3" fontId="68" fillId="0" borderId="0" xfId="0" applyFont="1" applyAlignment="1">
      <alignment horizontal="centerContinuous"/>
    </xf>
    <xf numFmtId="37" fontId="67" fillId="0" borderId="0" xfId="0" applyNumberFormat="1" applyFont="1" applyAlignment="1">
      <alignment horizontal="centerContinuous"/>
    </xf>
    <xf numFmtId="3" fontId="69" fillId="0" borderId="0" xfId="0" applyFont="1" applyAlignment="1">
      <alignment horizontal="centerContinuous"/>
    </xf>
    <xf numFmtId="37" fontId="27" fillId="0" borderId="28" xfId="0" applyNumberFormat="1" applyFont="1" applyBorder="1" applyAlignment="1">
      <alignment horizontal="centerContinuous"/>
    </xf>
    <xf numFmtId="37" fontId="70" fillId="0" borderId="51" xfId="0" applyNumberFormat="1" applyFont="1" applyBorder="1" applyAlignment="1">
      <alignment horizontal="centerContinuous"/>
    </xf>
    <xf numFmtId="3" fontId="71" fillId="0" borderId="51" xfId="0" applyFont="1" applyBorder="1" applyAlignment="1">
      <alignment horizontal="centerContinuous"/>
    </xf>
    <xf numFmtId="3" fontId="71" fillId="0" borderId="28" xfId="0" applyFont="1" applyBorder="1" applyAlignment="1">
      <alignment horizontal="centerContinuous"/>
    </xf>
    <xf numFmtId="3" fontId="71" fillId="0" borderId="33" xfId="0" applyFont="1" applyBorder="1" applyAlignment="1">
      <alignment horizontal="centerContinuous"/>
    </xf>
    <xf numFmtId="37" fontId="27" fillId="0" borderId="33" xfId="0" applyNumberFormat="1" applyFont="1" applyBorder="1" applyAlignment="1">
      <alignment horizontal="center"/>
    </xf>
    <xf numFmtId="37" fontId="70" fillId="0" borderId="33" xfId="0" applyNumberFormat="1" applyFont="1" applyBorder="1" applyAlignment="1">
      <alignment horizontal="centerContinuous"/>
    </xf>
    <xf numFmtId="37" fontId="70" fillId="0" borderId="52" xfId="0" applyNumberFormat="1" applyFont="1" applyBorder="1" applyAlignment="1">
      <alignment horizontal="centerContinuous"/>
    </xf>
    <xf numFmtId="37" fontId="70" fillId="0" borderId="53" xfId="0" applyNumberFormat="1" applyFont="1" applyBorder="1" applyAlignment="1">
      <alignment horizontal="centerContinuous" wrapText="1"/>
    </xf>
    <xf numFmtId="37" fontId="24" fillId="0" borderId="0" xfId="0" quotePrefix="1" applyNumberFormat="1" applyFont="1" applyAlignment="1">
      <alignment horizontal="left"/>
    </xf>
    <xf numFmtId="3" fontId="24" fillId="0" borderId="53" xfId="0" applyFont="1" applyBorder="1"/>
    <xf numFmtId="3" fontId="24" fillId="0" borderId="54" xfId="0" applyFont="1" applyBorder="1"/>
    <xf numFmtId="3" fontId="24" fillId="0" borderId="55" xfId="0" applyFont="1" applyBorder="1" applyAlignment="1">
      <alignment horizontal="center"/>
    </xf>
    <xf numFmtId="37" fontId="27" fillId="0" borderId="53" xfId="0" applyNumberFormat="1" applyFont="1" applyBorder="1" applyAlignment="1">
      <alignment horizontal="center"/>
    </xf>
    <xf numFmtId="37" fontId="70" fillId="0" borderId="53" xfId="0" applyNumberFormat="1" applyFont="1" applyBorder="1" applyAlignment="1">
      <alignment horizontal="center"/>
    </xf>
    <xf numFmtId="37" fontId="70" fillId="0" borderId="53" xfId="0" applyNumberFormat="1" applyFont="1" applyBorder="1" applyAlignment="1">
      <alignment horizontal="center" wrapText="1"/>
    </xf>
    <xf numFmtId="37" fontId="70" fillId="0" borderId="54" xfId="0" applyNumberFormat="1" applyFont="1" applyBorder="1" applyAlignment="1">
      <alignment horizontal="center"/>
    </xf>
    <xf numFmtId="3" fontId="27" fillId="0" borderId="55" xfId="0" applyFont="1" applyBorder="1"/>
    <xf numFmtId="3" fontId="24" fillId="0" borderId="55" xfId="0" applyFont="1" applyBorder="1" applyAlignment="1">
      <alignment horizontal="right" wrapText="1"/>
    </xf>
    <xf numFmtId="3" fontId="24" fillId="0" borderId="56" xfId="0" applyFont="1" applyBorder="1" applyAlignment="1">
      <alignment horizontal="right" wrapText="1"/>
    </xf>
    <xf numFmtId="3" fontId="24" fillId="0" borderId="55" xfId="0" applyFont="1" applyBorder="1" applyAlignment="1">
      <alignment wrapText="1"/>
    </xf>
    <xf numFmtId="37" fontId="24" fillId="0" borderId="0" xfId="0" quotePrefix="1" applyNumberFormat="1" applyFont="1" applyAlignment="1">
      <alignment horizontal="right"/>
    </xf>
    <xf numFmtId="168" fontId="24" fillId="0" borderId="0" xfId="24" quotePrefix="1" applyNumberFormat="1" applyFont="1" applyAlignment="1">
      <alignment horizontal="right"/>
    </xf>
    <xf numFmtId="37" fontId="24" fillId="0" borderId="43" xfId="0" quotePrefix="1" applyNumberFormat="1" applyFont="1" applyBorder="1" applyAlignment="1">
      <alignment horizontal="right"/>
    </xf>
    <xf numFmtId="37" fontId="24" fillId="0" borderId="43" xfId="0" applyNumberFormat="1" applyFont="1" applyBorder="1" applyAlignment="1">
      <alignment horizontal="right"/>
    </xf>
    <xf numFmtId="10" fontId="24" fillId="0" borderId="47" xfId="24" applyNumberFormat="1" applyFont="1" applyBorder="1"/>
    <xf numFmtId="2" fontId="72" fillId="37" borderId="57" xfId="18" applyNumberFormat="1" applyFont="1" applyFill="1" applyBorder="1" applyAlignment="1">
      <alignment horizontal="center"/>
    </xf>
    <xf numFmtId="10" fontId="24" fillId="0" borderId="43" xfId="24" applyNumberFormat="1" applyFont="1" applyBorder="1"/>
    <xf numFmtId="3" fontId="24" fillId="0" borderId="58" xfId="0" applyFont="1" applyBorder="1"/>
    <xf numFmtId="37" fontId="73" fillId="0" borderId="0" xfId="0" quotePrefix="1" applyNumberFormat="1" applyFont="1" applyAlignment="1">
      <alignment horizontal="right"/>
    </xf>
    <xf numFmtId="168" fontId="73" fillId="0" borderId="0" xfId="24" quotePrefix="1" applyNumberFormat="1" applyFont="1" applyAlignment="1">
      <alignment horizontal="right"/>
    </xf>
    <xf numFmtId="37" fontId="73" fillId="0" borderId="43" xfId="0" quotePrefix="1" applyNumberFormat="1" applyFont="1" applyBorder="1" applyAlignment="1">
      <alignment horizontal="right"/>
    </xf>
    <xf numFmtId="10" fontId="73" fillId="0" borderId="0" xfId="24" quotePrefix="1" applyNumberFormat="1" applyFont="1"/>
    <xf numFmtId="2" fontId="72" fillId="37" borderId="58" xfId="24" applyNumberFormat="1" applyFont="1" applyFill="1" applyBorder="1" applyAlignment="1">
      <alignment horizontal="center"/>
    </xf>
    <xf numFmtId="10" fontId="73" fillId="0" borderId="43" xfId="24" quotePrefix="1" applyNumberFormat="1" applyFont="1" applyBorder="1"/>
    <xf numFmtId="37" fontId="24" fillId="0" borderId="0" xfId="0" applyNumberFormat="1" applyFont="1" applyAlignment="1">
      <alignment horizontal="right"/>
    </xf>
    <xf numFmtId="168" fontId="24" fillId="0" borderId="0" xfId="24" applyNumberFormat="1" applyFont="1" applyAlignment="1">
      <alignment horizontal="right"/>
    </xf>
    <xf numFmtId="10" fontId="24" fillId="0" borderId="0" xfId="24" applyNumberFormat="1" applyFont="1"/>
    <xf numFmtId="2" fontId="72" fillId="37" borderId="58" xfId="18" applyNumberFormat="1" applyFont="1" applyFill="1" applyBorder="1" applyAlignment="1">
      <alignment horizontal="center"/>
    </xf>
    <xf numFmtId="4" fontId="74" fillId="0" borderId="0" xfId="0" applyNumberFormat="1" applyFont="1"/>
    <xf numFmtId="169" fontId="72" fillId="37" borderId="58" xfId="18" applyNumberFormat="1" applyFont="1" applyFill="1" applyBorder="1" applyAlignment="1">
      <alignment horizontal="center"/>
    </xf>
    <xf numFmtId="10" fontId="24" fillId="0" borderId="0" xfId="24" applyNumberFormat="1" applyFont="1" applyAlignment="1">
      <alignment horizontal="right"/>
    </xf>
    <xf numFmtId="3" fontId="24" fillId="0" borderId="55" xfId="0" applyFont="1" applyBorder="1"/>
    <xf numFmtId="37" fontId="24" fillId="0" borderId="55" xfId="0" applyNumberFormat="1" applyFont="1" applyBorder="1" applyAlignment="1">
      <alignment horizontal="right"/>
    </xf>
    <xf numFmtId="168" fontId="24" fillId="0" borderId="55" xfId="24" applyNumberFormat="1" applyFont="1" applyBorder="1" applyAlignment="1">
      <alignment horizontal="right"/>
    </xf>
    <xf numFmtId="37" fontId="24" fillId="0" borderId="56" xfId="0" applyNumberFormat="1" applyFont="1" applyBorder="1" applyAlignment="1">
      <alignment horizontal="right"/>
    </xf>
    <xf numFmtId="168" fontId="24" fillId="0" borderId="59" xfId="24" applyNumberFormat="1" applyFont="1" applyBorder="1" applyAlignment="1">
      <alignment horizontal="right"/>
    </xf>
    <xf numFmtId="10" fontId="24" fillId="0" borderId="55" xfId="24" applyNumberFormat="1" applyFont="1" applyBorder="1"/>
    <xf numFmtId="2" fontId="72" fillId="37" borderId="59" xfId="18" applyNumberFormat="1" applyFont="1" applyFill="1" applyBorder="1" applyAlignment="1">
      <alignment horizontal="center"/>
    </xf>
    <xf numFmtId="10" fontId="24" fillId="0" borderId="56" xfId="24" applyNumberFormat="1" applyFont="1" applyBorder="1"/>
    <xf numFmtId="3" fontId="24" fillId="0" borderId="59" xfId="0" applyFont="1" applyBorder="1"/>
    <xf numFmtId="4" fontId="74" fillId="0" borderId="55" xfId="0" applyNumberFormat="1" applyFont="1" applyBorder="1"/>
    <xf numFmtId="4" fontId="74" fillId="0" borderId="56" xfId="0" applyNumberFormat="1" applyFont="1" applyBorder="1"/>
    <xf numFmtId="37" fontId="0" fillId="0" borderId="0" xfId="0" applyNumberFormat="1" applyAlignment="1">
      <alignment horizontal="left"/>
    </xf>
    <xf numFmtId="3" fontId="23" fillId="0" borderId="0" xfId="0" applyFont="1"/>
    <xf numFmtId="17" fontId="0" fillId="0" borderId="0" xfId="0" quotePrefix="1" applyNumberFormat="1" applyAlignment="1">
      <alignment horizontal="right"/>
    </xf>
    <xf numFmtId="39" fontId="67" fillId="0" borderId="0" xfId="0" applyNumberFormat="1" applyFont="1" applyAlignment="1">
      <alignment horizontal="centerContinuous"/>
    </xf>
    <xf numFmtId="37" fontId="70" fillId="0" borderId="28" xfId="0" applyNumberFormat="1" applyFont="1" applyBorder="1"/>
    <xf numFmtId="37" fontId="70" fillId="0" borderId="33" xfId="0" applyNumberFormat="1" applyFont="1" applyBorder="1" applyAlignment="1">
      <alignment horizontal="center"/>
    </xf>
    <xf numFmtId="37" fontId="70" fillId="0" borderId="33" xfId="0" applyNumberFormat="1" applyFont="1" applyBorder="1" applyAlignment="1">
      <alignment horizontal="right"/>
    </xf>
    <xf numFmtId="37" fontId="70" fillId="0" borderId="60" xfId="0" applyNumberFormat="1" applyFont="1" applyBorder="1" applyAlignment="1">
      <alignment horizontal="right"/>
    </xf>
    <xf numFmtId="3" fontId="24" fillId="0" borderId="0" xfId="18" applyNumberFormat="1" applyFont="1" applyAlignment="1">
      <alignment horizontal="right"/>
    </xf>
    <xf numFmtId="3" fontId="24" fillId="0" borderId="58" xfId="18" applyNumberFormat="1" applyFont="1" applyBorder="1" applyAlignment="1">
      <alignment horizontal="right"/>
    </xf>
    <xf numFmtId="3" fontId="68" fillId="0" borderId="0" xfId="0" applyFont="1"/>
    <xf numFmtId="3" fontId="24" fillId="0" borderId="55" xfId="18" applyNumberFormat="1" applyFont="1" applyBorder="1" applyAlignment="1">
      <alignment horizontal="right"/>
    </xf>
    <xf numFmtId="3" fontId="24" fillId="0" borderId="59" xfId="18" applyNumberFormat="1" applyFont="1" applyBorder="1" applyAlignment="1">
      <alignment horizontal="right"/>
    </xf>
    <xf numFmtId="37" fontId="0" fillId="0" borderId="0" xfId="0" applyNumberFormat="1" applyAlignment="1">
      <alignment vertical="top" wrapText="1"/>
    </xf>
    <xf numFmtId="37" fontId="23" fillId="0" borderId="0" xfId="0" applyNumberFormat="1" applyFont="1" applyAlignment="1">
      <alignment horizontal="left"/>
    </xf>
    <xf numFmtId="49" fontId="0" fillId="0" borderId="0" xfId="0" applyNumberFormat="1" applyAlignment="1">
      <alignment horizontal="right"/>
    </xf>
    <xf numFmtId="37" fontId="25" fillId="0" borderId="0" xfId="0" applyNumberFormat="1" applyFont="1" applyAlignment="1">
      <alignment horizontal="centerContinuous"/>
    </xf>
    <xf numFmtId="37" fontId="75" fillId="0" borderId="51" xfId="0" applyNumberFormat="1" applyFont="1" applyBorder="1" applyAlignment="1">
      <alignment horizontal="center"/>
    </xf>
    <xf numFmtId="3" fontId="76" fillId="0" borderId="51" xfId="0" applyFont="1" applyBorder="1" applyAlignment="1">
      <alignment horizontal="center"/>
    </xf>
    <xf numFmtId="3" fontId="76" fillId="0" borderId="28" xfId="0" applyFont="1" applyBorder="1" applyAlignment="1">
      <alignment horizontal="center"/>
    </xf>
    <xf numFmtId="37" fontId="75" fillId="0" borderId="33" xfId="0" applyNumberFormat="1" applyFont="1" applyBorder="1" applyAlignment="1">
      <alignment horizontal="right"/>
    </xf>
    <xf numFmtId="37" fontId="75" fillId="0" borderId="51" xfId="0" applyNumberFormat="1" applyFont="1" applyBorder="1" applyAlignment="1">
      <alignment horizontal="right"/>
    </xf>
    <xf numFmtId="37" fontId="75" fillId="0" borderId="61" xfId="0" applyNumberFormat="1" applyFont="1" applyBorder="1" applyAlignment="1">
      <alignment horizontal="right"/>
    </xf>
    <xf numFmtId="37" fontId="26" fillId="0" borderId="0" xfId="0" applyNumberFormat="1" applyFont="1" applyAlignment="1">
      <alignment horizontal="center"/>
    </xf>
    <xf numFmtId="37" fontId="67" fillId="0" borderId="0" xfId="0" applyNumberFormat="1" applyFont="1" applyAlignment="1">
      <alignment horizontal="center"/>
    </xf>
    <xf numFmtId="37" fontId="67" fillId="0" borderId="0" xfId="0" applyNumberFormat="1" applyFont="1" applyAlignment="1">
      <alignment horizontal="left"/>
    </xf>
    <xf numFmtId="3" fontId="24" fillId="0" borderId="0" xfId="0" applyFont="1" applyAlignment="1">
      <alignment horizontal="left"/>
    </xf>
    <xf numFmtId="37" fontId="27" fillId="0" borderId="28" xfId="0" applyNumberFormat="1" applyFont="1" applyBorder="1"/>
    <xf numFmtId="37" fontId="70" fillId="0" borderId="28" xfId="0" applyNumberFormat="1" applyFont="1" applyBorder="1" applyAlignment="1">
      <alignment horizontal="centerContinuous"/>
    </xf>
    <xf numFmtId="3" fontId="71" fillId="0" borderId="62" xfId="0" applyFont="1" applyBorder="1" applyAlignment="1">
      <alignment horizontal="centerContinuous"/>
    </xf>
    <xf numFmtId="37" fontId="70" fillId="0" borderId="29" xfId="0" applyNumberFormat="1" applyFont="1" applyBorder="1" applyAlignment="1">
      <alignment horizontal="centerContinuous"/>
    </xf>
    <xf numFmtId="3" fontId="24" fillId="0" borderId="51" xfId="0" applyFont="1" applyBorder="1" applyAlignment="1">
      <alignment horizontal="centerContinuous"/>
    </xf>
    <xf numFmtId="37" fontId="70" fillId="0" borderId="29" xfId="0" applyNumberFormat="1" applyFont="1" applyBorder="1" applyAlignment="1">
      <alignment horizontal="centerContinuous" vertical="center"/>
    </xf>
    <xf numFmtId="3" fontId="71" fillId="0" borderId="28" xfId="0" applyFont="1" applyBorder="1" applyAlignment="1">
      <alignment horizontal="centerContinuous" vertical="center"/>
    </xf>
    <xf numFmtId="3" fontId="24" fillId="0" borderId="51" xfId="0" applyFont="1" applyBorder="1" applyAlignment="1">
      <alignment horizontal="centerContinuous" vertical="center"/>
    </xf>
    <xf numFmtId="37" fontId="70" fillId="0" borderId="33" xfId="0" applyNumberFormat="1" applyFont="1" applyBorder="1" applyAlignment="1">
      <alignment horizontal="center" wrapText="1"/>
    </xf>
    <xf numFmtId="37" fontId="70" fillId="0" borderId="63" xfId="0" applyNumberFormat="1" applyFont="1" applyBorder="1" applyAlignment="1">
      <alignment horizontal="right"/>
    </xf>
    <xf numFmtId="37" fontId="70" fillId="0" borderId="61" xfId="0" applyNumberFormat="1" applyFont="1" applyBorder="1" applyAlignment="1">
      <alignment horizontal="center" wrapText="1"/>
    </xf>
    <xf numFmtId="37" fontId="70" fillId="0" borderId="51" xfId="0" applyNumberFormat="1" applyFont="1" applyBorder="1" applyAlignment="1">
      <alignment horizontal="right"/>
    </xf>
    <xf numFmtId="37" fontId="70" fillId="0" borderId="0" xfId="0" applyNumberFormat="1" applyFont="1" applyAlignment="1">
      <alignment horizontal="right"/>
    </xf>
    <xf numFmtId="37" fontId="24" fillId="0" borderId="64" xfId="0" applyNumberFormat="1" applyFont="1" applyBorder="1" applyAlignment="1">
      <alignment horizontal="right"/>
    </xf>
    <xf numFmtId="37" fontId="24" fillId="0" borderId="39" xfId="0" applyNumberFormat="1" applyFont="1" applyBorder="1" applyAlignment="1">
      <alignment horizontal="right"/>
    </xf>
    <xf numFmtId="37" fontId="24" fillId="0" borderId="60" xfId="0" applyNumberFormat="1" applyFont="1" applyBorder="1" applyAlignment="1">
      <alignment horizontal="right"/>
    </xf>
    <xf numFmtId="37" fontId="24" fillId="0" borderId="48" xfId="0" applyNumberFormat="1" applyFont="1" applyBorder="1" applyAlignment="1">
      <alignment horizontal="right"/>
    </xf>
    <xf numFmtId="37" fontId="23" fillId="0" borderId="0" xfId="0" applyNumberFormat="1" applyFont="1" applyAlignment="1">
      <alignment horizontal="left" vertical="top" wrapText="1"/>
    </xf>
    <xf numFmtId="49" fontId="23" fillId="0" borderId="0" xfId="0" quotePrefix="1" applyNumberFormat="1" applyFont="1" applyAlignment="1">
      <alignment horizontal="right"/>
    </xf>
    <xf numFmtId="39" fontId="25" fillId="0" borderId="0" xfId="0" applyNumberFormat="1" applyFont="1" applyAlignment="1">
      <alignment horizontal="left"/>
    </xf>
    <xf numFmtId="37" fontId="27" fillId="0" borderId="28" xfId="0" applyNumberFormat="1" applyFont="1" applyBorder="1" applyAlignment="1">
      <alignment horizontal="center"/>
    </xf>
    <xf numFmtId="37" fontId="70" fillId="0" borderId="28" xfId="0" applyNumberFormat="1" applyFont="1" applyBorder="1" applyAlignment="1">
      <alignment horizontal="center"/>
    </xf>
    <xf numFmtId="3" fontId="71" fillId="0" borderId="51" xfId="0" applyFont="1" applyBorder="1" applyAlignment="1">
      <alignment horizontal="center"/>
    </xf>
    <xf numFmtId="37" fontId="70" fillId="0" borderId="29" xfId="0" applyNumberFormat="1" applyFont="1" applyBorder="1" applyAlignment="1">
      <alignment horizontal="center"/>
    </xf>
    <xf numFmtId="3" fontId="71" fillId="0" borderId="28" xfId="0" applyFont="1" applyBorder="1" applyAlignment="1">
      <alignment horizontal="center"/>
    </xf>
    <xf numFmtId="3" fontId="24" fillId="0" borderId="51" xfId="0" applyFont="1" applyBorder="1" applyAlignment="1">
      <alignment horizontal="center"/>
    </xf>
    <xf numFmtId="3" fontId="24" fillId="0" borderId="0" xfId="0" applyFont="1" applyAlignment="1">
      <alignment horizontal="right"/>
    </xf>
    <xf numFmtId="3" fontId="24" fillId="0" borderId="58" xfId="0" applyFont="1" applyBorder="1" applyAlignment="1">
      <alignment horizontal="right"/>
    </xf>
    <xf numFmtId="4" fontId="24" fillId="0" borderId="0" xfId="0" applyNumberFormat="1" applyFont="1" applyAlignment="1">
      <alignment horizontal="right"/>
    </xf>
    <xf numFmtId="4" fontId="24" fillId="0" borderId="58" xfId="0" applyNumberFormat="1" applyFont="1" applyBorder="1" applyAlignment="1">
      <alignment horizontal="right"/>
    </xf>
    <xf numFmtId="3" fontId="24" fillId="0" borderId="55" xfId="0" applyFont="1" applyBorder="1" applyAlignment="1">
      <alignment horizontal="right"/>
    </xf>
    <xf numFmtId="3" fontId="24" fillId="0" borderId="59" xfId="0" applyFont="1" applyBorder="1" applyAlignment="1">
      <alignment horizontal="right"/>
    </xf>
    <xf numFmtId="3" fontId="24" fillId="36" borderId="0" xfId="0" applyFont="1" applyFill="1"/>
    <xf numFmtId="3" fontId="31" fillId="0" borderId="55" xfId="0" applyFont="1" applyBorder="1"/>
    <xf numFmtId="3" fontId="31" fillId="36" borderId="0" xfId="0" applyFont="1" applyFill="1"/>
    <xf numFmtId="3" fontId="62" fillId="43" borderId="56" xfId="0" applyFont="1" applyFill="1" applyBorder="1"/>
    <xf numFmtId="3" fontId="31" fillId="43" borderId="0" xfId="0" applyFont="1" applyFill="1"/>
    <xf numFmtId="3" fontId="62" fillId="43" borderId="0" xfId="0" applyFont="1" applyFill="1"/>
    <xf numFmtId="37" fontId="70" fillId="0" borderId="33" xfId="0" applyNumberFormat="1" applyFont="1" applyBorder="1" applyAlignment="1">
      <alignment horizontal="centerContinuous" wrapText="1"/>
    </xf>
    <xf numFmtId="37" fontId="70" fillId="0" borderId="52" xfId="0" applyNumberFormat="1" applyFont="1" applyBorder="1" applyAlignment="1">
      <alignment horizontal="right"/>
    </xf>
    <xf numFmtId="37" fontId="70" fillId="0" borderId="54" xfId="0" applyNumberFormat="1" applyFont="1" applyBorder="1" applyAlignment="1">
      <alignment horizontal="right"/>
    </xf>
    <xf numFmtId="37" fontId="70" fillId="0" borderId="55" xfId="0" applyNumberFormat="1" applyFont="1" applyBorder="1" applyAlignment="1">
      <alignment horizontal="center" wrapText="1"/>
    </xf>
    <xf numFmtId="37" fontId="70" fillId="36" borderId="28" xfId="0" applyNumberFormat="1" applyFont="1" applyFill="1" applyBorder="1" applyAlignment="1">
      <alignment horizontal="centerContinuous"/>
    </xf>
    <xf numFmtId="3" fontId="71" fillId="36" borderId="51" xfId="0" applyFont="1" applyFill="1" applyBorder="1" applyAlignment="1">
      <alignment horizontal="centerContinuous"/>
    </xf>
    <xf numFmtId="3" fontId="62" fillId="43" borderId="43" xfId="0" applyFont="1" applyFill="1" applyBorder="1"/>
    <xf numFmtId="37" fontId="75" fillId="43" borderId="28" xfId="0" applyNumberFormat="1" applyFont="1" applyFill="1" applyBorder="1" applyAlignment="1">
      <alignment horizontal="centerContinuous"/>
    </xf>
    <xf numFmtId="3" fontId="76" fillId="43" borderId="51" xfId="0" applyFont="1" applyFill="1" applyBorder="1" applyAlignment="1">
      <alignment horizontal="centerContinuous"/>
    </xf>
    <xf numFmtId="37" fontId="27" fillId="0" borderId="55" xfId="0" applyNumberFormat="1" applyFont="1" applyBorder="1" applyAlignment="1">
      <alignment horizontal="center"/>
    </xf>
    <xf numFmtId="37" fontId="70" fillId="0" borderId="56" xfId="0" applyNumberFormat="1" applyFont="1" applyBorder="1" applyAlignment="1">
      <alignment horizontal="center" wrapText="1"/>
    </xf>
    <xf numFmtId="3" fontId="29" fillId="0" borderId="65" xfId="0" applyFont="1" applyBorder="1" applyAlignment="1">
      <alignment vertical="center"/>
    </xf>
    <xf numFmtId="37" fontId="70" fillId="36" borderId="33" xfId="0" applyNumberFormat="1" applyFont="1" applyFill="1" applyBorder="1" applyAlignment="1">
      <alignment horizontal="center" wrapText="1"/>
    </xf>
    <xf numFmtId="37" fontId="70" fillId="43" borderId="33" xfId="0" applyNumberFormat="1" applyFont="1" applyFill="1" applyBorder="1" applyAlignment="1">
      <alignment horizontal="right"/>
    </xf>
    <xf numFmtId="37" fontId="70" fillId="36" borderId="33" xfId="0" applyNumberFormat="1" applyFont="1" applyFill="1" applyBorder="1" applyAlignment="1">
      <alignment horizontal="right"/>
    </xf>
    <xf numFmtId="3" fontId="29" fillId="43" borderId="66" xfId="0" applyFont="1" applyFill="1" applyBorder="1" applyAlignment="1">
      <alignment vertical="center"/>
    </xf>
    <xf numFmtId="37" fontId="75" fillId="43" borderId="33" xfId="0" applyNumberFormat="1" applyFont="1" applyFill="1" applyBorder="1" applyAlignment="1">
      <alignment horizontal="center" wrapText="1"/>
    </xf>
    <xf numFmtId="37" fontId="75" fillId="43" borderId="33" xfId="0" applyNumberFormat="1" applyFont="1" applyFill="1" applyBorder="1" applyAlignment="1">
      <alignment horizontal="right"/>
    </xf>
    <xf numFmtId="3" fontId="24" fillId="0" borderId="43" xfId="0" applyFont="1" applyBorder="1" applyAlignment="1">
      <alignment horizontal="right"/>
    </xf>
    <xf numFmtId="10" fontId="24" fillId="0" borderId="47" xfId="24" quotePrefix="1" applyNumberFormat="1" applyFont="1" applyBorder="1"/>
    <xf numFmtId="10" fontId="72" fillId="37" borderId="0" xfId="24" applyNumberFormat="1" applyFont="1" applyFill="1" applyAlignment="1">
      <alignment horizontal="center"/>
    </xf>
    <xf numFmtId="3" fontId="24" fillId="36" borderId="0" xfId="0" applyFont="1" applyFill="1" applyAlignment="1">
      <alignment vertical="center"/>
    </xf>
    <xf numFmtId="3" fontId="62" fillId="43" borderId="0" xfId="0" applyFont="1" applyFill="1" applyAlignment="1">
      <alignment horizontal="right"/>
    </xf>
    <xf numFmtId="3" fontId="73" fillId="0" borderId="0" xfId="0" applyFont="1"/>
    <xf numFmtId="3" fontId="73" fillId="0" borderId="0" xfId="0" applyFont="1" applyAlignment="1">
      <alignment horizontal="right"/>
    </xf>
    <xf numFmtId="168" fontId="73" fillId="0" borderId="0" xfId="24" quotePrefix="1" applyNumberFormat="1" applyFont="1" applyAlignment="1">
      <alignment vertical="center"/>
    </xf>
    <xf numFmtId="3" fontId="73" fillId="0" borderId="43" xfId="0" applyFont="1" applyBorder="1" applyAlignment="1">
      <alignment horizontal="right"/>
    </xf>
    <xf numFmtId="3" fontId="73" fillId="0" borderId="43" xfId="0" applyFont="1" applyBorder="1"/>
    <xf numFmtId="10" fontId="73" fillId="37" borderId="0" xfId="24" quotePrefix="1" applyNumberFormat="1" applyFont="1" applyFill="1" applyAlignment="1">
      <alignment horizontal="center"/>
    </xf>
    <xf numFmtId="168" fontId="24" fillId="0" borderId="0" xfId="24" applyNumberFormat="1" applyFont="1"/>
    <xf numFmtId="170" fontId="72" fillId="37" borderId="0" xfId="24" applyNumberFormat="1" applyFont="1" applyFill="1" applyAlignment="1">
      <alignment horizontal="center"/>
    </xf>
    <xf numFmtId="3" fontId="62" fillId="43" borderId="58" xfId="0" applyFont="1" applyFill="1" applyBorder="1" applyAlignment="1">
      <alignment horizontal="right"/>
    </xf>
    <xf numFmtId="167" fontId="74" fillId="0" borderId="0" xfId="0" applyNumberFormat="1" applyFont="1" applyAlignment="1">
      <alignment vertical="center"/>
    </xf>
    <xf numFmtId="171" fontId="24" fillId="0" borderId="0" xfId="0" applyNumberFormat="1" applyFont="1"/>
    <xf numFmtId="10" fontId="24" fillId="0" borderId="43" xfId="0" applyNumberFormat="1" applyFont="1" applyBorder="1"/>
    <xf numFmtId="3" fontId="77" fillId="36" borderId="0" xfId="0" applyFont="1" applyFill="1" applyAlignment="1">
      <alignment vertical="center"/>
    </xf>
    <xf numFmtId="3" fontId="77" fillId="43" borderId="0" xfId="0" applyFont="1" applyFill="1" applyAlignment="1">
      <alignment vertical="center"/>
    </xf>
    <xf numFmtId="168" fontId="24" fillId="0" borderId="55" xfId="24" applyNumberFormat="1" applyFont="1" applyBorder="1"/>
    <xf numFmtId="3" fontId="24" fillId="0" borderId="56" xfId="0" applyFont="1" applyBorder="1" applyAlignment="1">
      <alignment horizontal="right"/>
    </xf>
    <xf numFmtId="3" fontId="32" fillId="43" borderId="56" xfId="0" applyFont="1" applyFill="1" applyBorder="1"/>
    <xf numFmtId="3" fontId="62" fillId="43" borderId="55" xfId="0" applyFont="1" applyFill="1" applyBorder="1" applyAlignment="1">
      <alignment horizontal="right"/>
    </xf>
    <xf numFmtId="3" fontId="62" fillId="43" borderId="59" xfId="0" applyFont="1" applyFill="1" applyBorder="1" applyAlignment="1">
      <alignment horizontal="right"/>
    </xf>
    <xf numFmtId="167" fontId="74" fillId="0" borderId="55" xfId="0" applyNumberFormat="1" applyFont="1" applyBorder="1" applyAlignment="1">
      <alignment vertical="center"/>
    </xf>
    <xf numFmtId="3" fontId="27" fillId="36" borderId="0" xfId="0" applyFont="1" applyFill="1"/>
    <xf numFmtId="3" fontId="29" fillId="36" borderId="0" xfId="0" applyFont="1" applyFill="1"/>
    <xf numFmtId="37" fontId="70" fillId="0" borderId="67" xfId="0" applyNumberFormat="1" applyFont="1" applyBorder="1" applyAlignment="1">
      <alignment horizontal="center" wrapText="1"/>
    </xf>
    <xf numFmtId="37" fontId="70" fillId="0" borderId="68" xfId="0" applyNumberFormat="1" applyFont="1" applyBorder="1" applyAlignment="1">
      <alignment horizontal="right"/>
    </xf>
    <xf numFmtId="37" fontId="70" fillId="0" borderId="56" xfId="0" applyNumberFormat="1" applyFont="1" applyBorder="1" applyAlignment="1">
      <alignment horizontal="right"/>
    </xf>
    <xf numFmtId="3" fontId="24" fillId="0" borderId="69" xfId="0" applyFont="1" applyBorder="1"/>
    <xf numFmtId="37" fontId="70" fillId="36" borderId="26" xfId="0" applyNumberFormat="1" applyFont="1" applyFill="1" applyBorder="1" applyAlignment="1">
      <alignment horizontal="centerContinuous"/>
    </xf>
    <xf numFmtId="3" fontId="71" fillId="36" borderId="28" xfId="0" applyFont="1" applyFill="1" applyBorder="1" applyAlignment="1">
      <alignment horizontal="centerContinuous"/>
    </xf>
    <xf numFmtId="3" fontId="24" fillId="36" borderId="28" xfId="0" applyFont="1" applyFill="1" applyBorder="1" applyAlignment="1">
      <alignment horizontal="centerContinuous"/>
    </xf>
    <xf numFmtId="3" fontId="24" fillId="36" borderId="51" xfId="0" applyFont="1" applyFill="1" applyBorder="1" applyAlignment="1">
      <alignment horizontal="centerContinuous"/>
    </xf>
    <xf numFmtId="3" fontId="24" fillId="0" borderId="0" xfId="0" applyFont="1" applyAlignment="1">
      <alignment horizontal="right" wrapText="1"/>
    </xf>
    <xf numFmtId="37" fontId="70" fillId="36" borderId="70" xfId="0" applyNumberFormat="1" applyFont="1" applyFill="1" applyBorder="1" applyAlignment="1">
      <alignment horizontal="center" wrapText="1"/>
    </xf>
    <xf numFmtId="37" fontId="70" fillId="36" borderId="51" xfId="0" applyNumberFormat="1" applyFont="1" applyFill="1" applyBorder="1" applyAlignment="1">
      <alignment horizontal="right"/>
    </xf>
    <xf numFmtId="2" fontId="72" fillId="0" borderId="0" xfId="24" applyNumberFormat="1" applyFont="1" applyAlignment="1">
      <alignment horizontal="center"/>
    </xf>
    <xf numFmtId="3" fontId="24" fillId="36" borderId="43" xfId="0" applyFont="1" applyFill="1" applyBorder="1" applyAlignment="1">
      <alignment vertical="center"/>
    </xf>
    <xf numFmtId="170" fontId="72" fillId="0" borderId="0" xfId="24" applyNumberFormat="1" applyFont="1" applyAlignment="1">
      <alignment horizontal="center"/>
    </xf>
    <xf numFmtId="3" fontId="24" fillId="36" borderId="39" xfId="0" applyFont="1" applyFill="1" applyBorder="1" applyAlignment="1">
      <alignment vertical="center"/>
    </xf>
    <xf numFmtId="167" fontId="74" fillId="0" borderId="0" xfId="0" applyNumberFormat="1" applyFont="1"/>
    <xf numFmtId="169" fontId="72" fillId="0" borderId="0" xfId="24" applyNumberFormat="1" applyFont="1" applyAlignment="1">
      <alignment horizontal="center"/>
    </xf>
    <xf numFmtId="3" fontId="24" fillId="36" borderId="55" xfId="0" applyFont="1" applyFill="1" applyBorder="1"/>
    <xf numFmtId="3" fontId="24" fillId="36" borderId="56" xfId="0" applyFont="1" applyFill="1" applyBorder="1" applyAlignment="1">
      <alignment vertical="center"/>
    </xf>
    <xf numFmtId="3" fontId="24" fillId="36" borderId="55" xfId="0" applyFont="1" applyFill="1" applyBorder="1" applyAlignment="1">
      <alignment vertical="center"/>
    </xf>
    <xf numFmtId="3" fontId="24" fillId="36" borderId="48" xfId="0" applyFont="1" applyFill="1" applyBorder="1" applyAlignment="1">
      <alignment vertical="center"/>
    </xf>
    <xf numFmtId="37" fontId="26" fillId="0" borderId="0" xfId="0" applyNumberFormat="1" applyFont="1"/>
    <xf numFmtId="3" fontId="29" fillId="34" borderId="0" xfId="0" applyFont="1" applyFill="1"/>
    <xf numFmtId="3" fontId="24" fillId="34" borderId="0" xfId="0" applyFont="1" applyFill="1"/>
    <xf numFmtId="3" fontId="24" fillId="34" borderId="58" xfId="0" applyFont="1" applyFill="1" applyBorder="1"/>
    <xf numFmtId="3" fontId="27" fillId="34" borderId="43" xfId="0" applyFont="1" applyFill="1" applyBorder="1"/>
    <xf numFmtId="37" fontId="27" fillId="0" borderId="33" xfId="0" applyNumberFormat="1" applyFont="1" applyBorder="1"/>
    <xf numFmtId="37" fontId="70" fillId="0" borderId="53" xfId="0" applyNumberFormat="1" applyFont="1" applyBorder="1" applyAlignment="1">
      <alignment horizontal="centerContinuous"/>
    </xf>
    <xf numFmtId="37" fontId="70" fillId="0" borderId="54" xfId="0" applyNumberFormat="1" applyFont="1" applyBorder="1" applyAlignment="1">
      <alignment horizontal="centerContinuous"/>
    </xf>
    <xf numFmtId="37" fontId="70" fillId="0" borderId="0" xfId="0" applyNumberFormat="1" applyFont="1" applyAlignment="1">
      <alignment horizontal="centerContinuous" wrapText="1"/>
    </xf>
    <xf numFmtId="37" fontId="70" fillId="34" borderId="53" xfId="0" applyNumberFormat="1" applyFont="1" applyFill="1" applyBorder="1" applyAlignment="1">
      <alignment horizontal="centerContinuous"/>
    </xf>
    <xf numFmtId="37" fontId="70" fillId="34" borderId="53" xfId="0" applyNumberFormat="1" applyFont="1" applyFill="1" applyBorder="1" applyAlignment="1">
      <alignment horizontal="centerContinuous" wrapText="1"/>
    </xf>
    <xf numFmtId="37" fontId="70" fillId="34" borderId="71" xfId="0" applyNumberFormat="1" applyFont="1" applyFill="1" applyBorder="1" applyAlignment="1">
      <alignment horizontal="centerContinuous" wrapText="1"/>
    </xf>
    <xf numFmtId="37" fontId="70" fillId="34" borderId="54" xfId="0" applyNumberFormat="1" applyFont="1" applyFill="1" applyBorder="1" applyAlignment="1">
      <alignment horizontal="centerContinuous"/>
    </xf>
    <xf numFmtId="37" fontId="24" fillId="0" borderId="0" xfId="0" applyNumberFormat="1" applyFont="1" applyAlignment="1">
      <alignment horizontal="center"/>
    </xf>
    <xf numFmtId="3" fontId="24" fillId="0" borderId="43" xfId="0" applyFont="1" applyBorder="1"/>
    <xf numFmtId="165" fontId="24" fillId="34" borderId="57" xfId="18" applyNumberFormat="1" applyFont="1" applyFill="1" applyBorder="1"/>
    <xf numFmtId="3" fontId="24" fillId="34" borderId="43" xfId="18" applyNumberFormat="1" applyFont="1" applyFill="1" applyBorder="1"/>
    <xf numFmtId="3" fontId="24" fillId="34" borderId="0" xfId="18" applyNumberFormat="1" applyFont="1" applyFill="1"/>
    <xf numFmtId="168" fontId="24" fillId="34" borderId="43" xfId="24" applyNumberFormat="1" applyFont="1" applyFill="1" applyBorder="1"/>
    <xf numFmtId="168" fontId="24" fillId="34" borderId="0" xfId="24" applyNumberFormat="1" applyFont="1" applyFill="1"/>
    <xf numFmtId="165" fontId="24" fillId="34" borderId="58" xfId="18" applyNumberFormat="1" applyFont="1" applyFill="1" applyBorder="1"/>
    <xf numFmtId="37" fontId="24" fillId="0" borderId="55" xfId="0" applyNumberFormat="1" applyFont="1" applyBorder="1" applyAlignment="1">
      <alignment horizontal="center"/>
    </xf>
    <xf numFmtId="3" fontId="24" fillId="0" borderId="56" xfId="0" applyFont="1" applyBorder="1"/>
    <xf numFmtId="165" fontId="24" fillId="34" borderId="59" xfId="18" applyNumberFormat="1" applyFont="1" applyFill="1" applyBorder="1"/>
    <xf numFmtId="3" fontId="24" fillId="34" borderId="56" xfId="18" applyNumberFormat="1" applyFont="1" applyFill="1" applyBorder="1"/>
    <xf numFmtId="3" fontId="24" fillId="34" borderId="55" xfId="18" applyNumberFormat="1" applyFont="1" applyFill="1" applyBorder="1"/>
    <xf numFmtId="3" fontId="24" fillId="34" borderId="59" xfId="18" applyNumberFormat="1" applyFont="1" applyFill="1" applyBorder="1"/>
    <xf numFmtId="168" fontId="24" fillId="34" borderId="56" xfId="24" applyNumberFormat="1" applyFont="1" applyFill="1" applyBorder="1"/>
    <xf numFmtId="168" fontId="24" fillId="34" borderId="55" xfId="24" applyNumberFormat="1" applyFont="1" applyFill="1" applyBorder="1"/>
    <xf numFmtId="37" fontId="24" fillId="0" borderId="47" xfId="0" applyNumberFormat="1" applyFont="1" applyBorder="1" applyAlignment="1">
      <alignment horizontal="right"/>
    </xf>
    <xf numFmtId="3" fontId="69" fillId="0" borderId="0" xfId="0" applyFont="1"/>
    <xf numFmtId="3" fontId="71" fillId="0" borderId="33" xfId="0" applyFont="1" applyBorder="1" applyAlignment="1">
      <alignment horizontal="center"/>
    </xf>
    <xf numFmtId="37" fontId="23" fillId="0" borderId="0" xfId="0" applyNumberFormat="1" applyFont="1" applyAlignment="1">
      <alignment vertical="top" wrapText="1"/>
    </xf>
    <xf numFmtId="37" fontId="26" fillId="0" borderId="0" xfId="0" applyNumberFormat="1" applyFont="1" applyAlignment="1">
      <alignment horizontal="left"/>
    </xf>
    <xf numFmtId="49" fontId="24" fillId="38" borderId="0" xfId="0" applyNumberFormat="1" applyFont="1" applyFill="1" applyProtection="1">
      <protection locked="0"/>
    </xf>
    <xf numFmtId="164" fontId="28" fillId="0" borderId="0" xfId="0" applyNumberFormat="1" applyFont="1" applyAlignment="1">
      <alignment horizontal="center"/>
    </xf>
    <xf numFmtId="164" fontId="29" fillId="0" borderId="0" xfId="0" applyNumberFormat="1" applyFont="1" applyAlignment="1">
      <alignment horizontal="center"/>
    </xf>
    <xf numFmtId="164" fontId="28" fillId="0" borderId="0" xfId="0" applyNumberFormat="1" applyFont="1"/>
    <xf numFmtId="164" fontId="29" fillId="0" borderId="0" xfId="0" applyNumberFormat="1" applyFont="1"/>
    <xf numFmtId="164" fontId="24" fillId="0" borderId="0" xfId="0" applyNumberFormat="1" applyFont="1"/>
    <xf numFmtId="49" fontId="24" fillId="9" borderId="0" xfId="0" applyNumberFormat="1" applyFont="1" applyFill="1" applyAlignment="1" applyProtection="1">
      <alignment horizontal="left"/>
      <protection locked="0"/>
    </xf>
    <xf numFmtId="1" fontId="24" fillId="9" borderId="0" xfId="0" applyNumberFormat="1" applyFont="1" applyFill="1" applyAlignment="1" applyProtection="1">
      <alignment horizontal="center"/>
      <protection locked="0"/>
    </xf>
    <xf numFmtId="49" fontId="24" fillId="9" borderId="0" xfId="0" applyNumberFormat="1" applyFont="1" applyFill="1" applyAlignment="1" applyProtection="1">
      <alignment horizontal="center"/>
      <protection locked="0"/>
    </xf>
    <xf numFmtId="165" fontId="28" fillId="9" borderId="4" xfId="0" applyNumberFormat="1" applyFont="1" applyFill="1" applyBorder="1" applyAlignment="1" applyProtection="1">
      <alignment horizontal="center"/>
      <protection locked="0"/>
    </xf>
    <xf numFmtId="165" fontId="29" fillId="9" borderId="0" xfId="0" applyNumberFormat="1" applyFont="1" applyFill="1" applyAlignment="1" applyProtection="1">
      <alignment horizontal="center"/>
      <protection locked="0"/>
    </xf>
    <xf numFmtId="3" fontId="28" fillId="9" borderId="72" xfId="0" applyFont="1" applyFill="1" applyBorder="1" applyAlignment="1" applyProtection="1">
      <alignment horizontal="right"/>
      <protection locked="0"/>
    </xf>
    <xf numFmtId="3" fontId="29" fillId="9" borderId="0" xfId="0" applyFont="1" applyFill="1" applyAlignment="1" applyProtection="1">
      <alignment horizontal="right"/>
      <protection locked="0"/>
    </xf>
    <xf numFmtId="3" fontId="32" fillId="6" borderId="72" xfId="0" applyFont="1" applyFill="1" applyBorder="1" applyAlignment="1">
      <alignment horizontal="right"/>
    </xf>
    <xf numFmtId="3" fontId="32" fillId="6" borderId="43" xfId="0" applyFont="1" applyFill="1" applyBorder="1" applyAlignment="1">
      <alignment horizontal="right"/>
    </xf>
    <xf numFmtId="3" fontId="34" fillId="3" borderId="72" xfId="0" applyFont="1" applyFill="1" applyBorder="1" applyAlignment="1">
      <alignment horizontal="right"/>
    </xf>
    <xf numFmtId="3" fontId="34" fillId="3" borderId="43" xfId="0" applyFont="1" applyFill="1" applyBorder="1" applyAlignment="1">
      <alignment horizontal="right"/>
    </xf>
    <xf numFmtId="3" fontId="34" fillId="3" borderId="5" xfId="0" applyFont="1" applyFill="1" applyBorder="1" applyAlignment="1">
      <alignment horizontal="right"/>
    </xf>
    <xf numFmtId="3" fontId="28" fillId="9" borderId="4" xfId="0" applyFont="1" applyFill="1" applyBorder="1" applyAlignment="1" applyProtection="1">
      <alignment horizontal="right"/>
      <protection locked="0"/>
    </xf>
    <xf numFmtId="3" fontId="32" fillId="6" borderId="0" xfId="0" applyFont="1" applyFill="1" applyAlignment="1">
      <alignment horizontal="right"/>
    </xf>
    <xf numFmtId="3" fontId="34" fillId="3" borderId="73" xfId="0" applyFont="1" applyFill="1" applyBorder="1" applyAlignment="1">
      <alignment horizontal="right"/>
    </xf>
    <xf numFmtId="3" fontId="32" fillId="6" borderId="6" xfId="0" applyFont="1" applyFill="1" applyBorder="1" applyAlignment="1">
      <alignment horizontal="right"/>
    </xf>
    <xf numFmtId="0" fontId="36" fillId="4" borderId="74" xfId="0" applyNumberFormat="1" applyFont="1" applyFill="1" applyBorder="1" applyAlignment="1">
      <alignment horizontal="left"/>
    </xf>
    <xf numFmtId="0" fontId="0" fillId="0" borderId="0" xfId="0" applyNumberFormat="1"/>
    <xf numFmtId="165" fontId="27" fillId="0" borderId="0" xfId="0" applyNumberFormat="1" applyFont="1" applyAlignment="1">
      <alignment horizontal="left" vertical="top"/>
    </xf>
    <xf numFmtId="164" fontId="27" fillId="0" borderId="0" xfId="0" applyNumberFormat="1" applyFont="1" applyAlignment="1">
      <alignment horizontal="left" vertical="top"/>
    </xf>
    <xf numFmtId="164" fontId="27" fillId="0" borderId="18" xfId="0" applyNumberFormat="1" applyFont="1" applyBorder="1" applyAlignment="1">
      <alignment horizontal="center"/>
    </xf>
    <xf numFmtId="37" fontId="29" fillId="0" borderId="19" xfId="0" applyNumberFormat="1" applyFont="1" applyBorder="1" applyAlignment="1">
      <alignment horizontal="center"/>
    </xf>
    <xf numFmtId="164" fontId="26" fillId="0" borderId="78" xfId="0" applyNumberFormat="1" applyFont="1" applyBorder="1" applyAlignment="1">
      <alignment horizontal="centerContinuous"/>
    </xf>
    <xf numFmtId="37" fontId="29" fillId="0" borderId="79" xfId="0" applyNumberFormat="1" applyFont="1" applyBorder="1" applyAlignment="1">
      <alignment horizontal="centerContinuous"/>
    </xf>
    <xf numFmtId="164" fontId="27" fillId="0" borderId="79" xfId="0" applyNumberFormat="1" applyFont="1" applyBorder="1" applyAlignment="1">
      <alignment horizontal="centerContinuous"/>
    </xf>
    <xf numFmtId="165" fontId="29" fillId="0" borderId="79" xfId="0" applyNumberFormat="1" applyFont="1" applyBorder="1" applyAlignment="1">
      <alignment horizontal="centerContinuous"/>
    </xf>
    <xf numFmtId="164" fontId="27" fillId="0" borderId="79" xfId="0" applyNumberFormat="1" applyFont="1" applyBorder="1" applyAlignment="1">
      <alignment horizontal="center"/>
    </xf>
    <xf numFmtId="37" fontId="29" fillId="0" borderId="79" xfId="0" applyNumberFormat="1" applyFont="1" applyBorder="1" applyAlignment="1">
      <alignment horizontal="center"/>
    </xf>
    <xf numFmtId="37" fontId="29" fillId="0" borderId="80" xfId="0" applyNumberFormat="1" applyFont="1" applyBorder="1" applyAlignment="1">
      <alignment horizontal="centerContinuous"/>
    </xf>
    <xf numFmtId="164" fontId="27" fillId="0" borderId="78" xfId="0" applyNumberFormat="1" applyFont="1" applyBorder="1" applyAlignment="1">
      <alignment horizontal="centerContinuous"/>
    </xf>
    <xf numFmtId="37" fontId="29" fillId="0" borderId="78" xfId="0" applyNumberFormat="1" applyFont="1" applyBorder="1" applyAlignment="1">
      <alignment horizontal="centerContinuous"/>
    </xf>
    <xf numFmtId="37" fontId="29" fillId="0" borderId="7" xfId="0" applyNumberFormat="1" applyFont="1" applyBorder="1" applyAlignment="1">
      <alignment horizontal="centerContinuous"/>
    </xf>
    <xf numFmtId="164" fontId="24" fillId="0" borderId="0" xfId="0" applyNumberFormat="1" applyFont="1" applyAlignment="1">
      <alignment horizontal="center"/>
    </xf>
    <xf numFmtId="49" fontId="27" fillId="8" borderId="43" xfId="0" applyNumberFormat="1" applyFont="1" applyFill="1" applyBorder="1" applyAlignment="1">
      <alignment horizontal="left" vertical="top"/>
    </xf>
    <xf numFmtId="49" fontId="27" fillId="8" borderId="0" xfId="0" applyNumberFormat="1" applyFont="1" applyFill="1" applyAlignment="1">
      <alignment horizontal="left" vertical="top"/>
    </xf>
    <xf numFmtId="37" fontId="27" fillId="0" borderId="82" xfId="0" applyNumberFormat="1" applyFont="1" applyBorder="1" applyAlignment="1">
      <alignment horizontal="centerContinuous" wrapText="1"/>
    </xf>
    <xf numFmtId="37" fontId="29" fillId="0" borderId="83" xfId="0" applyNumberFormat="1" applyFont="1" applyBorder="1" applyAlignment="1">
      <alignment horizontal="centerContinuous" wrapText="1"/>
    </xf>
    <xf numFmtId="37" fontId="27" fillId="7" borderId="78" xfId="0" applyNumberFormat="1" applyFont="1" applyFill="1" applyBorder="1" applyAlignment="1">
      <alignment horizontal="center" wrapText="1"/>
    </xf>
    <xf numFmtId="37" fontId="29" fillId="3" borderId="78" xfId="0" applyNumberFormat="1" applyFont="1" applyFill="1" applyBorder="1" applyAlignment="1">
      <alignment horizontal="center" wrapText="1"/>
    </xf>
    <xf numFmtId="37" fontId="29" fillId="3" borderId="84" xfId="0" applyNumberFormat="1" applyFont="1" applyFill="1" applyBorder="1" applyAlignment="1">
      <alignment horizontal="center" wrapText="1"/>
    </xf>
    <xf numFmtId="37" fontId="29" fillId="0" borderId="79" xfId="0" applyNumberFormat="1" applyFont="1" applyBorder="1" applyAlignment="1">
      <alignment horizontal="centerContinuous" wrapText="1"/>
    </xf>
    <xf numFmtId="0" fontId="34" fillId="6" borderId="75" xfId="0" applyNumberFormat="1" applyFont="1" applyFill="1" applyBorder="1" applyAlignment="1">
      <alignment horizontal="centerContinuous"/>
    </xf>
    <xf numFmtId="0" fontId="34" fillId="3" borderId="76" xfId="0" applyNumberFormat="1" applyFont="1" applyFill="1" applyBorder="1" applyAlignment="1">
      <alignment horizontal="centerContinuous"/>
    </xf>
    <xf numFmtId="164" fontId="24" fillId="2" borderId="0" xfId="0" applyNumberFormat="1" applyFont="1" applyFill="1" applyAlignment="1">
      <alignment wrapText="1"/>
    </xf>
    <xf numFmtId="0" fontId="24" fillId="2" borderId="0" xfId="0" applyNumberFormat="1" applyFont="1" applyFill="1" applyAlignment="1">
      <alignment horizontal="center" wrapText="1"/>
    </xf>
    <xf numFmtId="164" fontId="24" fillId="2" borderId="0" xfId="0" applyNumberFormat="1" applyFont="1" applyFill="1" applyAlignment="1">
      <alignment horizontal="center" wrapText="1"/>
    </xf>
    <xf numFmtId="37" fontId="24" fillId="2" borderId="0" xfId="0" applyNumberFormat="1" applyFont="1" applyFill="1" applyAlignment="1">
      <alignment horizontal="center" wrapText="1"/>
    </xf>
    <xf numFmtId="165" fontId="24" fillId="2" borderId="0" xfId="0" applyNumberFormat="1" applyFont="1" applyFill="1" applyAlignment="1">
      <alignment horizontal="center" wrapText="1"/>
    </xf>
    <xf numFmtId="164" fontId="24" fillId="2" borderId="3" xfId="0" applyNumberFormat="1" applyFont="1" applyFill="1" applyBorder="1" applyAlignment="1">
      <alignment horizontal="center" wrapText="1"/>
    </xf>
    <xf numFmtId="164" fontId="24" fillId="0" borderId="0" xfId="0" applyNumberFormat="1" applyFont="1" applyAlignment="1">
      <alignment wrapText="1"/>
    </xf>
    <xf numFmtId="0" fontId="33" fillId="4" borderId="85" xfId="0" applyNumberFormat="1" applyFont="1" applyFill="1" applyBorder="1" applyAlignment="1">
      <alignment horizontal="center"/>
    </xf>
    <xf numFmtId="0" fontId="33" fillId="4" borderId="85" xfId="0" applyNumberFormat="1" applyFont="1" applyFill="1" applyBorder="1" applyAlignment="1">
      <alignment horizontal="left" wrapText="1"/>
    </xf>
    <xf numFmtId="1" fontId="33" fillId="4" borderId="85" xfId="0" applyNumberFormat="1" applyFont="1" applyFill="1" applyBorder="1" applyAlignment="1">
      <alignment horizontal="center"/>
    </xf>
    <xf numFmtId="3" fontId="27" fillId="46" borderId="0" xfId="0" applyFont="1" applyFill="1" applyAlignment="1">
      <alignment horizontal="left"/>
    </xf>
    <xf numFmtId="3" fontId="24" fillId="46" borderId="43" xfId="0" applyFont="1" applyFill="1" applyBorder="1" applyAlignment="1">
      <alignment horizontal="center"/>
    </xf>
    <xf numFmtId="3" fontId="24" fillId="46" borderId="0" xfId="0" applyFont="1" applyFill="1" applyAlignment="1">
      <alignment horizontal="left"/>
    </xf>
    <xf numFmtId="3" fontId="24" fillId="46" borderId="0" xfId="0" applyFont="1" applyFill="1" applyAlignment="1">
      <alignment horizontal="center"/>
    </xf>
    <xf numFmtId="3" fontId="24" fillId="39" borderId="0" xfId="0" applyFont="1" applyFill="1" applyAlignment="1">
      <alignment horizontal="left"/>
    </xf>
    <xf numFmtId="3" fontId="24" fillId="39" borderId="0" xfId="0" applyFont="1" applyFill="1" applyAlignment="1">
      <alignment horizontal="center"/>
    </xf>
    <xf numFmtId="37" fontId="0" fillId="0" borderId="0" xfId="0" applyNumberFormat="1" applyAlignment="1">
      <alignment horizontal="left" vertical="top" wrapText="1"/>
    </xf>
    <xf numFmtId="3" fontId="0" fillId="0" borderId="0" xfId="0" applyAlignment="1">
      <alignment horizontal="left" vertical="top" wrapText="1"/>
    </xf>
    <xf numFmtId="3" fontId="59" fillId="0" borderId="0" xfId="0" applyFont="1"/>
    <xf numFmtId="3" fontId="31" fillId="46" borderId="0" xfId="0" applyFont="1" applyFill="1" applyAlignment="1">
      <alignment horizontal="left"/>
    </xf>
    <xf numFmtId="3" fontId="24" fillId="51" borderId="43" xfId="0" applyFont="1" applyFill="1" applyBorder="1" applyAlignment="1">
      <alignment horizontal="center"/>
    </xf>
    <xf numFmtId="3" fontId="24" fillId="51" borderId="0" xfId="0" applyFont="1" applyFill="1" applyAlignment="1">
      <alignment horizontal="left"/>
    </xf>
    <xf numFmtId="3" fontId="27" fillId="51" borderId="0" xfId="0" applyFont="1" applyFill="1" applyAlignment="1">
      <alignment horizontal="left"/>
    </xf>
    <xf numFmtId="3" fontId="24" fillId="51" borderId="0" xfId="0" applyFont="1" applyFill="1" applyAlignment="1">
      <alignment horizontal="center"/>
    </xf>
    <xf numFmtId="3" fontId="31" fillId="51" borderId="0" xfId="0" applyFont="1" applyFill="1" applyAlignment="1">
      <alignment horizontal="left"/>
    </xf>
    <xf numFmtId="3" fontId="24" fillId="35" borderId="0" xfId="0" applyFont="1" applyFill="1" applyAlignment="1">
      <alignment horizontal="left"/>
    </xf>
    <xf numFmtId="3" fontId="24" fillId="53" borderId="0" xfId="0" applyFont="1" applyFill="1" applyAlignment="1">
      <alignment horizontal="center"/>
    </xf>
    <xf numFmtId="3" fontId="24" fillId="53" borderId="0" xfId="0" applyFont="1" applyFill="1" applyAlignment="1">
      <alignment horizontal="left"/>
    </xf>
    <xf numFmtId="3" fontId="27" fillId="53" borderId="0" xfId="0" applyFont="1" applyFill="1" applyAlignment="1">
      <alignment horizontal="left"/>
    </xf>
    <xf numFmtId="3" fontId="31" fillId="53" borderId="0" xfId="0" applyFont="1" applyFill="1" applyAlignment="1">
      <alignment horizontal="left"/>
    </xf>
    <xf numFmtId="3" fontId="24" fillId="55" borderId="0" xfId="0" applyFont="1" applyFill="1" applyAlignment="1">
      <alignment horizontal="center"/>
    </xf>
    <xf numFmtId="3" fontId="24" fillId="55" borderId="0" xfId="0" applyFont="1" applyFill="1" applyAlignment="1">
      <alignment horizontal="left"/>
    </xf>
    <xf numFmtId="3" fontId="31" fillId="55" borderId="0" xfId="0" applyFont="1" applyFill="1" applyAlignment="1">
      <alignment horizontal="left"/>
    </xf>
    <xf numFmtId="3" fontId="27" fillId="55" borderId="0" xfId="0" applyFont="1" applyFill="1" applyAlignment="1">
      <alignment horizontal="left"/>
    </xf>
    <xf numFmtId="3" fontId="63" fillId="55" borderId="0" xfId="0" applyFont="1" applyFill="1" applyAlignment="1">
      <alignment horizontal="left"/>
    </xf>
    <xf numFmtId="3" fontId="24" fillId="56" borderId="43" xfId="0" applyFont="1" applyFill="1" applyBorder="1" applyAlignment="1">
      <alignment horizontal="center"/>
    </xf>
    <xf numFmtId="3" fontId="24" fillId="56" borderId="0" xfId="0" applyFont="1" applyFill="1" applyAlignment="1">
      <alignment horizontal="left"/>
    </xf>
    <xf numFmtId="3" fontId="27" fillId="56" borderId="0" xfId="0" applyFont="1" applyFill="1" applyAlignment="1">
      <alignment horizontal="left"/>
    </xf>
    <xf numFmtId="3" fontId="24" fillId="44" borderId="0" xfId="0" applyFont="1" applyFill="1" applyAlignment="1">
      <alignment horizontal="center"/>
    </xf>
    <xf numFmtId="3" fontId="24" fillId="56" borderId="0" xfId="0" applyFont="1" applyFill="1" applyAlignment="1">
      <alignment horizontal="center"/>
    </xf>
    <xf numFmtId="3" fontId="24" fillId="44" borderId="0" xfId="0" applyFont="1" applyFill="1" applyAlignment="1">
      <alignment horizontal="left"/>
    </xf>
    <xf numFmtId="3" fontId="31" fillId="56" borderId="0" xfId="0" applyFont="1" applyFill="1" applyAlignment="1">
      <alignment horizontal="left"/>
    </xf>
    <xf numFmtId="3" fontId="24" fillId="57" borderId="0" xfId="0" applyFont="1" applyFill="1" applyAlignment="1">
      <alignment horizontal="center"/>
    </xf>
    <xf numFmtId="3" fontId="24" fillId="58" borderId="43" xfId="0" applyFont="1" applyFill="1" applyBorder="1" applyAlignment="1">
      <alignment horizontal="center"/>
    </xf>
    <xf numFmtId="3" fontId="24" fillId="58" borderId="0" xfId="0" applyFont="1" applyFill="1" applyAlignment="1">
      <alignment horizontal="left"/>
    </xf>
    <xf numFmtId="3" fontId="27" fillId="58" borderId="0" xfId="0" applyFont="1" applyFill="1" applyAlignment="1">
      <alignment horizontal="left"/>
    </xf>
    <xf numFmtId="3" fontId="24" fillId="58" borderId="0" xfId="0" applyFont="1" applyFill="1" applyAlignment="1">
      <alignment horizontal="center"/>
    </xf>
    <xf numFmtId="3" fontId="31" fillId="58" borderId="0" xfId="0" applyFont="1" applyFill="1" applyAlignment="1">
      <alignment horizontal="left"/>
    </xf>
    <xf numFmtId="3" fontId="31" fillId="58" borderId="0" xfId="0" applyFont="1" applyFill="1" applyAlignment="1">
      <alignment horizontal="center"/>
    </xf>
    <xf numFmtId="3" fontId="24" fillId="45" borderId="0" xfId="0" applyFont="1" applyFill="1" applyAlignment="1">
      <alignment horizontal="left"/>
    </xf>
    <xf numFmtId="3" fontId="24" fillId="45" borderId="0" xfId="0" applyFont="1" applyFill="1" applyAlignment="1">
      <alignment horizontal="center"/>
    </xf>
    <xf numFmtId="3" fontId="24" fillId="53" borderId="43" xfId="0" applyFont="1" applyFill="1" applyBorder="1" applyAlignment="1">
      <alignment horizontal="center"/>
    </xf>
    <xf numFmtId="3" fontId="31" fillId="53" borderId="0" xfId="0" applyFont="1" applyFill="1" applyAlignment="1">
      <alignment horizontal="center"/>
    </xf>
    <xf numFmtId="3" fontId="24" fillId="54" borderId="43" xfId="0" applyFont="1" applyFill="1" applyBorder="1" applyAlignment="1">
      <alignment horizontal="center"/>
    </xf>
    <xf numFmtId="3" fontId="24" fillId="54" borderId="0" xfId="0" applyFont="1" applyFill="1" applyAlignment="1">
      <alignment horizontal="left"/>
    </xf>
    <xf numFmtId="3" fontId="27" fillId="54" borderId="0" xfId="0" applyFont="1" applyFill="1" applyAlignment="1">
      <alignment horizontal="left"/>
    </xf>
    <xf numFmtId="3" fontId="24" fillId="54" borderId="0" xfId="0" applyFont="1" applyFill="1" applyAlignment="1">
      <alignment horizontal="center"/>
    </xf>
    <xf numFmtId="3" fontId="92" fillId="54" borderId="0" xfId="0" applyFont="1" applyFill="1" applyAlignment="1">
      <alignment horizontal="left"/>
    </xf>
    <xf numFmtId="3" fontId="31" fillId="54" borderId="0" xfId="0" applyFont="1" applyFill="1" applyAlignment="1">
      <alignment horizontal="left"/>
    </xf>
    <xf numFmtId="3" fontId="31" fillId="54" borderId="0" xfId="0" applyFont="1" applyFill="1" applyAlignment="1">
      <alignment horizontal="center"/>
    </xf>
    <xf numFmtId="3" fontId="24" fillId="60" borderId="43" xfId="0" applyFont="1" applyFill="1" applyBorder="1" applyAlignment="1">
      <alignment horizontal="center"/>
    </xf>
    <xf numFmtId="3" fontId="24" fillId="60" borderId="0" xfId="0" applyFont="1" applyFill="1" applyAlignment="1">
      <alignment horizontal="left"/>
    </xf>
    <xf numFmtId="3" fontId="27" fillId="60" borderId="0" xfId="0" applyFont="1" applyFill="1" applyAlignment="1">
      <alignment horizontal="left"/>
    </xf>
    <xf numFmtId="3" fontId="24" fillId="60" borderId="0" xfId="0" applyFont="1" applyFill="1" applyAlignment="1">
      <alignment horizontal="center"/>
    </xf>
    <xf numFmtId="3" fontId="31" fillId="60" borderId="0" xfId="0" applyFont="1" applyFill="1" applyAlignment="1">
      <alignment horizontal="left"/>
    </xf>
    <xf numFmtId="3" fontId="24" fillId="51" borderId="97" xfId="0" applyFont="1" applyFill="1" applyBorder="1" applyAlignment="1">
      <alignment horizontal="center"/>
    </xf>
    <xf numFmtId="3" fontId="24" fillId="51" borderId="97" xfId="0" applyFont="1" applyFill="1" applyBorder="1"/>
    <xf numFmtId="3" fontId="27" fillId="51" borderId="97" xfId="0" applyFont="1" applyFill="1" applyBorder="1" applyAlignment="1">
      <alignment horizontal="left"/>
    </xf>
    <xf numFmtId="3" fontId="24" fillId="51" borderId="0" xfId="0" applyFont="1" applyFill="1"/>
    <xf numFmtId="3" fontId="24" fillId="35" borderId="0" xfId="0" applyFont="1" applyFill="1" applyAlignment="1">
      <alignment horizontal="center"/>
    </xf>
    <xf numFmtId="3" fontId="92" fillId="58" borderId="0" xfId="0" applyFont="1" applyFill="1" applyAlignment="1">
      <alignment horizontal="left"/>
    </xf>
    <xf numFmtId="3" fontId="93" fillId="58" borderId="0" xfId="0" applyFont="1" applyFill="1" applyAlignment="1">
      <alignment horizontal="left"/>
    </xf>
    <xf numFmtId="3" fontId="92" fillId="53" borderId="0" xfId="0" applyFont="1" applyFill="1" applyAlignment="1">
      <alignment horizontal="left"/>
    </xf>
    <xf numFmtId="3" fontId="93" fillId="53" borderId="0" xfId="0" applyFont="1" applyFill="1" applyAlignment="1">
      <alignment horizontal="left"/>
    </xf>
    <xf numFmtId="3" fontId="24" fillId="41" borderId="0" xfId="0" applyFont="1" applyFill="1" applyAlignment="1">
      <alignment horizontal="left"/>
    </xf>
    <xf numFmtId="3" fontId="93" fillId="54" borderId="0" xfId="0" applyFont="1" applyFill="1" applyAlignment="1">
      <alignment horizontal="left"/>
    </xf>
    <xf numFmtId="3" fontId="24" fillId="66" borderId="0" xfId="0" applyFont="1" applyFill="1" applyAlignment="1">
      <alignment horizontal="left"/>
    </xf>
    <xf numFmtId="3" fontId="24" fillId="54" borderId="0" xfId="0" applyFont="1" applyFill="1"/>
    <xf numFmtId="3" fontId="24" fillId="41" borderId="0" xfId="0" applyFont="1" applyFill="1"/>
    <xf numFmtId="3" fontId="24" fillId="63" borderId="0" xfId="0" applyFont="1" applyFill="1"/>
    <xf numFmtId="3" fontId="88" fillId="47" borderId="0" xfId="0" applyFont="1" applyFill="1"/>
    <xf numFmtId="3" fontId="24" fillId="64" borderId="0" xfId="0" applyFont="1" applyFill="1"/>
    <xf numFmtId="3" fontId="99" fillId="54" borderId="0" xfId="0" applyFont="1" applyFill="1" applyAlignment="1">
      <alignment horizontal="left"/>
    </xf>
    <xf numFmtId="3" fontId="24" fillId="41" borderId="0" xfId="0" applyFont="1" applyFill="1" applyAlignment="1">
      <alignment horizontal="center"/>
    </xf>
    <xf numFmtId="3" fontId="88" fillId="47" borderId="0" xfId="0" applyFont="1" applyFill="1" applyAlignment="1">
      <alignment horizontal="center"/>
    </xf>
    <xf numFmtId="3" fontId="24" fillId="62" borderId="0" xfId="0" applyFont="1" applyFill="1"/>
    <xf numFmtId="3" fontId="27" fillId="63" borderId="0" xfId="0" applyFont="1" applyFill="1"/>
    <xf numFmtId="3" fontId="27" fillId="62" borderId="0" xfId="0" applyFont="1" applyFill="1"/>
    <xf numFmtId="3" fontId="27" fillId="61" borderId="0" xfId="0" applyFont="1" applyFill="1"/>
    <xf numFmtId="3" fontId="27" fillId="64" borderId="0" xfId="0" applyFont="1" applyFill="1"/>
    <xf numFmtId="3" fontId="27" fillId="67" borderId="0" xfId="0" applyFont="1" applyFill="1"/>
    <xf numFmtId="3" fontId="27" fillId="68" borderId="0" xfId="0" applyFont="1" applyFill="1"/>
    <xf numFmtId="3" fontId="88" fillId="47" borderId="0" xfId="0" applyFont="1" applyFill="1" applyAlignment="1">
      <alignment horizontal="left"/>
    </xf>
    <xf numFmtId="3" fontId="63" fillId="54" borderId="0" xfId="0" applyFont="1" applyFill="1" applyAlignment="1">
      <alignment horizontal="center"/>
    </xf>
    <xf numFmtId="3" fontId="27" fillId="59" borderId="86" xfId="0" applyFont="1" applyFill="1" applyBorder="1" applyAlignment="1">
      <alignment horizontal="center"/>
    </xf>
    <xf numFmtId="3" fontId="27" fillId="0" borderId="85" xfId="0" applyFont="1" applyBorder="1" applyAlignment="1">
      <alignment horizontal="center"/>
    </xf>
    <xf numFmtId="3" fontId="34" fillId="49" borderId="87" xfId="0" applyFont="1" applyFill="1" applyBorder="1" applyAlignment="1">
      <alignment horizontal="center"/>
    </xf>
    <xf numFmtId="3" fontId="34" fillId="49" borderId="88" xfId="0" applyFont="1" applyFill="1" applyBorder="1" applyAlignment="1">
      <alignment horizontal="center"/>
    </xf>
    <xf numFmtId="3" fontId="34" fillId="50" borderId="87" xfId="0" applyFont="1" applyFill="1" applyBorder="1" applyAlignment="1">
      <alignment horizontal="center"/>
    </xf>
    <xf numFmtId="3" fontId="34" fillId="50" borderId="88" xfId="0" applyFont="1" applyFill="1" applyBorder="1" applyAlignment="1">
      <alignment horizontal="center"/>
    </xf>
    <xf numFmtId="3" fontId="34" fillId="50" borderId="89" xfId="0" applyFont="1" applyFill="1" applyBorder="1" applyAlignment="1">
      <alignment horizontal="center"/>
    </xf>
    <xf numFmtId="3" fontId="34" fillId="50" borderId="90" xfId="0" applyFont="1" applyFill="1" applyBorder="1" applyAlignment="1">
      <alignment horizontal="center"/>
    </xf>
    <xf numFmtId="3" fontId="34" fillId="49" borderId="91" xfId="0" applyFont="1" applyFill="1" applyBorder="1" applyAlignment="1">
      <alignment horizontal="center"/>
    </xf>
    <xf numFmtId="3" fontId="24" fillId="60" borderId="0" xfId="0" applyFont="1" applyFill="1"/>
    <xf numFmtId="3" fontId="27" fillId="60" borderId="0" xfId="0" applyFont="1" applyFill="1"/>
    <xf numFmtId="1" fontId="24" fillId="60" borderId="0" xfId="0" applyNumberFormat="1" applyFont="1" applyFill="1" applyAlignment="1">
      <alignment horizontal="center"/>
    </xf>
    <xf numFmtId="1" fontId="24" fillId="60" borderId="0" xfId="0" applyNumberFormat="1" applyFont="1" applyFill="1" applyAlignment="1" applyProtection="1">
      <alignment horizontal="center"/>
      <protection locked="0"/>
    </xf>
    <xf numFmtId="3" fontId="92" fillId="60" borderId="0" xfId="0" applyFont="1" applyFill="1"/>
    <xf numFmtId="3" fontId="93" fillId="60" borderId="0" xfId="0" applyFont="1" applyFill="1"/>
    <xf numFmtId="3" fontId="31" fillId="60" borderId="0" xfId="0" applyFont="1" applyFill="1"/>
    <xf numFmtId="3" fontId="24" fillId="40" borderId="0" xfId="0" applyFont="1" applyFill="1"/>
    <xf numFmtId="1" fontId="24" fillId="40" borderId="0" xfId="0" applyNumberFormat="1" applyFont="1" applyFill="1" applyAlignment="1">
      <alignment horizontal="center"/>
    </xf>
    <xf numFmtId="3" fontId="100" fillId="56" borderId="0" xfId="0" applyFont="1" applyFill="1" applyAlignment="1">
      <alignment horizontal="center"/>
    </xf>
    <xf numFmtId="3" fontId="27" fillId="56" borderId="0" xfId="0" applyFont="1" applyFill="1" applyAlignment="1">
      <alignment horizontal="center"/>
    </xf>
    <xf numFmtId="1" fontId="100" fillId="65" borderId="0" xfId="0" applyNumberFormat="1" applyFont="1" applyFill="1" applyAlignment="1" applyProtection="1">
      <alignment horizontal="center"/>
      <protection locked="0"/>
    </xf>
    <xf numFmtId="3" fontId="24" fillId="0" borderId="99" xfId="0" applyFont="1" applyBorder="1"/>
    <xf numFmtId="168" fontId="27" fillId="0" borderId="100" xfId="0" applyNumberFormat="1" applyFont="1" applyBorder="1"/>
    <xf numFmtId="10" fontId="24" fillId="0" borderId="45" xfId="0" applyNumberFormat="1" applyFont="1" applyBorder="1"/>
    <xf numFmtId="10" fontId="24" fillId="0" borderId="102" xfId="0" applyNumberFormat="1" applyFont="1" applyBorder="1"/>
    <xf numFmtId="168" fontId="24" fillId="0" borderId="41" xfId="0" applyNumberFormat="1" applyFont="1" applyBorder="1"/>
    <xf numFmtId="168" fontId="24" fillId="0" borderId="0" xfId="0" applyNumberFormat="1" applyFont="1"/>
    <xf numFmtId="168" fontId="24" fillId="37" borderId="41" xfId="0" applyNumberFormat="1" applyFont="1" applyFill="1" applyBorder="1"/>
    <xf numFmtId="3" fontId="27" fillId="51" borderId="0" xfId="0" applyFont="1" applyFill="1" applyAlignment="1">
      <alignment horizontal="center"/>
    </xf>
    <xf numFmtId="3" fontId="27" fillId="53" borderId="0" xfId="0" applyFont="1" applyFill="1" applyAlignment="1">
      <alignment horizontal="center"/>
    </xf>
    <xf numFmtId="3" fontId="27" fillId="54" borderId="0" xfId="0" applyFont="1" applyFill="1" applyAlignment="1">
      <alignment horizontal="center"/>
    </xf>
    <xf numFmtId="1" fontId="27" fillId="60" borderId="0" xfId="0" applyNumberFormat="1" applyFont="1" applyFill="1" applyAlignment="1" applyProtection="1">
      <alignment horizontal="center"/>
      <protection locked="0"/>
    </xf>
    <xf numFmtId="39" fontId="24" fillId="33" borderId="96" xfId="0" applyNumberFormat="1" applyFont="1" applyFill="1" applyBorder="1" applyAlignment="1" applyProtection="1">
      <alignment horizontal="center" vertical="top"/>
      <protection locked="0"/>
    </xf>
    <xf numFmtId="39" fontId="87" fillId="33" borderId="95" xfId="0" applyNumberFormat="1" applyFont="1" applyFill="1" applyBorder="1" applyAlignment="1" applyProtection="1">
      <alignment horizontal="right"/>
      <protection locked="0"/>
    </xf>
    <xf numFmtId="37" fontId="24" fillId="33" borderId="96" xfId="0" applyNumberFormat="1" applyFont="1" applyFill="1" applyBorder="1" applyAlignment="1" applyProtection="1">
      <alignment horizontal="center" vertical="top"/>
      <protection locked="0"/>
    </xf>
    <xf numFmtId="3" fontId="0" fillId="0" borderId="20" xfId="0" applyBorder="1"/>
    <xf numFmtId="3" fontId="0" fillId="0" borderId="21" xfId="0" applyBorder="1"/>
    <xf numFmtId="3" fontId="0" fillId="0" borderId="20" xfId="0" pivotButton="1" applyBorder="1"/>
    <xf numFmtId="3" fontId="0" fillId="0" borderId="22" xfId="0" applyBorder="1"/>
    <xf numFmtId="3" fontId="0" fillId="0" borderId="99" xfId="0" applyBorder="1"/>
    <xf numFmtId="3" fontId="0" fillId="0" borderId="23" xfId="0" applyBorder="1"/>
    <xf numFmtId="3" fontId="0" fillId="0" borderId="31" xfId="0" applyBorder="1"/>
    <xf numFmtId="3" fontId="0" fillId="0" borderId="100" xfId="0" applyBorder="1"/>
    <xf numFmtId="3" fontId="0" fillId="0" borderId="36" xfId="0" applyBorder="1"/>
    <xf numFmtId="3" fontId="0" fillId="0" borderId="104" xfId="0" applyBorder="1"/>
    <xf numFmtId="3" fontId="0" fillId="0" borderId="23" xfId="0" pivotButton="1" applyBorder="1"/>
    <xf numFmtId="3" fontId="0" fillId="0" borderId="20" xfId="0" applyBorder="1" applyAlignment="1">
      <alignment horizontal="left"/>
    </xf>
    <xf numFmtId="3" fontId="0" fillId="0" borderId="21" xfId="0" applyBorder="1" applyAlignment="1">
      <alignment horizontal="left"/>
    </xf>
    <xf numFmtId="3" fontId="0" fillId="0" borderId="23" xfId="0" applyBorder="1" applyAlignment="1">
      <alignment horizontal="left"/>
    </xf>
    <xf numFmtId="3" fontId="0" fillId="0" borderId="99" xfId="0" applyBorder="1" applyAlignment="1">
      <alignment horizontal="left"/>
    </xf>
    <xf numFmtId="3" fontId="0" fillId="0" borderId="103" xfId="0" applyBorder="1" applyAlignment="1">
      <alignment horizontal="left"/>
    </xf>
    <xf numFmtId="49" fontId="31" fillId="46" borderId="0" xfId="0" applyNumberFormat="1" applyFont="1" applyFill="1" applyAlignment="1" applyProtection="1">
      <alignment horizontal="left"/>
      <protection locked="0"/>
    </xf>
    <xf numFmtId="1" fontId="100" fillId="69" borderId="0" xfId="0" applyNumberFormat="1" applyFont="1" applyFill="1" applyAlignment="1" applyProtection="1">
      <alignment horizontal="center"/>
      <protection locked="0"/>
    </xf>
    <xf numFmtId="49" fontId="27" fillId="46" borderId="0" xfId="0" applyNumberFormat="1" applyFont="1" applyFill="1" applyAlignment="1" applyProtection="1">
      <alignment horizontal="left"/>
      <protection locked="0"/>
    </xf>
    <xf numFmtId="49" fontId="27" fillId="70" borderId="0" xfId="0" applyNumberFormat="1" applyFont="1" applyFill="1" applyAlignment="1" applyProtection="1">
      <alignment horizontal="left"/>
      <protection locked="0"/>
    </xf>
    <xf numFmtId="3" fontId="27" fillId="53" borderId="0" xfId="0" applyFont="1" applyFill="1" applyAlignment="1" applyProtection="1">
      <alignment horizontal="left"/>
      <protection locked="0"/>
    </xf>
    <xf numFmtId="3" fontId="24" fillId="33" borderId="98" xfId="0" applyFont="1" applyFill="1" applyBorder="1" applyAlignment="1" applyProtection="1">
      <alignment wrapText="1"/>
      <protection locked="0"/>
    </xf>
    <xf numFmtId="49" fontId="31" fillId="56" borderId="0" xfId="0" applyNumberFormat="1" applyFont="1" applyFill="1" applyAlignment="1" applyProtection="1">
      <alignment horizontal="left"/>
      <protection locked="0"/>
    </xf>
    <xf numFmtId="49" fontId="27" fillId="56" borderId="0" xfId="0" applyNumberFormat="1" applyFont="1" applyFill="1" applyAlignment="1" applyProtection="1">
      <alignment horizontal="left"/>
      <protection locked="0"/>
    </xf>
    <xf numFmtId="1" fontId="24" fillId="71" borderId="0" xfId="0" applyNumberFormat="1" applyFont="1" applyFill="1" applyAlignment="1" applyProtection="1">
      <alignment horizontal="center"/>
      <protection locked="0"/>
    </xf>
    <xf numFmtId="1" fontId="31" fillId="71" borderId="0" xfId="0" applyNumberFormat="1" applyFont="1" applyFill="1" applyAlignment="1" applyProtection="1">
      <alignment horizontal="center"/>
      <protection locked="0"/>
    </xf>
    <xf numFmtId="3" fontId="24" fillId="33" borderId="0" xfId="0" applyFont="1" applyFill="1" applyProtection="1">
      <protection locked="0"/>
    </xf>
    <xf numFmtId="49" fontId="31" fillId="72" borderId="0" xfId="0" applyNumberFormat="1" applyFont="1" applyFill="1" applyAlignment="1" applyProtection="1">
      <alignment horizontal="left"/>
      <protection locked="0"/>
    </xf>
    <xf numFmtId="1" fontId="31" fillId="58" borderId="0" xfId="0" applyNumberFormat="1" applyFont="1" applyFill="1" applyAlignment="1" applyProtection="1">
      <alignment horizontal="center"/>
      <protection locked="0"/>
    </xf>
    <xf numFmtId="49" fontId="24" fillId="55" borderId="43" xfId="0" applyNumberFormat="1" applyFont="1" applyFill="1" applyBorder="1" applyAlignment="1" applyProtection="1">
      <alignment horizontal="center"/>
      <protection locked="0"/>
    </xf>
    <xf numFmtId="49" fontId="24" fillId="55" borderId="0" xfId="0" applyNumberFormat="1" applyFont="1" applyFill="1" applyAlignment="1" applyProtection="1">
      <alignment horizontal="left"/>
      <protection locked="0"/>
    </xf>
    <xf numFmtId="49" fontId="27" fillId="55" borderId="0" xfId="0" applyNumberFormat="1" applyFont="1" applyFill="1" applyAlignment="1" applyProtection="1">
      <alignment horizontal="left"/>
      <protection locked="0"/>
    </xf>
    <xf numFmtId="1" fontId="24" fillId="55" borderId="0" xfId="0" applyNumberFormat="1" applyFont="1" applyFill="1" applyAlignment="1" applyProtection="1">
      <alignment horizontal="center"/>
      <protection locked="0"/>
    </xf>
    <xf numFmtId="39" fontId="24" fillId="48" borderId="96" xfId="0" applyNumberFormat="1" applyFont="1" applyFill="1" applyBorder="1" applyAlignment="1" applyProtection="1">
      <alignment horizontal="center"/>
      <protection locked="0"/>
    </xf>
    <xf numFmtId="49" fontId="27" fillId="73" borderId="0" xfId="0" applyNumberFormat="1" applyFont="1" applyFill="1" applyAlignment="1" applyProtection="1">
      <alignment horizontal="left"/>
      <protection locked="0"/>
    </xf>
    <xf numFmtId="3" fontId="94" fillId="47" borderId="0" xfId="0" applyFont="1" applyFill="1" applyProtection="1">
      <protection locked="0"/>
    </xf>
    <xf numFmtId="3" fontId="95" fillId="52" borderId="0" xfId="0" applyFont="1" applyFill="1" applyProtection="1">
      <protection locked="0"/>
    </xf>
    <xf numFmtId="49" fontId="27" fillId="71" borderId="0" xfId="0" applyNumberFormat="1" applyFont="1" applyFill="1" applyAlignment="1" applyProtection="1">
      <alignment horizontal="left"/>
      <protection locked="0"/>
    </xf>
    <xf numFmtId="49" fontId="24" fillId="69" borderId="43" xfId="0" applyNumberFormat="1" applyFont="1" applyFill="1" applyBorder="1" applyAlignment="1" applyProtection="1">
      <alignment horizontal="center"/>
      <protection locked="0"/>
    </xf>
    <xf numFmtId="49" fontId="24" fillId="69" borderId="0" xfId="0" applyNumberFormat="1" applyFont="1" applyFill="1" applyAlignment="1" applyProtection="1">
      <alignment horizontal="left"/>
      <protection locked="0"/>
    </xf>
    <xf numFmtId="49" fontId="27" fillId="69" borderId="0" xfId="0" applyNumberFormat="1" applyFont="1" applyFill="1" applyAlignment="1" applyProtection="1">
      <alignment horizontal="left"/>
      <protection locked="0"/>
    </xf>
    <xf numFmtId="1" fontId="24" fillId="69" borderId="0" xfId="0" applyNumberFormat="1" applyFont="1" applyFill="1" applyAlignment="1" applyProtection="1">
      <alignment horizontal="center"/>
      <protection locked="0"/>
    </xf>
    <xf numFmtId="39" fontId="24" fillId="48" borderId="96" xfId="0" applyNumberFormat="1" applyFont="1" applyFill="1" applyBorder="1" applyProtection="1">
      <protection locked="0"/>
    </xf>
    <xf numFmtId="3" fontId="96" fillId="33" borderId="0" xfId="0" applyFont="1" applyFill="1" applyProtection="1">
      <protection locked="0"/>
    </xf>
    <xf numFmtId="3" fontId="97" fillId="47" borderId="0" xfId="0" applyFont="1" applyFill="1" applyProtection="1">
      <protection locked="0"/>
    </xf>
    <xf numFmtId="3" fontId="98" fillId="52" borderId="0" xfId="0" applyFont="1" applyFill="1" applyProtection="1">
      <protection locked="0"/>
    </xf>
    <xf numFmtId="3" fontId="93" fillId="58" borderId="0" xfId="0" applyFont="1" applyFill="1" applyAlignment="1" applyProtection="1">
      <alignment horizontal="left"/>
      <protection locked="0"/>
    </xf>
    <xf numFmtId="3" fontId="92" fillId="53" borderId="0" xfId="0" applyFont="1" applyFill="1" applyAlignment="1" applyProtection="1">
      <alignment horizontal="left"/>
      <protection locked="0"/>
    </xf>
    <xf numFmtId="1" fontId="31" fillId="53" borderId="0" xfId="0" applyNumberFormat="1" applyFont="1" applyFill="1" applyAlignment="1" applyProtection="1">
      <alignment horizontal="center"/>
      <protection locked="0"/>
    </xf>
    <xf numFmtId="37" fontId="88" fillId="47" borderId="96" xfId="0" applyNumberFormat="1" applyFont="1" applyFill="1" applyBorder="1" applyAlignment="1" applyProtection="1">
      <alignment horizontal="center" vertical="top"/>
      <protection locked="0"/>
    </xf>
    <xf numFmtId="3" fontId="93" fillId="54" borderId="0" xfId="0" applyFont="1" applyFill="1" applyAlignment="1" applyProtection="1">
      <alignment horizontal="left"/>
      <protection locked="0"/>
    </xf>
    <xf numFmtId="3" fontId="99" fillId="54" borderId="0" xfId="0" applyFont="1" applyFill="1" applyAlignment="1" applyProtection="1">
      <alignment horizontal="left"/>
      <protection locked="0"/>
    </xf>
    <xf numFmtId="37" fontId="91" fillId="52" borderId="96" xfId="0" applyNumberFormat="1" applyFont="1" applyFill="1" applyBorder="1" applyAlignment="1" applyProtection="1">
      <alignment horizontal="center" vertical="top"/>
      <protection locked="0"/>
    </xf>
    <xf numFmtId="3" fontId="101" fillId="54" borderId="0" xfId="0" applyFont="1" applyFill="1" applyAlignment="1" applyProtection="1">
      <alignment horizontal="left"/>
      <protection locked="0"/>
    </xf>
    <xf numFmtId="1" fontId="63" fillId="74" borderId="0" xfId="0" applyNumberFormat="1" applyFont="1" applyFill="1" applyAlignment="1" applyProtection="1">
      <alignment horizontal="center"/>
      <protection locked="0"/>
    </xf>
    <xf numFmtId="49" fontId="27" fillId="74" borderId="0" xfId="0" applyNumberFormat="1" applyFont="1" applyFill="1" applyAlignment="1" applyProtection="1">
      <alignment horizontal="left"/>
      <protection locked="0"/>
    </xf>
    <xf numFmtId="1" fontId="63" fillId="54" borderId="0" xfId="0" applyNumberFormat="1" applyFont="1" applyFill="1" applyAlignment="1" applyProtection="1">
      <alignment horizontal="center"/>
      <protection locked="0"/>
    </xf>
    <xf numFmtId="49" fontId="24" fillId="55" borderId="0" xfId="0" applyNumberFormat="1" applyFont="1" applyFill="1" applyAlignment="1" applyProtection="1">
      <alignment horizontal="center"/>
      <protection locked="0"/>
    </xf>
    <xf numFmtId="3" fontId="93" fillId="55" borderId="0" xfId="0" applyFont="1" applyFill="1" applyAlignment="1" applyProtection="1">
      <alignment horizontal="left"/>
      <protection locked="0"/>
    </xf>
    <xf numFmtId="49" fontId="31" fillId="55" borderId="0" xfId="0" applyNumberFormat="1" applyFont="1" applyFill="1" applyAlignment="1" applyProtection="1">
      <alignment horizontal="left"/>
      <protection locked="0"/>
    </xf>
    <xf numFmtId="3" fontId="92" fillId="55" borderId="0" xfId="0" applyFont="1" applyFill="1" applyAlignment="1" applyProtection="1">
      <alignment horizontal="left"/>
      <protection locked="0"/>
    </xf>
    <xf numFmtId="1" fontId="31" fillId="55" borderId="0" xfId="0" applyNumberFormat="1" applyFont="1" applyFill="1" applyAlignment="1" applyProtection="1">
      <alignment horizontal="center"/>
      <protection locked="0"/>
    </xf>
    <xf numFmtId="3" fontId="24" fillId="55" borderId="0" xfId="0" applyFont="1" applyFill="1" applyProtection="1">
      <protection locked="0"/>
    </xf>
    <xf numFmtId="49" fontId="24" fillId="50" borderId="0" xfId="0" applyNumberFormat="1" applyFont="1" applyFill="1" applyProtection="1">
      <protection locked="0"/>
    </xf>
    <xf numFmtId="49" fontId="24" fillId="75" borderId="0" xfId="0" applyNumberFormat="1" applyFont="1" applyFill="1" applyProtection="1">
      <protection locked="0"/>
    </xf>
    <xf numFmtId="49" fontId="24" fillId="76" borderId="0" xfId="0" applyNumberFormat="1" applyFont="1" applyFill="1" applyProtection="1">
      <protection locked="0"/>
    </xf>
    <xf numFmtId="49" fontId="24" fillId="76" borderId="0" xfId="0" applyNumberFormat="1" applyFont="1" applyFill="1" applyAlignment="1" applyProtection="1">
      <alignment horizontal="right"/>
      <protection locked="0"/>
    </xf>
    <xf numFmtId="49" fontId="24" fillId="77" borderId="0" xfId="0" applyNumberFormat="1" applyFont="1" applyFill="1" applyProtection="1">
      <protection locked="0"/>
    </xf>
    <xf numFmtId="49" fontId="24" fillId="77" borderId="0" xfId="0" applyNumberFormat="1" applyFont="1" applyFill="1" applyAlignment="1" applyProtection="1">
      <alignment horizontal="right"/>
      <protection locked="0"/>
    </xf>
    <xf numFmtId="49" fontId="24" fillId="78" borderId="0" xfId="0" applyNumberFormat="1" applyFont="1" applyFill="1" applyProtection="1">
      <protection locked="0"/>
    </xf>
    <xf numFmtId="49" fontId="24" fillId="78" borderId="0" xfId="0" applyNumberFormat="1" applyFont="1" applyFill="1" applyAlignment="1" applyProtection="1">
      <alignment horizontal="right"/>
      <protection locked="0"/>
    </xf>
    <xf numFmtId="49" fontId="24" fillId="73" borderId="0" xfId="0" applyNumberFormat="1" applyFont="1" applyFill="1" applyAlignment="1" applyProtection="1">
      <alignment horizontal="left"/>
      <protection locked="0"/>
    </xf>
    <xf numFmtId="37" fontId="24" fillId="79" borderId="96" xfId="0" applyNumberFormat="1" applyFont="1" applyFill="1" applyBorder="1" applyAlignment="1" applyProtection="1">
      <alignment horizontal="center"/>
      <protection locked="0"/>
    </xf>
    <xf numFmtId="3" fontId="23" fillId="79" borderId="92" xfId="0" applyFont="1" applyFill="1" applyBorder="1" applyAlignment="1" applyProtection="1">
      <alignment horizontal="right" wrapText="1" readingOrder="1"/>
      <protection locked="0"/>
    </xf>
    <xf numFmtId="3" fontId="23" fillId="33" borderId="92" xfId="0" applyFont="1" applyFill="1" applyBorder="1" applyAlignment="1" applyProtection="1">
      <alignment horizontal="right" wrapText="1" readingOrder="1"/>
      <protection locked="0"/>
    </xf>
    <xf numFmtId="38" fontId="32" fillId="6" borderId="96" xfId="0" applyNumberFormat="1" applyFont="1" applyFill="1" applyBorder="1" applyAlignment="1">
      <alignment horizontal="right"/>
    </xf>
    <xf numFmtId="38" fontId="32" fillId="3" borderId="96" xfId="0" applyNumberFormat="1" applyFont="1" applyFill="1" applyBorder="1" applyAlignment="1">
      <alignment horizontal="right"/>
    </xf>
    <xf numFmtId="3" fontId="23" fillId="33" borderId="93" xfId="0" applyFont="1" applyFill="1" applyBorder="1" applyAlignment="1" applyProtection="1">
      <alignment horizontal="right" wrapText="1" readingOrder="1"/>
      <protection locked="0"/>
    </xf>
    <xf numFmtId="37" fontId="24" fillId="33" borderId="96" xfId="0" applyNumberFormat="1" applyFont="1" applyFill="1" applyBorder="1" applyProtection="1">
      <protection locked="0"/>
    </xf>
    <xf numFmtId="3" fontId="23" fillId="33" borderId="94" xfId="0" applyFont="1" applyFill="1" applyBorder="1" applyAlignment="1" applyProtection="1">
      <alignment horizontal="right" wrapText="1" readingOrder="1"/>
      <protection locked="0"/>
    </xf>
    <xf numFmtId="3" fontId="23" fillId="79" borderId="94" xfId="0" applyFont="1" applyFill="1" applyBorder="1" applyAlignment="1" applyProtection="1">
      <alignment horizontal="right" wrapText="1" readingOrder="1"/>
      <protection locked="0"/>
    </xf>
    <xf numFmtId="37" fontId="24" fillId="79" borderId="96" xfId="0" applyNumberFormat="1" applyFont="1" applyFill="1" applyBorder="1" applyAlignment="1" applyProtection="1">
      <alignment horizontal="center" vertical="top"/>
      <protection locked="0"/>
    </xf>
    <xf numFmtId="3" fontId="24" fillId="33" borderId="84" xfId="0" applyFont="1" applyFill="1" applyBorder="1" applyProtection="1">
      <protection locked="0"/>
    </xf>
    <xf numFmtId="37" fontId="24" fillId="79" borderId="96" xfId="0" applyNumberFormat="1" applyFont="1" applyFill="1" applyBorder="1" applyProtection="1">
      <protection locked="0"/>
    </xf>
    <xf numFmtId="3" fontId="0" fillId="33" borderId="0" xfId="0" applyFill="1" applyProtection="1">
      <protection locked="0"/>
    </xf>
    <xf numFmtId="37" fontId="24" fillId="79" borderId="83" xfId="0" applyNumberFormat="1" applyFont="1" applyFill="1" applyBorder="1" applyAlignment="1" applyProtection="1">
      <alignment horizontal="center"/>
      <protection locked="0"/>
    </xf>
    <xf numFmtId="37" fontId="67" fillId="0" borderId="0" xfId="0" applyNumberFormat="1" applyFont="1" applyAlignment="1">
      <alignment horizontal="center"/>
    </xf>
    <xf numFmtId="37" fontId="0" fillId="0" borderId="0" xfId="0" applyNumberFormat="1" applyAlignment="1">
      <alignment horizontal="left" vertical="top" wrapText="1"/>
    </xf>
    <xf numFmtId="3" fontId="23" fillId="0" borderId="0" xfId="0" applyFont="1" applyAlignment="1">
      <alignment wrapText="1"/>
    </xf>
    <xf numFmtId="3" fontId="0" fillId="0" borderId="0" xfId="0" applyAlignment="1">
      <alignment wrapText="1"/>
    </xf>
    <xf numFmtId="37" fontId="0" fillId="0" borderId="47" xfId="0" applyNumberFormat="1" applyBorder="1" applyAlignment="1">
      <alignment horizontal="left" vertical="top" wrapText="1"/>
    </xf>
    <xf numFmtId="37" fontId="26" fillId="0" borderId="0" xfId="0" applyNumberFormat="1" applyFont="1" applyAlignment="1">
      <alignment horizontal="center"/>
    </xf>
    <xf numFmtId="37" fontId="23" fillId="0" borderId="47" xfId="0" applyNumberFormat="1" applyFont="1" applyBorder="1" applyAlignment="1">
      <alignment horizontal="left" vertical="top" wrapText="1"/>
    </xf>
    <xf numFmtId="3" fontId="0" fillId="0" borderId="47" xfId="0" applyBorder="1" applyAlignment="1">
      <alignment horizontal="left" vertical="top" wrapText="1"/>
    </xf>
    <xf numFmtId="3" fontId="23" fillId="0" borderId="0" xfId="0" applyFont="1"/>
    <xf numFmtId="37" fontId="70" fillId="0" borderId="51" xfId="0" applyNumberFormat="1" applyFont="1" applyBorder="1" applyAlignment="1">
      <alignment horizontal="center"/>
    </xf>
    <xf numFmtId="3" fontId="71" fillId="0" borderId="51" xfId="0" applyFont="1" applyBorder="1" applyAlignment="1">
      <alignment horizontal="center"/>
    </xf>
    <xf numFmtId="165" fontId="35" fillId="0" borderId="81" xfId="0" applyNumberFormat="1" applyFont="1" applyBorder="1" applyAlignment="1">
      <alignment horizontal="center"/>
    </xf>
    <xf numFmtId="165" fontId="35" fillId="0" borderId="80" xfId="0" applyNumberFormat="1" applyFont="1" applyBorder="1" applyAlignment="1">
      <alignment horizontal="center"/>
    </xf>
    <xf numFmtId="3" fontId="0" fillId="0" borderId="20" xfId="0" applyNumberFormat="1" applyBorder="1"/>
    <xf numFmtId="3" fontId="0" fillId="0" borderId="100" xfId="0" applyNumberFormat="1" applyBorder="1"/>
    <xf numFmtId="3" fontId="0" fillId="0" borderId="31" xfId="0" applyNumberFormat="1" applyBorder="1"/>
    <xf numFmtId="3" fontId="0" fillId="0" borderId="99" xfId="0" applyNumberFormat="1" applyBorder="1"/>
    <xf numFmtId="3" fontId="0" fillId="0" borderId="106" xfId="0" applyNumberFormat="1" applyBorder="1"/>
    <xf numFmtId="3" fontId="0" fillId="0" borderId="36" xfId="0" applyNumberFormat="1" applyBorder="1"/>
    <xf numFmtId="3" fontId="0" fillId="0" borderId="103" xfId="0" applyNumberFormat="1" applyBorder="1"/>
    <xf numFmtId="3" fontId="0" fillId="0" borderId="105" xfId="0" applyNumberFormat="1" applyBorder="1"/>
    <xf numFmtId="3" fontId="0" fillId="0" borderId="98" xfId="0" applyNumberFormat="1" applyBorder="1"/>
    <xf numFmtId="3" fontId="0" fillId="37" borderId="20" xfId="0" applyNumberFormat="1" applyFill="1" applyBorder="1"/>
    <xf numFmtId="3" fontId="0" fillId="37" borderId="99" xfId="0" applyNumberFormat="1" applyFill="1" applyBorder="1"/>
    <xf numFmtId="3" fontId="0" fillId="37" borderId="106" xfId="0" applyNumberFormat="1" applyFill="1" applyBorder="1"/>
    <xf numFmtId="3" fontId="0" fillId="0" borderId="106" xfId="0" applyNumberFormat="1" applyFill="1" applyBorder="1"/>
    <xf numFmtId="3" fontId="24" fillId="0" borderId="20" xfId="0" applyNumberFormat="1" applyFont="1" applyBorder="1"/>
    <xf numFmtId="3" fontId="24" fillId="0" borderId="100" xfId="0" applyNumberFormat="1" applyFont="1" applyBorder="1"/>
    <xf numFmtId="3" fontId="24" fillId="0" borderId="31" xfId="0" applyNumberFormat="1" applyFont="1" applyBorder="1"/>
    <xf numFmtId="3" fontId="24" fillId="0" borderId="41" xfId="0" applyNumberFormat="1" applyFont="1" applyBorder="1"/>
    <xf numFmtId="3" fontId="24" fillId="0" borderId="0" xfId="0" applyNumberFormat="1" applyFont="1"/>
    <xf numFmtId="3" fontId="24" fillId="0" borderId="42" xfId="0" applyNumberFormat="1" applyFont="1" applyBorder="1"/>
    <xf numFmtId="3" fontId="24" fillId="0" borderId="102" xfId="0" applyNumberFormat="1" applyFont="1" applyBorder="1"/>
    <xf numFmtId="3" fontId="24" fillId="0" borderId="45" xfId="0" applyNumberFormat="1" applyFont="1" applyBorder="1"/>
    <xf numFmtId="3" fontId="24" fillId="0" borderId="20" xfId="0" applyNumberFormat="1" applyFont="1" applyFill="1" applyBorder="1"/>
    <xf numFmtId="3" fontId="24" fillId="0" borderId="41" xfId="0" applyNumberFormat="1" applyFont="1" applyFill="1" applyBorder="1"/>
    <xf numFmtId="168" fontId="27" fillId="0" borderId="20" xfId="0" applyNumberFormat="1" applyFont="1" applyFill="1" applyBorder="1"/>
    <xf numFmtId="10" fontId="24" fillId="0" borderId="45" xfId="0" applyNumberFormat="1" applyFont="1" applyFill="1" applyBorder="1"/>
    <xf numFmtId="3" fontId="24" fillId="0" borderId="46" xfId="0" applyNumberFormat="1" applyFont="1" applyBorder="1"/>
    <xf numFmtId="168" fontId="24" fillId="0" borderId="41" xfId="0" applyNumberFormat="1" applyFont="1" applyFill="1" applyBorder="1"/>
    <xf numFmtId="3" fontId="24" fillId="0" borderId="100" xfId="0" applyNumberFormat="1" applyFont="1" applyFill="1" applyBorder="1"/>
    <xf numFmtId="3" fontId="24" fillId="0" borderId="0" xfId="0" applyNumberFormat="1" applyFont="1" applyFill="1"/>
    <xf numFmtId="168" fontId="27" fillId="0" borderId="100" xfId="0" applyNumberFormat="1" applyFont="1" applyFill="1" applyBorder="1"/>
    <xf numFmtId="3" fontId="24" fillId="0" borderId="102" xfId="0" applyNumberFormat="1" applyFont="1" applyFill="1" applyBorder="1"/>
    <xf numFmtId="3" fontId="24" fillId="37" borderId="0" xfId="0" applyNumberFormat="1" applyFont="1" applyFill="1"/>
    <xf numFmtId="3" fontId="24" fillId="37" borderId="41" xfId="0" applyNumberFormat="1" applyFont="1" applyFill="1" applyBorder="1"/>
    <xf numFmtId="3" fontId="27" fillId="0" borderId="45" xfId="0" applyFont="1" applyFill="1" applyBorder="1"/>
    <xf numFmtId="3" fontId="24" fillId="42" borderId="20" xfId="0" applyNumberFormat="1" applyFont="1" applyFill="1" applyBorder="1"/>
    <xf numFmtId="3" fontId="24" fillId="42" borderId="41" xfId="0" applyNumberFormat="1" applyFont="1" applyFill="1" applyBorder="1"/>
    <xf numFmtId="3" fontId="24" fillId="0" borderId="20" xfId="0" applyFont="1" applyFill="1" applyBorder="1"/>
    <xf numFmtId="3" fontId="24" fillId="0" borderId="21" xfId="0" applyFont="1" applyFill="1" applyBorder="1"/>
    <xf numFmtId="3" fontId="24" fillId="0" borderId="22" xfId="0" applyFont="1" applyFill="1" applyBorder="1"/>
    <xf numFmtId="3" fontId="24" fillId="0" borderId="99" xfId="0" applyFont="1" applyFill="1" applyBorder="1"/>
    <xf numFmtId="3" fontId="24" fillId="0" borderId="100" xfId="0" applyFont="1" applyFill="1" applyBorder="1"/>
    <xf numFmtId="3" fontId="24" fillId="0" borderId="45" xfId="0" applyNumberFormat="1" applyFont="1" applyFill="1" applyBorder="1"/>
    <xf numFmtId="3" fontId="24" fillId="0" borderId="23" xfId="0" applyFont="1" applyFill="1" applyBorder="1"/>
    <xf numFmtId="3" fontId="27" fillId="0" borderId="20" xfId="0" applyFont="1" applyFill="1" applyBorder="1"/>
    <xf numFmtId="3" fontId="27" fillId="0" borderId="99" xfId="0" applyFont="1" applyFill="1" applyBorder="1"/>
    <xf numFmtId="3" fontId="27" fillId="0" borderId="101" xfId="0" applyFont="1" applyFill="1" applyBorder="1"/>
    <xf numFmtId="3" fontId="24" fillId="0" borderId="41" xfId="0" applyFont="1" applyFill="1" applyBorder="1"/>
    <xf numFmtId="168" fontId="27" fillId="0" borderId="41" xfId="0" applyNumberFormat="1" applyFont="1" applyFill="1" applyBorder="1"/>
  </cellXfs>
  <cellStyles count="51606">
    <cellStyle name="20% - Accent1 2" xfId="984" xr:uid="{00000000-0005-0000-0000-000000000000}"/>
    <cellStyle name="20% - Accent2 2" xfId="985" xr:uid="{00000000-0005-0000-0000-000001000000}"/>
    <cellStyle name="20% - Accent3 2" xfId="986" xr:uid="{00000000-0005-0000-0000-000002000000}"/>
    <cellStyle name="20% - Accent4 2" xfId="987" xr:uid="{00000000-0005-0000-0000-000003000000}"/>
    <cellStyle name="20% - Accent5 2" xfId="988" xr:uid="{00000000-0005-0000-0000-000004000000}"/>
    <cellStyle name="20% - Accent6 2" xfId="989" xr:uid="{00000000-0005-0000-0000-000005000000}"/>
    <cellStyle name="40% - Accent1 2" xfId="990" xr:uid="{00000000-0005-0000-0000-000006000000}"/>
    <cellStyle name="40% - Accent2 2" xfId="991" xr:uid="{00000000-0005-0000-0000-000007000000}"/>
    <cellStyle name="40% - Accent3 2" xfId="992" xr:uid="{00000000-0005-0000-0000-000008000000}"/>
    <cellStyle name="40% - Accent4 2" xfId="993" xr:uid="{00000000-0005-0000-0000-000009000000}"/>
    <cellStyle name="40% - Accent5 2" xfId="994" xr:uid="{00000000-0005-0000-0000-00000A000000}"/>
    <cellStyle name="40% - Accent6 2" xfId="995" xr:uid="{00000000-0005-0000-0000-00000B000000}"/>
    <cellStyle name="60% - Accent1 2" xfId="996" xr:uid="{00000000-0005-0000-0000-00000C000000}"/>
    <cellStyle name="60% - Accent2 2" xfId="997" xr:uid="{00000000-0005-0000-0000-00000D000000}"/>
    <cellStyle name="60% - Accent3 2" xfId="998" xr:uid="{00000000-0005-0000-0000-00000E000000}"/>
    <cellStyle name="60% - Accent4 2" xfId="999" xr:uid="{00000000-0005-0000-0000-00000F000000}"/>
    <cellStyle name="60% - Accent5 2" xfId="1000" xr:uid="{00000000-0005-0000-0000-000010000000}"/>
    <cellStyle name="60% - Accent6 2" xfId="1001" xr:uid="{00000000-0005-0000-0000-000011000000}"/>
    <cellStyle name="Accent1 2" xfId="1002" xr:uid="{00000000-0005-0000-0000-000012000000}"/>
    <cellStyle name="Accent2 2" xfId="1003" xr:uid="{00000000-0005-0000-0000-000013000000}"/>
    <cellStyle name="Accent3 2" xfId="1004" xr:uid="{00000000-0005-0000-0000-000014000000}"/>
    <cellStyle name="Accent4 2" xfId="1005" xr:uid="{00000000-0005-0000-0000-000015000000}"/>
    <cellStyle name="Accent5 2" xfId="1006" xr:uid="{00000000-0005-0000-0000-000016000000}"/>
    <cellStyle name="Accent6 2" xfId="1007" xr:uid="{00000000-0005-0000-0000-000017000000}"/>
    <cellStyle name="Bad 2" xfId="1008" xr:uid="{00000000-0005-0000-0000-000018000000}"/>
    <cellStyle name="CalcNumNew" xfId="51604" xr:uid="{BE529ECA-1812-44E6-B1D4-6C8C74172D27}"/>
    <cellStyle name="CalcNumOld" xfId="51603" xr:uid="{28633B53-81FC-4A89-83F7-496FA560CC99}"/>
    <cellStyle name="Calculation 2" xfId="1009" xr:uid="{00000000-0005-0000-0000-000019000000}"/>
    <cellStyle name="Calculation 3" xfId="1033" xr:uid="{00000000-0005-0000-0000-00001A000000}"/>
    <cellStyle name="Check Cell 2" xfId="1010" xr:uid="{00000000-0005-0000-0000-00001B000000}"/>
    <cellStyle name="Comma 2" xfId="18" xr:uid="{00000000-0005-0000-0000-00001C000000}"/>
    <cellStyle name="Comma 2 2" xfId="102" xr:uid="{00000000-0005-0000-0000-00001D000000}"/>
    <cellStyle name="Comma 2 3" xfId="60" xr:uid="{00000000-0005-0000-0000-00001E000000}"/>
    <cellStyle name="Comma 2 4" xfId="1011" xr:uid="{00000000-0005-0000-0000-00001F000000}"/>
    <cellStyle name="Comma 3" xfId="39" xr:uid="{00000000-0005-0000-0000-000020000000}"/>
    <cellStyle name="Comma 3 2" xfId="19" xr:uid="{00000000-0005-0000-0000-000021000000}"/>
    <cellStyle name="Comma 4" xfId="29" xr:uid="{00000000-0005-0000-0000-000022000000}"/>
    <cellStyle name="Comma 5" xfId="40" xr:uid="{00000000-0005-0000-0000-000023000000}"/>
    <cellStyle name="Comma 5 10" xfId="303" xr:uid="{00000000-0005-0000-0000-000024000000}"/>
    <cellStyle name="Comma 5 10 10" xfId="26232" xr:uid="{00000000-0005-0000-0000-000025000000}"/>
    <cellStyle name="Comma 5 10 11" xfId="26023" xr:uid="{00000000-0005-0000-0000-000026000000}"/>
    <cellStyle name="Comma 5 10 11 2" xfId="51576" xr:uid="{00000000-0005-0000-0000-000027000000}"/>
    <cellStyle name="Comma 5 10 2" xfId="618" xr:uid="{00000000-0005-0000-0000-000028000000}"/>
    <cellStyle name="Comma 5 10 2 2" xfId="3104" xr:uid="{00000000-0005-0000-0000-000029000000}"/>
    <cellStyle name="Comma 5 10 2 2 2" xfId="12247" xr:uid="{00000000-0005-0000-0000-00002A000000}"/>
    <cellStyle name="Comma 5 10 2 2 2 2" xfId="22465" xr:uid="{00000000-0005-0000-0000-00002B000000}"/>
    <cellStyle name="Comma 5 10 2 2 2 2 2" xfId="48018" xr:uid="{00000000-0005-0000-0000-00002C000000}"/>
    <cellStyle name="Comma 5 10 2 2 2 3" xfId="37802" xr:uid="{00000000-0005-0000-0000-00002D000000}"/>
    <cellStyle name="Comma 5 10 2 2 3" xfId="8669" xr:uid="{00000000-0005-0000-0000-00002E000000}"/>
    <cellStyle name="Comma 5 10 2 2 3 2" xfId="34226" xr:uid="{00000000-0005-0000-0000-00002F000000}"/>
    <cellStyle name="Comma 5 10 2 2 4" xfId="17458" xr:uid="{00000000-0005-0000-0000-000030000000}"/>
    <cellStyle name="Comma 5 10 2 2 4 2" xfId="43011" xr:uid="{00000000-0005-0000-0000-000031000000}"/>
    <cellStyle name="Comma 5 10 2 2 5" xfId="28948" xr:uid="{00000000-0005-0000-0000-000032000000}"/>
    <cellStyle name="Comma 5 10 2 3" xfId="4433" xr:uid="{00000000-0005-0000-0000-000033000000}"/>
    <cellStyle name="Comma 5 10 2 3 2" xfId="13271" xr:uid="{00000000-0005-0000-0000-000034000000}"/>
    <cellStyle name="Comma 5 10 2 3 2 2" xfId="23522" xr:uid="{00000000-0005-0000-0000-000035000000}"/>
    <cellStyle name="Comma 5 10 2 3 2 2 2" xfId="49075" xr:uid="{00000000-0005-0000-0000-000036000000}"/>
    <cellStyle name="Comma 5 10 2 3 2 3" xfId="38826" xr:uid="{00000000-0005-0000-0000-000037000000}"/>
    <cellStyle name="Comma 5 10 2 3 3" xfId="9692" xr:uid="{00000000-0005-0000-0000-000038000000}"/>
    <cellStyle name="Comma 5 10 2 3 3 2" xfId="35249" xr:uid="{00000000-0005-0000-0000-000039000000}"/>
    <cellStyle name="Comma 5 10 2 3 4" xfId="18515" xr:uid="{00000000-0005-0000-0000-00003A000000}"/>
    <cellStyle name="Comma 5 10 2 3 4 2" xfId="44068" xr:uid="{00000000-0005-0000-0000-00003B000000}"/>
    <cellStyle name="Comma 5 10 2 3 5" xfId="30005" xr:uid="{00000000-0005-0000-0000-00003C000000}"/>
    <cellStyle name="Comma 5 10 2 4" xfId="2213" xr:uid="{00000000-0005-0000-0000-00003D000000}"/>
    <cellStyle name="Comma 5 10 2 4 2" xfId="11578" xr:uid="{00000000-0005-0000-0000-00003E000000}"/>
    <cellStyle name="Comma 5 10 2 4 2 2" xfId="37133" xr:uid="{00000000-0005-0000-0000-00003F000000}"/>
    <cellStyle name="Comma 5 10 2 4 3" xfId="21582" xr:uid="{00000000-0005-0000-0000-000040000000}"/>
    <cellStyle name="Comma 5 10 2 4 3 2" xfId="47135" xr:uid="{00000000-0005-0000-0000-000041000000}"/>
    <cellStyle name="Comma 5 10 2 4 4" xfId="28065" xr:uid="{00000000-0005-0000-0000-000042000000}"/>
    <cellStyle name="Comma 5 10 2 5" xfId="5889" xr:uid="{00000000-0005-0000-0000-000043000000}"/>
    <cellStyle name="Comma 5 10 2 5 2" xfId="14716" xr:uid="{00000000-0005-0000-0000-000044000000}"/>
    <cellStyle name="Comma 5 10 2 5 2 2" xfId="40271" xr:uid="{00000000-0005-0000-0000-000045000000}"/>
    <cellStyle name="Comma 5 10 2 5 3" xfId="24967" xr:uid="{00000000-0005-0000-0000-000046000000}"/>
    <cellStyle name="Comma 5 10 2 5 3 2" xfId="50520" xr:uid="{00000000-0005-0000-0000-000047000000}"/>
    <cellStyle name="Comma 5 10 2 5 4" xfId="31450" xr:uid="{00000000-0005-0000-0000-000048000000}"/>
    <cellStyle name="Comma 5 10 2 6" xfId="7333" xr:uid="{00000000-0005-0000-0000-000049000000}"/>
    <cellStyle name="Comma 5 10 2 6 2" xfId="20064" xr:uid="{00000000-0005-0000-0000-00004A000000}"/>
    <cellStyle name="Comma 5 10 2 6 2 2" xfId="45617" xr:uid="{00000000-0005-0000-0000-00004B000000}"/>
    <cellStyle name="Comma 5 10 2 6 3" xfId="32890" xr:uid="{00000000-0005-0000-0000-00004C000000}"/>
    <cellStyle name="Comma 5 10 2 7" xfId="16575" xr:uid="{00000000-0005-0000-0000-00004D000000}"/>
    <cellStyle name="Comma 5 10 2 7 2" xfId="42128" xr:uid="{00000000-0005-0000-0000-00004E000000}"/>
    <cellStyle name="Comma 5 10 2 8" xfId="26547" xr:uid="{00000000-0005-0000-0000-00004F000000}"/>
    <cellStyle name="Comma 5 10 3" xfId="1075" xr:uid="{00000000-0005-0000-0000-000050000000}"/>
    <cellStyle name="Comma 5 10 3 2" xfId="3504" xr:uid="{00000000-0005-0000-0000-000051000000}"/>
    <cellStyle name="Comma 5 10 3 2 2" xfId="12640" xr:uid="{00000000-0005-0000-0000-000052000000}"/>
    <cellStyle name="Comma 5 10 3 2 2 2" xfId="22859" xr:uid="{00000000-0005-0000-0000-000053000000}"/>
    <cellStyle name="Comma 5 10 3 2 2 2 2" xfId="48412" xr:uid="{00000000-0005-0000-0000-000054000000}"/>
    <cellStyle name="Comma 5 10 3 2 2 3" xfId="38195" xr:uid="{00000000-0005-0000-0000-000055000000}"/>
    <cellStyle name="Comma 5 10 3 2 3" xfId="9062" xr:uid="{00000000-0005-0000-0000-000056000000}"/>
    <cellStyle name="Comma 5 10 3 2 3 2" xfId="34619" xr:uid="{00000000-0005-0000-0000-000057000000}"/>
    <cellStyle name="Comma 5 10 3 2 4" xfId="17852" xr:uid="{00000000-0005-0000-0000-000058000000}"/>
    <cellStyle name="Comma 5 10 3 2 4 2" xfId="43405" xr:uid="{00000000-0005-0000-0000-000059000000}"/>
    <cellStyle name="Comma 5 10 3 2 5" xfId="29342" xr:uid="{00000000-0005-0000-0000-00005A000000}"/>
    <cellStyle name="Comma 5 10 3 3" xfId="4782" xr:uid="{00000000-0005-0000-0000-00005B000000}"/>
    <cellStyle name="Comma 5 10 3 3 2" xfId="13619" xr:uid="{00000000-0005-0000-0000-00005C000000}"/>
    <cellStyle name="Comma 5 10 3 3 2 2" xfId="23870" xr:uid="{00000000-0005-0000-0000-00005D000000}"/>
    <cellStyle name="Comma 5 10 3 3 2 2 2" xfId="49423" xr:uid="{00000000-0005-0000-0000-00005E000000}"/>
    <cellStyle name="Comma 5 10 3 3 2 3" xfId="39174" xr:uid="{00000000-0005-0000-0000-00005F000000}"/>
    <cellStyle name="Comma 5 10 3 3 3" xfId="10040" xr:uid="{00000000-0005-0000-0000-000060000000}"/>
    <cellStyle name="Comma 5 10 3 3 3 2" xfId="35597" xr:uid="{00000000-0005-0000-0000-000061000000}"/>
    <cellStyle name="Comma 5 10 3 3 4" xfId="18863" xr:uid="{00000000-0005-0000-0000-000062000000}"/>
    <cellStyle name="Comma 5 10 3 3 4 2" xfId="44416" xr:uid="{00000000-0005-0000-0000-000063000000}"/>
    <cellStyle name="Comma 5 10 3 3 5" xfId="30353" xr:uid="{00000000-0005-0000-0000-000064000000}"/>
    <cellStyle name="Comma 5 10 3 4" xfId="2581" xr:uid="{00000000-0005-0000-0000-000065000000}"/>
    <cellStyle name="Comma 5 10 3 4 2" xfId="11945" xr:uid="{00000000-0005-0000-0000-000066000000}"/>
    <cellStyle name="Comma 5 10 3 4 2 2" xfId="37500" xr:uid="{00000000-0005-0000-0000-000067000000}"/>
    <cellStyle name="Comma 5 10 3 4 3" xfId="21949" xr:uid="{00000000-0005-0000-0000-000068000000}"/>
    <cellStyle name="Comma 5 10 3 4 3 2" xfId="47502" xr:uid="{00000000-0005-0000-0000-000069000000}"/>
    <cellStyle name="Comma 5 10 3 4 4" xfId="28432" xr:uid="{00000000-0005-0000-0000-00006A000000}"/>
    <cellStyle name="Comma 5 10 3 5" xfId="6237" xr:uid="{00000000-0005-0000-0000-00006B000000}"/>
    <cellStyle name="Comma 5 10 3 5 2" xfId="15064" xr:uid="{00000000-0005-0000-0000-00006C000000}"/>
    <cellStyle name="Comma 5 10 3 5 2 2" xfId="40619" xr:uid="{00000000-0005-0000-0000-00006D000000}"/>
    <cellStyle name="Comma 5 10 3 5 3" xfId="25315" xr:uid="{00000000-0005-0000-0000-00006E000000}"/>
    <cellStyle name="Comma 5 10 3 5 3 2" xfId="50868" xr:uid="{00000000-0005-0000-0000-00006F000000}"/>
    <cellStyle name="Comma 5 10 3 5 4" xfId="31798" xr:uid="{00000000-0005-0000-0000-000070000000}"/>
    <cellStyle name="Comma 5 10 3 6" xfId="7683" xr:uid="{00000000-0005-0000-0000-000071000000}"/>
    <cellStyle name="Comma 5 10 3 6 2" xfId="20458" xr:uid="{00000000-0005-0000-0000-000072000000}"/>
    <cellStyle name="Comma 5 10 3 6 2 2" xfId="46011" xr:uid="{00000000-0005-0000-0000-000073000000}"/>
    <cellStyle name="Comma 5 10 3 6 3" xfId="33240" xr:uid="{00000000-0005-0000-0000-000074000000}"/>
    <cellStyle name="Comma 5 10 3 7" xfId="16942" xr:uid="{00000000-0005-0000-0000-000075000000}"/>
    <cellStyle name="Comma 5 10 3 7 2" xfId="42495" xr:uid="{00000000-0005-0000-0000-000076000000}"/>
    <cellStyle name="Comma 5 10 3 8" xfId="26941" xr:uid="{00000000-0005-0000-0000-000077000000}"/>
    <cellStyle name="Comma 5 10 4" xfId="2789" xr:uid="{00000000-0005-0000-0000-000078000000}"/>
    <cellStyle name="Comma 5 10 4 2" xfId="5167" xr:uid="{00000000-0005-0000-0000-000079000000}"/>
    <cellStyle name="Comma 5 10 4 2 2" xfId="14004" xr:uid="{00000000-0005-0000-0000-00007A000000}"/>
    <cellStyle name="Comma 5 10 4 2 2 2" xfId="24255" xr:uid="{00000000-0005-0000-0000-00007B000000}"/>
    <cellStyle name="Comma 5 10 4 2 2 2 2" xfId="49808" xr:uid="{00000000-0005-0000-0000-00007C000000}"/>
    <cellStyle name="Comma 5 10 4 2 2 3" xfId="39559" xr:uid="{00000000-0005-0000-0000-00007D000000}"/>
    <cellStyle name="Comma 5 10 4 2 3" xfId="10425" xr:uid="{00000000-0005-0000-0000-00007E000000}"/>
    <cellStyle name="Comma 5 10 4 2 3 2" xfId="35982" xr:uid="{00000000-0005-0000-0000-00007F000000}"/>
    <cellStyle name="Comma 5 10 4 2 4" xfId="19248" xr:uid="{00000000-0005-0000-0000-000080000000}"/>
    <cellStyle name="Comma 5 10 4 2 4 2" xfId="44801" xr:uid="{00000000-0005-0000-0000-000081000000}"/>
    <cellStyle name="Comma 5 10 4 2 5" xfId="30738" xr:uid="{00000000-0005-0000-0000-000082000000}"/>
    <cellStyle name="Comma 5 10 4 3" xfId="6622" xr:uid="{00000000-0005-0000-0000-000083000000}"/>
    <cellStyle name="Comma 5 10 4 3 2" xfId="15449" xr:uid="{00000000-0005-0000-0000-000084000000}"/>
    <cellStyle name="Comma 5 10 4 3 2 2" xfId="41004" xr:uid="{00000000-0005-0000-0000-000085000000}"/>
    <cellStyle name="Comma 5 10 4 3 3" xfId="25700" xr:uid="{00000000-0005-0000-0000-000086000000}"/>
    <cellStyle name="Comma 5 10 4 3 3 2" xfId="51253" xr:uid="{00000000-0005-0000-0000-000087000000}"/>
    <cellStyle name="Comma 5 10 4 3 4" xfId="32183" xr:uid="{00000000-0005-0000-0000-000088000000}"/>
    <cellStyle name="Comma 5 10 4 4" xfId="8068" xr:uid="{00000000-0005-0000-0000-000089000000}"/>
    <cellStyle name="Comma 5 10 4 4 2" xfId="22150" xr:uid="{00000000-0005-0000-0000-00008A000000}"/>
    <cellStyle name="Comma 5 10 4 4 2 2" xfId="47703" xr:uid="{00000000-0005-0000-0000-00008B000000}"/>
    <cellStyle name="Comma 5 10 4 4 3" xfId="33625" xr:uid="{00000000-0005-0000-0000-00008C000000}"/>
    <cellStyle name="Comma 5 10 4 5" xfId="17143" xr:uid="{00000000-0005-0000-0000-00008D000000}"/>
    <cellStyle name="Comma 5 10 4 5 2" xfId="42696" xr:uid="{00000000-0005-0000-0000-00008E000000}"/>
    <cellStyle name="Comma 5 10 4 6" xfId="28633" xr:uid="{00000000-0005-0000-0000-00008F000000}"/>
    <cellStyle name="Comma 5 10 5" xfId="4121" xr:uid="{00000000-0005-0000-0000-000090000000}"/>
    <cellStyle name="Comma 5 10 5 2" xfId="12959" xr:uid="{00000000-0005-0000-0000-000091000000}"/>
    <cellStyle name="Comma 5 10 5 2 2" xfId="23210" xr:uid="{00000000-0005-0000-0000-000092000000}"/>
    <cellStyle name="Comma 5 10 5 2 2 2" xfId="48763" xr:uid="{00000000-0005-0000-0000-000093000000}"/>
    <cellStyle name="Comma 5 10 5 2 3" xfId="38514" xr:uid="{00000000-0005-0000-0000-000094000000}"/>
    <cellStyle name="Comma 5 10 5 3" xfId="9380" xr:uid="{00000000-0005-0000-0000-000095000000}"/>
    <cellStyle name="Comma 5 10 5 3 2" xfId="34937" xr:uid="{00000000-0005-0000-0000-000096000000}"/>
    <cellStyle name="Comma 5 10 5 4" xfId="18203" xr:uid="{00000000-0005-0000-0000-000097000000}"/>
    <cellStyle name="Comma 5 10 5 4 2" xfId="43756" xr:uid="{00000000-0005-0000-0000-000098000000}"/>
    <cellStyle name="Comma 5 10 5 5" xfId="29693" xr:uid="{00000000-0005-0000-0000-000099000000}"/>
    <cellStyle name="Comma 5 10 6" xfId="1898" xr:uid="{00000000-0005-0000-0000-00009A000000}"/>
    <cellStyle name="Comma 5 10 6 2" xfId="11263" xr:uid="{00000000-0005-0000-0000-00009B000000}"/>
    <cellStyle name="Comma 5 10 6 2 2" xfId="36818" xr:uid="{00000000-0005-0000-0000-00009C000000}"/>
    <cellStyle name="Comma 5 10 6 3" xfId="21267" xr:uid="{00000000-0005-0000-0000-00009D000000}"/>
    <cellStyle name="Comma 5 10 6 3 2" xfId="46820" xr:uid="{00000000-0005-0000-0000-00009E000000}"/>
    <cellStyle name="Comma 5 10 6 4" xfId="27750" xr:uid="{00000000-0005-0000-0000-00009F000000}"/>
    <cellStyle name="Comma 5 10 7" xfId="5579" xr:uid="{00000000-0005-0000-0000-0000A0000000}"/>
    <cellStyle name="Comma 5 10 7 2" xfId="14406" xr:uid="{00000000-0005-0000-0000-0000A1000000}"/>
    <cellStyle name="Comma 5 10 7 2 2" xfId="39961" xr:uid="{00000000-0005-0000-0000-0000A2000000}"/>
    <cellStyle name="Comma 5 10 7 3" xfId="24657" xr:uid="{00000000-0005-0000-0000-0000A3000000}"/>
    <cellStyle name="Comma 5 10 7 3 2" xfId="50210" xr:uid="{00000000-0005-0000-0000-0000A4000000}"/>
    <cellStyle name="Comma 5 10 7 4" xfId="31140" xr:uid="{00000000-0005-0000-0000-0000A5000000}"/>
    <cellStyle name="Comma 5 10 8" xfId="7023" xr:uid="{00000000-0005-0000-0000-0000A6000000}"/>
    <cellStyle name="Comma 5 10 8 2" xfId="19749" xr:uid="{00000000-0005-0000-0000-0000A7000000}"/>
    <cellStyle name="Comma 5 10 8 2 2" xfId="45302" xr:uid="{00000000-0005-0000-0000-0000A8000000}"/>
    <cellStyle name="Comma 5 10 8 3" xfId="32580" xr:uid="{00000000-0005-0000-0000-0000A9000000}"/>
    <cellStyle name="Comma 5 10 9" xfId="16260" xr:uid="{00000000-0005-0000-0000-0000AA000000}"/>
    <cellStyle name="Comma 5 10 9 2" xfId="41813" xr:uid="{00000000-0005-0000-0000-0000AB000000}"/>
    <cellStyle name="Comma 5 11" xfId="617" xr:uid="{00000000-0005-0000-0000-0000AC000000}"/>
    <cellStyle name="Comma 5 11 2" xfId="3103" xr:uid="{00000000-0005-0000-0000-0000AD000000}"/>
    <cellStyle name="Comma 5 11 2 2" xfId="12246" xr:uid="{00000000-0005-0000-0000-0000AE000000}"/>
    <cellStyle name="Comma 5 11 2 2 2" xfId="22464" xr:uid="{00000000-0005-0000-0000-0000AF000000}"/>
    <cellStyle name="Comma 5 11 2 2 2 2" xfId="48017" xr:uid="{00000000-0005-0000-0000-0000B0000000}"/>
    <cellStyle name="Comma 5 11 2 2 3" xfId="37801" xr:uid="{00000000-0005-0000-0000-0000B1000000}"/>
    <cellStyle name="Comma 5 11 2 3" xfId="8668" xr:uid="{00000000-0005-0000-0000-0000B2000000}"/>
    <cellStyle name="Comma 5 11 2 3 2" xfId="34225" xr:uid="{00000000-0005-0000-0000-0000B3000000}"/>
    <cellStyle name="Comma 5 11 2 4" xfId="17457" xr:uid="{00000000-0005-0000-0000-0000B4000000}"/>
    <cellStyle name="Comma 5 11 2 4 2" xfId="43010" xr:uid="{00000000-0005-0000-0000-0000B5000000}"/>
    <cellStyle name="Comma 5 11 2 5" xfId="28947" xr:uid="{00000000-0005-0000-0000-0000B6000000}"/>
    <cellStyle name="Comma 5 11 3" xfId="4432" xr:uid="{00000000-0005-0000-0000-0000B7000000}"/>
    <cellStyle name="Comma 5 11 3 2" xfId="13270" xr:uid="{00000000-0005-0000-0000-0000B8000000}"/>
    <cellStyle name="Comma 5 11 3 2 2" xfId="23521" xr:uid="{00000000-0005-0000-0000-0000B9000000}"/>
    <cellStyle name="Comma 5 11 3 2 2 2" xfId="49074" xr:uid="{00000000-0005-0000-0000-0000BA000000}"/>
    <cellStyle name="Comma 5 11 3 2 3" xfId="38825" xr:uid="{00000000-0005-0000-0000-0000BB000000}"/>
    <cellStyle name="Comma 5 11 3 3" xfId="9691" xr:uid="{00000000-0005-0000-0000-0000BC000000}"/>
    <cellStyle name="Comma 5 11 3 3 2" xfId="35248" xr:uid="{00000000-0005-0000-0000-0000BD000000}"/>
    <cellStyle name="Comma 5 11 3 4" xfId="18514" xr:uid="{00000000-0005-0000-0000-0000BE000000}"/>
    <cellStyle name="Comma 5 11 3 4 2" xfId="44067" xr:uid="{00000000-0005-0000-0000-0000BF000000}"/>
    <cellStyle name="Comma 5 11 3 5" xfId="30004" xr:uid="{00000000-0005-0000-0000-0000C0000000}"/>
    <cellStyle name="Comma 5 11 4" xfId="2212" xr:uid="{00000000-0005-0000-0000-0000C1000000}"/>
    <cellStyle name="Comma 5 11 4 2" xfId="11577" xr:uid="{00000000-0005-0000-0000-0000C2000000}"/>
    <cellStyle name="Comma 5 11 4 2 2" xfId="37132" xr:uid="{00000000-0005-0000-0000-0000C3000000}"/>
    <cellStyle name="Comma 5 11 4 3" xfId="21581" xr:uid="{00000000-0005-0000-0000-0000C4000000}"/>
    <cellStyle name="Comma 5 11 4 3 2" xfId="47134" xr:uid="{00000000-0005-0000-0000-0000C5000000}"/>
    <cellStyle name="Comma 5 11 4 4" xfId="28064" xr:uid="{00000000-0005-0000-0000-0000C6000000}"/>
    <cellStyle name="Comma 5 11 5" xfId="5888" xr:uid="{00000000-0005-0000-0000-0000C7000000}"/>
    <cellStyle name="Comma 5 11 5 2" xfId="14715" xr:uid="{00000000-0005-0000-0000-0000C8000000}"/>
    <cellStyle name="Comma 5 11 5 2 2" xfId="40270" xr:uid="{00000000-0005-0000-0000-0000C9000000}"/>
    <cellStyle name="Comma 5 11 5 3" xfId="24966" xr:uid="{00000000-0005-0000-0000-0000CA000000}"/>
    <cellStyle name="Comma 5 11 5 3 2" xfId="50519" xr:uid="{00000000-0005-0000-0000-0000CB000000}"/>
    <cellStyle name="Comma 5 11 5 4" xfId="31449" xr:uid="{00000000-0005-0000-0000-0000CC000000}"/>
    <cellStyle name="Comma 5 11 6" xfId="7332" xr:uid="{00000000-0005-0000-0000-0000CD000000}"/>
    <cellStyle name="Comma 5 11 6 2" xfId="20063" xr:uid="{00000000-0005-0000-0000-0000CE000000}"/>
    <cellStyle name="Comma 5 11 6 2 2" xfId="45616" xr:uid="{00000000-0005-0000-0000-0000CF000000}"/>
    <cellStyle name="Comma 5 11 6 3" xfId="32889" xr:uid="{00000000-0005-0000-0000-0000D0000000}"/>
    <cellStyle name="Comma 5 11 7" xfId="16574" xr:uid="{00000000-0005-0000-0000-0000D1000000}"/>
    <cellStyle name="Comma 5 11 7 2" xfId="42127" xr:uid="{00000000-0005-0000-0000-0000D2000000}"/>
    <cellStyle name="Comma 5 11 8" xfId="26546" xr:uid="{00000000-0005-0000-0000-0000D3000000}"/>
    <cellStyle name="Comma 5 12" xfId="1043" xr:uid="{00000000-0005-0000-0000-0000D4000000}"/>
    <cellStyle name="Comma 5 12 2" xfId="3472" xr:uid="{00000000-0005-0000-0000-0000D5000000}"/>
    <cellStyle name="Comma 5 12 2 2" xfId="12608" xr:uid="{00000000-0005-0000-0000-0000D6000000}"/>
    <cellStyle name="Comma 5 12 2 2 2" xfId="22827" xr:uid="{00000000-0005-0000-0000-0000D7000000}"/>
    <cellStyle name="Comma 5 12 2 2 2 2" xfId="48380" xr:uid="{00000000-0005-0000-0000-0000D8000000}"/>
    <cellStyle name="Comma 5 12 2 2 3" xfId="38163" xr:uid="{00000000-0005-0000-0000-0000D9000000}"/>
    <cellStyle name="Comma 5 12 2 3" xfId="9030" xr:uid="{00000000-0005-0000-0000-0000DA000000}"/>
    <cellStyle name="Comma 5 12 2 3 2" xfId="34587" xr:uid="{00000000-0005-0000-0000-0000DB000000}"/>
    <cellStyle name="Comma 5 12 2 4" xfId="17820" xr:uid="{00000000-0005-0000-0000-0000DC000000}"/>
    <cellStyle name="Comma 5 12 2 4 2" xfId="43373" xr:uid="{00000000-0005-0000-0000-0000DD000000}"/>
    <cellStyle name="Comma 5 12 2 5" xfId="29310" xr:uid="{00000000-0005-0000-0000-0000DE000000}"/>
    <cellStyle name="Comma 5 12 3" xfId="4781" xr:uid="{00000000-0005-0000-0000-0000DF000000}"/>
    <cellStyle name="Comma 5 12 3 2" xfId="13618" xr:uid="{00000000-0005-0000-0000-0000E0000000}"/>
    <cellStyle name="Comma 5 12 3 2 2" xfId="23869" xr:uid="{00000000-0005-0000-0000-0000E1000000}"/>
    <cellStyle name="Comma 5 12 3 2 2 2" xfId="49422" xr:uid="{00000000-0005-0000-0000-0000E2000000}"/>
    <cellStyle name="Comma 5 12 3 2 3" xfId="39173" xr:uid="{00000000-0005-0000-0000-0000E3000000}"/>
    <cellStyle name="Comma 5 12 3 3" xfId="10039" xr:uid="{00000000-0005-0000-0000-0000E4000000}"/>
    <cellStyle name="Comma 5 12 3 3 2" xfId="35596" xr:uid="{00000000-0005-0000-0000-0000E5000000}"/>
    <cellStyle name="Comma 5 12 3 4" xfId="18862" xr:uid="{00000000-0005-0000-0000-0000E6000000}"/>
    <cellStyle name="Comma 5 12 3 4 2" xfId="44415" xr:uid="{00000000-0005-0000-0000-0000E7000000}"/>
    <cellStyle name="Comma 5 12 3 5" xfId="30352" xr:uid="{00000000-0005-0000-0000-0000E8000000}"/>
    <cellStyle name="Comma 5 12 4" xfId="1707" xr:uid="{00000000-0005-0000-0000-0000E9000000}"/>
    <cellStyle name="Comma 5 12 4 2" xfId="11084" xr:uid="{00000000-0005-0000-0000-0000EA000000}"/>
    <cellStyle name="Comma 5 12 4 2 2" xfId="36639" xr:uid="{00000000-0005-0000-0000-0000EB000000}"/>
    <cellStyle name="Comma 5 12 4 3" xfId="21088" xr:uid="{00000000-0005-0000-0000-0000EC000000}"/>
    <cellStyle name="Comma 5 12 4 3 2" xfId="46641" xr:uid="{00000000-0005-0000-0000-0000ED000000}"/>
    <cellStyle name="Comma 5 12 4 4" xfId="27571" xr:uid="{00000000-0005-0000-0000-0000EE000000}"/>
    <cellStyle name="Comma 5 12 5" xfId="6236" xr:uid="{00000000-0005-0000-0000-0000EF000000}"/>
    <cellStyle name="Comma 5 12 5 2" xfId="15063" xr:uid="{00000000-0005-0000-0000-0000F0000000}"/>
    <cellStyle name="Comma 5 12 5 2 2" xfId="40618" xr:uid="{00000000-0005-0000-0000-0000F1000000}"/>
    <cellStyle name="Comma 5 12 5 3" xfId="25314" xr:uid="{00000000-0005-0000-0000-0000F2000000}"/>
    <cellStyle name="Comma 5 12 5 3 2" xfId="50867" xr:uid="{00000000-0005-0000-0000-0000F3000000}"/>
    <cellStyle name="Comma 5 12 5 4" xfId="31797" xr:uid="{00000000-0005-0000-0000-0000F4000000}"/>
    <cellStyle name="Comma 5 12 6" xfId="7682" xr:uid="{00000000-0005-0000-0000-0000F5000000}"/>
    <cellStyle name="Comma 5 12 6 2" xfId="20426" xr:uid="{00000000-0005-0000-0000-0000F6000000}"/>
    <cellStyle name="Comma 5 12 6 2 2" xfId="45979" xr:uid="{00000000-0005-0000-0000-0000F7000000}"/>
    <cellStyle name="Comma 5 12 6 3" xfId="33239" xr:uid="{00000000-0005-0000-0000-0000F8000000}"/>
    <cellStyle name="Comma 5 12 7" xfId="16081" xr:uid="{00000000-0005-0000-0000-0000F9000000}"/>
    <cellStyle name="Comma 5 12 7 2" xfId="41634" xr:uid="{00000000-0005-0000-0000-0000FA000000}"/>
    <cellStyle name="Comma 5 12 8" xfId="26909" xr:uid="{00000000-0005-0000-0000-0000FB000000}"/>
    <cellStyle name="Comma 5 13" xfId="2607" xr:uid="{00000000-0005-0000-0000-0000FC000000}"/>
    <cellStyle name="Comma 5 13 2" xfId="5135" xr:uid="{00000000-0005-0000-0000-0000FD000000}"/>
    <cellStyle name="Comma 5 13 2 2" xfId="13972" xr:uid="{00000000-0005-0000-0000-0000FE000000}"/>
    <cellStyle name="Comma 5 13 2 2 2" xfId="24223" xr:uid="{00000000-0005-0000-0000-0000FF000000}"/>
    <cellStyle name="Comma 5 13 2 2 2 2" xfId="49776" xr:uid="{00000000-0005-0000-0000-000000010000}"/>
    <cellStyle name="Comma 5 13 2 2 3" xfId="39527" xr:uid="{00000000-0005-0000-0000-000001010000}"/>
    <cellStyle name="Comma 5 13 2 3" xfId="10393" xr:uid="{00000000-0005-0000-0000-000002010000}"/>
    <cellStyle name="Comma 5 13 2 3 2" xfId="35950" xr:uid="{00000000-0005-0000-0000-000003010000}"/>
    <cellStyle name="Comma 5 13 2 4" xfId="19216" xr:uid="{00000000-0005-0000-0000-000004010000}"/>
    <cellStyle name="Comma 5 13 2 4 2" xfId="44769" xr:uid="{00000000-0005-0000-0000-000005010000}"/>
    <cellStyle name="Comma 5 13 2 5" xfId="30706" xr:uid="{00000000-0005-0000-0000-000006010000}"/>
    <cellStyle name="Comma 5 13 3" xfId="6590" xr:uid="{00000000-0005-0000-0000-000007010000}"/>
    <cellStyle name="Comma 5 13 3 2" xfId="15417" xr:uid="{00000000-0005-0000-0000-000008010000}"/>
    <cellStyle name="Comma 5 13 3 2 2" xfId="40972" xr:uid="{00000000-0005-0000-0000-000009010000}"/>
    <cellStyle name="Comma 5 13 3 3" xfId="25668" xr:uid="{00000000-0005-0000-0000-00000A010000}"/>
    <cellStyle name="Comma 5 13 3 3 2" xfId="51221" xr:uid="{00000000-0005-0000-0000-00000B010000}"/>
    <cellStyle name="Comma 5 13 3 4" xfId="32151" xr:uid="{00000000-0005-0000-0000-00000C010000}"/>
    <cellStyle name="Comma 5 13 4" xfId="8036" xr:uid="{00000000-0005-0000-0000-00000D010000}"/>
    <cellStyle name="Comma 5 13 4 2" xfId="21971" xr:uid="{00000000-0005-0000-0000-00000E010000}"/>
    <cellStyle name="Comma 5 13 4 2 2" xfId="47524" xr:uid="{00000000-0005-0000-0000-00000F010000}"/>
    <cellStyle name="Comma 5 13 4 3" xfId="33593" xr:uid="{00000000-0005-0000-0000-000010010000}"/>
    <cellStyle name="Comma 5 13 5" xfId="16964" xr:uid="{00000000-0005-0000-0000-000011010000}"/>
    <cellStyle name="Comma 5 13 5 2" xfId="42517" xr:uid="{00000000-0005-0000-0000-000012010000}"/>
    <cellStyle name="Comma 5 13 6" xfId="28454" xr:uid="{00000000-0005-0000-0000-000013010000}"/>
    <cellStyle name="Comma 5 14" xfId="4089" xr:uid="{00000000-0005-0000-0000-000014010000}"/>
    <cellStyle name="Comma 5 14 2" xfId="5547" xr:uid="{00000000-0005-0000-0000-000015010000}"/>
    <cellStyle name="Comma 5 14 2 2" xfId="14374" xr:uid="{00000000-0005-0000-0000-000016010000}"/>
    <cellStyle name="Comma 5 14 2 2 2" xfId="39929" xr:uid="{00000000-0005-0000-0000-000017010000}"/>
    <cellStyle name="Comma 5 14 2 3" xfId="24625" xr:uid="{00000000-0005-0000-0000-000018010000}"/>
    <cellStyle name="Comma 5 14 2 3 2" xfId="50178" xr:uid="{00000000-0005-0000-0000-000019010000}"/>
    <cellStyle name="Comma 5 14 2 4" xfId="31108" xr:uid="{00000000-0005-0000-0000-00001A010000}"/>
    <cellStyle name="Comma 5 14 3" xfId="6991" xr:uid="{00000000-0005-0000-0000-00001B010000}"/>
    <cellStyle name="Comma 5 14 3 2" xfId="23178" xr:uid="{00000000-0005-0000-0000-00001C010000}"/>
    <cellStyle name="Comma 5 14 3 2 2" xfId="48731" xr:uid="{00000000-0005-0000-0000-00001D010000}"/>
    <cellStyle name="Comma 5 14 3 3" xfId="32548" xr:uid="{00000000-0005-0000-0000-00001E010000}"/>
    <cellStyle name="Comma 5 14 4" xfId="18171" xr:uid="{00000000-0005-0000-0000-00001F010000}"/>
    <cellStyle name="Comma 5 14 4 2" xfId="43724" xr:uid="{00000000-0005-0000-0000-000020010000}"/>
    <cellStyle name="Comma 5 14 5" xfId="29661" xr:uid="{00000000-0005-0000-0000-000021010000}"/>
    <cellStyle name="Comma 5 15" xfId="1395" xr:uid="{00000000-0005-0000-0000-000022010000}"/>
    <cellStyle name="Comma 5 15 2" xfId="10772" xr:uid="{00000000-0005-0000-0000-000023010000}"/>
    <cellStyle name="Comma 5 15 2 2" xfId="36327" xr:uid="{00000000-0005-0000-0000-000024010000}"/>
    <cellStyle name="Comma 5 15 3" xfId="20776" xr:uid="{00000000-0005-0000-0000-000025010000}"/>
    <cellStyle name="Comma 5 15 3 2" xfId="46329" xr:uid="{00000000-0005-0000-0000-000026010000}"/>
    <cellStyle name="Comma 5 15 4" xfId="27259" xr:uid="{00000000-0005-0000-0000-000027010000}"/>
    <cellStyle name="Comma 5 16" xfId="5507" xr:uid="{00000000-0005-0000-0000-000028010000}"/>
    <cellStyle name="Comma 5 16 2" xfId="14334" xr:uid="{00000000-0005-0000-0000-000029010000}"/>
    <cellStyle name="Comma 5 16 2 2" xfId="39889" xr:uid="{00000000-0005-0000-0000-00002A010000}"/>
    <cellStyle name="Comma 5 16 3" xfId="24585" xr:uid="{00000000-0005-0000-0000-00002B010000}"/>
    <cellStyle name="Comma 5 16 3 2" xfId="50138" xr:uid="{00000000-0005-0000-0000-00002C010000}"/>
    <cellStyle name="Comma 5 16 4" xfId="31068" xr:uid="{00000000-0005-0000-0000-00002D010000}"/>
    <cellStyle name="Comma 5 17" xfId="6946" xr:uid="{00000000-0005-0000-0000-00002E010000}"/>
    <cellStyle name="Comma 5 17 2" xfId="19571" xr:uid="{00000000-0005-0000-0000-00002F010000}"/>
    <cellStyle name="Comma 5 17 2 2" xfId="45124" xr:uid="{00000000-0005-0000-0000-000030010000}"/>
    <cellStyle name="Comma 5 17 3" xfId="32504" xr:uid="{00000000-0005-0000-0000-000031010000}"/>
    <cellStyle name="Comma 5 18" xfId="15769" xr:uid="{00000000-0005-0000-0000-000032010000}"/>
    <cellStyle name="Comma 5 18 2" xfId="41322" xr:uid="{00000000-0005-0000-0000-000033010000}"/>
    <cellStyle name="Comma 5 19" xfId="26054" xr:uid="{00000000-0005-0000-0000-000034010000}"/>
    <cellStyle name="Comma 5 2" xfId="41" xr:uid="{00000000-0005-0000-0000-000035010000}"/>
    <cellStyle name="Comma 5 2 10" xfId="619" xr:uid="{00000000-0005-0000-0000-000036010000}"/>
    <cellStyle name="Comma 5 2 10 2" xfId="3105" xr:uid="{00000000-0005-0000-0000-000037010000}"/>
    <cellStyle name="Comma 5 2 10 2 2" xfId="12248" xr:uid="{00000000-0005-0000-0000-000038010000}"/>
    <cellStyle name="Comma 5 2 10 2 2 2" xfId="22466" xr:uid="{00000000-0005-0000-0000-000039010000}"/>
    <cellStyle name="Comma 5 2 10 2 2 2 2" xfId="48019" xr:uid="{00000000-0005-0000-0000-00003A010000}"/>
    <cellStyle name="Comma 5 2 10 2 2 3" xfId="37803" xr:uid="{00000000-0005-0000-0000-00003B010000}"/>
    <cellStyle name="Comma 5 2 10 2 3" xfId="8670" xr:uid="{00000000-0005-0000-0000-00003C010000}"/>
    <cellStyle name="Comma 5 2 10 2 3 2" xfId="34227" xr:uid="{00000000-0005-0000-0000-00003D010000}"/>
    <cellStyle name="Comma 5 2 10 2 4" xfId="17459" xr:uid="{00000000-0005-0000-0000-00003E010000}"/>
    <cellStyle name="Comma 5 2 10 2 4 2" xfId="43012" xr:uid="{00000000-0005-0000-0000-00003F010000}"/>
    <cellStyle name="Comma 5 2 10 2 5" xfId="28949" xr:uid="{00000000-0005-0000-0000-000040010000}"/>
    <cellStyle name="Comma 5 2 10 3" xfId="4434" xr:uid="{00000000-0005-0000-0000-000041010000}"/>
    <cellStyle name="Comma 5 2 10 3 2" xfId="13272" xr:uid="{00000000-0005-0000-0000-000042010000}"/>
    <cellStyle name="Comma 5 2 10 3 2 2" xfId="23523" xr:uid="{00000000-0005-0000-0000-000043010000}"/>
    <cellStyle name="Comma 5 2 10 3 2 2 2" xfId="49076" xr:uid="{00000000-0005-0000-0000-000044010000}"/>
    <cellStyle name="Comma 5 2 10 3 2 3" xfId="38827" xr:uid="{00000000-0005-0000-0000-000045010000}"/>
    <cellStyle name="Comma 5 2 10 3 3" xfId="9693" xr:uid="{00000000-0005-0000-0000-000046010000}"/>
    <cellStyle name="Comma 5 2 10 3 3 2" xfId="35250" xr:uid="{00000000-0005-0000-0000-000047010000}"/>
    <cellStyle name="Comma 5 2 10 3 4" xfId="18516" xr:uid="{00000000-0005-0000-0000-000048010000}"/>
    <cellStyle name="Comma 5 2 10 3 4 2" xfId="44069" xr:uid="{00000000-0005-0000-0000-000049010000}"/>
    <cellStyle name="Comma 5 2 10 3 5" xfId="30006" xr:uid="{00000000-0005-0000-0000-00004A010000}"/>
    <cellStyle name="Comma 5 2 10 4" xfId="2214" xr:uid="{00000000-0005-0000-0000-00004B010000}"/>
    <cellStyle name="Comma 5 2 10 4 2" xfId="11579" xr:uid="{00000000-0005-0000-0000-00004C010000}"/>
    <cellStyle name="Comma 5 2 10 4 2 2" xfId="37134" xr:uid="{00000000-0005-0000-0000-00004D010000}"/>
    <cellStyle name="Comma 5 2 10 4 3" xfId="21583" xr:uid="{00000000-0005-0000-0000-00004E010000}"/>
    <cellStyle name="Comma 5 2 10 4 3 2" xfId="47136" xr:uid="{00000000-0005-0000-0000-00004F010000}"/>
    <cellStyle name="Comma 5 2 10 4 4" xfId="28066" xr:uid="{00000000-0005-0000-0000-000050010000}"/>
    <cellStyle name="Comma 5 2 10 5" xfId="5890" xr:uid="{00000000-0005-0000-0000-000051010000}"/>
    <cellStyle name="Comma 5 2 10 5 2" xfId="14717" xr:uid="{00000000-0005-0000-0000-000052010000}"/>
    <cellStyle name="Comma 5 2 10 5 2 2" xfId="40272" xr:uid="{00000000-0005-0000-0000-000053010000}"/>
    <cellStyle name="Comma 5 2 10 5 3" xfId="24968" xr:uid="{00000000-0005-0000-0000-000054010000}"/>
    <cellStyle name="Comma 5 2 10 5 3 2" xfId="50521" xr:uid="{00000000-0005-0000-0000-000055010000}"/>
    <cellStyle name="Comma 5 2 10 5 4" xfId="31451" xr:uid="{00000000-0005-0000-0000-000056010000}"/>
    <cellStyle name="Comma 5 2 10 6" xfId="7334" xr:uid="{00000000-0005-0000-0000-000057010000}"/>
    <cellStyle name="Comma 5 2 10 6 2" xfId="20065" xr:uid="{00000000-0005-0000-0000-000058010000}"/>
    <cellStyle name="Comma 5 2 10 6 2 2" xfId="45618" xr:uid="{00000000-0005-0000-0000-000059010000}"/>
    <cellStyle name="Comma 5 2 10 6 3" xfId="32891" xr:uid="{00000000-0005-0000-0000-00005A010000}"/>
    <cellStyle name="Comma 5 2 10 7" xfId="16576" xr:uid="{00000000-0005-0000-0000-00005B010000}"/>
    <cellStyle name="Comma 5 2 10 7 2" xfId="42129" xr:uid="{00000000-0005-0000-0000-00005C010000}"/>
    <cellStyle name="Comma 5 2 10 8" xfId="26548" xr:uid="{00000000-0005-0000-0000-00005D010000}"/>
    <cellStyle name="Comma 5 2 11" xfId="1044" xr:uid="{00000000-0005-0000-0000-00005E010000}"/>
    <cellStyle name="Comma 5 2 11 2" xfId="3473" xr:uid="{00000000-0005-0000-0000-00005F010000}"/>
    <cellStyle name="Comma 5 2 11 2 2" xfId="12609" xr:uid="{00000000-0005-0000-0000-000060010000}"/>
    <cellStyle name="Comma 5 2 11 2 2 2" xfId="22828" xr:uid="{00000000-0005-0000-0000-000061010000}"/>
    <cellStyle name="Comma 5 2 11 2 2 2 2" xfId="48381" xr:uid="{00000000-0005-0000-0000-000062010000}"/>
    <cellStyle name="Comma 5 2 11 2 2 3" xfId="38164" xr:uid="{00000000-0005-0000-0000-000063010000}"/>
    <cellStyle name="Comma 5 2 11 2 3" xfId="9031" xr:uid="{00000000-0005-0000-0000-000064010000}"/>
    <cellStyle name="Comma 5 2 11 2 3 2" xfId="34588" xr:uid="{00000000-0005-0000-0000-000065010000}"/>
    <cellStyle name="Comma 5 2 11 2 4" xfId="17821" xr:uid="{00000000-0005-0000-0000-000066010000}"/>
    <cellStyle name="Comma 5 2 11 2 4 2" xfId="43374" xr:uid="{00000000-0005-0000-0000-000067010000}"/>
    <cellStyle name="Comma 5 2 11 2 5" xfId="29311" xr:uid="{00000000-0005-0000-0000-000068010000}"/>
    <cellStyle name="Comma 5 2 11 3" xfId="4783" xr:uid="{00000000-0005-0000-0000-000069010000}"/>
    <cellStyle name="Comma 5 2 11 3 2" xfId="13620" xr:uid="{00000000-0005-0000-0000-00006A010000}"/>
    <cellStyle name="Comma 5 2 11 3 2 2" xfId="23871" xr:uid="{00000000-0005-0000-0000-00006B010000}"/>
    <cellStyle name="Comma 5 2 11 3 2 2 2" xfId="49424" xr:uid="{00000000-0005-0000-0000-00006C010000}"/>
    <cellStyle name="Comma 5 2 11 3 2 3" xfId="39175" xr:uid="{00000000-0005-0000-0000-00006D010000}"/>
    <cellStyle name="Comma 5 2 11 3 3" xfId="10041" xr:uid="{00000000-0005-0000-0000-00006E010000}"/>
    <cellStyle name="Comma 5 2 11 3 3 2" xfId="35598" xr:uid="{00000000-0005-0000-0000-00006F010000}"/>
    <cellStyle name="Comma 5 2 11 3 4" xfId="18864" xr:uid="{00000000-0005-0000-0000-000070010000}"/>
    <cellStyle name="Comma 5 2 11 3 4 2" xfId="44417" xr:uid="{00000000-0005-0000-0000-000071010000}"/>
    <cellStyle name="Comma 5 2 11 3 5" xfId="30354" xr:uid="{00000000-0005-0000-0000-000072010000}"/>
    <cellStyle name="Comma 5 2 11 4" xfId="1708" xr:uid="{00000000-0005-0000-0000-000073010000}"/>
    <cellStyle name="Comma 5 2 11 4 2" xfId="11085" xr:uid="{00000000-0005-0000-0000-000074010000}"/>
    <cellStyle name="Comma 5 2 11 4 2 2" xfId="36640" xr:uid="{00000000-0005-0000-0000-000075010000}"/>
    <cellStyle name="Comma 5 2 11 4 3" xfId="21089" xr:uid="{00000000-0005-0000-0000-000076010000}"/>
    <cellStyle name="Comma 5 2 11 4 3 2" xfId="46642" xr:uid="{00000000-0005-0000-0000-000077010000}"/>
    <cellStyle name="Comma 5 2 11 4 4" xfId="27572" xr:uid="{00000000-0005-0000-0000-000078010000}"/>
    <cellStyle name="Comma 5 2 11 5" xfId="6238" xr:uid="{00000000-0005-0000-0000-000079010000}"/>
    <cellStyle name="Comma 5 2 11 5 2" xfId="15065" xr:uid="{00000000-0005-0000-0000-00007A010000}"/>
    <cellStyle name="Comma 5 2 11 5 2 2" xfId="40620" xr:uid="{00000000-0005-0000-0000-00007B010000}"/>
    <cellStyle name="Comma 5 2 11 5 3" xfId="25316" xr:uid="{00000000-0005-0000-0000-00007C010000}"/>
    <cellStyle name="Comma 5 2 11 5 3 2" xfId="50869" xr:uid="{00000000-0005-0000-0000-00007D010000}"/>
    <cellStyle name="Comma 5 2 11 5 4" xfId="31799" xr:uid="{00000000-0005-0000-0000-00007E010000}"/>
    <cellStyle name="Comma 5 2 11 6" xfId="7684" xr:uid="{00000000-0005-0000-0000-00007F010000}"/>
    <cellStyle name="Comma 5 2 11 6 2" xfId="20427" xr:uid="{00000000-0005-0000-0000-000080010000}"/>
    <cellStyle name="Comma 5 2 11 6 2 2" xfId="45980" xr:uid="{00000000-0005-0000-0000-000081010000}"/>
    <cellStyle name="Comma 5 2 11 6 3" xfId="33241" xr:uid="{00000000-0005-0000-0000-000082010000}"/>
    <cellStyle name="Comma 5 2 11 7" xfId="16082" xr:uid="{00000000-0005-0000-0000-000083010000}"/>
    <cellStyle name="Comma 5 2 11 7 2" xfId="41635" xr:uid="{00000000-0005-0000-0000-000084010000}"/>
    <cellStyle name="Comma 5 2 11 8" xfId="26910" xr:uid="{00000000-0005-0000-0000-000085010000}"/>
    <cellStyle name="Comma 5 2 12" xfId="2608" xr:uid="{00000000-0005-0000-0000-000086010000}"/>
    <cellStyle name="Comma 5 2 12 2" xfId="5136" xr:uid="{00000000-0005-0000-0000-000087010000}"/>
    <cellStyle name="Comma 5 2 12 2 2" xfId="13973" xr:uid="{00000000-0005-0000-0000-000088010000}"/>
    <cellStyle name="Comma 5 2 12 2 2 2" xfId="24224" xr:uid="{00000000-0005-0000-0000-000089010000}"/>
    <cellStyle name="Comma 5 2 12 2 2 2 2" xfId="49777" xr:uid="{00000000-0005-0000-0000-00008A010000}"/>
    <cellStyle name="Comma 5 2 12 2 2 3" xfId="39528" xr:uid="{00000000-0005-0000-0000-00008B010000}"/>
    <cellStyle name="Comma 5 2 12 2 3" xfId="10394" xr:uid="{00000000-0005-0000-0000-00008C010000}"/>
    <cellStyle name="Comma 5 2 12 2 3 2" xfId="35951" xr:uid="{00000000-0005-0000-0000-00008D010000}"/>
    <cellStyle name="Comma 5 2 12 2 4" xfId="19217" xr:uid="{00000000-0005-0000-0000-00008E010000}"/>
    <cellStyle name="Comma 5 2 12 2 4 2" xfId="44770" xr:uid="{00000000-0005-0000-0000-00008F010000}"/>
    <cellStyle name="Comma 5 2 12 2 5" xfId="30707" xr:uid="{00000000-0005-0000-0000-000090010000}"/>
    <cellStyle name="Comma 5 2 12 3" xfId="6591" xr:uid="{00000000-0005-0000-0000-000091010000}"/>
    <cellStyle name="Comma 5 2 12 3 2" xfId="15418" xr:uid="{00000000-0005-0000-0000-000092010000}"/>
    <cellStyle name="Comma 5 2 12 3 2 2" xfId="40973" xr:uid="{00000000-0005-0000-0000-000093010000}"/>
    <cellStyle name="Comma 5 2 12 3 3" xfId="25669" xr:uid="{00000000-0005-0000-0000-000094010000}"/>
    <cellStyle name="Comma 5 2 12 3 3 2" xfId="51222" xr:uid="{00000000-0005-0000-0000-000095010000}"/>
    <cellStyle name="Comma 5 2 12 3 4" xfId="32152" xr:uid="{00000000-0005-0000-0000-000096010000}"/>
    <cellStyle name="Comma 5 2 12 4" xfId="8037" xr:uid="{00000000-0005-0000-0000-000097010000}"/>
    <cellStyle name="Comma 5 2 12 4 2" xfId="21972" xr:uid="{00000000-0005-0000-0000-000098010000}"/>
    <cellStyle name="Comma 5 2 12 4 2 2" xfId="47525" xr:uid="{00000000-0005-0000-0000-000099010000}"/>
    <cellStyle name="Comma 5 2 12 4 3" xfId="33594" xr:uid="{00000000-0005-0000-0000-00009A010000}"/>
    <cellStyle name="Comma 5 2 12 5" xfId="16965" xr:uid="{00000000-0005-0000-0000-00009B010000}"/>
    <cellStyle name="Comma 5 2 12 5 2" xfId="42518" xr:uid="{00000000-0005-0000-0000-00009C010000}"/>
    <cellStyle name="Comma 5 2 12 6" xfId="28455" xr:uid="{00000000-0005-0000-0000-00009D010000}"/>
    <cellStyle name="Comma 5 2 13" xfId="4090" xr:uid="{00000000-0005-0000-0000-00009E010000}"/>
    <cellStyle name="Comma 5 2 13 2" xfId="5548" xr:uid="{00000000-0005-0000-0000-00009F010000}"/>
    <cellStyle name="Comma 5 2 13 2 2" xfId="14375" xr:uid="{00000000-0005-0000-0000-0000A0010000}"/>
    <cellStyle name="Comma 5 2 13 2 2 2" xfId="39930" xr:uid="{00000000-0005-0000-0000-0000A1010000}"/>
    <cellStyle name="Comma 5 2 13 2 3" xfId="24626" xr:uid="{00000000-0005-0000-0000-0000A2010000}"/>
    <cellStyle name="Comma 5 2 13 2 3 2" xfId="50179" xr:uid="{00000000-0005-0000-0000-0000A3010000}"/>
    <cellStyle name="Comma 5 2 13 2 4" xfId="31109" xr:uid="{00000000-0005-0000-0000-0000A4010000}"/>
    <cellStyle name="Comma 5 2 13 3" xfId="6992" xr:uid="{00000000-0005-0000-0000-0000A5010000}"/>
    <cellStyle name="Comma 5 2 13 3 2" xfId="23179" xr:uid="{00000000-0005-0000-0000-0000A6010000}"/>
    <cellStyle name="Comma 5 2 13 3 2 2" xfId="48732" xr:uid="{00000000-0005-0000-0000-0000A7010000}"/>
    <cellStyle name="Comma 5 2 13 3 3" xfId="32549" xr:uid="{00000000-0005-0000-0000-0000A8010000}"/>
    <cellStyle name="Comma 5 2 13 4" xfId="18172" xr:uid="{00000000-0005-0000-0000-0000A9010000}"/>
    <cellStyle name="Comma 5 2 13 4 2" xfId="43725" xr:uid="{00000000-0005-0000-0000-0000AA010000}"/>
    <cellStyle name="Comma 5 2 13 5" xfId="29662" xr:uid="{00000000-0005-0000-0000-0000AB010000}"/>
    <cellStyle name="Comma 5 2 14" xfId="1396" xr:uid="{00000000-0005-0000-0000-0000AC010000}"/>
    <cellStyle name="Comma 5 2 14 2" xfId="10773" xr:uid="{00000000-0005-0000-0000-0000AD010000}"/>
    <cellStyle name="Comma 5 2 14 2 2" xfId="36328" xr:uid="{00000000-0005-0000-0000-0000AE010000}"/>
    <cellStyle name="Comma 5 2 14 3" xfId="20777" xr:uid="{00000000-0005-0000-0000-0000AF010000}"/>
    <cellStyle name="Comma 5 2 14 3 2" xfId="46330" xr:uid="{00000000-0005-0000-0000-0000B0010000}"/>
    <cellStyle name="Comma 5 2 14 4" xfId="27260" xr:uid="{00000000-0005-0000-0000-0000B1010000}"/>
    <cellStyle name="Comma 5 2 15" xfId="5508" xr:uid="{00000000-0005-0000-0000-0000B2010000}"/>
    <cellStyle name="Comma 5 2 15 2" xfId="14335" xr:uid="{00000000-0005-0000-0000-0000B3010000}"/>
    <cellStyle name="Comma 5 2 15 2 2" xfId="39890" xr:uid="{00000000-0005-0000-0000-0000B4010000}"/>
    <cellStyle name="Comma 5 2 15 3" xfId="24586" xr:uid="{00000000-0005-0000-0000-0000B5010000}"/>
    <cellStyle name="Comma 5 2 15 3 2" xfId="50139" xr:uid="{00000000-0005-0000-0000-0000B6010000}"/>
    <cellStyle name="Comma 5 2 15 4" xfId="31069" xr:uid="{00000000-0005-0000-0000-0000B7010000}"/>
    <cellStyle name="Comma 5 2 16" xfId="6947" xr:uid="{00000000-0005-0000-0000-0000B8010000}"/>
    <cellStyle name="Comma 5 2 16 2" xfId="19572" xr:uid="{00000000-0005-0000-0000-0000B9010000}"/>
    <cellStyle name="Comma 5 2 16 2 2" xfId="45125" xr:uid="{00000000-0005-0000-0000-0000BA010000}"/>
    <cellStyle name="Comma 5 2 16 3" xfId="32505" xr:uid="{00000000-0005-0000-0000-0000BB010000}"/>
    <cellStyle name="Comma 5 2 17" xfId="15770" xr:uid="{00000000-0005-0000-0000-0000BC010000}"/>
    <cellStyle name="Comma 5 2 17 2" xfId="41323" xr:uid="{00000000-0005-0000-0000-0000BD010000}"/>
    <cellStyle name="Comma 5 2 18" xfId="26055" xr:uid="{00000000-0005-0000-0000-0000BE010000}"/>
    <cellStyle name="Comma 5 2 2" xfId="112" xr:uid="{00000000-0005-0000-0000-0000BF010000}"/>
    <cellStyle name="Comma 5 2 2 10" xfId="4102" xr:uid="{00000000-0005-0000-0000-0000C0010000}"/>
    <cellStyle name="Comma 5 2 2 10 2" xfId="5560" xr:uid="{00000000-0005-0000-0000-0000C1010000}"/>
    <cellStyle name="Comma 5 2 2 10 2 2" xfId="14387" xr:uid="{00000000-0005-0000-0000-0000C2010000}"/>
    <cellStyle name="Comma 5 2 2 10 2 2 2" xfId="39942" xr:uid="{00000000-0005-0000-0000-0000C3010000}"/>
    <cellStyle name="Comma 5 2 2 10 2 3" xfId="24638" xr:uid="{00000000-0005-0000-0000-0000C4010000}"/>
    <cellStyle name="Comma 5 2 2 10 2 3 2" xfId="50191" xr:uid="{00000000-0005-0000-0000-0000C5010000}"/>
    <cellStyle name="Comma 5 2 2 10 2 4" xfId="31121" xr:uid="{00000000-0005-0000-0000-0000C6010000}"/>
    <cellStyle name="Comma 5 2 2 10 3" xfId="7004" xr:uid="{00000000-0005-0000-0000-0000C7010000}"/>
    <cellStyle name="Comma 5 2 2 10 3 2" xfId="23191" xr:uid="{00000000-0005-0000-0000-0000C8010000}"/>
    <cellStyle name="Comma 5 2 2 10 3 2 2" xfId="48744" xr:uid="{00000000-0005-0000-0000-0000C9010000}"/>
    <cellStyle name="Comma 5 2 2 10 3 3" xfId="32561" xr:uid="{00000000-0005-0000-0000-0000CA010000}"/>
    <cellStyle name="Comma 5 2 2 10 4" xfId="18184" xr:uid="{00000000-0005-0000-0000-0000CB010000}"/>
    <cellStyle name="Comma 5 2 2 10 4 2" xfId="43737" xr:uid="{00000000-0005-0000-0000-0000CC010000}"/>
    <cellStyle name="Comma 5 2 2 10 5" xfId="29674" xr:uid="{00000000-0005-0000-0000-0000CD010000}"/>
    <cellStyle name="Comma 5 2 2 11" xfId="1421" xr:uid="{00000000-0005-0000-0000-0000CE010000}"/>
    <cellStyle name="Comma 5 2 2 11 2" xfId="10798" xr:uid="{00000000-0005-0000-0000-0000CF010000}"/>
    <cellStyle name="Comma 5 2 2 11 2 2" xfId="36353" xr:uid="{00000000-0005-0000-0000-0000D0010000}"/>
    <cellStyle name="Comma 5 2 2 11 3" xfId="20802" xr:uid="{00000000-0005-0000-0000-0000D1010000}"/>
    <cellStyle name="Comma 5 2 2 11 3 2" xfId="46355" xr:uid="{00000000-0005-0000-0000-0000D2010000}"/>
    <cellStyle name="Comma 5 2 2 11 4" xfId="27285" xr:uid="{00000000-0005-0000-0000-0000D3010000}"/>
    <cellStyle name="Comma 5 2 2 12" xfId="5530" xr:uid="{00000000-0005-0000-0000-0000D4010000}"/>
    <cellStyle name="Comma 5 2 2 12 2" xfId="14357" xr:uid="{00000000-0005-0000-0000-0000D5010000}"/>
    <cellStyle name="Comma 5 2 2 12 2 2" xfId="39912" xr:uid="{00000000-0005-0000-0000-0000D6010000}"/>
    <cellStyle name="Comma 5 2 2 12 3" xfId="24608" xr:uid="{00000000-0005-0000-0000-0000D7010000}"/>
    <cellStyle name="Comma 5 2 2 12 3 2" xfId="50161" xr:uid="{00000000-0005-0000-0000-0000D8010000}"/>
    <cellStyle name="Comma 5 2 2 12 4" xfId="31091" xr:uid="{00000000-0005-0000-0000-0000D9010000}"/>
    <cellStyle name="Comma 5 2 2 13" xfId="6974" xr:uid="{00000000-0005-0000-0000-0000DA010000}"/>
    <cellStyle name="Comma 5 2 2 13 2" xfId="19585" xr:uid="{00000000-0005-0000-0000-0000DB010000}"/>
    <cellStyle name="Comma 5 2 2 13 2 2" xfId="45138" xr:uid="{00000000-0005-0000-0000-0000DC010000}"/>
    <cellStyle name="Comma 5 2 2 13 3" xfId="32531" xr:uid="{00000000-0005-0000-0000-0000DD010000}"/>
    <cellStyle name="Comma 5 2 2 14" xfId="15795" xr:uid="{00000000-0005-0000-0000-0000DE010000}"/>
    <cellStyle name="Comma 5 2 2 14 2" xfId="41348" xr:uid="{00000000-0005-0000-0000-0000DF010000}"/>
    <cellStyle name="Comma 5 2 2 15" xfId="26068" xr:uid="{00000000-0005-0000-0000-0000E0010000}"/>
    <cellStyle name="Comma 5 2 2 2" xfId="156" xr:uid="{00000000-0005-0000-0000-0000E1010000}"/>
    <cellStyle name="Comma 5 2 2 2 10" xfId="5662" xr:uid="{00000000-0005-0000-0000-0000E2010000}"/>
    <cellStyle name="Comma 5 2 2 2 10 2" xfId="14489" xr:uid="{00000000-0005-0000-0000-0000E3010000}"/>
    <cellStyle name="Comma 5 2 2 2 10 2 2" xfId="40044" xr:uid="{00000000-0005-0000-0000-0000E4010000}"/>
    <cellStyle name="Comma 5 2 2 2 10 3" xfId="24740" xr:uid="{00000000-0005-0000-0000-0000E5010000}"/>
    <cellStyle name="Comma 5 2 2 2 10 3 2" xfId="50293" xr:uid="{00000000-0005-0000-0000-0000E6010000}"/>
    <cellStyle name="Comma 5 2 2 2 10 4" xfId="31223" xr:uid="{00000000-0005-0000-0000-0000E7010000}"/>
    <cellStyle name="Comma 5 2 2 2 11" xfId="7106" xr:uid="{00000000-0005-0000-0000-0000E8010000}"/>
    <cellStyle name="Comma 5 2 2 2 11 2" xfId="19615" xr:uid="{00000000-0005-0000-0000-0000E9010000}"/>
    <cellStyle name="Comma 5 2 2 2 11 2 2" xfId="45168" xr:uid="{00000000-0005-0000-0000-0000EA010000}"/>
    <cellStyle name="Comma 5 2 2 2 11 3" xfId="32663" xr:uid="{00000000-0005-0000-0000-0000EB010000}"/>
    <cellStyle name="Comma 5 2 2 2 12" xfId="15852" xr:uid="{00000000-0005-0000-0000-0000EC010000}"/>
    <cellStyle name="Comma 5 2 2 2 12 2" xfId="41405" xr:uid="{00000000-0005-0000-0000-0000ED010000}"/>
    <cellStyle name="Comma 5 2 2 2 13" xfId="26098" xr:uid="{00000000-0005-0000-0000-0000EE010000}"/>
    <cellStyle name="Comma 5 2 2 2 2" xfId="268" xr:uid="{00000000-0005-0000-0000-0000EF010000}"/>
    <cellStyle name="Comma 5 2 2 2 2 10" xfId="16056" xr:uid="{00000000-0005-0000-0000-0000F0010000}"/>
    <cellStyle name="Comma 5 2 2 2 2 10 2" xfId="41609" xr:uid="{00000000-0005-0000-0000-0000F1010000}"/>
    <cellStyle name="Comma 5 2 2 2 2 11" xfId="26202" xr:uid="{00000000-0005-0000-0000-0000F2010000}"/>
    <cellStyle name="Comma 5 2 2 2 2 2" xfId="590" xr:uid="{00000000-0005-0000-0000-0000F3010000}"/>
    <cellStyle name="Comma 5 2 2 2 2 2 2" xfId="3076" xr:uid="{00000000-0005-0000-0000-0000F4010000}"/>
    <cellStyle name="Comma 5 2 2 2 2 2 2 2" xfId="12223" xr:uid="{00000000-0005-0000-0000-0000F5010000}"/>
    <cellStyle name="Comma 5 2 2 2 2 2 2 2 2" xfId="22437" xr:uid="{00000000-0005-0000-0000-0000F6010000}"/>
    <cellStyle name="Comma 5 2 2 2 2 2 2 2 2 2" xfId="47990" xr:uid="{00000000-0005-0000-0000-0000F7010000}"/>
    <cellStyle name="Comma 5 2 2 2 2 2 2 2 3" xfId="37778" xr:uid="{00000000-0005-0000-0000-0000F8010000}"/>
    <cellStyle name="Comma 5 2 2 2 2 2 2 3" xfId="8645" xr:uid="{00000000-0005-0000-0000-0000F9010000}"/>
    <cellStyle name="Comma 5 2 2 2 2 2 2 3 2" xfId="34202" xr:uid="{00000000-0005-0000-0000-0000FA010000}"/>
    <cellStyle name="Comma 5 2 2 2 2 2 2 4" xfId="17430" xr:uid="{00000000-0005-0000-0000-0000FB010000}"/>
    <cellStyle name="Comma 5 2 2 2 2 2 2 4 2" xfId="42983" xr:uid="{00000000-0005-0000-0000-0000FC010000}"/>
    <cellStyle name="Comma 5 2 2 2 2 2 2 5" xfId="28920" xr:uid="{00000000-0005-0000-0000-0000FD010000}"/>
    <cellStyle name="Comma 5 2 2 2 2 2 3" xfId="4437" xr:uid="{00000000-0005-0000-0000-0000FE010000}"/>
    <cellStyle name="Comma 5 2 2 2 2 2 3 2" xfId="13275" xr:uid="{00000000-0005-0000-0000-0000FF010000}"/>
    <cellStyle name="Comma 5 2 2 2 2 2 3 2 2" xfId="23526" xr:uid="{00000000-0005-0000-0000-000000020000}"/>
    <cellStyle name="Comma 5 2 2 2 2 2 3 2 2 2" xfId="49079" xr:uid="{00000000-0005-0000-0000-000001020000}"/>
    <cellStyle name="Comma 5 2 2 2 2 2 3 2 3" xfId="38830" xr:uid="{00000000-0005-0000-0000-000002020000}"/>
    <cellStyle name="Comma 5 2 2 2 2 2 3 3" xfId="9696" xr:uid="{00000000-0005-0000-0000-000003020000}"/>
    <cellStyle name="Comma 5 2 2 2 2 2 3 3 2" xfId="35253" xr:uid="{00000000-0005-0000-0000-000004020000}"/>
    <cellStyle name="Comma 5 2 2 2 2 2 3 4" xfId="18519" xr:uid="{00000000-0005-0000-0000-000005020000}"/>
    <cellStyle name="Comma 5 2 2 2 2 2 3 4 2" xfId="44072" xr:uid="{00000000-0005-0000-0000-000006020000}"/>
    <cellStyle name="Comma 5 2 2 2 2 2 3 5" xfId="30009" xr:uid="{00000000-0005-0000-0000-000007020000}"/>
    <cellStyle name="Comma 5 2 2 2 2 2 4" xfId="2185" xr:uid="{00000000-0005-0000-0000-000008020000}"/>
    <cellStyle name="Comma 5 2 2 2 2 2 4 2" xfId="11550" xr:uid="{00000000-0005-0000-0000-000009020000}"/>
    <cellStyle name="Comma 5 2 2 2 2 2 4 2 2" xfId="37105" xr:uid="{00000000-0005-0000-0000-00000A020000}"/>
    <cellStyle name="Comma 5 2 2 2 2 2 4 3" xfId="21554" xr:uid="{00000000-0005-0000-0000-00000B020000}"/>
    <cellStyle name="Comma 5 2 2 2 2 2 4 3 2" xfId="47107" xr:uid="{00000000-0005-0000-0000-00000C020000}"/>
    <cellStyle name="Comma 5 2 2 2 2 2 4 4" xfId="28037" xr:uid="{00000000-0005-0000-0000-00000D020000}"/>
    <cellStyle name="Comma 5 2 2 2 2 2 5" xfId="5893" xr:uid="{00000000-0005-0000-0000-00000E020000}"/>
    <cellStyle name="Comma 5 2 2 2 2 2 5 2" xfId="14720" xr:uid="{00000000-0005-0000-0000-00000F020000}"/>
    <cellStyle name="Comma 5 2 2 2 2 2 5 2 2" xfId="40275" xr:uid="{00000000-0005-0000-0000-000010020000}"/>
    <cellStyle name="Comma 5 2 2 2 2 2 5 3" xfId="24971" xr:uid="{00000000-0005-0000-0000-000011020000}"/>
    <cellStyle name="Comma 5 2 2 2 2 2 5 3 2" xfId="50524" xr:uid="{00000000-0005-0000-0000-000012020000}"/>
    <cellStyle name="Comma 5 2 2 2 2 2 5 4" xfId="31454" xr:uid="{00000000-0005-0000-0000-000013020000}"/>
    <cellStyle name="Comma 5 2 2 2 2 2 6" xfId="7337" xr:uid="{00000000-0005-0000-0000-000014020000}"/>
    <cellStyle name="Comma 5 2 2 2 2 2 6 2" xfId="20036" xr:uid="{00000000-0005-0000-0000-000015020000}"/>
    <cellStyle name="Comma 5 2 2 2 2 2 6 2 2" xfId="45589" xr:uid="{00000000-0005-0000-0000-000016020000}"/>
    <cellStyle name="Comma 5 2 2 2 2 2 6 3" xfId="32894" xr:uid="{00000000-0005-0000-0000-000017020000}"/>
    <cellStyle name="Comma 5 2 2 2 2 2 7" xfId="16547" xr:uid="{00000000-0005-0000-0000-000018020000}"/>
    <cellStyle name="Comma 5 2 2 2 2 2 7 2" xfId="42100" xr:uid="{00000000-0005-0000-0000-000019020000}"/>
    <cellStyle name="Comma 5 2 2 2 2 2 8" xfId="26519" xr:uid="{00000000-0005-0000-0000-00001A020000}"/>
    <cellStyle name="Comma 5 2 2 2 2 3" xfId="622" xr:uid="{00000000-0005-0000-0000-00001B020000}"/>
    <cellStyle name="Comma 5 2 2 2 2 3 2" xfId="3108" xr:uid="{00000000-0005-0000-0000-00001C020000}"/>
    <cellStyle name="Comma 5 2 2 2 2 3 2 2" xfId="12251" xr:uid="{00000000-0005-0000-0000-00001D020000}"/>
    <cellStyle name="Comma 5 2 2 2 2 3 2 2 2" xfId="22469" xr:uid="{00000000-0005-0000-0000-00001E020000}"/>
    <cellStyle name="Comma 5 2 2 2 2 3 2 2 2 2" xfId="48022" xr:uid="{00000000-0005-0000-0000-00001F020000}"/>
    <cellStyle name="Comma 5 2 2 2 2 3 2 2 3" xfId="37806" xr:uid="{00000000-0005-0000-0000-000020020000}"/>
    <cellStyle name="Comma 5 2 2 2 2 3 2 3" xfId="8673" xr:uid="{00000000-0005-0000-0000-000021020000}"/>
    <cellStyle name="Comma 5 2 2 2 2 3 2 3 2" xfId="34230" xr:uid="{00000000-0005-0000-0000-000022020000}"/>
    <cellStyle name="Comma 5 2 2 2 2 3 2 4" xfId="17462" xr:uid="{00000000-0005-0000-0000-000023020000}"/>
    <cellStyle name="Comma 5 2 2 2 2 3 2 4 2" xfId="43015" xr:uid="{00000000-0005-0000-0000-000024020000}"/>
    <cellStyle name="Comma 5 2 2 2 2 3 2 5" xfId="28952" xr:uid="{00000000-0005-0000-0000-000025020000}"/>
    <cellStyle name="Comma 5 2 2 2 2 3 3" xfId="4786" xr:uid="{00000000-0005-0000-0000-000026020000}"/>
    <cellStyle name="Comma 5 2 2 2 2 3 3 2" xfId="13623" xr:uid="{00000000-0005-0000-0000-000027020000}"/>
    <cellStyle name="Comma 5 2 2 2 2 3 3 2 2" xfId="23874" xr:uid="{00000000-0005-0000-0000-000028020000}"/>
    <cellStyle name="Comma 5 2 2 2 2 3 3 2 2 2" xfId="49427" xr:uid="{00000000-0005-0000-0000-000029020000}"/>
    <cellStyle name="Comma 5 2 2 2 2 3 3 2 3" xfId="39178" xr:uid="{00000000-0005-0000-0000-00002A020000}"/>
    <cellStyle name="Comma 5 2 2 2 2 3 3 3" xfId="10044" xr:uid="{00000000-0005-0000-0000-00002B020000}"/>
    <cellStyle name="Comma 5 2 2 2 2 3 3 3 2" xfId="35601" xr:uid="{00000000-0005-0000-0000-00002C020000}"/>
    <cellStyle name="Comma 5 2 2 2 2 3 3 4" xfId="18867" xr:uid="{00000000-0005-0000-0000-00002D020000}"/>
    <cellStyle name="Comma 5 2 2 2 2 3 3 4 2" xfId="44420" xr:uid="{00000000-0005-0000-0000-00002E020000}"/>
    <cellStyle name="Comma 5 2 2 2 2 3 3 5" xfId="30357" xr:uid="{00000000-0005-0000-0000-00002F020000}"/>
    <cellStyle name="Comma 5 2 2 2 2 3 4" xfId="2217" xr:uid="{00000000-0005-0000-0000-000030020000}"/>
    <cellStyle name="Comma 5 2 2 2 2 3 4 2" xfId="11582" xr:uid="{00000000-0005-0000-0000-000031020000}"/>
    <cellStyle name="Comma 5 2 2 2 2 3 4 2 2" xfId="37137" xr:uid="{00000000-0005-0000-0000-000032020000}"/>
    <cellStyle name="Comma 5 2 2 2 2 3 4 3" xfId="21586" xr:uid="{00000000-0005-0000-0000-000033020000}"/>
    <cellStyle name="Comma 5 2 2 2 2 3 4 3 2" xfId="47139" xr:uid="{00000000-0005-0000-0000-000034020000}"/>
    <cellStyle name="Comma 5 2 2 2 2 3 4 4" xfId="28069" xr:uid="{00000000-0005-0000-0000-000035020000}"/>
    <cellStyle name="Comma 5 2 2 2 2 3 5" xfId="6241" xr:uid="{00000000-0005-0000-0000-000036020000}"/>
    <cellStyle name="Comma 5 2 2 2 2 3 5 2" xfId="15068" xr:uid="{00000000-0005-0000-0000-000037020000}"/>
    <cellStyle name="Comma 5 2 2 2 2 3 5 2 2" xfId="40623" xr:uid="{00000000-0005-0000-0000-000038020000}"/>
    <cellStyle name="Comma 5 2 2 2 2 3 5 3" xfId="25319" xr:uid="{00000000-0005-0000-0000-000039020000}"/>
    <cellStyle name="Comma 5 2 2 2 2 3 5 3 2" xfId="50872" xr:uid="{00000000-0005-0000-0000-00003A020000}"/>
    <cellStyle name="Comma 5 2 2 2 2 3 5 4" xfId="31802" xr:uid="{00000000-0005-0000-0000-00003B020000}"/>
    <cellStyle name="Comma 5 2 2 2 2 3 6" xfId="7687" xr:uid="{00000000-0005-0000-0000-00003C020000}"/>
    <cellStyle name="Comma 5 2 2 2 2 3 6 2" xfId="20068" xr:uid="{00000000-0005-0000-0000-00003D020000}"/>
    <cellStyle name="Comma 5 2 2 2 2 3 6 2 2" xfId="45621" xr:uid="{00000000-0005-0000-0000-00003E020000}"/>
    <cellStyle name="Comma 5 2 2 2 2 3 6 3" xfId="33244" xr:uid="{00000000-0005-0000-0000-00003F020000}"/>
    <cellStyle name="Comma 5 2 2 2 2 3 7" xfId="16579" xr:uid="{00000000-0005-0000-0000-000040020000}"/>
    <cellStyle name="Comma 5 2 2 2 2 3 7 2" xfId="42132" xr:uid="{00000000-0005-0000-0000-000041020000}"/>
    <cellStyle name="Comma 5 2 2 2 2 3 8" xfId="26551" xr:uid="{00000000-0005-0000-0000-000042020000}"/>
    <cellStyle name="Comma 5 2 2 2 2 4" xfId="1362" xr:uid="{00000000-0005-0000-0000-000043020000}"/>
    <cellStyle name="Comma 5 2 2 2 2 4 2" xfId="3791" xr:uid="{00000000-0005-0000-0000-000044020000}"/>
    <cellStyle name="Comma 5 2 2 2 2 4 2 2" xfId="12927" xr:uid="{00000000-0005-0000-0000-000045020000}"/>
    <cellStyle name="Comma 5 2 2 2 2 4 2 2 2" xfId="23146" xr:uid="{00000000-0005-0000-0000-000046020000}"/>
    <cellStyle name="Comma 5 2 2 2 2 4 2 2 2 2" xfId="48699" xr:uid="{00000000-0005-0000-0000-000047020000}"/>
    <cellStyle name="Comma 5 2 2 2 2 4 2 2 3" xfId="38482" xr:uid="{00000000-0005-0000-0000-000048020000}"/>
    <cellStyle name="Comma 5 2 2 2 2 4 2 3" xfId="9348" xr:uid="{00000000-0005-0000-0000-000049020000}"/>
    <cellStyle name="Comma 5 2 2 2 2 4 2 3 2" xfId="34905" xr:uid="{00000000-0005-0000-0000-00004A020000}"/>
    <cellStyle name="Comma 5 2 2 2 2 4 2 4" xfId="18139" xr:uid="{00000000-0005-0000-0000-00004B020000}"/>
    <cellStyle name="Comma 5 2 2 2 2 4 2 4 2" xfId="43692" xr:uid="{00000000-0005-0000-0000-00004C020000}"/>
    <cellStyle name="Comma 5 2 2 2 2 4 2 5" xfId="29629" xr:uid="{00000000-0005-0000-0000-00004D020000}"/>
    <cellStyle name="Comma 5 2 2 2 2 4 3" xfId="5454" xr:uid="{00000000-0005-0000-0000-00004E020000}"/>
    <cellStyle name="Comma 5 2 2 2 2 4 3 2" xfId="14291" xr:uid="{00000000-0005-0000-0000-00004F020000}"/>
    <cellStyle name="Comma 5 2 2 2 2 4 3 2 2" xfId="24542" xr:uid="{00000000-0005-0000-0000-000050020000}"/>
    <cellStyle name="Comma 5 2 2 2 2 4 3 2 2 2" xfId="50095" xr:uid="{00000000-0005-0000-0000-000051020000}"/>
    <cellStyle name="Comma 5 2 2 2 2 4 3 2 3" xfId="39846" xr:uid="{00000000-0005-0000-0000-000052020000}"/>
    <cellStyle name="Comma 5 2 2 2 2 4 3 3" xfId="10712" xr:uid="{00000000-0005-0000-0000-000053020000}"/>
    <cellStyle name="Comma 5 2 2 2 2 4 3 3 2" xfId="36269" xr:uid="{00000000-0005-0000-0000-000054020000}"/>
    <cellStyle name="Comma 5 2 2 2 2 4 3 4" xfId="19535" xr:uid="{00000000-0005-0000-0000-000055020000}"/>
    <cellStyle name="Comma 5 2 2 2 2 4 3 4 2" xfId="45088" xr:uid="{00000000-0005-0000-0000-000056020000}"/>
    <cellStyle name="Comma 5 2 2 2 2 4 3 5" xfId="31025" xr:uid="{00000000-0005-0000-0000-000057020000}"/>
    <cellStyle name="Comma 5 2 2 2 2 4 4" xfId="1865" xr:uid="{00000000-0005-0000-0000-000058020000}"/>
    <cellStyle name="Comma 5 2 2 2 2 4 4 2" xfId="11233" xr:uid="{00000000-0005-0000-0000-000059020000}"/>
    <cellStyle name="Comma 5 2 2 2 2 4 4 2 2" xfId="36788" xr:uid="{00000000-0005-0000-0000-00005A020000}"/>
    <cellStyle name="Comma 5 2 2 2 2 4 4 3" xfId="21237" xr:uid="{00000000-0005-0000-0000-00005B020000}"/>
    <cellStyle name="Comma 5 2 2 2 2 4 4 3 2" xfId="46790" xr:uid="{00000000-0005-0000-0000-00005C020000}"/>
    <cellStyle name="Comma 5 2 2 2 2 4 4 4" xfId="27720" xr:uid="{00000000-0005-0000-0000-00005D020000}"/>
    <cellStyle name="Comma 5 2 2 2 2 4 5" xfId="6909" xr:uid="{00000000-0005-0000-0000-00005E020000}"/>
    <cellStyle name="Comma 5 2 2 2 2 4 5 2" xfId="15736" xr:uid="{00000000-0005-0000-0000-00005F020000}"/>
    <cellStyle name="Comma 5 2 2 2 2 4 5 2 2" xfId="41291" xr:uid="{00000000-0005-0000-0000-000060020000}"/>
    <cellStyle name="Comma 5 2 2 2 2 4 5 3" xfId="25987" xr:uid="{00000000-0005-0000-0000-000061020000}"/>
    <cellStyle name="Comma 5 2 2 2 2 4 5 3 2" xfId="51540" xr:uid="{00000000-0005-0000-0000-000062020000}"/>
    <cellStyle name="Comma 5 2 2 2 2 4 5 4" xfId="32470" xr:uid="{00000000-0005-0000-0000-000063020000}"/>
    <cellStyle name="Comma 5 2 2 2 2 4 6" xfId="8355" xr:uid="{00000000-0005-0000-0000-000064020000}"/>
    <cellStyle name="Comma 5 2 2 2 2 4 6 2" xfId="20745" xr:uid="{00000000-0005-0000-0000-000065020000}"/>
    <cellStyle name="Comma 5 2 2 2 2 4 6 2 2" xfId="46298" xr:uid="{00000000-0005-0000-0000-000066020000}"/>
    <cellStyle name="Comma 5 2 2 2 2 4 6 3" xfId="33912" xr:uid="{00000000-0005-0000-0000-000067020000}"/>
    <cellStyle name="Comma 5 2 2 2 2 4 7" xfId="16230" xr:uid="{00000000-0005-0000-0000-000068020000}"/>
    <cellStyle name="Comma 5 2 2 2 2 4 7 2" xfId="41783" xr:uid="{00000000-0005-0000-0000-000069020000}"/>
    <cellStyle name="Comma 5 2 2 2 2 4 8" xfId="27228" xr:uid="{00000000-0005-0000-0000-00006A020000}"/>
    <cellStyle name="Comma 5 2 2 2 2 5" xfId="2759" xr:uid="{00000000-0005-0000-0000-00006B020000}"/>
    <cellStyle name="Comma 5 2 2 2 2 5 2" xfId="12076" xr:uid="{00000000-0005-0000-0000-00006C020000}"/>
    <cellStyle name="Comma 5 2 2 2 2 5 2 2" xfId="22120" xr:uid="{00000000-0005-0000-0000-00006D020000}"/>
    <cellStyle name="Comma 5 2 2 2 2 5 2 2 2" xfId="47673" xr:uid="{00000000-0005-0000-0000-00006E020000}"/>
    <cellStyle name="Comma 5 2 2 2 2 5 2 3" xfId="37631" xr:uid="{00000000-0005-0000-0000-00006F020000}"/>
    <cellStyle name="Comma 5 2 2 2 2 5 3" xfId="8410" xr:uid="{00000000-0005-0000-0000-000070020000}"/>
    <cellStyle name="Comma 5 2 2 2 2 5 3 2" xfId="33967" xr:uid="{00000000-0005-0000-0000-000071020000}"/>
    <cellStyle name="Comma 5 2 2 2 2 5 4" xfId="17113" xr:uid="{00000000-0005-0000-0000-000072020000}"/>
    <cellStyle name="Comma 5 2 2 2 2 5 4 2" xfId="42666" xr:uid="{00000000-0005-0000-0000-000073020000}"/>
    <cellStyle name="Comma 5 2 2 2 2 5 5" xfId="28603" xr:uid="{00000000-0005-0000-0000-000074020000}"/>
    <cellStyle name="Comma 5 2 2 2 2 6" xfId="4410" xr:uid="{00000000-0005-0000-0000-000075020000}"/>
    <cellStyle name="Comma 5 2 2 2 2 6 2" xfId="13248" xr:uid="{00000000-0005-0000-0000-000076020000}"/>
    <cellStyle name="Comma 5 2 2 2 2 6 2 2" xfId="23499" xr:uid="{00000000-0005-0000-0000-000077020000}"/>
    <cellStyle name="Comma 5 2 2 2 2 6 2 2 2" xfId="49052" xr:uid="{00000000-0005-0000-0000-000078020000}"/>
    <cellStyle name="Comma 5 2 2 2 2 6 2 3" xfId="38803" xr:uid="{00000000-0005-0000-0000-000079020000}"/>
    <cellStyle name="Comma 5 2 2 2 2 6 3" xfId="9669" xr:uid="{00000000-0005-0000-0000-00007A020000}"/>
    <cellStyle name="Comma 5 2 2 2 2 6 3 2" xfId="35226" xr:uid="{00000000-0005-0000-0000-00007B020000}"/>
    <cellStyle name="Comma 5 2 2 2 2 6 4" xfId="18492" xr:uid="{00000000-0005-0000-0000-00007C020000}"/>
    <cellStyle name="Comma 5 2 2 2 2 6 4 2" xfId="44045" xr:uid="{00000000-0005-0000-0000-00007D020000}"/>
    <cellStyle name="Comma 5 2 2 2 2 6 5" xfId="29982" xr:uid="{00000000-0005-0000-0000-00007E020000}"/>
    <cellStyle name="Comma 5 2 2 2 2 7" xfId="1682" xr:uid="{00000000-0005-0000-0000-00007F020000}"/>
    <cellStyle name="Comma 5 2 2 2 2 7 2" xfId="11059" xr:uid="{00000000-0005-0000-0000-000080020000}"/>
    <cellStyle name="Comma 5 2 2 2 2 7 2 2" xfId="36614" xr:uid="{00000000-0005-0000-0000-000081020000}"/>
    <cellStyle name="Comma 5 2 2 2 2 7 3" xfId="21063" xr:uid="{00000000-0005-0000-0000-000082020000}"/>
    <cellStyle name="Comma 5 2 2 2 2 7 3 2" xfId="46616" xr:uid="{00000000-0005-0000-0000-000083020000}"/>
    <cellStyle name="Comma 5 2 2 2 2 7 4" xfId="27546" xr:uid="{00000000-0005-0000-0000-000084020000}"/>
    <cellStyle name="Comma 5 2 2 2 2 8" xfId="5866" xr:uid="{00000000-0005-0000-0000-000085020000}"/>
    <cellStyle name="Comma 5 2 2 2 2 8 2" xfId="14693" xr:uid="{00000000-0005-0000-0000-000086020000}"/>
    <cellStyle name="Comma 5 2 2 2 2 8 2 2" xfId="40248" xr:uid="{00000000-0005-0000-0000-000087020000}"/>
    <cellStyle name="Comma 5 2 2 2 2 8 3" xfId="24944" xr:uid="{00000000-0005-0000-0000-000088020000}"/>
    <cellStyle name="Comma 5 2 2 2 2 8 3 2" xfId="50497" xr:uid="{00000000-0005-0000-0000-000089020000}"/>
    <cellStyle name="Comma 5 2 2 2 2 8 4" xfId="31427" xr:uid="{00000000-0005-0000-0000-00008A020000}"/>
    <cellStyle name="Comma 5 2 2 2 2 9" xfId="7310" xr:uid="{00000000-0005-0000-0000-00008B020000}"/>
    <cellStyle name="Comma 5 2 2 2 2 9 2" xfId="19719" xr:uid="{00000000-0005-0000-0000-00008C020000}"/>
    <cellStyle name="Comma 5 2 2 2 2 9 2 2" xfId="45272" xr:uid="{00000000-0005-0000-0000-00008D020000}"/>
    <cellStyle name="Comma 5 2 2 2 2 9 3" xfId="32867" xr:uid="{00000000-0005-0000-0000-00008E020000}"/>
    <cellStyle name="Comma 5 2 2 2 3" xfId="486" xr:uid="{00000000-0005-0000-0000-00008F020000}"/>
    <cellStyle name="Comma 5 2 2 2 3 10" xfId="26415" xr:uid="{00000000-0005-0000-0000-000090020000}"/>
    <cellStyle name="Comma 5 2 2 2 3 2" xfId="623" xr:uid="{00000000-0005-0000-0000-000091020000}"/>
    <cellStyle name="Comma 5 2 2 2 3 2 2" xfId="3109" xr:uid="{00000000-0005-0000-0000-000092020000}"/>
    <cellStyle name="Comma 5 2 2 2 3 2 2 2" xfId="12252" xr:uid="{00000000-0005-0000-0000-000093020000}"/>
    <cellStyle name="Comma 5 2 2 2 3 2 2 2 2" xfId="22470" xr:uid="{00000000-0005-0000-0000-000094020000}"/>
    <cellStyle name="Comma 5 2 2 2 3 2 2 2 2 2" xfId="48023" xr:uid="{00000000-0005-0000-0000-000095020000}"/>
    <cellStyle name="Comma 5 2 2 2 3 2 2 2 3" xfId="37807" xr:uid="{00000000-0005-0000-0000-000096020000}"/>
    <cellStyle name="Comma 5 2 2 2 3 2 2 3" xfId="8674" xr:uid="{00000000-0005-0000-0000-000097020000}"/>
    <cellStyle name="Comma 5 2 2 2 3 2 2 3 2" xfId="34231" xr:uid="{00000000-0005-0000-0000-000098020000}"/>
    <cellStyle name="Comma 5 2 2 2 3 2 2 4" xfId="17463" xr:uid="{00000000-0005-0000-0000-000099020000}"/>
    <cellStyle name="Comma 5 2 2 2 3 2 2 4 2" xfId="43016" xr:uid="{00000000-0005-0000-0000-00009A020000}"/>
    <cellStyle name="Comma 5 2 2 2 3 2 2 5" xfId="28953" xr:uid="{00000000-0005-0000-0000-00009B020000}"/>
    <cellStyle name="Comma 5 2 2 2 3 2 3" xfId="4438" xr:uid="{00000000-0005-0000-0000-00009C020000}"/>
    <cellStyle name="Comma 5 2 2 2 3 2 3 2" xfId="13276" xr:uid="{00000000-0005-0000-0000-00009D020000}"/>
    <cellStyle name="Comma 5 2 2 2 3 2 3 2 2" xfId="23527" xr:uid="{00000000-0005-0000-0000-00009E020000}"/>
    <cellStyle name="Comma 5 2 2 2 3 2 3 2 2 2" xfId="49080" xr:uid="{00000000-0005-0000-0000-00009F020000}"/>
    <cellStyle name="Comma 5 2 2 2 3 2 3 2 3" xfId="38831" xr:uid="{00000000-0005-0000-0000-0000A0020000}"/>
    <cellStyle name="Comma 5 2 2 2 3 2 3 3" xfId="9697" xr:uid="{00000000-0005-0000-0000-0000A1020000}"/>
    <cellStyle name="Comma 5 2 2 2 3 2 3 3 2" xfId="35254" xr:uid="{00000000-0005-0000-0000-0000A2020000}"/>
    <cellStyle name="Comma 5 2 2 2 3 2 3 4" xfId="18520" xr:uid="{00000000-0005-0000-0000-0000A3020000}"/>
    <cellStyle name="Comma 5 2 2 2 3 2 3 4 2" xfId="44073" xr:uid="{00000000-0005-0000-0000-0000A4020000}"/>
    <cellStyle name="Comma 5 2 2 2 3 2 3 5" xfId="30010" xr:uid="{00000000-0005-0000-0000-0000A5020000}"/>
    <cellStyle name="Comma 5 2 2 2 3 2 4" xfId="2218" xr:uid="{00000000-0005-0000-0000-0000A6020000}"/>
    <cellStyle name="Comma 5 2 2 2 3 2 4 2" xfId="11583" xr:uid="{00000000-0005-0000-0000-0000A7020000}"/>
    <cellStyle name="Comma 5 2 2 2 3 2 4 2 2" xfId="37138" xr:uid="{00000000-0005-0000-0000-0000A8020000}"/>
    <cellStyle name="Comma 5 2 2 2 3 2 4 3" xfId="21587" xr:uid="{00000000-0005-0000-0000-0000A9020000}"/>
    <cellStyle name="Comma 5 2 2 2 3 2 4 3 2" xfId="47140" xr:uid="{00000000-0005-0000-0000-0000AA020000}"/>
    <cellStyle name="Comma 5 2 2 2 3 2 4 4" xfId="28070" xr:uid="{00000000-0005-0000-0000-0000AB020000}"/>
    <cellStyle name="Comma 5 2 2 2 3 2 5" xfId="5894" xr:uid="{00000000-0005-0000-0000-0000AC020000}"/>
    <cellStyle name="Comma 5 2 2 2 3 2 5 2" xfId="14721" xr:uid="{00000000-0005-0000-0000-0000AD020000}"/>
    <cellStyle name="Comma 5 2 2 2 3 2 5 2 2" xfId="40276" xr:uid="{00000000-0005-0000-0000-0000AE020000}"/>
    <cellStyle name="Comma 5 2 2 2 3 2 5 3" xfId="24972" xr:uid="{00000000-0005-0000-0000-0000AF020000}"/>
    <cellStyle name="Comma 5 2 2 2 3 2 5 3 2" xfId="50525" xr:uid="{00000000-0005-0000-0000-0000B0020000}"/>
    <cellStyle name="Comma 5 2 2 2 3 2 5 4" xfId="31455" xr:uid="{00000000-0005-0000-0000-0000B1020000}"/>
    <cellStyle name="Comma 5 2 2 2 3 2 6" xfId="7338" xr:uid="{00000000-0005-0000-0000-0000B2020000}"/>
    <cellStyle name="Comma 5 2 2 2 3 2 6 2" xfId="20069" xr:uid="{00000000-0005-0000-0000-0000B3020000}"/>
    <cellStyle name="Comma 5 2 2 2 3 2 6 2 2" xfId="45622" xr:uid="{00000000-0005-0000-0000-0000B4020000}"/>
    <cellStyle name="Comma 5 2 2 2 3 2 6 3" xfId="32895" xr:uid="{00000000-0005-0000-0000-0000B5020000}"/>
    <cellStyle name="Comma 5 2 2 2 3 2 7" xfId="16580" xr:uid="{00000000-0005-0000-0000-0000B6020000}"/>
    <cellStyle name="Comma 5 2 2 2 3 2 7 2" xfId="42133" xr:uid="{00000000-0005-0000-0000-0000B7020000}"/>
    <cellStyle name="Comma 5 2 2 2 3 2 8" xfId="26552" xr:uid="{00000000-0005-0000-0000-0000B8020000}"/>
    <cellStyle name="Comma 5 2 2 2 3 3" xfId="1258" xr:uid="{00000000-0005-0000-0000-0000B9020000}"/>
    <cellStyle name="Comma 5 2 2 2 3 3 2" xfId="3687" xr:uid="{00000000-0005-0000-0000-0000BA020000}"/>
    <cellStyle name="Comma 5 2 2 2 3 3 2 2" xfId="12823" xr:uid="{00000000-0005-0000-0000-0000BB020000}"/>
    <cellStyle name="Comma 5 2 2 2 3 3 2 2 2" xfId="23042" xr:uid="{00000000-0005-0000-0000-0000BC020000}"/>
    <cellStyle name="Comma 5 2 2 2 3 3 2 2 2 2" xfId="48595" xr:uid="{00000000-0005-0000-0000-0000BD020000}"/>
    <cellStyle name="Comma 5 2 2 2 3 3 2 2 3" xfId="38378" xr:uid="{00000000-0005-0000-0000-0000BE020000}"/>
    <cellStyle name="Comma 5 2 2 2 3 3 2 3" xfId="9244" xr:uid="{00000000-0005-0000-0000-0000BF020000}"/>
    <cellStyle name="Comma 5 2 2 2 3 3 2 3 2" xfId="34801" xr:uid="{00000000-0005-0000-0000-0000C0020000}"/>
    <cellStyle name="Comma 5 2 2 2 3 3 2 4" xfId="18035" xr:uid="{00000000-0005-0000-0000-0000C1020000}"/>
    <cellStyle name="Comma 5 2 2 2 3 3 2 4 2" xfId="43588" xr:uid="{00000000-0005-0000-0000-0000C2020000}"/>
    <cellStyle name="Comma 5 2 2 2 3 3 2 5" xfId="29525" xr:uid="{00000000-0005-0000-0000-0000C3020000}"/>
    <cellStyle name="Comma 5 2 2 2 3 3 3" xfId="4787" xr:uid="{00000000-0005-0000-0000-0000C4020000}"/>
    <cellStyle name="Comma 5 2 2 2 3 3 3 2" xfId="13624" xr:uid="{00000000-0005-0000-0000-0000C5020000}"/>
    <cellStyle name="Comma 5 2 2 2 3 3 3 2 2" xfId="23875" xr:uid="{00000000-0005-0000-0000-0000C6020000}"/>
    <cellStyle name="Comma 5 2 2 2 3 3 3 2 2 2" xfId="49428" xr:uid="{00000000-0005-0000-0000-0000C7020000}"/>
    <cellStyle name="Comma 5 2 2 2 3 3 3 2 3" xfId="39179" xr:uid="{00000000-0005-0000-0000-0000C8020000}"/>
    <cellStyle name="Comma 5 2 2 2 3 3 3 3" xfId="10045" xr:uid="{00000000-0005-0000-0000-0000C9020000}"/>
    <cellStyle name="Comma 5 2 2 2 3 3 3 3 2" xfId="35602" xr:uid="{00000000-0005-0000-0000-0000CA020000}"/>
    <cellStyle name="Comma 5 2 2 2 3 3 3 4" xfId="18868" xr:uid="{00000000-0005-0000-0000-0000CB020000}"/>
    <cellStyle name="Comma 5 2 2 2 3 3 3 4 2" xfId="44421" xr:uid="{00000000-0005-0000-0000-0000CC020000}"/>
    <cellStyle name="Comma 5 2 2 2 3 3 3 5" xfId="30358" xr:uid="{00000000-0005-0000-0000-0000CD020000}"/>
    <cellStyle name="Comma 5 2 2 2 3 3 4" xfId="2081" xr:uid="{00000000-0005-0000-0000-0000CE020000}"/>
    <cellStyle name="Comma 5 2 2 2 3 3 4 2" xfId="11446" xr:uid="{00000000-0005-0000-0000-0000CF020000}"/>
    <cellStyle name="Comma 5 2 2 2 3 3 4 2 2" xfId="37001" xr:uid="{00000000-0005-0000-0000-0000D0020000}"/>
    <cellStyle name="Comma 5 2 2 2 3 3 4 3" xfId="21450" xr:uid="{00000000-0005-0000-0000-0000D1020000}"/>
    <cellStyle name="Comma 5 2 2 2 3 3 4 3 2" xfId="47003" xr:uid="{00000000-0005-0000-0000-0000D2020000}"/>
    <cellStyle name="Comma 5 2 2 2 3 3 4 4" xfId="27933" xr:uid="{00000000-0005-0000-0000-0000D3020000}"/>
    <cellStyle name="Comma 5 2 2 2 3 3 5" xfId="6242" xr:uid="{00000000-0005-0000-0000-0000D4020000}"/>
    <cellStyle name="Comma 5 2 2 2 3 3 5 2" xfId="15069" xr:uid="{00000000-0005-0000-0000-0000D5020000}"/>
    <cellStyle name="Comma 5 2 2 2 3 3 5 2 2" xfId="40624" xr:uid="{00000000-0005-0000-0000-0000D6020000}"/>
    <cellStyle name="Comma 5 2 2 2 3 3 5 3" xfId="25320" xr:uid="{00000000-0005-0000-0000-0000D7020000}"/>
    <cellStyle name="Comma 5 2 2 2 3 3 5 3 2" xfId="50873" xr:uid="{00000000-0005-0000-0000-0000D8020000}"/>
    <cellStyle name="Comma 5 2 2 2 3 3 5 4" xfId="31803" xr:uid="{00000000-0005-0000-0000-0000D9020000}"/>
    <cellStyle name="Comma 5 2 2 2 3 3 6" xfId="7688" xr:uid="{00000000-0005-0000-0000-0000DA020000}"/>
    <cellStyle name="Comma 5 2 2 2 3 3 6 2" xfId="20641" xr:uid="{00000000-0005-0000-0000-0000DB020000}"/>
    <cellStyle name="Comma 5 2 2 2 3 3 6 2 2" xfId="46194" xr:uid="{00000000-0005-0000-0000-0000DC020000}"/>
    <cellStyle name="Comma 5 2 2 2 3 3 6 3" xfId="33245" xr:uid="{00000000-0005-0000-0000-0000DD020000}"/>
    <cellStyle name="Comma 5 2 2 2 3 3 7" xfId="16443" xr:uid="{00000000-0005-0000-0000-0000DE020000}"/>
    <cellStyle name="Comma 5 2 2 2 3 3 7 2" xfId="41996" xr:uid="{00000000-0005-0000-0000-0000DF020000}"/>
    <cellStyle name="Comma 5 2 2 2 3 3 8" xfId="27124" xr:uid="{00000000-0005-0000-0000-0000E0020000}"/>
    <cellStyle name="Comma 5 2 2 2 3 4" xfId="2972" xr:uid="{00000000-0005-0000-0000-0000E1020000}"/>
    <cellStyle name="Comma 5 2 2 2 3 4 2" xfId="5350" xr:uid="{00000000-0005-0000-0000-0000E2020000}"/>
    <cellStyle name="Comma 5 2 2 2 3 4 2 2" xfId="14187" xr:uid="{00000000-0005-0000-0000-0000E3020000}"/>
    <cellStyle name="Comma 5 2 2 2 3 4 2 2 2" xfId="24438" xr:uid="{00000000-0005-0000-0000-0000E4020000}"/>
    <cellStyle name="Comma 5 2 2 2 3 4 2 2 2 2" xfId="49991" xr:uid="{00000000-0005-0000-0000-0000E5020000}"/>
    <cellStyle name="Comma 5 2 2 2 3 4 2 2 3" xfId="39742" xr:uid="{00000000-0005-0000-0000-0000E6020000}"/>
    <cellStyle name="Comma 5 2 2 2 3 4 2 3" xfId="10608" xr:uid="{00000000-0005-0000-0000-0000E7020000}"/>
    <cellStyle name="Comma 5 2 2 2 3 4 2 3 2" xfId="36165" xr:uid="{00000000-0005-0000-0000-0000E8020000}"/>
    <cellStyle name="Comma 5 2 2 2 3 4 2 4" xfId="19431" xr:uid="{00000000-0005-0000-0000-0000E9020000}"/>
    <cellStyle name="Comma 5 2 2 2 3 4 2 4 2" xfId="44984" xr:uid="{00000000-0005-0000-0000-0000EA020000}"/>
    <cellStyle name="Comma 5 2 2 2 3 4 2 5" xfId="30921" xr:uid="{00000000-0005-0000-0000-0000EB020000}"/>
    <cellStyle name="Comma 5 2 2 2 3 4 3" xfId="6805" xr:uid="{00000000-0005-0000-0000-0000EC020000}"/>
    <cellStyle name="Comma 5 2 2 2 3 4 3 2" xfId="15632" xr:uid="{00000000-0005-0000-0000-0000ED020000}"/>
    <cellStyle name="Comma 5 2 2 2 3 4 3 2 2" xfId="41187" xr:uid="{00000000-0005-0000-0000-0000EE020000}"/>
    <cellStyle name="Comma 5 2 2 2 3 4 3 3" xfId="25883" xr:uid="{00000000-0005-0000-0000-0000EF020000}"/>
    <cellStyle name="Comma 5 2 2 2 3 4 3 3 2" xfId="51436" xr:uid="{00000000-0005-0000-0000-0000F0020000}"/>
    <cellStyle name="Comma 5 2 2 2 3 4 3 4" xfId="32366" xr:uid="{00000000-0005-0000-0000-0000F1020000}"/>
    <cellStyle name="Comma 5 2 2 2 3 4 4" xfId="8251" xr:uid="{00000000-0005-0000-0000-0000F2020000}"/>
    <cellStyle name="Comma 5 2 2 2 3 4 4 2" xfId="22333" xr:uid="{00000000-0005-0000-0000-0000F3020000}"/>
    <cellStyle name="Comma 5 2 2 2 3 4 4 2 2" xfId="47886" xr:uid="{00000000-0005-0000-0000-0000F4020000}"/>
    <cellStyle name="Comma 5 2 2 2 3 4 4 3" xfId="33808" xr:uid="{00000000-0005-0000-0000-0000F5020000}"/>
    <cellStyle name="Comma 5 2 2 2 3 4 5" xfId="17326" xr:uid="{00000000-0005-0000-0000-0000F6020000}"/>
    <cellStyle name="Comma 5 2 2 2 3 4 5 2" xfId="42879" xr:uid="{00000000-0005-0000-0000-0000F7020000}"/>
    <cellStyle name="Comma 5 2 2 2 3 4 6" xfId="28816" xr:uid="{00000000-0005-0000-0000-0000F8020000}"/>
    <cellStyle name="Comma 5 2 2 2 3 5" xfId="4306" xr:uid="{00000000-0005-0000-0000-0000F9020000}"/>
    <cellStyle name="Comma 5 2 2 2 3 5 2" xfId="13144" xr:uid="{00000000-0005-0000-0000-0000FA020000}"/>
    <cellStyle name="Comma 5 2 2 2 3 5 2 2" xfId="23395" xr:uid="{00000000-0005-0000-0000-0000FB020000}"/>
    <cellStyle name="Comma 5 2 2 2 3 5 2 2 2" xfId="48948" xr:uid="{00000000-0005-0000-0000-0000FC020000}"/>
    <cellStyle name="Comma 5 2 2 2 3 5 2 3" xfId="38699" xr:uid="{00000000-0005-0000-0000-0000FD020000}"/>
    <cellStyle name="Comma 5 2 2 2 3 5 3" xfId="9565" xr:uid="{00000000-0005-0000-0000-0000FE020000}"/>
    <cellStyle name="Comma 5 2 2 2 3 5 3 2" xfId="35122" xr:uid="{00000000-0005-0000-0000-0000FF020000}"/>
    <cellStyle name="Comma 5 2 2 2 3 5 4" xfId="18388" xr:uid="{00000000-0005-0000-0000-000000030000}"/>
    <cellStyle name="Comma 5 2 2 2 3 5 4 2" xfId="43941" xr:uid="{00000000-0005-0000-0000-000001030000}"/>
    <cellStyle name="Comma 5 2 2 2 3 5 5" xfId="29878" xr:uid="{00000000-0005-0000-0000-000002030000}"/>
    <cellStyle name="Comma 5 2 2 2 3 6" xfId="1578" xr:uid="{00000000-0005-0000-0000-000003030000}"/>
    <cellStyle name="Comma 5 2 2 2 3 6 2" xfId="10955" xr:uid="{00000000-0005-0000-0000-000004030000}"/>
    <cellStyle name="Comma 5 2 2 2 3 6 2 2" xfId="36510" xr:uid="{00000000-0005-0000-0000-000005030000}"/>
    <cellStyle name="Comma 5 2 2 2 3 6 3" xfId="20959" xr:uid="{00000000-0005-0000-0000-000006030000}"/>
    <cellStyle name="Comma 5 2 2 2 3 6 3 2" xfId="46512" xr:uid="{00000000-0005-0000-0000-000007030000}"/>
    <cellStyle name="Comma 5 2 2 2 3 6 4" xfId="27442" xr:uid="{00000000-0005-0000-0000-000008030000}"/>
    <cellStyle name="Comma 5 2 2 2 3 7" xfId="5762" xr:uid="{00000000-0005-0000-0000-000009030000}"/>
    <cellStyle name="Comma 5 2 2 2 3 7 2" xfId="14589" xr:uid="{00000000-0005-0000-0000-00000A030000}"/>
    <cellStyle name="Comma 5 2 2 2 3 7 2 2" xfId="40144" xr:uid="{00000000-0005-0000-0000-00000B030000}"/>
    <cellStyle name="Comma 5 2 2 2 3 7 3" xfId="24840" xr:uid="{00000000-0005-0000-0000-00000C030000}"/>
    <cellStyle name="Comma 5 2 2 2 3 7 3 2" xfId="50393" xr:uid="{00000000-0005-0000-0000-00000D030000}"/>
    <cellStyle name="Comma 5 2 2 2 3 7 4" xfId="31323" xr:uid="{00000000-0005-0000-0000-00000E030000}"/>
    <cellStyle name="Comma 5 2 2 2 3 8" xfId="7206" xr:uid="{00000000-0005-0000-0000-00000F030000}"/>
    <cellStyle name="Comma 5 2 2 2 3 8 2" xfId="19932" xr:uid="{00000000-0005-0000-0000-000010030000}"/>
    <cellStyle name="Comma 5 2 2 2 3 8 2 2" xfId="45485" xr:uid="{00000000-0005-0000-0000-000011030000}"/>
    <cellStyle name="Comma 5 2 2 2 3 8 3" xfId="32763" xr:uid="{00000000-0005-0000-0000-000012030000}"/>
    <cellStyle name="Comma 5 2 2 2 3 9" xfId="15952" xr:uid="{00000000-0005-0000-0000-000013030000}"/>
    <cellStyle name="Comma 5 2 2 2 3 9 2" xfId="41505" xr:uid="{00000000-0005-0000-0000-000014030000}"/>
    <cellStyle name="Comma 5 2 2 2 4" xfId="386" xr:uid="{00000000-0005-0000-0000-000015030000}"/>
    <cellStyle name="Comma 5 2 2 2 4 2" xfId="2872" xr:uid="{00000000-0005-0000-0000-000016030000}"/>
    <cellStyle name="Comma 5 2 2 2 4 2 2" xfId="12160" xr:uid="{00000000-0005-0000-0000-000017030000}"/>
    <cellStyle name="Comma 5 2 2 2 4 2 2 2" xfId="22233" xr:uid="{00000000-0005-0000-0000-000018030000}"/>
    <cellStyle name="Comma 5 2 2 2 4 2 2 2 2" xfId="47786" xr:uid="{00000000-0005-0000-0000-000019030000}"/>
    <cellStyle name="Comma 5 2 2 2 4 2 2 3" xfId="37715" xr:uid="{00000000-0005-0000-0000-00001A030000}"/>
    <cellStyle name="Comma 5 2 2 2 4 2 3" xfId="8407" xr:uid="{00000000-0005-0000-0000-00001B030000}"/>
    <cellStyle name="Comma 5 2 2 2 4 2 3 2" xfId="33964" xr:uid="{00000000-0005-0000-0000-00001C030000}"/>
    <cellStyle name="Comma 5 2 2 2 4 2 4" xfId="17226" xr:uid="{00000000-0005-0000-0000-00001D030000}"/>
    <cellStyle name="Comma 5 2 2 2 4 2 4 2" xfId="42779" xr:uid="{00000000-0005-0000-0000-00001E030000}"/>
    <cellStyle name="Comma 5 2 2 2 4 2 5" xfId="28716" xr:uid="{00000000-0005-0000-0000-00001F030000}"/>
    <cellStyle name="Comma 5 2 2 2 4 3" xfId="4436" xr:uid="{00000000-0005-0000-0000-000020030000}"/>
    <cellStyle name="Comma 5 2 2 2 4 3 2" xfId="13274" xr:uid="{00000000-0005-0000-0000-000021030000}"/>
    <cellStyle name="Comma 5 2 2 2 4 3 2 2" xfId="23525" xr:uid="{00000000-0005-0000-0000-000022030000}"/>
    <cellStyle name="Comma 5 2 2 2 4 3 2 2 2" xfId="49078" xr:uid="{00000000-0005-0000-0000-000023030000}"/>
    <cellStyle name="Comma 5 2 2 2 4 3 2 3" xfId="38829" xr:uid="{00000000-0005-0000-0000-000024030000}"/>
    <cellStyle name="Comma 5 2 2 2 4 3 3" xfId="9695" xr:uid="{00000000-0005-0000-0000-000025030000}"/>
    <cellStyle name="Comma 5 2 2 2 4 3 3 2" xfId="35252" xr:uid="{00000000-0005-0000-0000-000026030000}"/>
    <cellStyle name="Comma 5 2 2 2 4 3 4" xfId="18518" xr:uid="{00000000-0005-0000-0000-000027030000}"/>
    <cellStyle name="Comma 5 2 2 2 4 3 4 2" xfId="44071" xr:uid="{00000000-0005-0000-0000-000028030000}"/>
    <cellStyle name="Comma 5 2 2 2 4 3 5" xfId="30008" xr:uid="{00000000-0005-0000-0000-000029030000}"/>
    <cellStyle name="Comma 5 2 2 2 4 4" xfId="1981" xr:uid="{00000000-0005-0000-0000-00002A030000}"/>
    <cellStyle name="Comma 5 2 2 2 4 4 2" xfId="11346" xr:uid="{00000000-0005-0000-0000-00002B030000}"/>
    <cellStyle name="Comma 5 2 2 2 4 4 2 2" xfId="36901" xr:uid="{00000000-0005-0000-0000-00002C030000}"/>
    <cellStyle name="Comma 5 2 2 2 4 4 3" xfId="21350" xr:uid="{00000000-0005-0000-0000-00002D030000}"/>
    <cellStyle name="Comma 5 2 2 2 4 4 3 2" xfId="46903" xr:uid="{00000000-0005-0000-0000-00002E030000}"/>
    <cellStyle name="Comma 5 2 2 2 4 4 4" xfId="27833" xr:uid="{00000000-0005-0000-0000-00002F030000}"/>
    <cellStyle name="Comma 5 2 2 2 4 5" xfId="5892" xr:uid="{00000000-0005-0000-0000-000030030000}"/>
    <cellStyle name="Comma 5 2 2 2 4 5 2" xfId="14719" xr:uid="{00000000-0005-0000-0000-000031030000}"/>
    <cellStyle name="Comma 5 2 2 2 4 5 2 2" xfId="40274" xr:uid="{00000000-0005-0000-0000-000032030000}"/>
    <cellStyle name="Comma 5 2 2 2 4 5 3" xfId="24970" xr:uid="{00000000-0005-0000-0000-000033030000}"/>
    <cellStyle name="Comma 5 2 2 2 4 5 3 2" xfId="50523" xr:uid="{00000000-0005-0000-0000-000034030000}"/>
    <cellStyle name="Comma 5 2 2 2 4 5 4" xfId="31453" xr:uid="{00000000-0005-0000-0000-000035030000}"/>
    <cellStyle name="Comma 5 2 2 2 4 6" xfId="7336" xr:uid="{00000000-0005-0000-0000-000036030000}"/>
    <cellStyle name="Comma 5 2 2 2 4 6 2" xfId="19832" xr:uid="{00000000-0005-0000-0000-000037030000}"/>
    <cellStyle name="Comma 5 2 2 2 4 6 2 2" xfId="45385" xr:uid="{00000000-0005-0000-0000-000038030000}"/>
    <cellStyle name="Comma 5 2 2 2 4 6 3" xfId="32893" xr:uid="{00000000-0005-0000-0000-000039030000}"/>
    <cellStyle name="Comma 5 2 2 2 4 7" xfId="16343" xr:uid="{00000000-0005-0000-0000-00003A030000}"/>
    <cellStyle name="Comma 5 2 2 2 4 7 2" xfId="41896" xr:uid="{00000000-0005-0000-0000-00003B030000}"/>
    <cellStyle name="Comma 5 2 2 2 4 8" xfId="26315" xr:uid="{00000000-0005-0000-0000-00003C030000}"/>
    <cellStyle name="Comma 5 2 2 2 5" xfId="621" xr:uid="{00000000-0005-0000-0000-00003D030000}"/>
    <cellStyle name="Comma 5 2 2 2 5 2" xfId="3107" xr:uid="{00000000-0005-0000-0000-00003E030000}"/>
    <cellStyle name="Comma 5 2 2 2 5 2 2" xfId="12250" xr:uid="{00000000-0005-0000-0000-00003F030000}"/>
    <cellStyle name="Comma 5 2 2 2 5 2 2 2" xfId="22468" xr:uid="{00000000-0005-0000-0000-000040030000}"/>
    <cellStyle name="Comma 5 2 2 2 5 2 2 2 2" xfId="48021" xr:uid="{00000000-0005-0000-0000-000041030000}"/>
    <cellStyle name="Comma 5 2 2 2 5 2 2 3" xfId="37805" xr:uid="{00000000-0005-0000-0000-000042030000}"/>
    <cellStyle name="Comma 5 2 2 2 5 2 3" xfId="8672" xr:uid="{00000000-0005-0000-0000-000043030000}"/>
    <cellStyle name="Comma 5 2 2 2 5 2 3 2" xfId="34229" xr:uid="{00000000-0005-0000-0000-000044030000}"/>
    <cellStyle name="Comma 5 2 2 2 5 2 4" xfId="17461" xr:uid="{00000000-0005-0000-0000-000045030000}"/>
    <cellStyle name="Comma 5 2 2 2 5 2 4 2" xfId="43014" xr:uid="{00000000-0005-0000-0000-000046030000}"/>
    <cellStyle name="Comma 5 2 2 2 5 2 5" xfId="28951" xr:uid="{00000000-0005-0000-0000-000047030000}"/>
    <cellStyle name="Comma 5 2 2 2 5 3" xfId="4785" xr:uid="{00000000-0005-0000-0000-000048030000}"/>
    <cellStyle name="Comma 5 2 2 2 5 3 2" xfId="13622" xr:uid="{00000000-0005-0000-0000-000049030000}"/>
    <cellStyle name="Comma 5 2 2 2 5 3 2 2" xfId="23873" xr:uid="{00000000-0005-0000-0000-00004A030000}"/>
    <cellStyle name="Comma 5 2 2 2 5 3 2 2 2" xfId="49426" xr:uid="{00000000-0005-0000-0000-00004B030000}"/>
    <cellStyle name="Comma 5 2 2 2 5 3 2 3" xfId="39177" xr:uid="{00000000-0005-0000-0000-00004C030000}"/>
    <cellStyle name="Comma 5 2 2 2 5 3 3" xfId="10043" xr:uid="{00000000-0005-0000-0000-00004D030000}"/>
    <cellStyle name="Comma 5 2 2 2 5 3 3 2" xfId="35600" xr:uid="{00000000-0005-0000-0000-00004E030000}"/>
    <cellStyle name="Comma 5 2 2 2 5 3 4" xfId="18866" xr:uid="{00000000-0005-0000-0000-00004F030000}"/>
    <cellStyle name="Comma 5 2 2 2 5 3 4 2" xfId="44419" xr:uid="{00000000-0005-0000-0000-000050030000}"/>
    <cellStyle name="Comma 5 2 2 2 5 3 5" xfId="30356" xr:uid="{00000000-0005-0000-0000-000051030000}"/>
    <cellStyle name="Comma 5 2 2 2 5 4" xfId="2216" xr:uid="{00000000-0005-0000-0000-000052030000}"/>
    <cellStyle name="Comma 5 2 2 2 5 4 2" xfId="11581" xr:uid="{00000000-0005-0000-0000-000053030000}"/>
    <cellStyle name="Comma 5 2 2 2 5 4 2 2" xfId="37136" xr:uid="{00000000-0005-0000-0000-000054030000}"/>
    <cellStyle name="Comma 5 2 2 2 5 4 3" xfId="21585" xr:uid="{00000000-0005-0000-0000-000055030000}"/>
    <cellStyle name="Comma 5 2 2 2 5 4 3 2" xfId="47138" xr:uid="{00000000-0005-0000-0000-000056030000}"/>
    <cellStyle name="Comma 5 2 2 2 5 4 4" xfId="28068" xr:uid="{00000000-0005-0000-0000-000057030000}"/>
    <cellStyle name="Comma 5 2 2 2 5 5" xfId="6240" xr:uid="{00000000-0005-0000-0000-000058030000}"/>
    <cellStyle name="Comma 5 2 2 2 5 5 2" xfId="15067" xr:uid="{00000000-0005-0000-0000-000059030000}"/>
    <cellStyle name="Comma 5 2 2 2 5 5 2 2" xfId="40622" xr:uid="{00000000-0005-0000-0000-00005A030000}"/>
    <cellStyle name="Comma 5 2 2 2 5 5 3" xfId="25318" xr:uid="{00000000-0005-0000-0000-00005B030000}"/>
    <cellStyle name="Comma 5 2 2 2 5 5 3 2" xfId="50871" xr:uid="{00000000-0005-0000-0000-00005C030000}"/>
    <cellStyle name="Comma 5 2 2 2 5 5 4" xfId="31801" xr:uid="{00000000-0005-0000-0000-00005D030000}"/>
    <cellStyle name="Comma 5 2 2 2 5 6" xfId="7686" xr:uid="{00000000-0005-0000-0000-00005E030000}"/>
    <cellStyle name="Comma 5 2 2 2 5 6 2" xfId="20067" xr:uid="{00000000-0005-0000-0000-00005F030000}"/>
    <cellStyle name="Comma 5 2 2 2 5 6 2 2" xfId="45620" xr:uid="{00000000-0005-0000-0000-000060030000}"/>
    <cellStyle name="Comma 5 2 2 2 5 6 3" xfId="33243" xr:uid="{00000000-0005-0000-0000-000061030000}"/>
    <cellStyle name="Comma 5 2 2 2 5 7" xfId="16578" xr:uid="{00000000-0005-0000-0000-000062030000}"/>
    <cellStyle name="Comma 5 2 2 2 5 7 2" xfId="42131" xr:uid="{00000000-0005-0000-0000-000063030000}"/>
    <cellStyle name="Comma 5 2 2 2 5 8" xfId="26550" xr:uid="{00000000-0005-0000-0000-000064030000}"/>
    <cellStyle name="Comma 5 2 2 2 6" xfId="1158" xr:uid="{00000000-0005-0000-0000-000065030000}"/>
    <cellStyle name="Comma 5 2 2 2 6 2" xfId="3587" xr:uid="{00000000-0005-0000-0000-000066030000}"/>
    <cellStyle name="Comma 5 2 2 2 6 2 2" xfId="12723" xr:uid="{00000000-0005-0000-0000-000067030000}"/>
    <cellStyle name="Comma 5 2 2 2 6 2 2 2" xfId="22942" xr:uid="{00000000-0005-0000-0000-000068030000}"/>
    <cellStyle name="Comma 5 2 2 2 6 2 2 2 2" xfId="48495" xr:uid="{00000000-0005-0000-0000-000069030000}"/>
    <cellStyle name="Comma 5 2 2 2 6 2 2 3" xfId="38278" xr:uid="{00000000-0005-0000-0000-00006A030000}"/>
    <cellStyle name="Comma 5 2 2 2 6 2 3" xfId="9144" xr:uid="{00000000-0005-0000-0000-00006B030000}"/>
    <cellStyle name="Comma 5 2 2 2 6 2 3 2" xfId="34701" xr:uid="{00000000-0005-0000-0000-00006C030000}"/>
    <cellStyle name="Comma 5 2 2 2 6 2 4" xfId="17935" xr:uid="{00000000-0005-0000-0000-00006D030000}"/>
    <cellStyle name="Comma 5 2 2 2 6 2 4 2" xfId="43488" xr:uid="{00000000-0005-0000-0000-00006E030000}"/>
    <cellStyle name="Comma 5 2 2 2 6 2 5" xfId="29425" xr:uid="{00000000-0005-0000-0000-00006F030000}"/>
    <cellStyle name="Comma 5 2 2 2 6 3" xfId="5250" xr:uid="{00000000-0005-0000-0000-000070030000}"/>
    <cellStyle name="Comma 5 2 2 2 6 3 2" xfId="14087" xr:uid="{00000000-0005-0000-0000-000071030000}"/>
    <cellStyle name="Comma 5 2 2 2 6 3 2 2" xfId="24338" xr:uid="{00000000-0005-0000-0000-000072030000}"/>
    <cellStyle name="Comma 5 2 2 2 6 3 2 2 2" xfId="49891" xr:uid="{00000000-0005-0000-0000-000073030000}"/>
    <cellStyle name="Comma 5 2 2 2 6 3 2 3" xfId="39642" xr:uid="{00000000-0005-0000-0000-000074030000}"/>
    <cellStyle name="Comma 5 2 2 2 6 3 3" xfId="10508" xr:uid="{00000000-0005-0000-0000-000075030000}"/>
    <cellStyle name="Comma 5 2 2 2 6 3 3 2" xfId="36065" xr:uid="{00000000-0005-0000-0000-000076030000}"/>
    <cellStyle name="Comma 5 2 2 2 6 3 4" xfId="19331" xr:uid="{00000000-0005-0000-0000-000077030000}"/>
    <cellStyle name="Comma 5 2 2 2 6 3 4 2" xfId="44884" xr:uid="{00000000-0005-0000-0000-000078030000}"/>
    <cellStyle name="Comma 5 2 2 2 6 3 5" xfId="30821" xr:uid="{00000000-0005-0000-0000-000079030000}"/>
    <cellStyle name="Comma 5 2 2 2 6 4" xfId="1758" xr:uid="{00000000-0005-0000-0000-00007A030000}"/>
    <cellStyle name="Comma 5 2 2 2 6 4 2" xfId="11129" xr:uid="{00000000-0005-0000-0000-00007B030000}"/>
    <cellStyle name="Comma 5 2 2 2 6 4 2 2" xfId="36684" xr:uid="{00000000-0005-0000-0000-00007C030000}"/>
    <cellStyle name="Comma 5 2 2 2 6 4 3" xfId="21133" xr:uid="{00000000-0005-0000-0000-00007D030000}"/>
    <cellStyle name="Comma 5 2 2 2 6 4 3 2" xfId="46686" xr:uid="{00000000-0005-0000-0000-00007E030000}"/>
    <cellStyle name="Comma 5 2 2 2 6 4 4" xfId="27616" xr:uid="{00000000-0005-0000-0000-00007F030000}"/>
    <cellStyle name="Comma 5 2 2 2 6 5" xfId="6705" xr:uid="{00000000-0005-0000-0000-000080030000}"/>
    <cellStyle name="Comma 5 2 2 2 6 5 2" xfId="15532" xr:uid="{00000000-0005-0000-0000-000081030000}"/>
    <cellStyle name="Comma 5 2 2 2 6 5 2 2" xfId="41087" xr:uid="{00000000-0005-0000-0000-000082030000}"/>
    <cellStyle name="Comma 5 2 2 2 6 5 3" xfId="25783" xr:uid="{00000000-0005-0000-0000-000083030000}"/>
    <cellStyle name="Comma 5 2 2 2 6 5 3 2" xfId="51336" xr:uid="{00000000-0005-0000-0000-000084030000}"/>
    <cellStyle name="Comma 5 2 2 2 6 5 4" xfId="32266" xr:uid="{00000000-0005-0000-0000-000085030000}"/>
    <cellStyle name="Comma 5 2 2 2 6 6" xfId="8151" xr:uid="{00000000-0005-0000-0000-000086030000}"/>
    <cellStyle name="Comma 5 2 2 2 6 6 2" xfId="20541" xr:uid="{00000000-0005-0000-0000-000087030000}"/>
    <cellStyle name="Comma 5 2 2 2 6 6 2 2" xfId="46094" xr:uid="{00000000-0005-0000-0000-000088030000}"/>
    <cellStyle name="Comma 5 2 2 2 6 6 3" xfId="33708" xr:uid="{00000000-0005-0000-0000-000089030000}"/>
    <cellStyle name="Comma 5 2 2 2 6 7" xfId="16126" xr:uid="{00000000-0005-0000-0000-00008A030000}"/>
    <cellStyle name="Comma 5 2 2 2 6 7 2" xfId="41679" xr:uid="{00000000-0005-0000-0000-00008B030000}"/>
    <cellStyle name="Comma 5 2 2 2 6 8" xfId="27024" xr:uid="{00000000-0005-0000-0000-00008C030000}"/>
    <cellStyle name="Comma 5 2 2 2 7" xfId="2655" xr:uid="{00000000-0005-0000-0000-00008D030000}"/>
    <cellStyle name="Comma 5 2 2 2 7 2" xfId="11975" xr:uid="{00000000-0005-0000-0000-00008E030000}"/>
    <cellStyle name="Comma 5 2 2 2 7 2 2" xfId="22016" xr:uid="{00000000-0005-0000-0000-00008F030000}"/>
    <cellStyle name="Comma 5 2 2 2 7 2 2 2" xfId="47569" xr:uid="{00000000-0005-0000-0000-000090030000}"/>
    <cellStyle name="Comma 5 2 2 2 7 2 3" xfId="37530" xr:uid="{00000000-0005-0000-0000-000091030000}"/>
    <cellStyle name="Comma 5 2 2 2 7 3" xfId="8499" xr:uid="{00000000-0005-0000-0000-000092030000}"/>
    <cellStyle name="Comma 5 2 2 2 7 3 2" xfId="34056" xr:uid="{00000000-0005-0000-0000-000093030000}"/>
    <cellStyle name="Comma 5 2 2 2 7 4" xfId="17009" xr:uid="{00000000-0005-0000-0000-000094030000}"/>
    <cellStyle name="Comma 5 2 2 2 7 4 2" xfId="42562" xr:uid="{00000000-0005-0000-0000-000095030000}"/>
    <cellStyle name="Comma 5 2 2 2 7 5" xfId="28499" xr:uid="{00000000-0005-0000-0000-000096030000}"/>
    <cellStyle name="Comma 5 2 2 2 8" xfId="4206" xr:uid="{00000000-0005-0000-0000-000097030000}"/>
    <cellStyle name="Comma 5 2 2 2 8 2" xfId="13044" xr:uid="{00000000-0005-0000-0000-000098030000}"/>
    <cellStyle name="Comma 5 2 2 2 8 2 2" xfId="23295" xr:uid="{00000000-0005-0000-0000-000099030000}"/>
    <cellStyle name="Comma 5 2 2 2 8 2 2 2" xfId="48848" xr:uid="{00000000-0005-0000-0000-00009A030000}"/>
    <cellStyle name="Comma 5 2 2 2 8 2 3" xfId="38599" xr:uid="{00000000-0005-0000-0000-00009B030000}"/>
    <cellStyle name="Comma 5 2 2 2 8 3" xfId="9465" xr:uid="{00000000-0005-0000-0000-00009C030000}"/>
    <cellStyle name="Comma 5 2 2 2 8 3 2" xfId="35022" xr:uid="{00000000-0005-0000-0000-00009D030000}"/>
    <cellStyle name="Comma 5 2 2 2 8 4" xfId="18288" xr:uid="{00000000-0005-0000-0000-00009E030000}"/>
    <cellStyle name="Comma 5 2 2 2 8 4 2" xfId="43841" xr:uid="{00000000-0005-0000-0000-00009F030000}"/>
    <cellStyle name="Comma 5 2 2 2 8 5" xfId="29778" xr:uid="{00000000-0005-0000-0000-0000A0030000}"/>
    <cellStyle name="Comma 5 2 2 2 9" xfId="1478" xr:uid="{00000000-0005-0000-0000-0000A1030000}"/>
    <cellStyle name="Comma 5 2 2 2 9 2" xfId="10855" xr:uid="{00000000-0005-0000-0000-0000A2030000}"/>
    <cellStyle name="Comma 5 2 2 2 9 2 2" xfId="36410" xr:uid="{00000000-0005-0000-0000-0000A3030000}"/>
    <cellStyle name="Comma 5 2 2 2 9 3" xfId="20859" xr:uid="{00000000-0005-0000-0000-0000A4030000}"/>
    <cellStyle name="Comma 5 2 2 2 9 3 2" xfId="46412" xr:uid="{00000000-0005-0000-0000-0000A5030000}"/>
    <cellStyle name="Comma 5 2 2 2 9 4" xfId="27342" xr:uid="{00000000-0005-0000-0000-0000A6030000}"/>
    <cellStyle name="Comma 5 2 2 3" xfId="203" xr:uid="{00000000-0005-0000-0000-0000A7030000}"/>
    <cellStyle name="Comma 5 2 2 3 10" xfId="7149" xr:uid="{00000000-0005-0000-0000-0000A8030000}"/>
    <cellStyle name="Comma 5 2 2 3 10 2" xfId="19658" xr:uid="{00000000-0005-0000-0000-0000A9030000}"/>
    <cellStyle name="Comma 5 2 2 3 10 2 2" xfId="45211" xr:uid="{00000000-0005-0000-0000-0000AA030000}"/>
    <cellStyle name="Comma 5 2 2 3 10 3" xfId="32706" xr:uid="{00000000-0005-0000-0000-0000AB030000}"/>
    <cellStyle name="Comma 5 2 2 3 11" xfId="15895" xr:uid="{00000000-0005-0000-0000-0000AC030000}"/>
    <cellStyle name="Comma 5 2 2 3 11 2" xfId="41448" xr:uid="{00000000-0005-0000-0000-0000AD030000}"/>
    <cellStyle name="Comma 5 2 2 3 12" xfId="26141" xr:uid="{00000000-0005-0000-0000-0000AE030000}"/>
    <cellStyle name="Comma 5 2 2 3 2" xfId="529" xr:uid="{00000000-0005-0000-0000-0000AF030000}"/>
    <cellStyle name="Comma 5 2 2 3 2 10" xfId="26458" xr:uid="{00000000-0005-0000-0000-0000B0030000}"/>
    <cellStyle name="Comma 5 2 2 3 2 2" xfId="625" xr:uid="{00000000-0005-0000-0000-0000B1030000}"/>
    <cellStyle name="Comma 5 2 2 3 2 2 2" xfId="3111" xr:uid="{00000000-0005-0000-0000-0000B2030000}"/>
    <cellStyle name="Comma 5 2 2 3 2 2 2 2" xfId="12254" xr:uid="{00000000-0005-0000-0000-0000B3030000}"/>
    <cellStyle name="Comma 5 2 2 3 2 2 2 2 2" xfId="22472" xr:uid="{00000000-0005-0000-0000-0000B4030000}"/>
    <cellStyle name="Comma 5 2 2 3 2 2 2 2 2 2" xfId="48025" xr:uid="{00000000-0005-0000-0000-0000B5030000}"/>
    <cellStyle name="Comma 5 2 2 3 2 2 2 2 3" xfId="37809" xr:uid="{00000000-0005-0000-0000-0000B6030000}"/>
    <cellStyle name="Comma 5 2 2 3 2 2 2 3" xfId="8676" xr:uid="{00000000-0005-0000-0000-0000B7030000}"/>
    <cellStyle name="Comma 5 2 2 3 2 2 2 3 2" xfId="34233" xr:uid="{00000000-0005-0000-0000-0000B8030000}"/>
    <cellStyle name="Comma 5 2 2 3 2 2 2 4" xfId="17465" xr:uid="{00000000-0005-0000-0000-0000B9030000}"/>
    <cellStyle name="Comma 5 2 2 3 2 2 2 4 2" xfId="43018" xr:uid="{00000000-0005-0000-0000-0000BA030000}"/>
    <cellStyle name="Comma 5 2 2 3 2 2 2 5" xfId="28955" xr:uid="{00000000-0005-0000-0000-0000BB030000}"/>
    <cellStyle name="Comma 5 2 2 3 2 2 3" xfId="4440" xr:uid="{00000000-0005-0000-0000-0000BC030000}"/>
    <cellStyle name="Comma 5 2 2 3 2 2 3 2" xfId="13278" xr:uid="{00000000-0005-0000-0000-0000BD030000}"/>
    <cellStyle name="Comma 5 2 2 3 2 2 3 2 2" xfId="23529" xr:uid="{00000000-0005-0000-0000-0000BE030000}"/>
    <cellStyle name="Comma 5 2 2 3 2 2 3 2 2 2" xfId="49082" xr:uid="{00000000-0005-0000-0000-0000BF030000}"/>
    <cellStyle name="Comma 5 2 2 3 2 2 3 2 3" xfId="38833" xr:uid="{00000000-0005-0000-0000-0000C0030000}"/>
    <cellStyle name="Comma 5 2 2 3 2 2 3 3" xfId="9699" xr:uid="{00000000-0005-0000-0000-0000C1030000}"/>
    <cellStyle name="Comma 5 2 2 3 2 2 3 3 2" xfId="35256" xr:uid="{00000000-0005-0000-0000-0000C2030000}"/>
    <cellStyle name="Comma 5 2 2 3 2 2 3 4" xfId="18522" xr:uid="{00000000-0005-0000-0000-0000C3030000}"/>
    <cellStyle name="Comma 5 2 2 3 2 2 3 4 2" xfId="44075" xr:uid="{00000000-0005-0000-0000-0000C4030000}"/>
    <cellStyle name="Comma 5 2 2 3 2 2 3 5" xfId="30012" xr:uid="{00000000-0005-0000-0000-0000C5030000}"/>
    <cellStyle name="Comma 5 2 2 3 2 2 4" xfId="2220" xr:uid="{00000000-0005-0000-0000-0000C6030000}"/>
    <cellStyle name="Comma 5 2 2 3 2 2 4 2" xfId="11585" xr:uid="{00000000-0005-0000-0000-0000C7030000}"/>
    <cellStyle name="Comma 5 2 2 3 2 2 4 2 2" xfId="37140" xr:uid="{00000000-0005-0000-0000-0000C8030000}"/>
    <cellStyle name="Comma 5 2 2 3 2 2 4 3" xfId="21589" xr:uid="{00000000-0005-0000-0000-0000C9030000}"/>
    <cellStyle name="Comma 5 2 2 3 2 2 4 3 2" xfId="47142" xr:uid="{00000000-0005-0000-0000-0000CA030000}"/>
    <cellStyle name="Comma 5 2 2 3 2 2 4 4" xfId="28072" xr:uid="{00000000-0005-0000-0000-0000CB030000}"/>
    <cellStyle name="Comma 5 2 2 3 2 2 5" xfId="5896" xr:uid="{00000000-0005-0000-0000-0000CC030000}"/>
    <cellStyle name="Comma 5 2 2 3 2 2 5 2" xfId="14723" xr:uid="{00000000-0005-0000-0000-0000CD030000}"/>
    <cellStyle name="Comma 5 2 2 3 2 2 5 2 2" xfId="40278" xr:uid="{00000000-0005-0000-0000-0000CE030000}"/>
    <cellStyle name="Comma 5 2 2 3 2 2 5 3" xfId="24974" xr:uid="{00000000-0005-0000-0000-0000CF030000}"/>
    <cellStyle name="Comma 5 2 2 3 2 2 5 3 2" xfId="50527" xr:uid="{00000000-0005-0000-0000-0000D0030000}"/>
    <cellStyle name="Comma 5 2 2 3 2 2 5 4" xfId="31457" xr:uid="{00000000-0005-0000-0000-0000D1030000}"/>
    <cellStyle name="Comma 5 2 2 3 2 2 6" xfId="7340" xr:uid="{00000000-0005-0000-0000-0000D2030000}"/>
    <cellStyle name="Comma 5 2 2 3 2 2 6 2" xfId="20071" xr:uid="{00000000-0005-0000-0000-0000D3030000}"/>
    <cellStyle name="Comma 5 2 2 3 2 2 6 2 2" xfId="45624" xr:uid="{00000000-0005-0000-0000-0000D4030000}"/>
    <cellStyle name="Comma 5 2 2 3 2 2 6 3" xfId="32897" xr:uid="{00000000-0005-0000-0000-0000D5030000}"/>
    <cellStyle name="Comma 5 2 2 3 2 2 7" xfId="16582" xr:uid="{00000000-0005-0000-0000-0000D6030000}"/>
    <cellStyle name="Comma 5 2 2 3 2 2 7 2" xfId="42135" xr:uid="{00000000-0005-0000-0000-0000D7030000}"/>
    <cellStyle name="Comma 5 2 2 3 2 2 8" xfId="26554" xr:uid="{00000000-0005-0000-0000-0000D8030000}"/>
    <cellStyle name="Comma 5 2 2 3 2 3" xfId="1301" xr:uid="{00000000-0005-0000-0000-0000D9030000}"/>
    <cellStyle name="Comma 5 2 2 3 2 3 2" xfId="3730" xr:uid="{00000000-0005-0000-0000-0000DA030000}"/>
    <cellStyle name="Comma 5 2 2 3 2 3 2 2" xfId="12866" xr:uid="{00000000-0005-0000-0000-0000DB030000}"/>
    <cellStyle name="Comma 5 2 2 3 2 3 2 2 2" xfId="23085" xr:uid="{00000000-0005-0000-0000-0000DC030000}"/>
    <cellStyle name="Comma 5 2 2 3 2 3 2 2 2 2" xfId="48638" xr:uid="{00000000-0005-0000-0000-0000DD030000}"/>
    <cellStyle name="Comma 5 2 2 3 2 3 2 2 3" xfId="38421" xr:uid="{00000000-0005-0000-0000-0000DE030000}"/>
    <cellStyle name="Comma 5 2 2 3 2 3 2 3" xfId="9287" xr:uid="{00000000-0005-0000-0000-0000DF030000}"/>
    <cellStyle name="Comma 5 2 2 3 2 3 2 3 2" xfId="34844" xr:uid="{00000000-0005-0000-0000-0000E0030000}"/>
    <cellStyle name="Comma 5 2 2 3 2 3 2 4" xfId="18078" xr:uid="{00000000-0005-0000-0000-0000E1030000}"/>
    <cellStyle name="Comma 5 2 2 3 2 3 2 4 2" xfId="43631" xr:uid="{00000000-0005-0000-0000-0000E2030000}"/>
    <cellStyle name="Comma 5 2 2 3 2 3 2 5" xfId="29568" xr:uid="{00000000-0005-0000-0000-0000E3030000}"/>
    <cellStyle name="Comma 5 2 2 3 2 3 3" xfId="4789" xr:uid="{00000000-0005-0000-0000-0000E4030000}"/>
    <cellStyle name="Comma 5 2 2 3 2 3 3 2" xfId="13626" xr:uid="{00000000-0005-0000-0000-0000E5030000}"/>
    <cellStyle name="Comma 5 2 2 3 2 3 3 2 2" xfId="23877" xr:uid="{00000000-0005-0000-0000-0000E6030000}"/>
    <cellStyle name="Comma 5 2 2 3 2 3 3 2 2 2" xfId="49430" xr:uid="{00000000-0005-0000-0000-0000E7030000}"/>
    <cellStyle name="Comma 5 2 2 3 2 3 3 2 3" xfId="39181" xr:uid="{00000000-0005-0000-0000-0000E8030000}"/>
    <cellStyle name="Comma 5 2 2 3 2 3 3 3" xfId="10047" xr:uid="{00000000-0005-0000-0000-0000E9030000}"/>
    <cellStyle name="Comma 5 2 2 3 2 3 3 3 2" xfId="35604" xr:uid="{00000000-0005-0000-0000-0000EA030000}"/>
    <cellStyle name="Comma 5 2 2 3 2 3 3 4" xfId="18870" xr:uid="{00000000-0005-0000-0000-0000EB030000}"/>
    <cellStyle name="Comma 5 2 2 3 2 3 3 4 2" xfId="44423" xr:uid="{00000000-0005-0000-0000-0000EC030000}"/>
    <cellStyle name="Comma 5 2 2 3 2 3 3 5" xfId="30360" xr:uid="{00000000-0005-0000-0000-0000ED030000}"/>
    <cellStyle name="Comma 5 2 2 3 2 3 4" xfId="2124" xr:uid="{00000000-0005-0000-0000-0000EE030000}"/>
    <cellStyle name="Comma 5 2 2 3 2 3 4 2" xfId="11489" xr:uid="{00000000-0005-0000-0000-0000EF030000}"/>
    <cellStyle name="Comma 5 2 2 3 2 3 4 2 2" xfId="37044" xr:uid="{00000000-0005-0000-0000-0000F0030000}"/>
    <cellStyle name="Comma 5 2 2 3 2 3 4 3" xfId="21493" xr:uid="{00000000-0005-0000-0000-0000F1030000}"/>
    <cellStyle name="Comma 5 2 2 3 2 3 4 3 2" xfId="47046" xr:uid="{00000000-0005-0000-0000-0000F2030000}"/>
    <cellStyle name="Comma 5 2 2 3 2 3 4 4" xfId="27976" xr:uid="{00000000-0005-0000-0000-0000F3030000}"/>
    <cellStyle name="Comma 5 2 2 3 2 3 5" xfId="6244" xr:uid="{00000000-0005-0000-0000-0000F4030000}"/>
    <cellStyle name="Comma 5 2 2 3 2 3 5 2" xfId="15071" xr:uid="{00000000-0005-0000-0000-0000F5030000}"/>
    <cellStyle name="Comma 5 2 2 3 2 3 5 2 2" xfId="40626" xr:uid="{00000000-0005-0000-0000-0000F6030000}"/>
    <cellStyle name="Comma 5 2 2 3 2 3 5 3" xfId="25322" xr:uid="{00000000-0005-0000-0000-0000F7030000}"/>
    <cellStyle name="Comma 5 2 2 3 2 3 5 3 2" xfId="50875" xr:uid="{00000000-0005-0000-0000-0000F8030000}"/>
    <cellStyle name="Comma 5 2 2 3 2 3 5 4" xfId="31805" xr:uid="{00000000-0005-0000-0000-0000F9030000}"/>
    <cellStyle name="Comma 5 2 2 3 2 3 6" xfId="7690" xr:uid="{00000000-0005-0000-0000-0000FA030000}"/>
    <cellStyle name="Comma 5 2 2 3 2 3 6 2" xfId="20684" xr:uid="{00000000-0005-0000-0000-0000FB030000}"/>
    <cellStyle name="Comma 5 2 2 3 2 3 6 2 2" xfId="46237" xr:uid="{00000000-0005-0000-0000-0000FC030000}"/>
    <cellStyle name="Comma 5 2 2 3 2 3 6 3" xfId="33247" xr:uid="{00000000-0005-0000-0000-0000FD030000}"/>
    <cellStyle name="Comma 5 2 2 3 2 3 7" xfId="16486" xr:uid="{00000000-0005-0000-0000-0000FE030000}"/>
    <cellStyle name="Comma 5 2 2 3 2 3 7 2" xfId="42039" xr:uid="{00000000-0005-0000-0000-0000FF030000}"/>
    <cellStyle name="Comma 5 2 2 3 2 3 8" xfId="27167" xr:uid="{00000000-0005-0000-0000-000000040000}"/>
    <cellStyle name="Comma 5 2 2 3 2 4" xfId="3015" xr:uid="{00000000-0005-0000-0000-000001040000}"/>
    <cellStyle name="Comma 5 2 2 3 2 4 2" xfId="5393" xr:uid="{00000000-0005-0000-0000-000002040000}"/>
    <cellStyle name="Comma 5 2 2 3 2 4 2 2" xfId="14230" xr:uid="{00000000-0005-0000-0000-000003040000}"/>
    <cellStyle name="Comma 5 2 2 3 2 4 2 2 2" xfId="24481" xr:uid="{00000000-0005-0000-0000-000004040000}"/>
    <cellStyle name="Comma 5 2 2 3 2 4 2 2 2 2" xfId="50034" xr:uid="{00000000-0005-0000-0000-000005040000}"/>
    <cellStyle name="Comma 5 2 2 3 2 4 2 2 3" xfId="39785" xr:uid="{00000000-0005-0000-0000-000006040000}"/>
    <cellStyle name="Comma 5 2 2 3 2 4 2 3" xfId="10651" xr:uid="{00000000-0005-0000-0000-000007040000}"/>
    <cellStyle name="Comma 5 2 2 3 2 4 2 3 2" xfId="36208" xr:uid="{00000000-0005-0000-0000-000008040000}"/>
    <cellStyle name="Comma 5 2 2 3 2 4 2 4" xfId="19474" xr:uid="{00000000-0005-0000-0000-000009040000}"/>
    <cellStyle name="Comma 5 2 2 3 2 4 2 4 2" xfId="45027" xr:uid="{00000000-0005-0000-0000-00000A040000}"/>
    <cellStyle name="Comma 5 2 2 3 2 4 2 5" xfId="30964" xr:uid="{00000000-0005-0000-0000-00000B040000}"/>
    <cellStyle name="Comma 5 2 2 3 2 4 3" xfId="6848" xr:uid="{00000000-0005-0000-0000-00000C040000}"/>
    <cellStyle name="Comma 5 2 2 3 2 4 3 2" xfId="15675" xr:uid="{00000000-0005-0000-0000-00000D040000}"/>
    <cellStyle name="Comma 5 2 2 3 2 4 3 2 2" xfId="41230" xr:uid="{00000000-0005-0000-0000-00000E040000}"/>
    <cellStyle name="Comma 5 2 2 3 2 4 3 3" xfId="25926" xr:uid="{00000000-0005-0000-0000-00000F040000}"/>
    <cellStyle name="Comma 5 2 2 3 2 4 3 3 2" xfId="51479" xr:uid="{00000000-0005-0000-0000-000010040000}"/>
    <cellStyle name="Comma 5 2 2 3 2 4 3 4" xfId="32409" xr:uid="{00000000-0005-0000-0000-000011040000}"/>
    <cellStyle name="Comma 5 2 2 3 2 4 4" xfId="8294" xr:uid="{00000000-0005-0000-0000-000012040000}"/>
    <cellStyle name="Comma 5 2 2 3 2 4 4 2" xfId="22376" xr:uid="{00000000-0005-0000-0000-000013040000}"/>
    <cellStyle name="Comma 5 2 2 3 2 4 4 2 2" xfId="47929" xr:uid="{00000000-0005-0000-0000-000014040000}"/>
    <cellStyle name="Comma 5 2 2 3 2 4 4 3" xfId="33851" xr:uid="{00000000-0005-0000-0000-000015040000}"/>
    <cellStyle name="Comma 5 2 2 3 2 4 5" xfId="17369" xr:uid="{00000000-0005-0000-0000-000016040000}"/>
    <cellStyle name="Comma 5 2 2 3 2 4 5 2" xfId="42922" xr:uid="{00000000-0005-0000-0000-000017040000}"/>
    <cellStyle name="Comma 5 2 2 3 2 4 6" xfId="28859" xr:uid="{00000000-0005-0000-0000-000018040000}"/>
    <cellStyle name="Comma 5 2 2 3 2 5" xfId="4349" xr:uid="{00000000-0005-0000-0000-000019040000}"/>
    <cellStyle name="Comma 5 2 2 3 2 5 2" xfId="13187" xr:uid="{00000000-0005-0000-0000-00001A040000}"/>
    <cellStyle name="Comma 5 2 2 3 2 5 2 2" xfId="23438" xr:uid="{00000000-0005-0000-0000-00001B040000}"/>
    <cellStyle name="Comma 5 2 2 3 2 5 2 2 2" xfId="48991" xr:uid="{00000000-0005-0000-0000-00001C040000}"/>
    <cellStyle name="Comma 5 2 2 3 2 5 2 3" xfId="38742" xr:uid="{00000000-0005-0000-0000-00001D040000}"/>
    <cellStyle name="Comma 5 2 2 3 2 5 3" xfId="9608" xr:uid="{00000000-0005-0000-0000-00001E040000}"/>
    <cellStyle name="Comma 5 2 2 3 2 5 3 2" xfId="35165" xr:uid="{00000000-0005-0000-0000-00001F040000}"/>
    <cellStyle name="Comma 5 2 2 3 2 5 4" xfId="18431" xr:uid="{00000000-0005-0000-0000-000020040000}"/>
    <cellStyle name="Comma 5 2 2 3 2 5 4 2" xfId="43984" xr:uid="{00000000-0005-0000-0000-000021040000}"/>
    <cellStyle name="Comma 5 2 2 3 2 5 5" xfId="29921" xr:uid="{00000000-0005-0000-0000-000022040000}"/>
    <cellStyle name="Comma 5 2 2 3 2 6" xfId="1621" xr:uid="{00000000-0005-0000-0000-000023040000}"/>
    <cellStyle name="Comma 5 2 2 3 2 6 2" xfId="10998" xr:uid="{00000000-0005-0000-0000-000024040000}"/>
    <cellStyle name="Comma 5 2 2 3 2 6 2 2" xfId="36553" xr:uid="{00000000-0005-0000-0000-000025040000}"/>
    <cellStyle name="Comma 5 2 2 3 2 6 3" xfId="21002" xr:uid="{00000000-0005-0000-0000-000026040000}"/>
    <cellStyle name="Comma 5 2 2 3 2 6 3 2" xfId="46555" xr:uid="{00000000-0005-0000-0000-000027040000}"/>
    <cellStyle name="Comma 5 2 2 3 2 6 4" xfId="27485" xr:uid="{00000000-0005-0000-0000-000028040000}"/>
    <cellStyle name="Comma 5 2 2 3 2 7" xfId="5805" xr:uid="{00000000-0005-0000-0000-000029040000}"/>
    <cellStyle name="Comma 5 2 2 3 2 7 2" xfId="14632" xr:uid="{00000000-0005-0000-0000-00002A040000}"/>
    <cellStyle name="Comma 5 2 2 3 2 7 2 2" xfId="40187" xr:uid="{00000000-0005-0000-0000-00002B040000}"/>
    <cellStyle name="Comma 5 2 2 3 2 7 3" xfId="24883" xr:uid="{00000000-0005-0000-0000-00002C040000}"/>
    <cellStyle name="Comma 5 2 2 3 2 7 3 2" xfId="50436" xr:uid="{00000000-0005-0000-0000-00002D040000}"/>
    <cellStyle name="Comma 5 2 2 3 2 7 4" xfId="31366" xr:uid="{00000000-0005-0000-0000-00002E040000}"/>
    <cellStyle name="Comma 5 2 2 3 2 8" xfId="7249" xr:uid="{00000000-0005-0000-0000-00002F040000}"/>
    <cellStyle name="Comma 5 2 2 3 2 8 2" xfId="19975" xr:uid="{00000000-0005-0000-0000-000030040000}"/>
    <cellStyle name="Comma 5 2 2 3 2 8 2 2" xfId="45528" xr:uid="{00000000-0005-0000-0000-000031040000}"/>
    <cellStyle name="Comma 5 2 2 3 2 8 3" xfId="32806" xr:uid="{00000000-0005-0000-0000-000032040000}"/>
    <cellStyle name="Comma 5 2 2 3 2 9" xfId="15995" xr:uid="{00000000-0005-0000-0000-000033040000}"/>
    <cellStyle name="Comma 5 2 2 3 2 9 2" xfId="41548" xr:uid="{00000000-0005-0000-0000-000034040000}"/>
    <cellStyle name="Comma 5 2 2 3 3" xfId="429" xr:uid="{00000000-0005-0000-0000-000035040000}"/>
    <cellStyle name="Comma 5 2 2 3 3 2" xfId="2915" xr:uid="{00000000-0005-0000-0000-000036040000}"/>
    <cellStyle name="Comma 5 2 2 3 3 2 2" xfId="12203" xr:uid="{00000000-0005-0000-0000-000037040000}"/>
    <cellStyle name="Comma 5 2 2 3 3 2 2 2" xfId="22276" xr:uid="{00000000-0005-0000-0000-000038040000}"/>
    <cellStyle name="Comma 5 2 2 3 3 2 2 2 2" xfId="47829" xr:uid="{00000000-0005-0000-0000-000039040000}"/>
    <cellStyle name="Comma 5 2 2 3 3 2 2 3" xfId="37758" xr:uid="{00000000-0005-0000-0000-00003A040000}"/>
    <cellStyle name="Comma 5 2 2 3 3 2 3" xfId="8386" xr:uid="{00000000-0005-0000-0000-00003B040000}"/>
    <cellStyle name="Comma 5 2 2 3 3 2 3 2" xfId="33943" xr:uid="{00000000-0005-0000-0000-00003C040000}"/>
    <cellStyle name="Comma 5 2 2 3 3 2 4" xfId="17269" xr:uid="{00000000-0005-0000-0000-00003D040000}"/>
    <cellStyle name="Comma 5 2 2 3 3 2 4 2" xfId="42822" xr:uid="{00000000-0005-0000-0000-00003E040000}"/>
    <cellStyle name="Comma 5 2 2 3 3 2 5" xfId="28759" xr:uid="{00000000-0005-0000-0000-00003F040000}"/>
    <cellStyle name="Comma 5 2 2 3 3 3" xfId="4439" xr:uid="{00000000-0005-0000-0000-000040040000}"/>
    <cellStyle name="Comma 5 2 2 3 3 3 2" xfId="13277" xr:uid="{00000000-0005-0000-0000-000041040000}"/>
    <cellStyle name="Comma 5 2 2 3 3 3 2 2" xfId="23528" xr:uid="{00000000-0005-0000-0000-000042040000}"/>
    <cellStyle name="Comma 5 2 2 3 3 3 2 2 2" xfId="49081" xr:uid="{00000000-0005-0000-0000-000043040000}"/>
    <cellStyle name="Comma 5 2 2 3 3 3 2 3" xfId="38832" xr:uid="{00000000-0005-0000-0000-000044040000}"/>
    <cellStyle name="Comma 5 2 2 3 3 3 3" xfId="9698" xr:uid="{00000000-0005-0000-0000-000045040000}"/>
    <cellStyle name="Comma 5 2 2 3 3 3 3 2" xfId="35255" xr:uid="{00000000-0005-0000-0000-000046040000}"/>
    <cellStyle name="Comma 5 2 2 3 3 3 4" xfId="18521" xr:uid="{00000000-0005-0000-0000-000047040000}"/>
    <cellStyle name="Comma 5 2 2 3 3 3 4 2" xfId="44074" xr:uid="{00000000-0005-0000-0000-000048040000}"/>
    <cellStyle name="Comma 5 2 2 3 3 3 5" xfId="30011" xr:uid="{00000000-0005-0000-0000-000049040000}"/>
    <cellStyle name="Comma 5 2 2 3 3 4" xfId="2024" xr:uid="{00000000-0005-0000-0000-00004A040000}"/>
    <cellStyle name="Comma 5 2 2 3 3 4 2" xfId="11389" xr:uid="{00000000-0005-0000-0000-00004B040000}"/>
    <cellStyle name="Comma 5 2 2 3 3 4 2 2" xfId="36944" xr:uid="{00000000-0005-0000-0000-00004C040000}"/>
    <cellStyle name="Comma 5 2 2 3 3 4 3" xfId="21393" xr:uid="{00000000-0005-0000-0000-00004D040000}"/>
    <cellStyle name="Comma 5 2 2 3 3 4 3 2" xfId="46946" xr:uid="{00000000-0005-0000-0000-00004E040000}"/>
    <cellStyle name="Comma 5 2 2 3 3 4 4" xfId="27876" xr:uid="{00000000-0005-0000-0000-00004F040000}"/>
    <cellStyle name="Comma 5 2 2 3 3 5" xfId="5895" xr:uid="{00000000-0005-0000-0000-000050040000}"/>
    <cellStyle name="Comma 5 2 2 3 3 5 2" xfId="14722" xr:uid="{00000000-0005-0000-0000-000051040000}"/>
    <cellStyle name="Comma 5 2 2 3 3 5 2 2" xfId="40277" xr:uid="{00000000-0005-0000-0000-000052040000}"/>
    <cellStyle name="Comma 5 2 2 3 3 5 3" xfId="24973" xr:uid="{00000000-0005-0000-0000-000053040000}"/>
    <cellStyle name="Comma 5 2 2 3 3 5 3 2" xfId="50526" xr:uid="{00000000-0005-0000-0000-000054040000}"/>
    <cellStyle name="Comma 5 2 2 3 3 5 4" xfId="31456" xr:uid="{00000000-0005-0000-0000-000055040000}"/>
    <cellStyle name="Comma 5 2 2 3 3 6" xfId="7339" xr:uid="{00000000-0005-0000-0000-000056040000}"/>
    <cellStyle name="Comma 5 2 2 3 3 6 2" xfId="19875" xr:uid="{00000000-0005-0000-0000-000057040000}"/>
    <cellStyle name="Comma 5 2 2 3 3 6 2 2" xfId="45428" xr:uid="{00000000-0005-0000-0000-000058040000}"/>
    <cellStyle name="Comma 5 2 2 3 3 6 3" xfId="32896" xr:uid="{00000000-0005-0000-0000-000059040000}"/>
    <cellStyle name="Comma 5 2 2 3 3 7" xfId="16386" xr:uid="{00000000-0005-0000-0000-00005A040000}"/>
    <cellStyle name="Comma 5 2 2 3 3 7 2" xfId="41939" xr:uid="{00000000-0005-0000-0000-00005B040000}"/>
    <cellStyle name="Comma 5 2 2 3 3 8" xfId="26358" xr:uid="{00000000-0005-0000-0000-00005C040000}"/>
    <cellStyle name="Comma 5 2 2 3 4" xfId="624" xr:uid="{00000000-0005-0000-0000-00005D040000}"/>
    <cellStyle name="Comma 5 2 2 3 4 2" xfId="3110" xr:uid="{00000000-0005-0000-0000-00005E040000}"/>
    <cellStyle name="Comma 5 2 2 3 4 2 2" xfId="12253" xr:uid="{00000000-0005-0000-0000-00005F040000}"/>
    <cellStyle name="Comma 5 2 2 3 4 2 2 2" xfId="22471" xr:uid="{00000000-0005-0000-0000-000060040000}"/>
    <cellStyle name="Comma 5 2 2 3 4 2 2 2 2" xfId="48024" xr:uid="{00000000-0005-0000-0000-000061040000}"/>
    <cellStyle name="Comma 5 2 2 3 4 2 2 3" xfId="37808" xr:uid="{00000000-0005-0000-0000-000062040000}"/>
    <cellStyle name="Comma 5 2 2 3 4 2 3" xfId="8675" xr:uid="{00000000-0005-0000-0000-000063040000}"/>
    <cellStyle name="Comma 5 2 2 3 4 2 3 2" xfId="34232" xr:uid="{00000000-0005-0000-0000-000064040000}"/>
    <cellStyle name="Comma 5 2 2 3 4 2 4" xfId="17464" xr:uid="{00000000-0005-0000-0000-000065040000}"/>
    <cellStyle name="Comma 5 2 2 3 4 2 4 2" xfId="43017" xr:uid="{00000000-0005-0000-0000-000066040000}"/>
    <cellStyle name="Comma 5 2 2 3 4 2 5" xfId="28954" xr:uid="{00000000-0005-0000-0000-000067040000}"/>
    <cellStyle name="Comma 5 2 2 3 4 3" xfId="4788" xr:uid="{00000000-0005-0000-0000-000068040000}"/>
    <cellStyle name="Comma 5 2 2 3 4 3 2" xfId="13625" xr:uid="{00000000-0005-0000-0000-000069040000}"/>
    <cellStyle name="Comma 5 2 2 3 4 3 2 2" xfId="23876" xr:uid="{00000000-0005-0000-0000-00006A040000}"/>
    <cellStyle name="Comma 5 2 2 3 4 3 2 2 2" xfId="49429" xr:uid="{00000000-0005-0000-0000-00006B040000}"/>
    <cellStyle name="Comma 5 2 2 3 4 3 2 3" xfId="39180" xr:uid="{00000000-0005-0000-0000-00006C040000}"/>
    <cellStyle name="Comma 5 2 2 3 4 3 3" xfId="10046" xr:uid="{00000000-0005-0000-0000-00006D040000}"/>
    <cellStyle name="Comma 5 2 2 3 4 3 3 2" xfId="35603" xr:uid="{00000000-0005-0000-0000-00006E040000}"/>
    <cellStyle name="Comma 5 2 2 3 4 3 4" xfId="18869" xr:uid="{00000000-0005-0000-0000-00006F040000}"/>
    <cellStyle name="Comma 5 2 2 3 4 3 4 2" xfId="44422" xr:uid="{00000000-0005-0000-0000-000070040000}"/>
    <cellStyle name="Comma 5 2 2 3 4 3 5" xfId="30359" xr:uid="{00000000-0005-0000-0000-000071040000}"/>
    <cellStyle name="Comma 5 2 2 3 4 4" xfId="2219" xr:uid="{00000000-0005-0000-0000-000072040000}"/>
    <cellStyle name="Comma 5 2 2 3 4 4 2" xfId="11584" xr:uid="{00000000-0005-0000-0000-000073040000}"/>
    <cellStyle name="Comma 5 2 2 3 4 4 2 2" xfId="37139" xr:uid="{00000000-0005-0000-0000-000074040000}"/>
    <cellStyle name="Comma 5 2 2 3 4 4 3" xfId="21588" xr:uid="{00000000-0005-0000-0000-000075040000}"/>
    <cellStyle name="Comma 5 2 2 3 4 4 3 2" xfId="47141" xr:uid="{00000000-0005-0000-0000-000076040000}"/>
    <cellStyle name="Comma 5 2 2 3 4 4 4" xfId="28071" xr:uid="{00000000-0005-0000-0000-000077040000}"/>
    <cellStyle name="Comma 5 2 2 3 4 5" xfId="6243" xr:uid="{00000000-0005-0000-0000-000078040000}"/>
    <cellStyle name="Comma 5 2 2 3 4 5 2" xfId="15070" xr:uid="{00000000-0005-0000-0000-000079040000}"/>
    <cellStyle name="Comma 5 2 2 3 4 5 2 2" xfId="40625" xr:uid="{00000000-0005-0000-0000-00007A040000}"/>
    <cellStyle name="Comma 5 2 2 3 4 5 3" xfId="25321" xr:uid="{00000000-0005-0000-0000-00007B040000}"/>
    <cellStyle name="Comma 5 2 2 3 4 5 3 2" xfId="50874" xr:uid="{00000000-0005-0000-0000-00007C040000}"/>
    <cellStyle name="Comma 5 2 2 3 4 5 4" xfId="31804" xr:uid="{00000000-0005-0000-0000-00007D040000}"/>
    <cellStyle name="Comma 5 2 2 3 4 6" xfId="7689" xr:uid="{00000000-0005-0000-0000-00007E040000}"/>
    <cellStyle name="Comma 5 2 2 3 4 6 2" xfId="20070" xr:uid="{00000000-0005-0000-0000-00007F040000}"/>
    <cellStyle name="Comma 5 2 2 3 4 6 2 2" xfId="45623" xr:uid="{00000000-0005-0000-0000-000080040000}"/>
    <cellStyle name="Comma 5 2 2 3 4 6 3" xfId="33246" xr:uid="{00000000-0005-0000-0000-000081040000}"/>
    <cellStyle name="Comma 5 2 2 3 4 7" xfId="16581" xr:uid="{00000000-0005-0000-0000-000082040000}"/>
    <cellStyle name="Comma 5 2 2 3 4 7 2" xfId="42134" xr:uid="{00000000-0005-0000-0000-000083040000}"/>
    <cellStyle name="Comma 5 2 2 3 4 8" xfId="26553" xr:uid="{00000000-0005-0000-0000-000084040000}"/>
    <cellStyle name="Comma 5 2 2 3 5" xfId="1201" xr:uid="{00000000-0005-0000-0000-000085040000}"/>
    <cellStyle name="Comma 5 2 2 3 5 2" xfId="3630" xr:uid="{00000000-0005-0000-0000-000086040000}"/>
    <cellStyle name="Comma 5 2 2 3 5 2 2" xfId="12766" xr:uid="{00000000-0005-0000-0000-000087040000}"/>
    <cellStyle name="Comma 5 2 2 3 5 2 2 2" xfId="22985" xr:uid="{00000000-0005-0000-0000-000088040000}"/>
    <cellStyle name="Comma 5 2 2 3 5 2 2 2 2" xfId="48538" xr:uid="{00000000-0005-0000-0000-000089040000}"/>
    <cellStyle name="Comma 5 2 2 3 5 2 2 3" xfId="38321" xr:uid="{00000000-0005-0000-0000-00008A040000}"/>
    <cellStyle name="Comma 5 2 2 3 5 2 3" xfId="9187" xr:uid="{00000000-0005-0000-0000-00008B040000}"/>
    <cellStyle name="Comma 5 2 2 3 5 2 3 2" xfId="34744" xr:uid="{00000000-0005-0000-0000-00008C040000}"/>
    <cellStyle name="Comma 5 2 2 3 5 2 4" xfId="17978" xr:uid="{00000000-0005-0000-0000-00008D040000}"/>
    <cellStyle name="Comma 5 2 2 3 5 2 4 2" xfId="43531" xr:uid="{00000000-0005-0000-0000-00008E040000}"/>
    <cellStyle name="Comma 5 2 2 3 5 2 5" xfId="29468" xr:uid="{00000000-0005-0000-0000-00008F040000}"/>
    <cellStyle name="Comma 5 2 2 3 5 3" xfId="5293" xr:uid="{00000000-0005-0000-0000-000090040000}"/>
    <cellStyle name="Comma 5 2 2 3 5 3 2" xfId="14130" xr:uid="{00000000-0005-0000-0000-000091040000}"/>
    <cellStyle name="Comma 5 2 2 3 5 3 2 2" xfId="24381" xr:uid="{00000000-0005-0000-0000-000092040000}"/>
    <cellStyle name="Comma 5 2 2 3 5 3 2 2 2" xfId="49934" xr:uid="{00000000-0005-0000-0000-000093040000}"/>
    <cellStyle name="Comma 5 2 2 3 5 3 2 3" xfId="39685" xr:uid="{00000000-0005-0000-0000-000094040000}"/>
    <cellStyle name="Comma 5 2 2 3 5 3 3" xfId="10551" xr:uid="{00000000-0005-0000-0000-000095040000}"/>
    <cellStyle name="Comma 5 2 2 3 5 3 3 2" xfId="36108" xr:uid="{00000000-0005-0000-0000-000096040000}"/>
    <cellStyle name="Comma 5 2 2 3 5 3 4" xfId="19374" xr:uid="{00000000-0005-0000-0000-000097040000}"/>
    <cellStyle name="Comma 5 2 2 3 5 3 4 2" xfId="44927" xr:uid="{00000000-0005-0000-0000-000098040000}"/>
    <cellStyle name="Comma 5 2 2 3 5 3 5" xfId="30864" xr:uid="{00000000-0005-0000-0000-000099040000}"/>
    <cellStyle name="Comma 5 2 2 3 5 4" xfId="1804" xr:uid="{00000000-0005-0000-0000-00009A040000}"/>
    <cellStyle name="Comma 5 2 2 3 5 4 2" xfId="11172" xr:uid="{00000000-0005-0000-0000-00009B040000}"/>
    <cellStyle name="Comma 5 2 2 3 5 4 2 2" xfId="36727" xr:uid="{00000000-0005-0000-0000-00009C040000}"/>
    <cellStyle name="Comma 5 2 2 3 5 4 3" xfId="21176" xr:uid="{00000000-0005-0000-0000-00009D040000}"/>
    <cellStyle name="Comma 5 2 2 3 5 4 3 2" xfId="46729" xr:uid="{00000000-0005-0000-0000-00009E040000}"/>
    <cellStyle name="Comma 5 2 2 3 5 4 4" xfId="27659" xr:uid="{00000000-0005-0000-0000-00009F040000}"/>
    <cellStyle name="Comma 5 2 2 3 5 5" xfId="6748" xr:uid="{00000000-0005-0000-0000-0000A0040000}"/>
    <cellStyle name="Comma 5 2 2 3 5 5 2" xfId="15575" xr:uid="{00000000-0005-0000-0000-0000A1040000}"/>
    <cellStyle name="Comma 5 2 2 3 5 5 2 2" xfId="41130" xr:uid="{00000000-0005-0000-0000-0000A2040000}"/>
    <cellStyle name="Comma 5 2 2 3 5 5 3" xfId="25826" xr:uid="{00000000-0005-0000-0000-0000A3040000}"/>
    <cellStyle name="Comma 5 2 2 3 5 5 3 2" xfId="51379" xr:uid="{00000000-0005-0000-0000-0000A4040000}"/>
    <cellStyle name="Comma 5 2 2 3 5 5 4" xfId="32309" xr:uid="{00000000-0005-0000-0000-0000A5040000}"/>
    <cellStyle name="Comma 5 2 2 3 5 6" xfId="8194" xr:uid="{00000000-0005-0000-0000-0000A6040000}"/>
    <cellStyle name="Comma 5 2 2 3 5 6 2" xfId="20584" xr:uid="{00000000-0005-0000-0000-0000A7040000}"/>
    <cellStyle name="Comma 5 2 2 3 5 6 2 2" xfId="46137" xr:uid="{00000000-0005-0000-0000-0000A8040000}"/>
    <cellStyle name="Comma 5 2 2 3 5 6 3" xfId="33751" xr:uid="{00000000-0005-0000-0000-0000A9040000}"/>
    <cellStyle name="Comma 5 2 2 3 5 7" xfId="16169" xr:uid="{00000000-0005-0000-0000-0000AA040000}"/>
    <cellStyle name="Comma 5 2 2 3 5 7 2" xfId="41722" xr:uid="{00000000-0005-0000-0000-0000AB040000}"/>
    <cellStyle name="Comma 5 2 2 3 5 8" xfId="27067" xr:uid="{00000000-0005-0000-0000-0000AC040000}"/>
    <cellStyle name="Comma 5 2 2 3 6" xfId="2698" xr:uid="{00000000-0005-0000-0000-0000AD040000}"/>
    <cellStyle name="Comma 5 2 2 3 6 2" xfId="12015" xr:uid="{00000000-0005-0000-0000-0000AE040000}"/>
    <cellStyle name="Comma 5 2 2 3 6 2 2" xfId="22059" xr:uid="{00000000-0005-0000-0000-0000AF040000}"/>
    <cellStyle name="Comma 5 2 2 3 6 2 2 2" xfId="47612" xr:uid="{00000000-0005-0000-0000-0000B0040000}"/>
    <cellStyle name="Comma 5 2 2 3 6 2 3" xfId="37570" xr:uid="{00000000-0005-0000-0000-0000B1040000}"/>
    <cellStyle name="Comma 5 2 2 3 6 3" xfId="8554" xr:uid="{00000000-0005-0000-0000-0000B2040000}"/>
    <cellStyle name="Comma 5 2 2 3 6 3 2" xfId="34111" xr:uid="{00000000-0005-0000-0000-0000B3040000}"/>
    <cellStyle name="Comma 5 2 2 3 6 4" xfId="17052" xr:uid="{00000000-0005-0000-0000-0000B4040000}"/>
    <cellStyle name="Comma 5 2 2 3 6 4 2" xfId="42605" xr:uid="{00000000-0005-0000-0000-0000B5040000}"/>
    <cellStyle name="Comma 5 2 2 3 6 5" xfId="28542" xr:uid="{00000000-0005-0000-0000-0000B6040000}"/>
    <cellStyle name="Comma 5 2 2 3 7" xfId="4249" xr:uid="{00000000-0005-0000-0000-0000B7040000}"/>
    <cellStyle name="Comma 5 2 2 3 7 2" xfId="13087" xr:uid="{00000000-0005-0000-0000-0000B8040000}"/>
    <cellStyle name="Comma 5 2 2 3 7 2 2" xfId="23338" xr:uid="{00000000-0005-0000-0000-0000B9040000}"/>
    <cellStyle name="Comma 5 2 2 3 7 2 2 2" xfId="48891" xr:uid="{00000000-0005-0000-0000-0000BA040000}"/>
    <cellStyle name="Comma 5 2 2 3 7 2 3" xfId="38642" xr:uid="{00000000-0005-0000-0000-0000BB040000}"/>
    <cellStyle name="Comma 5 2 2 3 7 3" xfId="9508" xr:uid="{00000000-0005-0000-0000-0000BC040000}"/>
    <cellStyle name="Comma 5 2 2 3 7 3 2" xfId="35065" xr:uid="{00000000-0005-0000-0000-0000BD040000}"/>
    <cellStyle name="Comma 5 2 2 3 7 4" xfId="18331" xr:uid="{00000000-0005-0000-0000-0000BE040000}"/>
    <cellStyle name="Comma 5 2 2 3 7 4 2" xfId="43884" xr:uid="{00000000-0005-0000-0000-0000BF040000}"/>
    <cellStyle name="Comma 5 2 2 3 7 5" xfId="29821" xr:uid="{00000000-0005-0000-0000-0000C0040000}"/>
    <cellStyle name="Comma 5 2 2 3 8" xfId="1521" xr:uid="{00000000-0005-0000-0000-0000C1040000}"/>
    <cellStyle name="Comma 5 2 2 3 8 2" xfId="10898" xr:uid="{00000000-0005-0000-0000-0000C2040000}"/>
    <cellStyle name="Comma 5 2 2 3 8 2 2" xfId="36453" xr:uid="{00000000-0005-0000-0000-0000C3040000}"/>
    <cellStyle name="Comma 5 2 2 3 8 3" xfId="20902" xr:uid="{00000000-0005-0000-0000-0000C4040000}"/>
    <cellStyle name="Comma 5 2 2 3 8 3 2" xfId="46455" xr:uid="{00000000-0005-0000-0000-0000C5040000}"/>
    <cellStyle name="Comma 5 2 2 3 8 4" xfId="27385" xr:uid="{00000000-0005-0000-0000-0000C6040000}"/>
    <cellStyle name="Comma 5 2 2 3 9" xfId="5705" xr:uid="{00000000-0005-0000-0000-0000C7040000}"/>
    <cellStyle name="Comma 5 2 2 3 9 2" xfId="14532" xr:uid="{00000000-0005-0000-0000-0000C8040000}"/>
    <cellStyle name="Comma 5 2 2 3 9 2 2" xfId="40087" xr:uid="{00000000-0005-0000-0000-0000C9040000}"/>
    <cellStyle name="Comma 5 2 2 3 9 3" xfId="24783" xr:uid="{00000000-0005-0000-0000-0000CA040000}"/>
    <cellStyle name="Comma 5 2 2 3 9 3 2" xfId="50336" xr:uid="{00000000-0005-0000-0000-0000CB040000}"/>
    <cellStyle name="Comma 5 2 2 3 9 4" xfId="31266" xr:uid="{00000000-0005-0000-0000-0000CC040000}"/>
    <cellStyle name="Comma 5 2 2 4" xfId="238" xr:uid="{00000000-0005-0000-0000-0000CD040000}"/>
    <cellStyle name="Comma 5 2 2 4 10" xfId="7076" xr:uid="{00000000-0005-0000-0000-0000CE040000}"/>
    <cellStyle name="Comma 5 2 2 4 10 2" xfId="19690" xr:uid="{00000000-0005-0000-0000-0000CF040000}"/>
    <cellStyle name="Comma 5 2 2 4 10 2 2" xfId="45243" xr:uid="{00000000-0005-0000-0000-0000D0040000}"/>
    <cellStyle name="Comma 5 2 2 4 10 3" xfId="32633" xr:uid="{00000000-0005-0000-0000-0000D1040000}"/>
    <cellStyle name="Comma 5 2 2 4 11" xfId="15822" xr:uid="{00000000-0005-0000-0000-0000D2040000}"/>
    <cellStyle name="Comma 5 2 2 4 11 2" xfId="41375" xr:uid="{00000000-0005-0000-0000-0000D3040000}"/>
    <cellStyle name="Comma 5 2 2 4 12" xfId="26173" xr:uid="{00000000-0005-0000-0000-0000D4040000}"/>
    <cellStyle name="Comma 5 2 2 4 2" xfId="561" xr:uid="{00000000-0005-0000-0000-0000D5040000}"/>
    <cellStyle name="Comma 5 2 2 4 2 10" xfId="26490" xr:uid="{00000000-0005-0000-0000-0000D6040000}"/>
    <cellStyle name="Comma 5 2 2 4 2 2" xfId="627" xr:uid="{00000000-0005-0000-0000-0000D7040000}"/>
    <cellStyle name="Comma 5 2 2 4 2 2 2" xfId="3113" xr:uid="{00000000-0005-0000-0000-0000D8040000}"/>
    <cellStyle name="Comma 5 2 2 4 2 2 2 2" xfId="12256" xr:uid="{00000000-0005-0000-0000-0000D9040000}"/>
    <cellStyle name="Comma 5 2 2 4 2 2 2 2 2" xfId="22474" xr:uid="{00000000-0005-0000-0000-0000DA040000}"/>
    <cellStyle name="Comma 5 2 2 4 2 2 2 2 2 2" xfId="48027" xr:uid="{00000000-0005-0000-0000-0000DB040000}"/>
    <cellStyle name="Comma 5 2 2 4 2 2 2 2 3" xfId="37811" xr:uid="{00000000-0005-0000-0000-0000DC040000}"/>
    <cellStyle name="Comma 5 2 2 4 2 2 2 3" xfId="8678" xr:uid="{00000000-0005-0000-0000-0000DD040000}"/>
    <cellStyle name="Comma 5 2 2 4 2 2 2 3 2" xfId="34235" xr:uid="{00000000-0005-0000-0000-0000DE040000}"/>
    <cellStyle name="Comma 5 2 2 4 2 2 2 4" xfId="17467" xr:uid="{00000000-0005-0000-0000-0000DF040000}"/>
    <cellStyle name="Comma 5 2 2 4 2 2 2 4 2" xfId="43020" xr:uid="{00000000-0005-0000-0000-0000E0040000}"/>
    <cellStyle name="Comma 5 2 2 4 2 2 2 5" xfId="28957" xr:uid="{00000000-0005-0000-0000-0000E1040000}"/>
    <cellStyle name="Comma 5 2 2 4 2 2 3" xfId="4442" xr:uid="{00000000-0005-0000-0000-0000E2040000}"/>
    <cellStyle name="Comma 5 2 2 4 2 2 3 2" xfId="13280" xr:uid="{00000000-0005-0000-0000-0000E3040000}"/>
    <cellStyle name="Comma 5 2 2 4 2 2 3 2 2" xfId="23531" xr:uid="{00000000-0005-0000-0000-0000E4040000}"/>
    <cellStyle name="Comma 5 2 2 4 2 2 3 2 2 2" xfId="49084" xr:uid="{00000000-0005-0000-0000-0000E5040000}"/>
    <cellStyle name="Comma 5 2 2 4 2 2 3 2 3" xfId="38835" xr:uid="{00000000-0005-0000-0000-0000E6040000}"/>
    <cellStyle name="Comma 5 2 2 4 2 2 3 3" xfId="9701" xr:uid="{00000000-0005-0000-0000-0000E7040000}"/>
    <cellStyle name="Comma 5 2 2 4 2 2 3 3 2" xfId="35258" xr:uid="{00000000-0005-0000-0000-0000E8040000}"/>
    <cellStyle name="Comma 5 2 2 4 2 2 3 4" xfId="18524" xr:uid="{00000000-0005-0000-0000-0000E9040000}"/>
    <cellStyle name="Comma 5 2 2 4 2 2 3 4 2" xfId="44077" xr:uid="{00000000-0005-0000-0000-0000EA040000}"/>
    <cellStyle name="Comma 5 2 2 4 2 2 3 5" xfId="30014" xr:uid="{00000000-0005-0000-0000-0000EB040000}"/>
    <cellStyle name="Comma 5 2 2 4 2 2 4" xfId="2222" xr:uid="{00000000-0005-0000-0000-0000EC040000}"/>
    <cellStyle name="Comma 5 2 2 4 2 2 4 2" xfId="11587" xr:uid="{00000000-0005-0000-0000-0000ED040000}"/>
    <cellStyle name="Comma 5 2 2 4 2 2 4 2 2" xfId="37142" xr:uid="{00000000-0005-0000-0000-0000EE040000}"/>
    <cellStyle name="Comma 5 2 2 4 2 2 4 3" xfId="21591" xr:uid="{00000000-0005-0000-0000-0000EF040000}"/>
    <cellStyle name="Comma 5 2 2 4 2 2 4 3 2" xfId="47144" xr:uid="{00000000-0005-0000-0000-0000F0040000}"/>
    <cellStyle name="Comma 5 2 2 4 2 2 4 4" xfId="28074" xr:uid="{00000000-0005-0000-0000-0000F1040000}"/>
    <cellStyle name="Comma 5 2 2 4 2 2 5" xfId="5898" xr:uid="{00000000-0005-0000-0000-0000F2040000}"/>
    <cellStyle name="Comma 5 2 2 4 2 2 5 2" xfId="14725" xr:uid="{00000000-0005-0000-0000-0000F3040000}"/>
    <cellStyle name="Comma 5 2 2 4 2 2 5 2 2" xfId="40280" xr:uid="{00000000-0005-0000-0000-0000F4040000}"/>
    <cellStyle name="Comma 5 2 2 4 2 2 5 3" xfId="24976" xr:uid="{00000000-0005-0000-0000-0000F5040000}"/>
    <cellStyle name="Comma 5 2 2 4 2 2 5 3 2" xfId="50529" xr:uid="{00000000-0005-0000-0000-0000F6040000}"/>
    <cellStyle name="Comma 5 2 2 4 2 2 5 4" xfId="31459" xr:uid="{00000000-0005-0000-0000-0000F7040000}"/>
    <cellStyle name="Comma 5 2 2 4 2 2 6" xfId="7342" xr:uid="{00000000-0005-0000-0000-0000F8040000}"/>
    <cellStyle name="Comma 5 2 2 4 2 2 6 2" xfId="20073" xr:uid="{00000000-0005-0000-0000-0000F9040000}"/>
    <cellStyle name="Comma 5 2 2 4 2 2 6 2 2" xfId="45626" xr:uid="{00000000-0005-0000-0000-0000FA040000}"/>
    <cellStyle name="Comma 5 2 2 4 2 2 6 3" xfId="32899" xr:uid="{00000000-0005-0000-0000-0000FB040000}"/>
    <cellStyle name="Comma 5 2 2 4 2 2 7" xfId="16584" xr:uid="{00000000-0005-0000-0000-0000FC040000}"/>
    <cellStyle name="Comma 5 2 2 4 2 2 7 2" xfId="42137" xr:uid="{00000000-0005-0000-0000-0000FD040000}"/>
    <cellStyle name="Comma 5 2 2 4 2 2 8" xfId="26556" xr:uid="{00000000-0005-0000-0000-0000FE040000}"/>
    <cellStyle name="Comma 5 2 2 4 2 3" xfId="1333" xr:uid="{00000000-0005-0000-0000-0000FF040000}"/>
    <cellStyle name="Comma 5 2 2 4 2 3 2" xfId="3762" xr:uid="{00000000-0005-0000-0000-000000050000}"/>
    <cellStyle name="Comma 5 2 2 4 2 3 2 2" xfId="12898" xr:uid="{00000000-0005-0000-0000-000001050000}"/>
    <cellStyle name="Comma 5 2 2 4 2 3 2 2 2" xfId="23117" xr:uid="{00000000-0005-0000-0000-000002050000}"/>
    <cellStyle name="Comma 5 2 2 4 2 3 2 2 2 2" xfId="48670" xr:uid="{00000000-0005-0000-0000-000003050000}"/>
    <cellStyle name="Comma 5 2 2 4 2 3 2 2 3" xfId="38453" xr:uid="{00000000-0005-0000-0000-000004050000}"/>
    <cellStyle name="Comma 5 2 2 4 2 3 2 3" xfId="9319" xr:uid="{00000000-0005-0000-0000-000005050000}"/>
    <cellStyle name="Comma 5 2 2 4 2 3 2 3 2" xfId="34876" xr:uid="{00000000-0005-0000-0000-000006050000}"/>
    <cellStyle name="Comma 5 2 2 4 2 3 2 4" xfId="18110" xr:uid="{00000000-0005-0000-0000-000007050000}"/>
    <cellStyle name="Comma 5 2 2 4 2 3 2 4 2" xfId="43663" xr:uid="{00000000-0005-0000-0000-000008050000}"/>
    <cellStyle name="Comma 5 2 2 4 2 3 2 5" xfId="29600" xr:uid="{00000000-0005-0000-0000-000009050000}"/>
    <cellStyle name="Comma 5 2 2 4 2 3 3" xfId="4791" xr:uid="{00000000-0005-0000-0000-00000A050000}"/>
    <cellStyle name="Comma 5 2 2 4 2 3 3 2" xfId="13628" xr:uid="{00000000-0005-0000-0000-00000B050000}"/>
    <cellStyle name="Comma 5 2 2 4 2 3 3 2 2" xfId="23879" xr:uid="{00000000-0005-0000-0000-00000C050000}"/>
    <cellStyle name="Comma 5 2 2 4 2 3 3 2 2 2" xfId="49432" xr:uid="{00000000-0005-0000-0000-00000D050000}"/>
    <cellStyle name="Comma 5 2 2 4 2 3 3 2 3" xfId="39183" xr:uid="{00000000-0005-0000-0000-00000E050000}"/>
    <cellStyle name="Comma 5 2 2 4 2 3 3 3" xfId="10049" xr:uid="{00000000-0005-0000-0000-00000F050000}"/>
    <cellStyle name="Comma 5 2 2 4 2 3 3 3 2" xfId="35606" xr:uid="{00000000-0005-0000-0000-000010050000}"/>
    <cellStyle name="Comma 5 2 2 4 2 3 3 4" xfId="18872" xr:uid="{00000000-0005-0000-0000-000011050000}"/>
    <cellStyle name="Comma 5 2 2 4 2 3 3 4 2" xfId="44425" xr:uid="{00000000-0005-0000-0000-000012050000}"/>
    <cellStyle name="Comma 5 2 2 4 2 3 3 5" xfId="30362" xr:uid="{00000000-0005-0000-0000-000013050000}"/>
    <cellStyle name="Comma 5 2 2 4 2 3 4" xfId="2156" xr:uid="{00000000-0005-0000-0000-000014050000}"/>
    <cellStyle name="Comma 5 2 2 4 2 3 4 2" xfId="11521" xr:uid="{00000000-0005-0000-0000-000015050000}"/>
    <cellStyle name="Comma 5 2 2 4 2 3 4 2 2" xfId="37076" xr:uid="{00000000-0005-0000-0000-000016050000}"/>
    <cellStyle name="Comma 5 2 2 4 2 3 4 3" xfId="21525" xr:uid="{00000000-0005-0000-0000-000017050000}"/>
    <cellStyle name="Comma 5 2 2 4 2 3 4 3 2" xfId="47078" xr:uid="{00000000-0005-0000-0000-000018050000}"/>
    <cellStyle name="Comma 5 2 2 4 2 3 4 4" xfId="28008" xr:uid="{00000000-0005-0000-0000-000019050000}"/>
    <cellStyle name="Comma 5 2 2 4 2 3 5" xfId="6246" xr:uid="{00000000-0005-0000-0000-00001A050000}"/>
    <cellStyle name="Comma 5 2 2 4 2 3 5 2" xfId="15073" xr:uid="{00000000-0005-0000-0000-00001B050000}"/>
    <cellStyle name="Comma 5 2 2 4 2 3 5 2 2" xfId="40628" xr:uid="{00000000-0005-0000-0000-00001C050000}"/>
    <cellStyle name="Comma 5 2 2 4 2 3 5 3" xfId="25324" xr:uid="{00000000-0005-0000-0000-00001D050000}"/>
    <cellStyle name="Comma 5 2 2 4 2 3 5 3 2" xfId="50877" xr:uid="{00000000-0005-0000-0000-00001E050000}"/>
    <cellStyle name="Comma 5 2 2 4 2 3 5 4" xfId="31807" xr:uid="{00000000-0005-0000-0000-00001F050000}"/>
    <cellStyle name="Comma 5 2 2 4 2 3 6" xfId="7692" xr:uid="{00000000-0005-0000-0000-000020050000}"/>
    <cellStyle name="Comma 5 2 2 4 2 3 6 2" xfId="20716" xr:uid="{00000000-0005-0000-0000-000021050000}"/>
    <cellStyle name="Comma 5 2 2 4 2 3 6 2 2" xfId="46269" xr:uid="{00000000-0005-0000-0000-000022050000}"/>
    <cellStyle name="Comma 5 2 2 4 2 3 6 3" xfId="33249" xr:uid="{00000000-0005-0000-0000-000023050000}"/>
    <cellStyle name="Comma 5 2 2 4 2 3 7" xfId="16518" xr:uid="{00000000-0005-0000-0000-000024050000}"/>
    <cellStyle name="Comma 5 2 2 4 2 3 7 2" xfId="42071" xr:uid="{00000000-0005-0000-0000-000025050000}"/>
    <cellStyle name="Comma 5 2 2 4 2 3 8" xfId="27199" xr:uid="{00000000-0005-0000-0000-000026050000}"/>
    <cellStyle name="Comma 5 2 2 4 2 4" xfId="3047" xr:uid="{00000000-0005-0000-0000-000027050000}"/>
    <cellStyle name="Comma 5 2 2 4 2 4 2" xfId="5425" xr:uid="{00000000-0005-0000-0000-000028050000}"/>
    <cellStyle name="Comma 5 2 2 4 2 4 2 2" xfId="14262" xr:uid="{00000000-0005-0000-0000-000029050000}"/>
    <cellStyle name="Comma 5 2 2 4 2 4 2 2 2" xfId="24513" xr:uid="{00000000-0005-0000-0000-00002A050000}"/>
    <cellStyle name="Comma 5 2 2 4 2 4 2 2 2 2" xfId="50066" xr:uid="{00000000-0005-0000-0000-00002B050000}"/>
    <cellStyle name="Comma 5 2 2 4 2 4 2 2 3" xfId="39817" xr:uid="{00000000-0005-0000-0000-00002C050000}"/>
    <cellStyle name="Comma 5 2 2 4 2 4 2 3" xfId="10683" xr:uid="{00000000-0005-0000-0000-00002D050000}"/>
    <cellStyle name="Comma 5 2 2 4 2 4 2 3 2" xfId="36240" xr:uid="{00000000-0005-0000-0000-00002E050000}"/>
    <cellStyle name="Comma 5 2 2 4 2 4 2 4" xfId="19506" xr:uid="{00000000-0005-0000-0000-00002F050000}"/>
    <cellStyle name="Comma 5 2 2 4 2 4 2 4 2" xfId="45059" xr:uid="{00000000-0005-0000-0000-000030050000}"/>
    <cellStyle name="Comma 5 2 2 4 2 4 2 5" xfId="30996" xr:uid="{00000000-0005-0000-0000-000031050000}"/>
    <cellStyle name="Comma 5 2 2 4 2 4 3" xfId="6880" xr:uid="{00000000-0005-0000-0000-000032050000}"/>
    <cellStyle name="Comma 5 2 2 4 2 4 3 2" xfId="15707" xr:uid="{00000000-0005-0000-0000-000033050000}"/>
    <cellStyle name="Comma 5 2 2 4 2 4 3 2 2" xfId="41262" xr:uid="{00000000-0005-0000-0000-000034050000}"/>
    <cellStyle name="Comma 5 2 2 4 2 4 3 3" xfId="25958" xr:uid="{00000000-0005-0000-0000-000035050000}"/>
    <cellStyle name="Comma 5 2 2 4 2 4 3 3 2" xfId="51511" xr:uid="{00000000-0005-0000-0000-000036050000}"/>
    <cellStyle name="Comma 5 2 2 4 2 4 3 4" xfId="32441" xr:uid="{00000000-0005-0000-0000-000037050000}"/>
    <cellStyle name="Comma 5 2 2 4 2 4 4" xfId="8326" xr:uid="{00000000-0005-0000-0000-000038050000}"/>
    <cellStyle name="Comma 5 2 2 4 2 4 4 2" xfId="22408" xr:uid="{00000000-0005-0000-0000-000039050000}"/>
    <cellStyle name="Comma 5 2 2 4 2 4 4 2 2" xfId="47961" xr:uid="{00000000-0005-0000-0000-00003A050000}"/>
    <cellStyle name="Comma 5 2 2 4 2 4 4 3" xfId="33883" xr:uid="{00000000-0005-0000-0000-00003B050000}"/>
    <cellStyle name="Comma 5 2 2 4 2 4 5" xfId="17401" xr:uid="{00000000-0005-0000-0000-00003C050000}"/>
    <cellStyle name="Comma 5 2 2 4 2 4 5 2" xfId="42954" xr:uid="{00000000-0005-0000-0000-00003D050000}"/>
    <cellStyle name="Comma 5 2 2 4 2 4 6" xfId="28891" xr:uid="{00000000-0005-0000-0000-00003E050000}"/>
    <cellStyle name="Comma 5 2 2 4 2 5" xfId="4381" xr:uid="{00000000-0005-0000-0000-00003F050000}"/>
    <cellStyle name="Comma 5 2 2 4 2 5 2" xfId="13219" xr:uid="{00000000-0005-0000-0000-000040050000}"/>
    <cellStyle name="Comma 5 2 2 4 2 5 2 2" xfId="23470" xr:uid="{00000000-0005-0000-0000-000041050000}"/>
    <cellStyle name="Comma 5 2 2 4 2 5 2 2 2" xfId="49023" xr:uid="{00000000-0005-0000-0000-000042050000}"/>
    <cellStyle name="Comma 5 2 2 4 2 5 2 3" xfId="38774" xr:uid="{00000000-0005-0000-0000-000043050000}"/>
    <cellStyle name="Comma 5 2 2 4 2 5 3" xfId="9640" xr:uid="{00000000-0005-0000-0000-000044050000}"/>
    <cellStyle name="Comma 5 2 2 4 2 5 3 2" xfId="35197" xr:uid="{00000000-0005-0000-0000-000045050000}"/>
    <cellStyle name="Comma 5 2 2 4 2 5 4" xfId="18463" xr:uid="{00000000-0005-0000-0000-000046050000}"/>
    <cellStyle name="Comma 5 2 2 4 2 5 4 2" xfId="44016" xr:uid="{00000000-0005-0000-0000-000047050000}"/>
    <cellStyle name="Comma 5 2 2 4 2 5 5" xfId="29953" xr:uid="{00000000-0005-0000-0000-000048050000}"/>
    <cellStyle name="Comma 5 2 2 4 2 6" xfId="1653" xr:uid="{00000000-0005-0000-0000-000049050000}"/>
    <cellStyle name="Comma 5 2 2 4 2 6 2" xfId="11030" xr:uid="{00000000-0005-0000-0000-00004A050000}"/>
    <cellStyle name="Comma 5 2 2 4 2 6 2 2" xfId="36585" xr:uid="{00000000-0005-0000-0000-00004B050000}"/>
    <cellStyle name="Comma 5 2 2 4 2 6 3" xfId="21034" xr:uid="{00000000-0005-0000-0000-00004C050000}"/>
    <cellStyle name="Comma 5 2 2 4 2 6 3 2" xfId="46587" xr:uid="{00000000-0005-0000-0000-00004D050000}"/>
    <cellStyle name="Comma 5 2 2 4 2 6 4" xfId="27517" xr:uid="{00000000-0005-0000-0000-00004E050000}"/>
    <cellStyle name="Comma 5 2 2 4 2 7" xfId="5837" xr:uid="{00000000-0005-0000-0000-00004F050000}"/>
    <cellStyle name="Comma 5 2 2 4 2 7 2" xfId="14664" xr:uid="{00000000-0005-0000-0000-000050050000}"/>
    <cellStyle name="Comma 5 2 2 4 2 7 2 2" xfId="40219" xr:uid="{00000000-0005-0000-0000-000051050000}"/>
    <cellStyle name="Comma 5 2 2 4 2 7 3" xfId="24915" xr:uid="{00000000-0005-0000-0000-000052050000}"/>
    <cellStyle name="Comma 5 2 2 4 2 7 3 2" xfId="50468" xr:uid="{00000000-0005-0000-0000-000053050000}"/>
    <cellStyle name="Comma 5 2 2 4 2 7 4" xfId="31398" xr:uid="{00000000-0005-0000-0000-000054050000}"/>
    <cellStyle name="Comma 5 2 2 4 2 8" xfId="7281" xr:uid="{00000000-0005-0000-0000-000055050000}"/>
    <cellStyle name="Comma 5 2 2 4 2 8 2" xfId="20007" xr:uid="{00000000-0005-0000-0000-000056050000}"/>
    <cellStyle name="Comma 5 2 2 4 2 8 2 2" xfId="45560" xr:uid="{00000000-0005-0000-0000-000057050000}"/>
    <cellStyle name="Comma 5 2 2 4 2 8 3" xfId="32838" xr:uid="{00000000-0005-0000-0000-000058050000}"/>
    <cellStyle name="Comma 5 2 2 4 2 9" xfId="16027" xr:uid="{00000000-0005-0000-0000-000059050000}"/>
    <cellStyle name="Comma 5 2 2 4 2 9 2" xfId="41580" xr:uid="{00000000-0005-0000-0000-00005A050000}"/>
    <cellStyle name="Comma 5 2 2 4 3" xfId="356" xr:uid="{00000000-0005-0000-0000-00005B050000}"/>
    <cellStyle name="Comma 5 2 2 4 3 2" xfId="2842" xr:uid="{00000000-0005-0000-0000-00005C050000}"/>
    <cellStyle name="Comma 5 2 2 4 3 2 2" xfId="12130" xr:uid="{00000000-0005-0000-0000-00005D050000}"/>
    <cellStyle name="Comma 5 2 2 4 3 2 2 2" xfId="22203" xr:uid="{00000000-0005-0000-0000-00005E050000}"/>
    <cellStyle name="Comma 5 2 2 4 3 2 2 2 2" xfId="47756" xr:uid="{00000000-0005-0000-0000-00005F050000}"/>
    <cellStyle name="Comma 5 2 2 4 3 2 2 3" xfId="37685" xr:uid="{00000000-0005-0000-0000-000060050000}"/>
    <cellStyle name="Comma 5 2 2 4 3 2 3" xfId="8440" xr:uid="{00000000-0005-0000-0000-000061050000}"/>
    <cellStyle name="Comma 5 2 2 4 3 2 3 2" xfId="33997" xr:uid="{00000000-0005-0000-0000-000062050000}"/>
    <cellStyle name="Comma 5 2 2 4 3 2 4" xfId="17196" xr:uid="{00000000-0005-0000-0000-000063050000}"/>
    <cellStyle name="Comma 5 2 2 4 3 2 4 2" xfId="42749" xr:uid="{00000000-0005-0000-0000-000064050000}"/>
    <cellStyle name="Comma 5 2 2 4 3 2 5" xfId="28686" xr:uid="{00000000-0005-0000-0000-000065050000}"/>
    <cellStyle name="Comma 5 2 2 4 3 3" xfId="4441" xr:uid="{00000000-0005-0000-0000-000066050000}"/>
    <cellStyle name="Comma 5 2 2 4 3 3 2" xfId="13279" xr:uid="{00000000-0005-0000-0000-000067050000}"/>
    <cellStyle name="Comma 5 2 2 4 3 3 2 2" xfId="23530" xr:uid="{00000000-0005-0000-0000-000068050000}"/>
    <cellStyle name="Comma 5 2 2 4 3 3 2 2 2" xfId="49083" xr:uid="{00000000-0005-0000-0000-000069050000}"/>
    <cellStyle name="Comma 5 2 2 4 3 3 2 3" xfId="38834" xr:uid="{00000000-0005-0000-0000-00006A050000}"/>
    <cellStyle name="Comma 5 2 2 4 3 3 3" xfId="9700" xr:uid="{00000000-0005-0000-0000-00006B050000}"/>
    <cellStyle name="Comma 5 2 2 4 3 3 3 2" xfId="35257" xr:uid="{00000000-0005-0000-0000-00006C050000}"/>
    <cellStyle name="Comma 5 2 2 4 3 3 4" xfId="18523" xr:uid="{00000000-0005-0000-0000-00006D050000}"/>
    <cellStyle name="Comma 5 2 2 4 3 3 4 2" xfId="44076" xr:uid="{00000000-0005-0000-0000-00006E050000}"/>
    <cellStyle name="Comma 5 2 2 4 3 3 5" xfId="30013" xr:uid="{00000000-0005-0000-0000-00006F050000}"/>
    <cellStyle name="Comma 5 2 2 4 3 4" xfId="1951" xr:uid="{00000000-0005-0000-0000-000070050000}"/>
    <cellStyle name="Comma 5 2 2 4 3 4 2" xfId="11316" xr:uid="{00000000-0005-0000-0000-000071050000}"/>
    <cellStyle name="Comma 5 2 2 4 3 4 2 2" xfId="36871" xr:uid="{00000000-0005-0000-0000-000072050000}"/>
    <cellStyle name="Comma 5 2 2 4 3 4 3" xfId="21320" xr:uid="{00000000-0005-0000-0000-000073050000}"/>
    <cellStyle name="Comma 5 2 2 4 3 4 3 2" xfId="46873" xr:uid="{00000000-0005-0000-0000-000074050000}"/>
    <cellStyle name="Comma 5 2 2 4 3 4 4" xfId="27803" xr:uid="{00000000-0005-0000-0000-000075050000}"/>
    <cellStyle name="Comma 5 2 2 4 3 5" xfId="5897" xr:uid="{00000000-0005-0000-0000-000076050000}"/>
    <cellStyle name="Comma 5 2 2 4 3 5 2" xfId="14724" xr:uid="{00000000-0005-0000-0000-000077050000}"/>
    <cellStyle name="Comma 5 2 2 4 3 5 2 2" xfId="40279" xr:uid="{00000000-0005-0000-0000-000078050000}"/>
    <cellStyle name="Comma 5 2 2 4 3 5 3" xfId="24975" xr:uid="{00000000-0005-0000-0000-000079050000}"/>
    <cellStyle name="Comma 5 2 2 4 3 5 3 2" xfId="50528" xr:uid="{00000000-0005-0000-0000-00007A050000}"/>
    <cellStyle name="Comma 5 2 2 4 3 5 4" xfId="31458" xr:uid="{00000000-0005-0000-0000-00007B050000}"/>
    <cellStyle name="Comma 5 2 2 4 3 6" xfId="7341" xr:uid="{00000000-0005-0000-0000-00007C050000}"/>
    <cellStyle name="Comma 5 2 2 4 3 6 2" xfId="19802" xr:uid="{00000000-0005-0000-0000-00007D050000}"/>
    <cellStyle name="Comma 5 2 2 4 3 6 2 2" xfId="45355" xr:uid="{00000000-0005-0000-0000-00007E050000}"/>
    <cellStyle name="Comma 5 2 2 4 3 6 3" xfId="32898" xr:uid="{00000000-0005-0000-0000-00007F050000}"/>
    <cellStyle name="Comma 5 2 2 4 3 7" xfId="16313" xr:uid="{00000000-0005-0000-0000-000080050000}"/>
    <cellStyle name="Comma 5 2 2 4 3 7 2" xfId="41866" xr:uid="{00000000-0005-0000-0000-000081050000}"/>
    <cellStyle name="Comma 5 2 2 4 3 8" xfId="26285" xr:uid="{00000000-0005-0000-0000-000082050000}"/>
    <cellStyle name="Comma 5 2 2 4 4" xfId="626" xr:uid="{00000000-0005-0000-0000-000083050000}"/>
    <cellStyle name="Comma 5 2 2 4 4 2" xfId="3112" xr:uid="{00000000-0005-0000-0000-000084050000}"/>
    <cellStyle name="Comma 5 2 2 4 4 2 2" xfId="12255" xr:uid="{00000000-0005-0000-0000-000085050000}"/>
    <cellStyle name="Comma 5 2 2 4 4 2 2 2" xfId="22473" xr:uid="{00000000-0005-0000-0000-000086050000}"/>
    <cellStyle name="Comma 5 2 2 4 4 2 2 2 2" xfId="48026" xr:uid="{00000000-0005-0000-0000-000087050000}"/>
    <cellStyle name="Comma 5 2 2 4 4 2 2 3" xfId="37810" xr:uid="{00000000-0005-0000-0000-000088050000}"/>
    <cellStyle name="Comma 5 2 2 4 4 2 3" xfId="8677" xr:uid="{00000000-0005-0000-0000-000089050000}"/>
    <cellStyle name="Comma 5 2 2 4 4 2 3 2" xfId="34234" xr:uid="{00000000-0005-0000-0000-00008A050000}"/>
    <cellStyle name="Comma 5 2 2 4 4 2 4" xfId="17466" xr:uid="{00000000-0005-0000-0000-00008B050000}"/>
    <cellStyle name="Comma 5 2 2 4 4 2 4 2" xfId="43019" xr:uid="{00000000-0005-0000-0000-00008C050000}"/>
    <cellStyle name="Comma 5 2 2 4 4 2 5" xfId="28956" xr:uid="{00000000-0005-0000-0000-00008D050000}"/>
    <cellStyle name="Comma 5 2 2 4 4 3" xfId="4790" xr:uid="{00000000-0005-0000-0000-00008E050000}"/>
    <cellStyle name="Comma 5 2 2 4 4 3 2" xfId="13627" xr:uid="{00000000-0005-0000-0000-00008F050000}"/>
    <cellStyle name="Comma 5 2 2 4 4 3 2 2" xfId="23878" xr:uid="{00000000-0005-0000-0000-000090050000}"/>
    <cellStyle name="Comma 5 2 2 4 4 3 2 2 2" xfId="49431" xr:uid="{00000000-0005-0000-0000-000091050000}"/>
    <cellStyle name="Comma 5 2 2 4 4 3 2 3" xfId="39182" xr:uid="{00000000-0005-0000-0000-000092050000}"/>
    <cellStyle name="Comma 5 2 2 4 4 3 3" xfId="10048" xr:uid="{00000000-0005-0000-0000-000093050000}"/>
    <cellStyle name="Comma 5 2 2 4 4 3 3 2" xfId="35605" xr:uid="{00000000-0005-0000-0000-000094050000}"/>
    <cellStyle name="Comma 5 2 2 4 4 3 4" xfId="18871" xr:uid="{00000000-0005-0000-0000-000095050000}"/>
    <cellStyle name="Comma 5 2 2 4 4 3 4 2" xfId="44424" xr:uid="{00000000-0005-0000-0000-000096050000}"/>
    <cellStyle name="Comma 5 2 2 4 4 3 5" xfId="30361" xr:uid="{00000000-0005-0000-0000-000097050000}"/>
    <cellStyle name="Comma 5 2 2 4 4 4" xfId="2221" xr:uid="{00000000-0005-0000-0000-000098050000}"/>
    <cellStyle name="Comma 5 2 2 4 4 4 2" xfId="11586" xr:uid="{00000000-0005-0000-0000-000099050000}"/>
    <cellStyle name="Comma 5 2 2 4 4 4 2 2" xfId="37141" xr:uid="{00000000-0005-0000-0000-00009A050000}"/>
    <cellStyle name="Comma 5 2 2 4 4 4 3" xfId="21590" xr:uid="{00000000-0005-0000-0000-00009B050000}"/>
    <cellStyle name="Comma 5 2 2 4 4 4 3 2" xfId="47143" xr:uid="{00000000-0005-0000-0000-00009C050000}"/>
    <cellStyle name="Comma 5 2 2 4 4 4 4" xfId="28073" xr:uid="{00000000-0005-0000-0000-00009D050000}"/>
    <cellStyle name="Comma 5 2 2 4 4 5" xfId="6245" xr:uid="{00000000-0005-0000-0000-00009E050000}"/>
    <cellStyle name="Comma 5 2 2 4 4 5 2" xfId="15072" xr:uid="{00000000-0005-0000-0000-00009F050000}"/>
    <cellStyle name="Comma 5 2 2 4 4 5 2 2" xfId="40627" xr:uid="{00000000-0005-0000-0000-0000A0050000}"/>
    <cellStyle name="Comma 5 2 2 4 4 5 3" xfId="25323" xr:uid="{00000000-0005-0000-0000-0000A1050000}"/>
    <cellStyle name="Comma 5 2 2 4 4 5 3 2" xfId="50876" xr:uid="{00000000-0005-0000-0000-0000A2050000}"/>
    <cellStyle name="Comma 5 2 2 4 4 5 4" xfId="31806" xr:uid="{00000000-0005-0000-0000-0000A3050000}"/>
    <cellStyle name="Comma 5 2 2 4 4 6" xfId="7691" xr:uid="{00000000-0005-0000-0000-0000A4050000}"/>
    <cellStyle name="Comma 5 2 2 4 4 6 2" xfId="20072" xr:uid="{00000000-0005-0000-0000-0000A5050000}"/>
    <cellStyle name="Comma 5 2 2 4 4 6 2 2" xfId="45625" xr:uid="{00000000-0005-0000-0000-0000A6050000}"/>
    <cellStyle name="Comma 5 2 2 4 4 6 3" xfId="33248" xr:uid="{00000000-0005-0000-0000-0000A7050000}"/>
    <cellStyle name="Comma 5 2 2 4 4 7" xfId="16583" xr:uid="{00000000-0005-0000-0000-0000A8050000}"/>
    <cellStyle name="Comma 5 2 2 4 4 7 2" xfId="42136" xr:uid="{00000000-0005-0000-0000-0000A9050000}"/>
    <cellStyle name="Comma 5 2 2 4 4 8" xfId="26555" xr:uid="{00000000-0005-0000-0000-0000AA050000}"/>
    <cellStyle name="Comma 5 2 2 4 5" xfId="1128" xr:uid="{00000000-0005-0000-0000-0000AB050000}"/>
    <cellStyle name="Comma 5 2 2 4 5 2" xfId="3557" xr:uid="{00000000-0005-0000-0000-0000AC050000}"/>
    <cellStyle name="Comma 5 2 2 4 5 2 2" xfId="12693" xr:uid="{00000000-0005-0000-0000-0000AD050000}"/>
    <cellStyle name="Comma 5 2 2 4 5 2 2 2" xfId="22912" xr:uid="{00000000-0005-0000-0000-0000AE050000}"/>
    <cellStyle name="Comma 5 2 2 4 5 2 2 2 2" xfId="48465" xr:uid="{00000000-0005-0000-0000-0000AF050000}"/>
    <cellStyle name="Comma 5 2 2 4 5 2 2 3" xfId="38248" xr:uid="{00000000-0005-0000-0000-0000B0050000}"/>
    <cellStyle name="Comma 5 2 2 4 5 2 3" xfId="9114" xr:uid="{00000000-0005-0000-0000-0000B1050000}"/>
    <cellStyle name="Comma 5 2 2 4 5 2 3 2" xfId="34671" xr:uid="{00000000-0005-0000-0000-0000B2050000}"/>
    <cellStyle name="Comma 5 2 2 4 5 2 4" xfId="17905" xr:uid="{00000000-0005-0000-0000-0000B3050000}"/>
    <cellStyle name="Comma 5 2 2 4 5 2 4 2" xfId="43458" xr:uid="{00000000-0005-0000-0000-0000B4050000}"/>
    <cellStyle name="Comma 5 2 2 4 5 2 5" xfId="29395" xr:uid="{00000000-0005-0000-0000-0000B5050000}"/>
    <cellStyle name="Comma 5 2 2 4 5 3" xfId="5220" xr:uid="{00000000-0005-0000-0000-0000B6050000}"/>
    <cellStyle name="Comma 5 2 2 4 5 3 2" xfId="14057" xr:uid="{00000000-0005-0000-0000-0000B7050000}"/>
    <cellStyle name="Comma 5 2 2 4 5 3 2 2" xfId="24308" xr:uid="{00000000-0005-0000-0000-0000B8050000}"/>
    <cellStyle name="Comma 5 2 2 4 5 3 2 2 2" xfId="49861" xr:uid="{00000000-0005-0000-0000-0000B9050000}"/>
    <cellStyle name="Comma 5 2 2 4 5 3 2 3" xfId="39612" xr:uid="{00000000-0005-0000-0000-0000BA050000}"/>
    <cellStyle name="Comma 5 2 2 4 5 3 3" xfId="10478" xr:uid="{00000000-0005-0000-0000-0000BB050000}"/>
    <cellStyle name="Comma 5 2 2 4 5 3 3 2" xfId="36035" xr:uid="{00000000-0005-0000-0000-0000BC050000}"/>
    <cellStyle name="Comma 5 2 2 4 5 3 4" xfId="19301" xr:uid="{00000000-0005-0000-0000-0000BD050000}"/>
    <cellStyle name="Comma 5 2 2 4 5 3 4 2" xfId="44854" xr:uid="{00000000-0005-0000-0000-0000BE050000}"/>
    <cellStyle name="Comma 5 2 2 4 5 3 5" xfId="30791" xr:uid="{00000000-0005-0000-0000-0000BF050000}"/>
    <cellStyle name="Comma 5 2 2 4 5 4" xfId="1836" xr:uid="{00000000-0005-0000-0000-0000C0050000}"/>
    <cellStyle name="Comma 5 2 2 4 5 4 2" xfId="11204" xr:uid="{00000000-0005-0000-0000-0000C1050000}"/>
    <cellStyle name="Comma 5 2 2 4 5 4 2 2" xfId="36759" xr:uid="{00000000-0005-0000-0000-0000C2050000}"/>
    <cellStyle name="Comma 5 2 2 4 5 4 3" xfId="21208" xr:uid="{00000000-0005-0000-0000-0000C3050000}"/>
    <cellStyle name="Comma 5 2 2 4 5 4 3 2" xfId="46761" xr:uid="{00000000-0005-0000-0000-0000C4050000}"/>
    <cellStyle name="Comma 5 2 2 4 5 4 4" xfId="27691" xr:uid="{00000000-0005-0000-0000-0000C5050000}"/>
    <cellStyle name="Comma 5 2 2 4 5 5" xfId="6675" xr:uid="{00000000-0005-0000-0000-0000C6050000}"/>
    <cellStyle name="Comma 5 2 2 4 5 5 2" xfId="15502" xr:uid="{00000000-0005-0000-0000-0000C7050000}"/>
    <cellStyle name="Comma 5 2 2 4 5 5 2 2" xfId="41057" xr:uid="{00000000-0005-0000-0000-0000C8050000}"/>
    <cellStyle name="Comma 5 2 2 4 5 5 3" xfId="25753" xr:uid="{00000000-0005-0000-0000-0000C9050000}"/>
    <cellStyle name="Comma 5 2 2 4 5 5 3 2" xfId="51306" xr:uid="{00000000-0005-0000-0000-0000CA050000}"/>
    <cellStyle name="Comma 5 2 2 4 5 5 4" xfId="32236" xr:uid="{00000000-0005-0000-0000-0000CB050000}"/>
    <cellStyle name="Comma 5 2 2 4 5 6" xfId="8121" xr:uid="{00000000-0005-0000-0000-0000CC050000}"/>
    <cellStyle name="Comma 5 2 2 4 5 6 2" xfId="20511" xr:uid="{00000000-0005-0000-0000-0000CD050000}"/>
    <cellStyle name="Comma 5 2 2 4 5 6 2 2" xfId="46064" xr:uid="{00000000-0005-0000-0000-0000CE050000}"/>
    <cellStyle name="Comma 5 2 2 4 5 6 3" xfId="33678" xr:uid="{00000000-0005-0000-0000-0000CF050000}"/>
    <cellStyle name="Comma 5 2 2 4 5 7" xfId="16201" xr:uid="{00000000-0005-0000-0000-0000D0050000}"/>
    <cellStyle name="Comma 5 2 2 4 5 7 2" xfId="41754" xr:uid="{00000000-0005-0000-0000-0000D1050000}"/>
    <cellStyle name="Comma 5 2 2 4 5 8" xfId="26994" xr:uid="{00000000-0005-0000-0000-0000D2050000}"/>
    <cellStyle name="Comma 5 2 2 4 6" xfId="2730" xr:uid="{00000000-0005-0000-0000-0000D3050000}"/>
    <cellStyle name="Comma 5 2 2 4 6 2" xfId="12047" xr:uid="{00000000-0005-0000-0000-0000D4050000}"/>
    <cellStyle name="Comma 5 2 2 4 6 2 2" xfId="22091" xr:uid="{00000000-0005-0000-0000-0000D5050000}"/>
    <cellStyle name="Comma 5 2 2 4 6 2 2 2" xfId="47644" xr:uid="{00000000-0005-0000-0000-0000D6050000}"/>
    <cellStyle name="Comma 5 2 2 4 6 2 3" xfId="37602" xr:uid="{00000000-0005-0000-0000-0000D7050000}"/>
    <cellStyle name="Comma 5 2 2 4 6 3" xfId="8547" xr:uid="{00000000-0005-0000-0000-0000D8050000}"/>
    <cellStyle name="Comma 5 2 2 4 6 3 2" xfId="34104" xr:uid="{00000000-0005-0000-0000-0000D9050000}"/>
    <cellStyle name="Comma 5 2 2 4 6 4" xfId="17084" xr:uid="{00000000-0005-0000-0000-0000DA050000}"/>
    <cellStyle name="Comma 5 2 2 4 6 4 2" xfId="42637" xr:uid="{00000000-0005-0000-0000-0000DB050000}"/>
    <cellStyle name="Comma 5 2 2 4 6 5" xfId="28574" xr:uid="{00000000-0005-0000-0000-0000DC050000}"/>
    <cellStyle name="Comma 5 2 2 4 7" xfId="4176" xr:uid="{00000000-0005-0000-0000-0000DD050000}"/>
    <cellStyle name="Comma 5 2 2 4 7 2" xfId="13014" xr:uid="{00000000-0005-0000-0000-0000DE050000}"/>
    <cellStyle name="Comma 5 2 2 4 7 2 2" xfId="23265" xr:uid="{00000000-0005-0000-0000-0000DF050000}"/>
    <cellStyle name="Comma 5 2 2 4 7 2 2 2" xfId="48818" xr:uid="{00000000-0005-0000-0000-0000E0050000}"/>
    <cellStyle name="Comma 5 2 2 4 7 2 3" xfId="38569" xr:uid="{00000000-0005-0000-0000-0000E1050000}"/>
    <cellStyle name="Comma 5 2 2 4 7 3" xfId="9435" xr:uid="{00000000-0005-0000-0000-0000E2050000}"/>
    <cellStyle name="Comma 5 2 2 4 7 3 2" xfId="34992" xr:uid="{00000000-0005-0000-0000-0000E3050000}"/>
    <cellStyle name="Comma 5 2 2 4 7 4" xfId="18258" xr:uid="{00000000-0005-0000-0000-0000E4050000}"/>
    <cellStyle name="Comma 5 2 2 4 7 4 2" xfId="43811" xr:uid="{00000000-0005-0000-0000-0000E5050000}"/>
    <cellStyle name="Comma 5 2 2 4 7 5" xfId="29748" xr:uid="{00000000-0005-0000-0000-0000E6050000}"/>
    <cellStyle name="Comma 5 2 2 4 8" xfId="1448" xr:uid="{00000000-0005-0000-0000-0000E7050000}"/>
    <cellStyle name="Comma 5 2 2 4 8 2" xfId="10825" xr:uid="{00000000-0005-0000-0000-0000E8050000}"/>
    <cellStyle name="Comma 5 2 2 4 8 2 2" xfId="36380" xr:uid="{00000000-0005-0000-0000-0000E9050000}"/>
    <cellStyle name="Comma 5 2 2 4 8 3" xfId="20829" xr:uid="{00000000-0005-0000-0000-0000EA050000}"/>
    <cellStyle name="Comma 5 2 2 4 8 3 2" xfId="46382" xr:uid="{00000000-0005-0000-0000-0000EB050000}"/>
    <cellStyle name="Comma 5 2 2 4 8 4" xfId="27312" xr:uid="{00000000-0005-0000-0000-0000EC050000}"/>
    <cellStyle name="Comma 5 2 2 4 9" xfId="5632" xr:uid="{00000000-0005-0000-0000-0000ED050000}"/>
    <cellStyle name="Comma 5 2 2 4 9 2" xfId="14459" xr:uid="{00000000-0005-0000-0000-0000EE050000}"/>
    <cellStyle name="Comma 5 2 2 4 9 2 2" xfId="40014" xr:uid="{00000000-0005-0000-0000-0000EF050000}"/>
    <cellStyle name="Comma 5 2 2 4 9 3" xfId="24710" xr:uid="{00000000-0005-0000-0000-0000F0050000}"/>
    <cellStyle name="Comma 5 2 2 4 9 3 2" xfId="50263" xr:uid="{00000000-0005-0000-0000-0000F1050000}"/>
    <cellStyle name="Comma 5 2 2 4 9 4" xfId="31193" xr:uid="{00000000-0005-0000-0000-0000F2050000}"/>
    <cellStyle name="Comma 5 2 2 5" xfId="456" xr:uid="{00000000-0005-0000-0000-0000F3050000}"/>
    <cellStyle name="Comma 5 2 2 5 10" xfId="26385" xr:uid="{00000000-0005-0000-0000-0000F4050000}"/>
    <cellStyle name="Comma 5 2 2 5 2" xfId="628" xr:uid="{00000000-0005-0000-0000-0000F5050000}"/>
    <cellStyle name="Comma 5 2 2 5 2 2" xfId="3114" xr:uid="{00000000-0005-0000-0000-0000F6050000}"/>
    <cellStyle name="Comma 5 2 2 5 2 2 2" xfId="12257" xr:uid="{00000000-0005-0000-0000-0000F7050000}"/>
    <cellStyle name="Comma 5 2 2 5 2 2 2 2" xfId="22475" xr:uid="{00000000-0005-0000-0000-0000F8050000}"/>
    <cellStyle name="Comma 5 2 2 5 2 2 2 2 2" xfId="48028" xr:uid="{00000000-0005-0000-0000-0000F9050000}"/>
    <cellStyle name="Comma 5 2 2 5 2 2 2 3" xfId="37812" xr:uid="{00000000-0005-0000-0000-0000FA050000}"/>
    <cellStyle name="Comma 5 2 2 5 2 2 3" xfId="8679" xr:uid="{00000000-0005-0000-0000-0000FB050000}"/>
    <cellStyle name="Comma 5 2 2 5 2 2 3 2" xfId="34236" xr:uid="{00000000-0005-0000-0000-0000FC050000}"/>
    <cellStyle name="Comma 5 2 2 5 2 2 4" xfId="17468" xr:uid="{00000000-0005-0000-0000-0000FD050000}"/>
    <cellStyle name="Comma 5 2 2 5 2 2 4 2" xfId="43021" xr:uid="{00000000-0005-0000-0000-0000FE050000}"/>
    <cellStyle name="Comma 5 2 2 5 2 2 5" xfId="28958" xr:uid="{00000000-0005-0000-0000-0000FF050000}"/>
    <cellStyle name="Comma 5 2 2 5 2 3" xfId="4443" xr:uid="{00000000-0005-0000-0000-000000060000}"/>
    <cellStyle name="Comma 5 2 2 5 2 3 2" xfId="13281" xr:uid="{00000000-0005-0000-0000-000001060000}"/>
    <cellStyle name="Comma 5 2 2 5 2 3 2 2" xfId="23532" xr:uid="{00000000-0005-0000-0000-000002060000}"/>
    <cellStyle name="Comma 5 2 2 5 2 3 2 2 2" xfId="49085" xr:uid="{00000000-0005-0000-0000-000003060000}"/>
    <cellStyle name="Comma 5 2 2 5 2 3 2 3" xfId="38836" xr:uid="{00000000-0005-0000-0000-000004060000}"/>
    <cellStyle name="Comma 5 2 2 5 2 3 3" xfId="9702" xr:uid="{00000000-0005-0000-0000-000005060000}"/>
    <cellStyle name="Comma 5 2 2 5 2 3 3 2" xfId="35259" xr:uid="{00000000-0005-0000-0000-000006060000}"/>
    <cellStyle name="Comma 5 2 2 5 2 3 4" xfId="18525" xr:uid="{00000000-0005-0000-0000-000007060000}"/>
    <cellStyle name="Comma 5 2 2 5 2 3 4 2" xfId="44078" xr:uid="{00000000-0005-0000-0000-000008060000}"/>
    <cellStyle name="Comma 5 2 2 5 2 3 5" xfId="30015" xr:uid="{00000000-0005-0000-0000-000009060000}"/>
    <cellStyle name="Comma 5 2 2 5 2 4" xfId="2223" xr:uid="{00000000-0005-0000-0000-00000A060000}"/>
    <cellStyle name="Comma 5 2 2 5 2 4 2" xfId="11588" xr:uid="{00000000-0005-0000-0000-00000B060000}"/>
    <cellStyle name="Comma 5 2 2 5 2 4 2 2" xfId="37143" xr:uid="{00000000-0005-0000-0000-00000C060000}"/>
    <cellStyle name="Comma 5 2 2 5 2 4 3" xfId="21592" xr:uid="{00000000-0005-0000-0000-00000D060000}"/>
    <cellStyle name="Comma 5 2 2 5 2 4 3 2" xfId="47145" xr:uid="{00000000-0005-0000-0000-00000E060000}"/>
    <cellStyle name="Comma 5 2 2 5 2 4 4" xfId="28075" xr:uid="{00000000-0005-0000-0000-00000F060000}"/>
    <cellStyle name="Comma 5 2 2 5 2 5" xfId="5899" xr:uid="{00000000-0005-0000-0000-000010060000}"/>
    <cellStyle name="Comma 5 2 2 5 2 5 2" xfId="14726" xr:uid="{00000000-0005-0000-0000-000011060000}"/>
    <cellStyle name="Comma 5 2 2 5 2 5 2 2" xfId="40281" xr:uid="{00000000-0005-0000-0000-000012060000}"/>
    <cellStyle name="Comma 5 2 2 5 2 5 3" xfId="24977" xr:uid="{00000000-0005-0000-0000-000013060000}"/>
    <cellStyle name="Comma 5 2 2 5 2 5 3 2" xfId="50530" xr:uid="{00000000-0005-0000-0000-000014060000}"/>
    <cellStyle name="Comma 5 2 2 5 2 5 4" xfId="31460" xr:uid="{00000000-0005-0000-0000-000015060000}"/>
    <cellStyle name="Comma 5 2 2 5 2 6" xfId="7343" xr:uid="{00000000-0005-0000-0000-000016060000}"/>
    <cellStyle name="Comma 5 2 2 5 2 6 2" xfId="20074" xr:uid="{00000000-0005-0000-0000-000017060000}"/>
    <cellStyle name="Comma 5 2 2 5 2 6 2 2" xfId="45627" xr:uid="{00000000-0005-0000-0000-000018060000}"/>
    <cellStyle name="Comma 5 2 2 5 2 6 3" xfId="32900" xr:uid="{00000000-0005-0000-0000-000019060000}"/>
    <cellStyle name="Comma 5 2 2 5 2 7" xfId="16585" xr:uid="{00000000-0005-0000-0000-00001A060000}"/>
    <cellStyle name="Comma 5 2 2 5 2 7 2" xfId="42138" xr:uid="{00000000-0005-0000-0000-00001B060000}"/>
    <cellStyle name="Comma 5 2 2 5 2 8" xfId="26557" xr:uid="{00000000-0005-0000-0000-00001C060000}"/>
    <cellStyle name="Comma 5 2 2 5 3" xfId="1228" xr:uid="{00000000-0005-0000-0000-00001D060000}"/>
    <cellStyle name="Comma 5 2 2 5 3 2" xfId="3657" xr:uid="{00000000-0005-0000-0000-00001E060000}"/>
    <cellStyle name="Comma 5 2 2 5 3 2 2" xfId="12793" xr:uid="{00000000-0005-0000-0000-00001F060000}"/>
    <cellStyle name="Comma 5 2 2 5 3 2 2 2" xfId="23012" xr:uid="{00000000-0005-0000-0000-000020060000}"/>
    <cellStyle name="Comma 5 2 2 5 3 2 2 2 2" xfId="48565" xr:uid="{00000000-0005-0000-0000-000021060000}"/>
    <cellStyle name="Comma 5 2 2 5 3 2 2 3" xfId="38348" xr:uid="{00000000-0005-0000-0000-000022060000}"/>
    <cellStyle name="Comma 5 2 2 5 3 2 3" xfId="9214" xr:uid="{00000000-0005-0000-0000-000023060000}"/>
    <cellStyle name="Comma 5 2 2 5 3 2 3 2" xfId="34771" xr:uid="{00000000-0005-0000-0000-000024060000}"/>
    <cellStyle name="Comma 5 2 2 5 3 2 4" xfId="18005" xr:uid="{00000000-0005-0000-0000-000025060000}"/>
    <cellStyle name="Comma 5 2 2 5 3 2 4 2" xfId="43558" xr:uid="{00000000-0005-0000-0000-000026060000}"/>
    <cellStyle name="Comma 5 2 2 5 3 2 5" xfId="29495" xr:uid="{00000000-0005-0000-0000-000027060000}"/>
    <cellStyle name="Comma 5 2 2 5 3 3" xfId="4792" xr:uid="{00000000-0005-0000-0000-000028060000}"/>
    <cellStyle name="Comma 5 2 2 5 3 3 2" xfId="13629" xr:uid="{00000000-0005-0000-0000-000029060000}"/>
    <cellStyle name="Comma 5 2 2 5 3 3 2 2" xfId="23880" xr:uid="{00000000-0005-0000-0000-00002A060000}"/>
    <cellStyle name="Comma 5 2 2 5 3 3 2 2 2" xfId="49433" xr:uid="{00000000-0005-0000-0000-00002B060000}"/>
    <cellStyle name="Comma 5 2 2 5 3 3 2 3" xfId="39184" xr:uid="{00000000-0005-0000-0000-00002C060000}"/>
    <cellStyle name="Comma 5 2 2 5 3 3 3" xfId="10050" xr:uid="{00000000-0005-0000-0000-00002D060000}"/>
    <cellStyle name="Comma 5 2 2 5 3 3 3 2" xfId="35607" xr:uid="{00000000-0005-0000-0000-00002E060000}"/>
    <cellStyle name="Comma 5 2 2 5 3 3 4" xfId="18873" xr:uid="{00000000-0005-0000-0000-00002F060000}"/>
    <cellStyle name="Comma 5 2 2 5 3 3 4 2" xfId="44426" xr:uid="{00000000-0005-0000-0000-000030060000}"/>
    <cellStyle name="Comma 5 2 2 5 3 3 5" xfId="30363" xr:uid="{00000000-0005-0000-0000-000031060000}"/>
    <cellStyle name="Comma 5 2 2 5 3 4" xfId="2051" xr:uid="{00000000-0005-0000-0000-000032060000}"/>
    <cellStyle name="Comma 5 2 2 5 3 4 2" xfId="11416" xr:uid="{00000000-0005-0000-0000-000033060000}"/>
    <cellStyle name="Comma 5 2 2 5 3 4 2 2" xfId="36971" xr:uid="{00000000-0005-0000-0000-000034060000}"/>
    <cellStyle name="Comma 5 2 2 5 3 4 3" xfId="21420" xr:uid="{00000000-0005-0000-0000-000035060000}"/>
    <cellStyle name="Comma 5 2 2 5 3 4 3 2" xfId="46973" xr:uid="{00000000-0005-0000-0000-000036060000}"/>
    <cellStyle name="Comma 5 2 2 5 3 4 4" xfId="27903" xr:uid="{00000000-0005-0000-0000-000037060000}"/>
    <cellStyle name="Comma 5 2 2 5 3 5" xfId="6247" xr:uid="{00000000-0005-0000-0000-000038060000}"/>
    <cellStyle name="Comma 5 2 2 5 3 5 2" xfId="15074" xr:uid="{00000000-0005-0000-0000-000039060000}"/>
    <cellStyle name="Comma 5 2 2 5 3 5 2 2" xfId="40629" xr:uid="{00000000-0005-0000-0000-00003A060000}"/>
    <cellStyle name="Comma 5 2 2 5 3 5 3" xfId="25325" xr:uid="{00000000-0005-0000-0000-00003B060000}"/>
    <cellStyle name="Comma 5 2 2 5 3 5 3 2" xfId="50878" xr:uid="{00000000-0005-0000-0000-00003C060000}"/>
    <cellStyle name="Comma 5 2 2 5 3 5 4" xfId="31808" xr:uid="{00000000-0005-0000-0000-00003D060000}"/>
    <cellStyle name="Comma 5 2 2 5 3 6" xfId="7693" xr:uid="{00000000-0005-0000-0000-00003E060000}"/>
    <cellStyle name="Comma 5 2 2 5 3 6 2" xfId="20611" xr:uid="{00000000-0005-0000-0000-00003F060000}"/>
    <cellStyle name="Comma 5 2 2 5 3 6 2 2" xfId="46164" xr:uid="{00000000-0005-0000-0000-000040060000}"/>
    <cellStyle name="Comma 5 2 2 5 3 6 3" xfId="33250" xr:uid="{00000000-0005-0000-0000-000041060000}"/>
    <cellStyle name="Comma 5 2 2 5 3 7" xfId="16413" xr:uid="{00000000-0005-0000-0000-000042060000}"/>
    <cellStyle name="Comma 5 2 2 5 3 7 2" xfId="41966" xr:uid="{00000000-0005-0000-0000-000043060000}"/>
    <cellStyle name="Comma 5 2 2 5 3 8" xfId="27094" xr:uid="{00000000-0005-0000-0000-000044060000}"/>
    <cellStyle name="Comma 5 2 2 5 4" xfId="2942" xr:uid="{00000000-0005-0000-0000-000045060000}"/>
    <cellStyle name="Comma 5 2 2 5 4 2" xfId="5320" xr:uid="{00000000-0005-0000-0000-000046060000}"/>
    <cellStyle name="Comma 5 2 2 5 4 2 2" xfId="14157" xr:uid="{00000000-0005-0000-0000-000047060000}"/>
    <cellStyle name="Comma 5 2 2 5 4 2 2 2" xfId="24408" xr:uid="{00000000-0005-0000-0000-000048060000}"/>
    <cellStyle name="Comma 5 2 2 5 4 2 2 2 2" xfId="49961" xr:uid="{00000000-0005-0000-0000-000049060000}"/>
    <cellStyle name="Comma 5 2 2 5 4 2 2 3" xfId="39712" xr:uid="{00000000-0005-0000-0000-00004A060000}"/>
    <cellStyle name="Comma 5 2 2 5 4 2 3" xfId="10578" xr:uid="{00000000-0005-0000-0000-00004B060000}"/>
    <cellStyle name="Comma 5 2 2 5 4 2 3 2" xfId="36135" xr:uid="{00000000-0005-0000-0000-00004C060000}"/>
    <cellStyle name="Comma 5 2 2 5 4 2 4" xfId="19401" xr:uid="{00000000-0005-0000-0000-00004D060000}"/>
    <cellStyle name="Comma 5 2 2 5 4 2 4 2" xfId="44954" xr:uid="{00000000-0005-0000-0000-00004E060000}"/>
    <cellStyle name="Comma 5 2 2 5 4 2 5" xfId="30891" xr:uid="{00000000-0005-0000-0000-00004F060000}"/>
    <cellStyle name="Comma 5 2 2 5 4 3" xfId="6775" xr:uid="{00000000-0005-0000-0000-000050060000}"/>
    <cellStyle name="Comma 5 2 2 5 4 3 2" xfId="15602" xr:uid="{00000000-0005-0000-0000-000051060000}"/>
    <cellStyle name="Comma 5 2 2 5 4 3 2 2" xfId="41157" xr:uid="{00000000-0005-0000-0000-000052060000}"/>
    <cellStyle name="Comma 5 2 2 5 4 3 3" xfId="25853" xr:uid="{00000000-0005-0000-0000-000053060000}"/>
    <cellStyle name="Comma 5 2 2 5 4 3 3 2" xfId="51406" xr:uid="{00000000-0005-0000-0000-000054060000}"/>
    <cellStyle name="Comma 5 2 2 5 4 3 4" xfId="32336" xr:uid="{00000000-0005-0000-0000-000055060000}"/>
    <cellStyle name="Comma 5 2 2 5 4 4" xfId="8221" xr:uid="{00000000-0005-0000-0000-000056060000}"/>
    <cellStyle name="Comma 5 2 2 5 4 4 2" xfId="22303" xr:uid="{00000000-0005-0000-0000-000057060000}"/>
    <cellStyle name="Comma 5 2 2 5 4 4 2 2" xfId="47856" xr:uid="{00000000-0005-0000-0000-000058060000}"/>
    <cellStyle name="Comma 5 2 2 5 4 4 3" xfId="33778" xr:uid="{00000000-0005-0000-0000-000059060000}"/>
    <cellStyle name="Comma 5 2 2 5 4 5" xfId="17296" xr:uid="{00000000-0005-0000-0000-00005A060000}"/>
    <cellStyle name="Comma 5 2 2 5 4 5 2" xfId="42849" xr:uid="{00000000-0005-0000-0000-00005B060000}"/>
    <cellStyle name="Comma 5 2 2 5 4 6" xfId="28786" xr:uid="{00000000-0005-0000-0000-00005C060000}"/>
    <cellStyle name="Comma 5 2 2 5 5" xfId="4276" xr:uid="{00000000-0005-0000-0000-00005D060000}"/>
    <cellStyle name="Comma 5 2 2 5 5 2" xfId="13114" xr:uid="{00000000-0005-0000-0000-00005E060000}"/>
    <cellStyle name="Comma 5 2 2 5 5 2 2" xfId="23365" xr:uid="{00000000-0005-0000-0000-00005F060000}"/>
    <cellStyle name="Comma 5 2 2 5 5 2 2 2" xfId="48918" xr:uid="{00000000-0005-0000-0000-000060060000}"/>
    <cellStyle name="Comma 5 2 2 5 5 2 3" xfId="38669" xr:uid="{00000000-0005-0000-0000-000061060000}"/>
    <cellStyle name="Comma 5 2 2 5 5 3" xfId="9535" xr:uid="{00000000-0005-0000-0000-000062060000}"/>
    <cellStyle name="Comma 5 2 2 5 5 3 2" xfId="35092" xr:uid="{00000000-0005-0000-0000-000063060000}"/>
    <cellStyle name="Comma 5 2 2 5 5 4" xfId="18358" xr:uid="{00000000-0005-0000-0000-000064060000}"/>
    <cellStyle name="Comma 5 2 2 5 5 4 2" xfId="43911" xr:uid="{00000000-0005-0000-0000-000065060000}"/>
    <cellStyle name="Comma 5 2 2 5 5 5" xfId="29848" xr:uid="{00000000-0005-0000-0000-000066060000}"/>
    <cellStyle name="Comma 5 2 2 5 6" xfId="1548" xr:uid="{00000000-0005-0000-0000-000067060000}"/>
    <cellStyle name="Comma 5 2 2 5 6 2" xfId="10925" xr:uid="{00000000-0005-0000-0000-000068060000}"/>
    <cellStyle name="Comma 5 2 2 5 6 2 2" xfId="36480" xr:uid="{00000000-0005-0000-0000-000069060000}"/>
    <cellStyle name="Comma 5 2 2 5 6 3" xfId="20929" xr:uid="{00000000-0005-0000-0000-00006A060000}"/>
    <cellStyle name="Comma 5 2 2 5 6 3 2" xfId="46482" xr:uid="{00000000-0005-0000-0000-00006B060000}"/>
    <cellStyle name="Comma 5 2 2 5 6 4" xfId="27412" xr:uid="{00000000-0005-0000-0000-00006C060000}"/>
    <cellStyle name="Comma 5 2 2 5 7" xfId="5732" xr:uid="{00000000-0005-0000-0000-00006D060000}"/>
    <cellStyle name="Comma 5 2 2 5 7 2" xfId="14559" xr:uid="{00000000-0005-0000-0000-00006E060000}"/>
    <cellStyle name="Comma 5 2 2 5 7 2 2" xfId="40114" xr:uid="{00000000-0005-0000-0000-00006F060000}"/>
    <cellStyle name="Comma 5 2 2 5 7 3" xfId="24810" xr:uid="{00000000-0005-0000-0000-000070060000}"/>
    <cellStyle name="Comma 5 2 2 5 7 3 2" xfId="50363" xr:uid="{00000000-0005-0000-0000-000071060000}"/>
    <cellStyle name="Comma 5 2 2 5 7 4" xfId="31293" xr:uid="{00000000-0005-0000-0000-000072060000}"/>
    <cellStyle name="Comma 5 2 2 5 8" xfId="7176" xr:uid="{00000000-0005-0000-0000-000073060000}"/>
    <cellStyle name="Comma 5 2 2 5 8 2" xfId="19902" xr:uid="{00000000-0005-0000-0000-000074060000}"/>
    <cellStyle name="Comma 5 2 2 5 8 2 2" xfId="45455" xr:uid="{00000000-0005-0000-0000-000075060000}"/>
    <cellStyle name="Comma 5 2 2 5 8 3" xfId="32733" xr:uid="{00000000-0005-0000-0000-000076060000}"/>
    <cellStyle name="Comma 5 2 2 5 9" xfId="15922" xr:uid="{00000000-0005-0000-0000-000077060000}"/>
    <cellStyle name="Comma 5 2 2 5 9 2" xfId="41475" xr:uid="{00000000-0005-0000-0000-000078060000}"/>
    <cellStyle name="Comma 5 2 2 6" xfId="329" xr:uid="{00000000-0005-0000-0000-000079060000}"/>
    <cellStyle name="Comma 5 2 2 6 10" xfId="26258" xr:uid="{00000000-0005-0000-0000-00007A060000}"/>
    <cellStyle name="Comma 5 2 2 6 2" xfId="629" xr:uid="{00000000-0005-0000-0000-00007B060000}"/>
    <cellStyle name="Comma 5 2 2 6 2 2" xfId="3115" xr:uid="{00000000-0005-0000-0000-00007C060000}"/>
    <cellStyle name="Comma 5 2 2 6 2 2 2" xfId="12258" xr:uid="{00000000-0005-0000-0000-00007D060000}"/>
    <cellStyle name="Comma 5 2 2 6 2 2 2 2" xfId="22476" xr:uid="{00000000-0005-0000-0000-00007E060000}"/>
    <cellStyle name="Comma 5 2 2 6 2 2 2 2 2" xfId="48029" xr:uid="{00000000-0005-0000-0000-00007F060000}"/>
    <cellStyle name="Comma 5 2 2 6 2 2 2 3" xfId="37813" xr:uid="{00000000-0005-0000-0000-000080060000}"/>
    <cellStyle name="Comma 5 2 2 6 2 2 3" xfId="8680" xr:uid="{00000000-0005-0000-0000-000081060000}"/>
    <cellStyle name="Comma 5 2 2 6 2 2 3 2" xfId="34237" xr:uid="{00000000-0005-0000-0000-000082060000}"/>
    <cellStyle name="Comma 5 2 2 6 2 2 4" xfId="17469" xr:uid="{00000000-0005-0000-0000-000083060000}"/>
    <cellStyle name="Comma 5 2 2 6 2 2 4 2" xfId="43022" xr:uid="{00000000-0005-0000-0000-000084060000}"/>
    <cellStyle name="Comma 5 2 2 6 2 2 5" xfId="28959" xr:uid="{00000000-0005-0000-0000-000085060000}"/>
    <cellStyle name="Comma 5 2 2 6 2 3" xfId="4444" xr:uid="{00000000-0005-0000-0000-000086060000}"/>
    <cellStyle name="Comma 5 2 2 6 2 3 2" xfId="13282" xr:uid="{00000000-0005-0000-0000-000087060000}"/>
    <cellStyle name="Comma 5 2 2 6 2 3 2 2" xfId="23533" xr:uid="{00000000-0005-0000-0000-000088060000}"/>
    <cellStyle name="Comma 5 2 2 6 2 3 2 2 2" xfId="49086" xr:uid="{00000000-0005-0000-0000-000089060000}"/>
    <cellStyle name="Comma 5 2 2 6 2 3 2 3" xfId="38837" xr:uid="{00000000-0005-0000-0000-00008A060000}"/>
    <cellStyle name="Comma 5 2 2 6 2 3 3" xfId="9703" xr:uid="{00000000-0005-0000-0000-00008B060000}"/>
    <cellStyle name="Comma 5 2 2 6 2 3 3 2" xfId="35260" xr:uid="{00000000-0005-0000-0000-00008C060000}"/>
    <cellStyle name="Comma 5 2 2 6 2 3 4" xfId="18526" xr:uid="{00000000-0005-0000-0000-00008D060000}"/>
    <cellStyle name="Comma 5 2 2 6 2 3 4 2" xfId="44079" xr:uid="{00000000-0005-0000-0000-00008E060000}"/>
    <cellStyle name="Comma 5 2 2 6 2 3 5" xfId="30016" xr:uid="{00000000-0005-0000-0000-00008F060000}"/>
    <cellStyle name="Comma 5 2 2 6 2 4" xfId="2224" xr:uid="{00000000-0005-0000-0000-000090060000}"/>
    <cellStyle name="Comma 5 2 2 6 2 4 2" xfId="11589" xr:uid="{00000000-0005-0000-0000-000091060000}"/>
    <cellStyle name="Comma 5 2 2 6 2 4 2 2" xfId="37144" xr:uid="{00000000-0005-0000-0000-000092060000}"/>
    <cellStyle name="Comma 5 2 2 6 2 4 3" xfId="21593" xr:uid="{00000000-0005-0000-0000-000093060000}"/>
    <cellStyle name="Comma 5 2 2 6 2 4 3 2" xfId="47146" xr:uid="{00000000-0005-0000-0000-000094060000}"/>
    <cellStyle name="Comma 5 2 2 6 2 4 4" xfId="28076" xr:uid="{00000000-0005-0000-0000-000095060000}"/>
    <cellStyle name="Comma 5 2 2 6 2 5" xfId="5900" xr:uid="{00000000-0005-0000-0000-000096060000}"/>
    <cellStyle name="Comma 5 2 2 6 2 5 2" xfId="14727" xr:uid="{00000000-0005-0000-0000-000097060000}"/>
    <cellStyle name="Comma 5 2 2 6 2 5 2 2" xfId="40282" xr:uid="{00000000-0005-0000-0000-000098060000}"/>
    <cellStyle name="Comma 5 2 2 6 2 5 3" xfId="24978" xr:uid="{00000000-0005-0000-0000-000099060000}"/>
    <cellStyle name="Comma 5 2 2 6 2 5 3 2" xfId="50531" xr:uid="{00000000-0005-0000-0000-00009A060000}"/>
    <cellStyle name="Comma 5 2 2 6 2 5 4" xfId="31461" xr:uid="{00000000-0005-0000-0000-00009B060000}"/>
    <cellStyle name="Comma 5 2 2 6 2 6" xfId="7344" xr:uid="{00000000-0005-0000-0000-00009C060000}"/>
    <cellStyle name="Comma 5 2 2 6 2 6 2" xfId="20075" xr:uid="{00000000-0005-0000-0000-00009D060000}"/>
    <cellStyle name="Comma 5 2 2 6 2 6 2 2" xfId="45628" xr:uid="{00000000-0005-0000-0000-00009E060000}"/>
    <cellStyle name="Comma 5 2 2 6 2 6 3" xfId="32901" xr:uid="{00000000-0005-0000-0000-00009F060000}"/>
    <cellStyle name="Comma 5 2 2 6 2 7" xfId="16586" xr:uid="{00000000-0005-0000-0000-0000A0060000}"/>
    <cellStyle name="Comma 5 2 2 6 2 7 2" xfId="42139" xr:uid="{00000000-0005-0000-0000-0000A1060000}"/>
    <cellStyle name="Comma 5 2 2 6 2 8" xfId="26558" xr:uid="{00000000-0005-0000-0000-0000A2060000}"/>
    <cellStyle name="Comma 5 2 2 6 3" xfId="1101" xr:uid="{00000000-0005-0000-0000-0000A3060000}"/>
    <cellStyle name="Comma 5 2 2 6 3 2" xfId="3530" xr:uid="{00000000-0005-0000-0000-0000A4060000}"/>
    <cellStyle name="Comma 5 2 2 6 3 2 2" xfId="12666" xr:uid="{00000000-0005-0000-0000-0000A5060000}"/>
    <cellStyle name="Comma 5 2 2 6 3 2 2 2" xfId="22885" xr:uid="{00000000-0005-0000-0000-0000A6060000}"/>
    <cellStyle name="Comma 5 2 2 6 3 2 2 2 2" xfId="48438" xr:uid="{00000000-0005-0000-0000-0000A7060000}"/>
    <cellStyle name="Comma 5 2 2 6 3 2 2 3" xfId="38221" xr:uid="{00000000-0005-0000-0000-0000A8060000}"/>
    <cellStyle name="Comma 5 2 2 6 3 2 3" xfId="9087" xr:uid="{00000000-0005-0000-0000-0000A9060000}"/>
    <cellStyle name="Comma 5 2 2 6 3 2 3 2" xfId="34644" xr:uid="{00000000-0005-0000-0000-0000AA060000}"/>
    <cellStyle name="Comma 5 2 2 6 3 2 4" xfId="17878" xr:uid="{00000000-0005-0000-0000-0000AB060000}"/>
    <cellStyle name="Comma 5 2 2 6 3 2 4 2" xfId="43431" xr:uid="{00000000-0005-0000-0000-0000AC060000}"/>
    <cellStyle name="Comma 5 2 2 6 3 2 5" xfId="29368" xr:uid="{00000000-0005-0000-0000-0000AD060000}"/>
    <cellStyle name="Comma 5 2 2 6 3 3" xfId="4793" xr:uid="{00000000-0005-0000-0000-0000AE060000}"/>
    <cellStyle name="Comma 5 2 2 6 3 3 2" xfId="13630" xr:uid="{00000000-0005-0000-0000-0000AF060000}"/>
    <cellStyle name="Comma 5 2 2 6 3 3 2 2" xfId="23881" xr:uid="{00000000-0005-0000-0000-0000B0060000}"/>
    <cellStyle name="Comma 5 2 2 6 3 3 2 2 2" xfId="49434" xr:uid="{00000000-0005-0000-0000-0000B1060000}"/>
    <cellStyle name="Comma 5 2 2 6 3 3 2 3" xfId="39185" xr:uid="{00000000-0005-0000-0000-0000B2060000}"/>
    <cellStyle name="Comma 5 2 2 6 3 3 3" xfId="10051" xr:uid="{00000000-0005-0000-0000-0000B3060000}"/>
    <cellStyle name="Comma 5 2 2 6 3 3 3 2" xfId="35608" xr:uid="{00000000-0005-0000-0000-0000B4060000}"/>
    <cellStyle name="Comma 5 2 2 6 3 3 4" xfId="18874" xr:uid="{00000000-0005-0000-0000-0000B5060000}"/>
    <cellStyle name="Comma 5 2 2 6 3 3 4 2" xfId="44427" xr:uid="{00000000-0005-0000-0000-0000B6060000}"/>
    <cellStyle name="Comma 5 2 2 6 3 3 5" xfId="30364" xr:uid="{00000000-0005-0000-0000-0000B7060000}"/>
    <cellStyle name="Comma 5 2 2 6 3 4" xfId="2572" xr:uid="{00000000-0005-0000-0000-0000B8060000}"/>
    <cellStyle name="Comma 5 2 2 6 3 4 2" xfId="11936" xr:uid="{00000000-0005-0000-0000-0000B9060000}"/>
    <cellStyle name="Comma 5 2 2 6 3 4 2 2" xfId="37491" xr:uid="{00000000-0005-0000-0000-0000BA060000}"/>
    <cellStyle name="Comma 5 2 2 6 3 4 3" xfId="21940" xr:uid="{00000000-0005-0000-0000-0000BB060000}"/>
    <cellStyle name="Comma 5 2 2 6 3 4 3 2" xfId="47493" xr:uid="{00000000-0005-0000-0000-0000BC060000}"/>
    <cellStyle name="Comma 5 2 2 6 3 4 4" xfId="28423" xr:uid="{00000000-0005-0000-0000-0000BD060000}"/>
    <cellStyle name="Comma 5 2 2 6 3 5" xfId="6248" xr:uid="{00000000-0005-0000-0000-0000BE060000}"/>
    <cellStyle name="Comma 5 2 2 6 3 5 2" xfId="15075" xr:uid="{00000000-0005-0000-0000-0000BF060000}"/>
    <cellStyle name="Comma 5 2 2 6 3 5 2 2" xfId="40630" xr:uid="{00000000-0005-0000-0000-0000C0060000}"/>
    <cellStyle name="Comma 5 2 2 6 3 5 3" xfId="25326" xr:uid="{00000000-0005-0000-0000-0000C1060000}"/>
    <cellStyle name="Comma 5 2 2 6 3 5 3 2" xfId="50879" xr:uid="{00000000-0005-0000-0000-0000C2060000}"/>
    <cellStyle name="Comma 5 2 2 6 3 5 4" xfId="31809" xr:uid="{00000000-0005-0000-0000-0000C3060000}"/>
    <cellStyle name="Comma 5 2 2 6 3 6" xfId="7694" xr:uid="{00000000-0005-0000-0000-0000C4060000}"/>
    <cellStyle name="Comma 5 2 2 6 3 6 2" xfId="20484" xr:uid="{00000000-0005-0000-0000-0000C5060000}"/>
    <cellStyle name="Comma 5 2 2 6 3 6 2 2" xfId="46037" xr:uid="{00000000-0005-0000-0000-0000C6060000}"/>
    <cellStyle name="Comma 5 2 2 6 3 6 3" xfId="33251" xr:uid="{00000000-0005-0000-0000-0000C7060000}"/>
    <cellStyle name="Comma 5 2 2 6 3 7" xfId="16933" xr:uid="{00000000-0005-0000-0000-0000C8060000}"/>
    <cellStyle name="Comma 5 2 2 6 3 7 2" xfId="42486" xr:uid="{00000000-0005-0000-0000-0000C9060000}"/>
    <cellStyle name="Comma 5 2 2 6 3 8" xfId="26967" xr:uid="{00000000-0005-0000-0000-0000CA060000}"/>
    <cellStyle name="Comma 5 2 2 6 4" xfId="2815" xr:uid="{00000000-0005-0000-0000-0000CB060000}"/>
    <cellStyle name="Comma 5 2 2 6 4 2" xfId="5193" xr:uid="{00000000-0005-0000-0000-0000CC060000}"/>
    <cellStyle name="Comma 5 2 2 6 4 2 2" xfId="14030" xr:uid="{00000000-0005-0000-0000-0000CD060000}"/>
    <cellStyle name="Comma 5 2 2 6 4 2 2 2" xfId="24281" xr:uid="{00000000-0005-0000-0000-0000CE060000}"/>
    <cellStyle name="Comma 5 2 2 6 4 2 2 2 2" xfId="49834" xr:uid="{00000000-0005-0000-0000-0000CF060000}"/>
    <cellStyle name="Comma 5 2 2 6 4 2 2 3" xfId="39585" xr:uid="{00000000-0005-0000-0000-0000D0060000}"/>
    <cellStyle name="Comma 5 2 2 6 4 2 3" xfId="10451" xr:uid="{00000000-0005-0000-0000-0000D1060000}"/>
    <cellStyle name="Comma 5 2 2 6 4 2 3 2" xfId="36008" xr:uid="{00000000-0005-0000-0000-0000D2060000}"/>
    <cellStyle name="Comma 5 2 2 6 4 2 4" xfId="19274" xr:uid="{00000000-0005-0000-0000-0000D3060000}"/>
    <cellStyle name="Comma 5 2 2 6 4 2 4 2" xfId="44827" xr:uid="{00000000-0005-0000-0000-0000D4060000}"/>
    <cellStyle name="Comma 5 2 2 6 4 2 5" xfId="30764" xr:uid="{00000000-0005-0000-0000-0000D5060000}"/>
    <cellStyle name="Comma 5 2 2 6 4 3" xfId="6648" xr:uid="{00000000-0005-0000-0000-0000D6060000}"/>
    <cellStyle name="Comma 5 2 2 6 4 3 2" xfId="15475" xr:uid="{00000000-0005-0000-0000-0000D7060000}"/>
    <cellStyle name="Comma 5 2 2 6 4 3 2 2" xfId="41030" xr:uid="{00000000-0005-0000-0000-0000D8060000}"/>
    <cellStyle name="Comma 5 2 2 6 4 3 3" xfId="25726" xr:uid="{00000000-0005-0000-0000-0000D9060000}"/>
    <cellStyle name="Comma 5 2 2 6 4 3 3 2" xfId="51279" xr:uid="{00000000-0005-0000-0000-0000DA060000}"/>
    <cellStyle name="Comma 5 2 2 6 4 3 4" xfId="32209" xr:uid="{00000000-0005-0000-0000-0000DB060000}"/>
    <cellStyle name="Comma 5 2 2 6 4 4" xfId="8094" xr:uid="{00000000-0005-0000-0000-0000DC060000}"/>
    <cellStyle name="Comma 5 2 2 6 4 4 2" xfId="22176" xr:uid="{00000000-0005-0000-0000-0000DD060000}"/>
    <cellStyle name="Comma 5 2 2 6 4 4 2 2" xfId="47729" xr:uid="{00000000-0005-0000-0000-0000DE060000}"/>
    <cellStyle name="Comma 5 2 2 6 4 4 3" xfId="33651" xr:uid="{00000000-0005-0000-0000-0000DF060000}"/>
    <cellStyle name="Comma 5 2 2 6 4 5" xfId="17169" xr:uid="{00000000-0005-0000-0000-0000E0060000}"/>
    <cellStyle name="Comma 5 2 2 6 4 5 2" xfId="42722" xr:uid="{00000000-0005-0000-0000-0000E1060000}"/>
    <cellStyle name="Comma 5 2 2 6 4 6" xfId="28659" xr:uid="{00000000-0005-0000-0000-0000E2060000}"/>
    <cellStyle name="Comma 5 2 2 6 5" xfId="4147" xr:uid="{00000000-0005-0000-0000-0000E3060000}"/>
    <cellStyle name="Comma 5 2 2 6 5 2" xfId="12985" xr:uid="{00000000-0005-0000-0000-0000E4060000}"/>
    <cellStyle name="Comma 5 2 2 6 5 2 2" xfId="23236" xr:uid="{00000000-0005-0000-0000-0000E5060000}"/>
    <cellStyle name="Comma 5 2 2 6 5 2 2 2" xfId="48789" xr:uid="{00000000-0005-0000-0000-0000E6060000}"/>
    <cellStyle name="Comma 5 2 2 6 5 2 3" xfId="38540" xr:uid="{00000000-0005-0000-0000-0000E7060000}"/>
    <cellStyle name="Comma 5 2 2 6 5 3" xfId="9406" xr:uid="{00000000-0005-0000-0000-0000E8060000}"/>
    <cellStyle name="Comma 5 2 2 6 5 3 2" xfId="34963" xr:uid="{00000000-0005-0000-0000-0000E9060000}"/>
    <cellStyle name="Comma 5 2 2 6 5 4" xfId="18229" xr:uid="{00000000-0005-0000-0000-0000EA060000}"/>
    <cellStyle name="Comma 5 2 2 6 5 4 2" xfId="43782" xr:uid="{00000000-0005-0000-0000-0000EB060000}"/>
    <cellStyle name="Comma 5 2 2 6 5 5" xfId="29719" xr:uid="{00000000-0005-0000-0000-0000EC060000}"/>
    <cellStyle name="Comma 5 2 2 6 6" xfId="1924" xr:uid="{00000000-0005-0000-0000-0000ED060000}"/>
    <cellStyle name="Comma 5 2 2 6 6 2" xfId="11289" xr:uid="{00000000-0005-0000-0000-0000EE060000}"/>
    <cellStyle name="Comma 5 2 2 6 6 2 2" xfId="36844" xr:uid="{00000000-0005-0000-0000-0000EF060000}"/>
    <cellStyle name="Comma 5 2 2 6 6 3" xfId="21293" xr:uid="{00000000-0005-0000-0000-0000F0060000}"/>
    <cellStyle name="Comma 5 2 2 6 6 3 2" xfId="46846" xr:uid="{00000000-0005-0000-0000-0000F1060000}"/>
    <cellStyle name="Comma 5 2 2 6 6 4" xfId="27776" xr:uid="{00000000-0005-0000-0000-0000F2060000}"/>
    <cellStyle name="Comma 5 2 2 6 7" xfId="5605" xr:uid="{00000000-0005-0000-0000-0000F3060000}"/>
    <cellStyle name="Comma 5 2 2 6 7 2" xfId="14432" xr:uid="{00000000-0005-0000-0000-0000F4060000}"/>
    <cellStyle name="Comma 5 2 2 6 7 2 2" xfId="39987" xr:uid="{00000000-0005-0000-0000-0000F5060000}"/>
    <cellStyle name="Comma 5 2 2 6 7 3" xfId="24683" xr:uid="{00000000-0005-0000-0000-0000F6060000}"/>
    <cellStyle name="Comma 5 2 2 6 7 3 2" xfId="50236" xr:uid="{00000000-0005-0000-0000-0000F7060000}"/>
    <cellStyle name="Comma 5 2 2 6 7 4" xfId="31166" xr:uid="{00000000-0005-0000-0000-0000F8060000}"/>
    <cellStyle name="Comma 5 2 2 6 8" xfId="7049" xr:uid="{00000000-0005-0000-0000-0000F9060000}"/>
    <cellStyle name="Comma 5 2 2 6 8 2" xfId="19775" xr:uid="{00000000-0005-0000-0000-0000FA060000}"/>
    <cellStyle name="Comma 5 2 2 6 8 2 2" xfId="45328" xr:uid="{00000000-0005-0000-0000-0000FB060000}"/>
    <cellStyle name="Comma 5 2 2 6 8 3" xfId="32606" xr:uid="{00000000-0005-0000-0000-0000FC060000}"/>
    <cellStyle name="Comma 5 2 2 6 9" xfId="16286" xr:uid="{00000000-0005-0000-0000-0000FD060000}"/>
    <cellStyle name="Comma 5 2 2 6 9 2" xfId="41839" xr:uid="{00000000-0005-0000-0000-0000FE060000}"/>
    <cellStyle name="Comma 5 2 2 7" xfId="620" xr:uid="{00000000-0005-0000-0000-0000FF060000}"/>
    <cellStyle name="Comma 5 2 2 7 2" xfId="3106" xr:uid="{00000000-0005-0000-0000-000000070000}"/>
    <cellStyle name="Comma 5 2 2 7 2 2" xfId="12249" xr:uid="{00000000-0005-0000-0000-000001070000}"/>
    <cellStyle name="Comma 5 2 2 7 2 2 2" xfId="22467" xr:uid="{00000000-0005-0000-0000-000002070000}"/>
    <cellStyle name="Comma 5 2 2 7 2 2 2 2" xfId="48020" xr:uid="{00000000-0005-0000-0000-000003070000}"/>
    <cellStyle name="Comma 5 2 2 7 2 2 3" xfId="37804" xr:uid="{00000000-0005-0000-0000-000004070000}"/>
    <cellStyle name="Comma 5 2 2 7 2 3" xfId="8671" xr:uid="{00000000-0005-0000-0000-000005070000}"/>
    <cellStyle name="Comma 5 2 2 7 2 3 2" xfId="34228" xr:uid="{00000000-0005-0000-0000-000006070000}"/>
    <cellStyle name="Comma 5 2 2 7 2 4" xfId="17460" xr:uid="{00000000-0005-0000-0000-000007070000}"/>
    <cellStyle name="Comma 5 2 2 7 2 4 2" xfId="43013" xr:uid="{00000000-0005-0000-0000-000008070000}"/>
    <cellStyle name="Comma 5 2 2 7 2 5" xfId="28950" xr:uid="{00000000-0005-0000-0000-000009070000}"/>
    <cellStyle name="Comma 5 2 2 7 3" xfId="4435" xr:uid="{00000000-0005-0000-0000-00000A070000}"/>
    <cellStyle name="Comma 5 2 2 7 3 2" xfId="13273" xr:uid="{00000000-0005-0000-0000-00000B070000}"/>
    <cellStyle name="Comma 5 2 2 7 3 2 2" xfId="23524" xr:uid="{00000000-0005-0000-0000-00000C070000}"/>
    <cellStyle name="Comma 5 2 2 7 3 2 2 2" xfId="49077" xr:uid="{00000000-0005-0000-0000-00000D070000}"/>
    <cellStyle name="Comma 5 2 2 7 3 2 3" xfId="38828" xr:uid="{00000000-0005-0000-0000-00000E070000}"/>
    <cellStyle name="Comma 5 2 2 7 3 3" xfId="9694" xr:uid="{00000000-0005-0000-0000-00000F070000}"/>
    <cellStyle name="Comma 5 2 2 7 3 3 2" xfId="35251" xr:uid="{00000000-0005-0000-0000-000010070000}"/>
    <cellStyle name="Comma 5 2 2 7 3 4" xfId="18517" xr:uid="{00000000-0005-0000-0000-000011070000}"/>
    <cellStyle name="Comma 5 2 2 7 3 4 2" xfId="44070" xr:uid="{00000000-0005-0000-0000-000012070000}"/>
    <cellStyle name="Comma 5 2 2 7 3 5" xfId="30007" xr:uid="{00000000-0005-0000-0000-000013070000}"/>
    <cellStyle name="Comma 5 2 2 7 4" xfId="2215" xr:uid="{00000000-0005-0000-0000-000014070000}"/>
    <cellStyle name="Comma 5 2 2 7 4 2" xfId="11580" xr:uid="{00000000-0005-0000-0000-000015070000}"/>
    <cellStyle name="Comma 5 2 2 7 4 2 2" xfId="37135" xr:uid="{00000000-0005-0000-0000-000016070000}"/>
    <cellStyle name="Comma 5 2 2 7 4 3" xfId="21584" xr:uid="{00000000-0005-0000-0000-000017070000}"/>
    <cellStyle name="Comma 5 2 2 7 4 3 2" xfId="47137" xr:uid="{00000000-0005-0000-0000-000018070000}"/>
    <cellStyle name="Comma 5 2 2 7 4 4" xfId="28067" xr:uid="{00000000-0005-0000-0000-000019070000}"/>
    <cellStyle name="Comma 5 2 2 7 5" xfId="5891" xr:uid="{00000000-0005-0000-0000-00001A070000}"/>
    <cellStyle name="Comma 5 2 2 7 5 2" xfId="14718" xr:uid="{00000000-0005-0000-0000-00001B070000}"/>
    <cellStyle name="Comma 5 2 2 7 5 2 2" xfId="40273" xr:uid="{00000000-0005-0000-0000-00001C070000}"/>
    <cellStyle name="Comma 5 2 2 7 5 3" xfId="24969" xr:uid="{00000000-0005-0000-0000-00001D070000}"/>
    <cellStyle name="Comma 5 2 2 7 5 3 2" xfId="50522" xr:uid="{00000000-0005-0000-0000-00001E070000}"/>
    <cellStyle name="Comma 5 2 2 7 5 4" xfId="31452" xr:uid="{00000000-0005-0000-0000-00001F070000}"/>
    <cellStyle name="Comma 5 2 2 7 6" xfId="7335" xr:uid="{00000000-0005-0000-0000-000020070000}"/>
    <cellStyle name="Comma 5 2 2 7 6 2" xfId="20066" xr:uid="{00000000-0005-0000-0000-000021070000}"/>
    <cellStyle name="Comma 5 2 2 7 6 2 2" xfId="45619" xr:uid="{00000000-0005-0000-0000-000022070000}"/>
    <cellStyle name="Comma 5 2 2 7 6 3" xfId="32892" xr:uid="{00000000-0005-0000-0000-000023070000}"/>
    <cellStyle name="Comma 5 2 2 7 7" xfId="16577" xr:uid="{00000000-0005-0000-0000-000024070000}"/>
    <cellStyle name="Comma 5 2 2 7 7 2" xfId="42130" xr:uid="{00000000-0005-0000-0000-000025070000}"/>
    <cellStyle name="Comma 5 2 2 7 8" xfId="26549" xr:uid="{00000000-0005-0000-0000-000026070000}"/>
    <cellStyle name="Comma 5 2 2 8" xfId="1056" xr:uid="{00000000-0005-0000-0000-000027070000}"/>
    <cellStyle name="Comma 5 2 2 8 2" xfId="3485" xr:uid="{00000000-0005-0000-0000-000028070000}"/>
    <cellStyle name="Comma 5 2 2 8 2 2" xfId="12621" xr:uid="{00000000-0005-0000-0000-000029070000}"/>
    <cellStyle name="Comma 5 2 2 8 2 2 2" xfId="22840" xr:uid="{00000000-0005-0000-0000-00002A070000}"/>
    <cellStyle name="Comma 5 2 2 8 2 2 2 2" xfId="48393" xr:uid="{00000000-0005-0000-0000-00002B070000}"/>
    <cellStyle name="Comma 5 2 2 8 2 2 3" xfId="38176" xr:uid="{00000000-0005-0000-0000-00002C070000}"/>
    <cellStyle name="Comma 5 2 2 8 2 3" xfId="9043" xr:uid="{00000000-0005-0000-0000-00002D070000}"/>
    <cellStyle name="Comma 5 2 2 8 2 3 2" xfId="34600" xr:uid="{00000000-0005-0000-0000-00002E070000}"/>
    <cellStyle name="Comma 5 2 2 8 2 4" xfId="17833" xr:uid="{00000000-0005-0000-0000-00002F070000}"/>
    <cellStyle name="Comma 5 2 2 8 2 4 2" xfId="43386" xr:uid="{00000000-0005-0000-0000-000030070000}"/>
    <cellStyle name="Comma 5 2 2 8 2 5" xfId="29323" xr:uid="{00000000-0005-0000-0000-000031070000}"/>
    <cellStyle name="Comma 5 2 2 8 3" xfId="4784" xr:uid="{00000000-0005-0000-0000-000032070000}"/>
    <cellStyle name="Comma 5 2 2 8 3 2" xfId="13621" xr:uid="{00000000-0005-0000-0000-000033070000}"/>
    <cellStyle name="Comma 5 2 2 8 3 2 2" xfId="23872" xr:uid="{00000000-0005-0000-0000-000034070000}"/>
    <cellStyle name="Comma 5 2 2 8 3 2 2 2" xfId="49425" xr:uid="{00000000-0005-0000-0000-000035070000}"/>
    <cellStyle name="Comma 5 2 2 8 3 2 3" xfId="39176" xr:uid="{00000000-0005-0000-0000-000036070000}"/>
    <cellStyle name="Comma 5 2 2 8 3 3" xfId="10042" xr:uid="{00000000-0005-0000-0000-000037070000}"/>
    <cellStyle name="Comma 5 2 2 8 3 3 2" xfId="35599" xr:uid="{00000000-0005-0000-0000-000038070000}"/>
    <cellStyle name="Comma 5 2 2 8 3 4" xfId="18865" xr:uid="{00000000-0005-0000-0000-000039070000}"/>
    <cellStyle name="Comma 5 2 2 8 3 4 2" xfId="44418" xr:uid="{00000000-0005-0000-0000-00003A070000}"/>
    <cellStyle name="Comma 5 2 2 8 3 5" xfId="30355" xr:uid="{00000000-0005-0000-0000-00003B070000}"/>
    <cellStyle name="Comma 5 2 2 8 4" xfId="1724" xr:uid="{00000000-0005-0000-0000-00003C070000}"/>
    <cellStyle name="Comma 5 2 2 8 4 2" xfId="11098" xr:uid="{00000000-0005-0000-0000-00003D070000}"/>
    <cellStyle name="Comma 5 2 2 8 4 2 2" xfId="36653" xr:uid="{00000000-0005-0000-0000-00003E070000}"/>
    <cellStyle name="Comma 5 2 2 8 4 3" xfId="21102" xr:uid="{00000000-0005-0000-0000-00003F070000}"/>
    <cellStyle name="Comma 5 2 2 8 4 3 2" xfId="46655" xr:uid="{00000000-0005-0000-0000-000040070000}"/>
    <cellStyle name="Comma 5 2 2 8 4 4" xfId="27585" xr:uid="{00000000-0005-0000-0000-000041070000}"/>
    <cellStyle name="Comma 5 2 2 8 5" xfId="6239" xr:uid="{00000000-0005-0000-0000-000042070000}"/>
    <cellStyle name="Comma 5 2 2 8 5 2" xfId="15066" xr:uid="{00000000-0005-0000-0000-000043070000}"/>
    <cellStyle name="Comma 5 2 2 8 5 2 2" xfId="40621" xr:uid="{00000000-0005-0000-0000-000044070000}"/>
    <cellStyle name="Comma 5 2 2 8 5 3" xfId="25317" xr:uid="{00000000-0005-0000-0000-000045070000}"/>
    <cellStyle name="Comma 5 2 2 8 5 3 2" xfId="50870" xr:uid="{00000000-0005-0000-0000-000046070000}"/>
    <cellStyle name="Comma 5 2 2 8 5 4" xfId="31800" xr:uid="{00000000-0005-0000-0000-000047070000}"/>
    <cellStyle name="Comma 5 2 2 8 6" xfId="7685" xr:uid="{00000000-0005-0000-0000-000048070000}"/>
    <cellStyle name="Comma 5 2 2 8 6 2" xfId="20439" xr:uid="{00000000-0005-0000-0000-000049070000}"/>
    <cellStyle name="Comma 5 2 2 8 6 2 2" xfId="45992" xr:uid="{00000000-0005-0000-0000-00004A070000}"/>
    <cellStyle name="Comma 5 2 2 8 6 3" xfId="33242" xr:uid="{00000000-0005-0000-0000-00004B070000}"/>
    <cellStyle name="Comma 5 2 2 8 7" xfId="16095" xr:uid="{00000000-0005-0000-0000-00004C070000}"/>
    <cellStyle name="Comma 5 2 2 8 7 2" xfId="41648" xr:uid="{00000000-0005-0000-0000-00004D070000}"/>
    <cellStyle name="Comma 5 2 2 8 8" xfId="26922" xr:uid="{00000000-0005-0000-0000-00004E070000}"/>
    <cellStyle name="Comma 5 2 2 9" xfId="2622" xr:uid="{00000000-0005-0000-0000-00004F070000}"/>
    <cellStyle name="Comma 5 2 2 9 2" xfId="5148" xr:uid="{00000000-0005-0000-0000-000050070000}"/>
    <cellStyle name="Comma 5 2 2 9 2 2" xfId="13985" xr:uid="{00000000-0005-0000-0000-000051070000}"/>
    <cellStyle name="Comma 5 2 2 9 2 2 2" xfId="24236" xr:uid="{00000000-0005-0000-0000-000052070000}"/>
    <cellStyle name="Comma 5 2 2 9 2 2 2 2" xfId="49789" xr:uid="{00000000-0005-0000-0000-000053070000}"/>
    <cellStyle name="Comma 5 2 2 9 2 2 3" xfId="39540" xr:uid="{00000000-0005-0000-0000-000054070000}"/>
    <cellStyle name="Comma 5 2 2 9 2 3" xfId="10406" xr:uid="{00000000-0005-0000-0000-000055070000}"/>
    <cellStyle name="Comma 5 2 2 9 2 3 2" xfId="35963" xr:uid="{00000000-0005-0000-0000-000056070000}"/>
    <cellStyle name="Comma 5 2 2 9 2 4" xfId="19229" xr:uid="{00000000-0005-0000-0000-000057070000}"/>
    <cellStyle name="Comma 5 2 2 9 2 4 2" xfId="44782" xr:uid="{00000000-0005-0000-0000-000058070000}"/>
    <cellStyle name="Comma 5 2 2 9 2 5" xfId="30719" xr:uid="{00000000-0005-0000-0000-000059070000}"/>
    <cellStyle name="Comma 5 2 2 9 3" xfId="6603" xr:uid="{00000000-0005-0000-0000-00005A070000}"/>
    <cellStyle name="Comma 5 2 2 9 3 2" xfId="15430" xr:uid="{00000000-0005-0000-0000-00005B070000}"/>
    <cellStyle name="Comma 5 2 2 9 3 2 2" xfId="40985" xr:uid="{00000000-0005-0000-0000-00005C070000}"/>
    <cellStyle name="Comma 5 2 2 9 3 3" xfId="25681" xr:uid="{00000000-0005-0000-0000-00005D070000}"/>
    <cellStyle name="Comma 5 2 2 9 3 3 2" xfId="51234" xr:uid="{00000000-0005-0000-0000-00005E070000}"/>
    <cellStyle name="Comma 5 2 2 9 3 4" xfId="32164" xr:uid="{00000000-0005-0000-0000-00005F070000}"/>
    <cellStyle name="Comma 5 2 2 9 4" xfId="8049" xr:uid="{00000000-0005-0000-0000-000060070000}"/>
    <cellStyle name="Comma 5 2 2 9 4 2" xfId="21985" xr:uid="{00000000-0005-0000-0000-000061070000}"/>
    <cellStyle name="Comma 5 2 2 9 4 2 2" xfId="47538" xr:uid="{00000000-0005-0000-0000-000062070000}"/>
    <cellStyle name="Comma 5 2 2 9 4 3" xfId="33606" xr:uid="{00000000-0005-0000-0000-000063070000}"/>
    <cellStyle name="Comma 5 2 2 9 5" xfId="16978" xr:uid="{00000000-0005-0000-0000-000064070000}"/>
    <cellStyle name="Comma 5 2 2 9 5 2" xfId="42531" xr:uid="{00000000-0005-0000-0000-000065070000}"/>
    <cellStyle name="Comma 5 2 2 9 6" xfId="28468" xr:uid="{00000000-0005-0000-0000-000066070000}"/>
    <cellStyle name="Comma 5 2 3" xfId="124" xr:uid="{00000000-0005-0000-0000-000067070000}"/>
    <cellStyle name="Comma 5 2 3 10" xfId="4110" xr:uid="{00000000-0005-0000-0000-000068070000}"/>
    <cellStyle name="Comma 5 2 3 10 2" xfId="5568" xr:uid="{00000000-0005-0000-0000-000069070000}"/>
    <cellStyle name="Comma 5 2 3 10 2 2" xfId="14395" xr:uid="{00000000-0005-0000-0000-00006A070000}"/>
    <cellStyle name="Comma 5 2 3 10 2 2 2" xfId="39950" xr:uid="{00000000-0005-0000-0000-00006B070000}"/>
    <cellStyle name="Comma 5 2 3 10 2 3" xfId="24646" xr:uid="{00000000-0005-0000-0000-00006C070000}"/>
    <cellStyle name="Comma 5 2 3 10 2 3 2" xfId="50199" xr:uid="{00000000-0005-0000-0000-00006D070000}"/>
    <cellStyle name="Comma 5 2 3 10 2 4" xfId="31129" xr:uid="{00000000-0005-0000-0000-00006E070000}"/>
    <cellStyle name="Comma 5 2 3 10 3" xfId="7012" xr:uid="{00000000-0005-0000-0000-00006F070000}"/>
    <cellStyle name="Comma 5 2 3 10 3 2" xfId="23199" xr:uid="{00000000-0005-0000-0000-000070070000}"/>
    <cellStyle name="Comma 5 2 3 10 3 2 2" xfId="48752" xr:uid="{00000000-0005-0000-0000-000071070000}"/>
    <cellStyle name="Comma 5 2 3 10 3 3" xfId="32569" xr:uid="{00000000-0005-0000-0000-000072070000}"/>
    <cellStyle name="Comma 5 2 3 10 4" xfId="18192" xr:uid="{00000000-0005-0000-0000-000073070000}"/>
    <cellStyle name="Comma 5 2 3 10 4 2" xfId="43745" xr:uid="{00000000-0005-0000-0000-000074070000}"/>
    <cellStyle name="Comma 5 2 3 10 5" xfId="29682" xr:uid="{00000000-0005-0000-0000-000075070000}"/>
    <cellStyle name="Comma 5 2 3 11" xfId="1429" xr:uid="{00000000-0005-0000-0000-000076070000}"/>
    <cellStyle name="Comma 5 2 3 11 2" xfId="10806" xr:uid="{00000000-0005-0000-0000-000077070000}"/>
    <cellStyle name="Comma 5 2 3 11 2 2" xfId="36361" xr:uid="{00000000-0005-0000-0000-000078070000}"/>
    <cellStyle name="Comma 5 2 3 11 3" xfId="20810" xr:uid="{00000000-0005-0000-0000-000079070000}"/>
    <cellStyle name="Comma 5 2 3 11 3 2" xfId="46363" xr:uid="{00000000-0005-0000-0000-00007A070000}"/>
    <cellStyle name="Comma 5 2 3 11 4" xfId="27293" xr:uid="{00000000-0005-0000-0000-00007B070000}"/>
    <cellStyle name="Comma 5 2 3 12" xfId="5538" xr:uid="{00000000-0005-0000-0000-00007C070000}"/>
    <cellStyle name="Comma 5 2 3 12 2" xfId="14365" xr:uid="{00000000-0005-0000-0000-00007D070000}"/>
    <cellStyle name="Comma 5 2 3 12 2 2" xfId="39920" xr:uid="{00000000-0005-0000-0000-00007E070000}"/>
    <cellStyle name="Comma 5 2 3 12 3" xfId="24616" xr:uid="{00000000-0005-0000-0000-00007F070000}"/>
    <cellStyle name="Comma 5 2 3 12 3 2" xfId="50169" xr:uid="{00000000-0005-0000-0000-000080070000}"/>
    <cellStyle name="Comma 5 2 3 12 4" xfId="31099" xr:uid="{00000000-0005-0000-0000-000081070000}"/>
    <cellStyle name="Comma 5 2 3 13" xfId="6982" xr:uid="{00000000-0005-0000-0000-000082070000}"/>
    <cellStyle name="Comma 5 2 3 13 2" xfId="19591" xr:uid="{00000000-0005-0000-0000-000083070000}"/>
    <cellStyle name="Comma 5 2 3 13 2 2" xfId="45144" xr:uid="{00000000-0005-0000-0000-000084070000}"/>
    <cellStyle name="Comma 5 2 3 13 3" xfId="32539" xr:uid="{00000000-0005-0000-0000-000085070000}"/>
    <cellStyle name="Comma 5 2 3 14" xfId="15803" xr:uid="{00000000-0005-0000-0000-000086070000}"/>
    <cellStyle name="Comma 5 2 3 14 2" xfId="41356" xr:uid="{00000000-0005-0000-0000-000087070000}"/>
    <cellStyle name="Comma 5 2 3 15" xfId="26074" xr:uid="{00000000-0005-0000-0000-000088070000}"/>
    <cellStyle name="Comma 5 2 3 2" xfId="164" xr:uid="{00000000-0005-0000-0000-000089070000}"/>
    <cellStyle name="Comma 5 2 3 2 10" xfId="5670" xr:uid="{00000000-0005-0000-0000-00008A070000}"/>
    <cellStyle name="Comma 5 2 3 2 10 2" xfId="14497" xr:uid="{00000000-0005-0000-0000-00008B070000}"/>
    <cellStyle name="Comma 5 2 3 2 10 2 2" xfId="40052" xr:uid="{00000000-0005-0000-0000-00008C070000}"/>
    <cellStyle name="Comma 5 2 3 2 10 3" xfId="24748" xr:uid="{00000000-0005-0000-0000-00008D070000}"/>
    <cellStyle name="Comma 5 2 3 2 10 3 2" xfId="50301" xr:uid="{00000000-0005-0000-0000-00008E070000}"/>
    <cellStyle name="Comma 5 2 3 2 10 4" xfId="31231" xr:uid="{00000000-0005-0000-0000-00008F070000}"/>
    <cellStyle name="Comma 5 2 3 2 11" xfId="7114" xr:uid="{00000000-0005-0000-0000-000090070000}"/>
    <cellStyle name="Comma 5 2 3 2 11 2" xfId="19623" xr:uid="{00000000-0005-0000-0000-000091070000}"/>
    <cellStyle name="Comma 5 2 3 2 11 2 2" xfId="45176" xr:uid="{00000000-0005-0000-0000-000092070000}"/>
    <cellStyle name="Comma 5 2 3 2 11 3" xfId="32671" xr:uid="{00000000-0005-0000-0000-000093070000}"/>
    <cellStyle name="Comma 5 2 3 2 12" xfId="15860" xr:uid="{00000000-0005-0000-0000-000094070000}"/>
    <cellStyle name="Comma 5 2 3 2 12 2" xfId="41413" xr:uid="{00000000-0005-0000-0000-000095070000}"/>
    <cellStyle name="Comma 5 2 3 2 13" xfId="26106" xr:uid="{00000000-0005-0000-0000-000096070000}"/>
    <cellStyle name="Comma 5 2 3 2 2" xfId="276" xr:uid="{00000000-0005-0000-0000-000097070000}"/>
    <cellStyle name="Comma 5 2 3 2 2 10" xfId="16064" xr:uid="{00000000-0005-0000-0000-000098070000}"/>
    <cellStyle name="Comma 5 2 3 2 2 10 2" xfId="41617" xr:uid="{00000000-0005-0000-0000-000099070000}"/>
    <cellStyle name="Comma 5 2 3 2 2 11" xfId="26210" xr:uid="{00000000-0005-0000-0000-00009A070000}"/>
    <cellStyle name="Comma 5 2 3 2 2 2" xfId="598" xr:uid="{00000000-0005-0000-0000-00009B070000}"/>
    <cellStyle name="Comma 5 2 3 2 2 2 2" xfId="3084" xr:uid="{00000000-0005-0000-0000-00009C070000}"/>
    <cellStyle name="Comma 5 2 3 2 2 2 2 2" xfId="12227" xr:uid="{00000000-0005-0000-0000-00009D070000}"/>
    <cellStyle name="Comma 5 2 3 2 2 2 2 2 2" xfId="22445" xr:uid="{00000000-0005-0000-0000-00009E070000}"/>
    <cellStyle name="Comma 5 2 3 2 2 2 2 2 2 2" xfId="47998" xr:uid="{00000000-0005-0000-0000-00009F070000}"/>
    <cellStyle name="Comma 5 2 3 2 2 2 2 2 3" xfId="37782" xr:uid="{00000000-0005-0000-0000-0000A0070000}"/>
    <cellStyle name="Comma 5 2 3 2 2 2 2 3" xfId="8649" xr:uid="{00000000-0005-0000-0000-0000A1070000}"/>
    <cellStyle name="Comma 5 2 3 2 2 2 2 3 2" xfId="34206" xr:uid="{00000000-0005-0000-0000-0000A2070000}"/>
    <cellStyle name="Comma 5 2 3 2 2 2 2 4" xfId="17438" xr:uid="{00000000-0005-0000-0000-0000A3070000}"/>
    <cellStyle name="Comma 5 2 3 2 2 2 2 4 2" xfId="42991" xr:uid="{00000000-0005-0000-0000-0000A4070000}"/>
    <cellStyle name="Comma 5 2 3 2 2 2 2 5" xfId="28928" xr:uid="{00000000-0005-0000-0000-0000A5070000}"/>
    <cellStyle name="Comma 5 2 3 2 2 2 3" xfId="4447" xr:uid="{00000000-0005-0000-0000-0000A6070000}"/>
    <cellStyle name="Comma 5 2 3 2 2 2 3 2" xfId="13285" xr:uid="{00000000-0005-0000-0000-0000A7070000}"/>
    <cellStyle name="Comma 5 2 3 2 2 2 3 2 2" xfId="23536" xr:uid="{00000000-0005-0000-0000-0000A8070000}"/>
    <cellStyle name="Comma 5 2 3 2 2 2 3 2 2 2" xfId="49089" xr:uid="{00000000-0005-0000-0000-0000A9070000}"/>
    <cellStyle name="Comma 5 2 3 2 2 2 3 2 3" xfId="38840" xr:uid="{00000000-0005-0000-0000-0000AA070000}"/>
    <cellStyle name="Comma 5 2 3 2 2 2 3 3" xfId="9706" xr:uid="{00000000-0005-0000-0000-0000AB070000}"/>
    <cellStyle name="Comma 5 2 3 2 2 2 3 3 2" xfId="35263" xr:uid="{00000000-0005-0000-0000-0000AC070000}"/>
    <cellStyle name="Comma 5 2 3 2 2 2 3 4" xfId="18529" xr:uid="{00000000-0005-0000-0000-0000AD070000}"/>
    <cellStyle name="Comma 5 2 3 2 2 2 3 4 2" xfId="44082" xr:uid="{00000000-0005-0000-0000-0000AE070000}"/>
    <cellStyle name="Comma 5 2 3 2 2 2 3 5" xfId="30019" xr:uid="{00000000-0005-0000-0000-0000AF070000}"/>
    <cellStyle name="Comma 5 2 3 2 2 2 4" xfId="2193" xr:uid="{00000000-0005-0000-0000-0000B0070000}"/>
    <cellStyle name="Comma 5 2 3 2 2 2 4 2" xfId="11558" xr:uid="{00000000-0005-0000-0000-0000B1070000}"/>
    <cellStyle name="Comma 5 2 3 2 2 2 4 2 2" xfId="37113" xr:uid="{00000000-0005-0000-0000-0000B2070000}"/>
    <cellStyle name="Comma 5 2 3 2 2 2 4 3" xfId="21562" xr:uid="{00000000-0005-0000-0000-0000B3070000}"/>
    <cellStyle name="Comma 5 2 3 2 2 2 4 3 2" xfId="47115" xr:uid="{00000000-0005-0000-0000-0000B4070000}"/>
    <cellStyle name="Comma 5 2 3 2 2 2 4 4" xfId="28045" xr:uid="{00000000-0005-0000-0000-0000B5070000}"/>
    <cellStyle name="Comma 5 2 3 2 2 2 5" xfId="5903" xr:uid="{00000000-0005-0000-0000-0000B6070000}"/>
    <cellStyle name="Comma 5 2 3 2 2 2 5 2" xfId="14730" xr:uid="{00000000-0005-0000-0000-0000B7070000}"/>
    <cellStyle name="Comma 5 2 3 2 2 2 5 2 2" xfId="40285" xr:uid="{00000000-0005-0000-0000-0000B8070000}"/>
    <cellStyle name="Comma 5 2 3 2 2 2 5 3" xfId="24981" xr:uid="{00000000-0005-0000-0000-0000B9070000}"/>
    <cellStyle name="Comma 5 2 3 2 2 2 5 3 2" xfId="50534" xr:uid="{00000000-0005-0000-0000-0000BA070000}"/>
    <cellStyle name="Comma 5 2 3 2 2 2 5 4" xfId="31464" xr:uid="{00000000-0005-0000-0000-0000BB070000}"/>
    <cellStyle name="Comma 5 2 3 2 2 2 6" xfId="7347" xr:uid="{00000000-0005-0000-0000-0000BC070000}"/>
    <cellStyle name="Comma 5 2 3 2 2 2 6 2" xfId="20044" xr:uid="{00000000-0005-0000-0000-0000BD070000}"/>
    <cellStyle name="Comma 5 2 3 2 2 2 6 2 2" xfId="45597" xr:uid="{00000000-0005-0000-0000-0000BE070000}"/>
    <cellStyle name="Comma 5 2 3 2 2 2 6 3" xfId="32904" xr:uid="{00000000-0005-0000-0000-0000BF070000}"/>
    <cellStyle name="Comma 5 2 3 2 2 2 7" xfId="16555" xr:uid="{00000000-0005-0000-0000-0000C0070000}"/>
    <cellStyle name="Comma 5 2 3 2 2 2 7 2" xfId="42108" xr:uid="{00000000-0005-0000-0000-0000C1070000}"/>
    <cellStyle name="Comma 5 2 3 2 2 2 8" xfId="26527" xr:uid="{00000000-0005-0000-0000-0000C2070000}"/>
    <cellStyle name="Comma 5 2 3 2 2 3" xfId="632" xr:uid="{00000000-0005-0000-0000-0000C3070000}"/>
    <cellStyle name="Comma 5 2 3 2 2 3 2" xfId="3118" xr:uid="{00000000-0005-0000-0000-0000C4070000}"/>
    <cellStyle name="Comma 5 2 3 2 2 3 2 2" xfId="12261" xr:uid="{00000000-0005-0000-0000-0000C5070000}"/>
    <cellStyle name="Comma 5 2 3 2 2 3 2 2 2" xfId="22479" xr:uid="{00000000-0005-0000-0000-0000C6070000}"/>
    <cellStyle name="Comma 5 2 3 2 2 3 2 2 2 2" xfId="48032" xr:uid="{00000000-0005-0000-0000-0000C7070000}"/>
    <cellStyle name="Comma 5 2 3 2 2 3 2 2 3" xfId="37816" xr:uid="{00000000-0005-0000-0000-0000C8070000}"/>
    <cellStyle name="Comma 5 2 3 2 2 3 2 3" xfId="8683" xr:uid="{00000000-0005-0000-0000-0000C9070000}"/>
    <cellStyle name="Comma 5 2 3 2 2 3 2 3 2" xfId="34240" xr:uid="{00000000-0005-0000-0000-0000CA070000}"/>
    <cellStyle name="Comma 5 2 3 2 2 3 2 4" xfId="17472" xr:uid="{00000000-0005-0000-0000-0000CB070000}"/>
    <cellStyle name="Comma 5 2 3 2 2 3 2 4 2" xfId="43025" xr:uid="{00000000-0005-0000-0000-0000CC070000}"/>
    <cellStyle name="Comma 5 2 3 2 2 3 2 5" xfId="28962" xr:uid="{00000000-0005-0000-0000-0000CD070000}"/>
    <cellStyle name="Comma 5 2 3 2 2 3 3" xfId="4796" xr:uid="{00000000-0005-0000-0000-0000CE070000}"/>
    <cellStyle name="Comma 5 2 3 2 2 3 3 2" xfId="13633" xr:uid="{00000000-0005-0000-0000-0000CF070000}"/>
    <cellStyle name="Comma 5 2 3 2 2 3 3 2 2" xfId="23884" xr:uid="{00000000-0005-0000-0000-0000D0070000}"/>
    <cellStyle name="Comma 5 2 3 2 2 3 3 2 2 2" xfId="49437" xr:uid="{00000000-0005-0000-0000-0000D1070000}"/>
    <cellStyle name="Comma 5 2 3 2 2 3 3 2 3" xfId="39188" xr:uid="{00000000-0005-0000-0000-0000D2070000}"/>
    <cellStyle name="Comma 5 2 3 2 2 3 3 3" xfId="10054" xr:uid="{00000000-0005-0000-0000-0000D3070000}"/>
    <cellStyle name="Comma 5 2 3 2 2 3 3 3 2" xfId="35611" xr:uid="{00000000-0005-0000-0000-0000D4070000}"/>
    <cellStyle name="Comma 5 2 3 2 2 3 3 4" xfId="18877" xr:uid="{00000000-0005-0000-0000-0000D5070000}"/>
    <cellStyle name="Comma 5 2 3 2 2 3 3 4 2" xfId="44430" xr:uid="{00000000-0005-0000-0000-0000D6070000}"/>
    <cellStyle name="Comma 5 2 3 2 2 3 3 5" xfId="30367" xr:uid="{00000000-0005-0000-0000-0000D7070000}"/>
    <cellStyle name="Comma 5 2 3 2 2 3 4" xfId="2227" xr:uid="{00000000-0005-0000-0000-0000D8070000}"/>
    <cellStyle name="Comma 5 2 3 2 2 3 4 2" xfId="11592" xr:uid="{00000000-0005-0000-0000-0000D9070000}"/>
    <cellStyle name="Comma 5 2 3 2 2 3 4 2 2" xfId="37147" xr:uid="{00000000-0005-0000-0000-0000DA070000}"/>
    <cellStyle name="Comma 5 2 3 2 2 3 4 3" xfId="21596" xr:uid="{00000000-0005-0000-0000-0000DB070000}"/>
    <cellStyle name="Comma 5 2 3 2 2 3 4 3 2" xfId="47149" xr:uid="{00000000-0005-0000-0000-0000DC070000}"/>
    <cellStyle name="Comma 5 2 3 2 2 3 4 4" xfId="28079" xr:uid="{00000000-0005-0000-0000-0000DD070000}"/>
    <cellStyle name="Comma 5 2 3 2 2 3 5" xfId="6251" xr:uid="{00000000-0005-0000-0000-0000DE070000}"/>
    <cellStyle name="Comma 5 2 3 2 2 3 5 2" xfId="15078" xr:uid="{00000000-0005-0000-0000-0000DF070000}"/>
    <cellStyle name="Comma 5 2 3 2 2 3 5 2 2" xfId="40633" xr:uid="{00000000-0005-0000-0000-0000E0070000}"/>
    <cellStyle name="Comma 5 2 3 2 2 3 5 3" xfId="25329" xr:uid="{00000000-0005-0000-0000-0000E1070000}"/>
    <cellStyle name="Comma 5 2 3 2 2 3 5 3 2" xfId="50882" xr:uid="{00000000-0005-0000-0000-0000E2070000}"/>
    <cellStyle name="Comma 5 2 3 2 2 3 5 4" xfId="31812" xr:uid="{00000000-0005-0000-0000-0000E3070000}"/>
    <cellStyle name="Comma 5 2 3 2 2 3 6" xfId="7697" xr:uid="{00000000-0005-0000-0000-0000E4070000}"/>
    <cellStyle name="Comma 5 2 3 2 2 3 6 2" xfId="20078" xr:uid="{00000000-0005-0000-0000-0000E5070000}"/>
    <cellStyle name="Comma 5 2 3 2 2 3 6 2 2" xfId="45631" xr:uid="{00000000-0005-0000-0000-0000E6070000}"/>
    <cellStyle name="Comma 5 2 3 2 2 3 6 3" xfId="33254" xr:uid="{00000000-0005-0000-0000-0000E7070000}"/>
    <cellStyle name="Comma 5 2 3 2 2 3 7" xfId="16589" xr:uid="{00000000-0005-0000-0000-0000E8070000}"/>
    <cellStyle name="Comma 5 2 3 2 2 3 7 2" xfId="42142" xr:uid="{00000000-0005-0000-0000-0000E9070000}"/>
    <cellStyle name="Comma 5 2 3 2 2 3 8" xfId="26561" xr:uid="{00000000-0005-0000-0000-0000EA070000}"/>
    <cellStyle name="Comma 5 2 3 2 2 4" xfId="1370" xr:uid="{00000000-0005-0000-0000-0000EB070000}"/>
    <cellStyle name="Comma 5 2 3 2 2 4 2" xfId="3799" xr:uid="{00000000-0005-0000-0000-0000EC070000}"/>
    <cellStyle name="Comma 5 2 3 2 2 4 2 2" xfId="12935" xr:uid="{00000000-0005-0000-0000-0000ED070000}"/>
    <cellStyle name="Comma 5 2 3 2 2 4 2 2 2" xfId="23154" xr:uid="{00000000-0005-0000-0000-0000EE070000}"/>
    <cellStyle name="Comma 5 2 3 2 2 4 2 2 2 2" xfId="48707" xr:uid="{00000000-0005-0000-0000-0000EF070000}"/>
    <cellStyle name="Comma 5 2 3 2 2 4 2 2 3" xfId="38490" xr:uid="{00000000-0005-0000-0000-0000F0070000}"/>
    <cellStyle name="Comma 5 2 3 2 2 4 2 3" xfId="9356" xr:uid="{00000000-0005-0000-0000-0000F1070000}"/>
    <cellStyle name="Comma 5 2 3 2 2 4 2 3 2" xfId="34913" xr:uid="{00000000-0005-0000-0000-0000F2070000}"/>
    <cellStyle name="Comma 5 2 3 2 2 4 2 4" xfId="18147" xr:uid="{00000000-0005-0000-0000-0000F3070000}"/>
    <cellStyle name="Comma 5 2 3 2 2 4 2 4 2" xfId="43700" xr:uid="{00000000-0005-0000-0000-0000F4070000}"/>
    <cellStyle name="Comma 5 2 3 2 2 4 2 5" xfId="29637" xr:uid="{00000000-0005-0000-0000-0000F5070000}"/>
    <cellStyle name="Comma 5 2 3 2 2 4 3" xfId="5462" xr:uid="{00000000-0005-0000-0000-0000F6070000}"/>
    <cellStyle name="Comma 5 2 3 2 2 4 3 2" xfId="14299" xr:uid="{00000000-0005-0000-0000-0000F7070000}"/>
    <cellStyle name="Comma 5 2 3 2 2 4 3 2 2" xfId="24550" xr:uid="{00000000-0005-0000-0000-0000F8070000}"/>
    <cellStyle name="Comma 5 2 3 2 2 4 3 2 2 2" xfId="50103" xr:uid="{00000000-0005-0000-0000-0000F9070000}"/>
    <cellStyle name="Comma 5 2 3 2 2 4 3 2 3" xfId="39854" xr:uid="{00000000-0005-0000-0000-0000FA070000}"/>
    <cellStyle name="Comma 5 2 3 2 2 4 3 3" xfId="10720" xr:uid="{00000000-0005-0000-0000-0000FB070000}"/>
    <cellStyle name="Comma 5 2 3 2 2 4 3 3 2" xfId="36277" xr:uid="{00000000-0005-0000-0000-0000FC070000}"/>
    <cellStyle name="Comma 5 2 3 2 2 4 3 4" xfId="19543" xr:uid="{00000000-0005-0000-0000-0000FD070000}"/>
    <cellStyle name="Comma 5 2 3 2 2 4 3 4 2" xfId="45096" xr:uid="{00000000-0005-0000-0000-0000FE070000}"/>
    <cellStyle name="Comma 5 2 3 2 2 4 3 5" xfId="31033" xr:uid="{00000000-0005-0000-0000-0000FF070000}"/>
    <cellStyle name="Comma 5 2 3 2 2 4 4" xfId="1873" xr:uid="{00000000-0005-0000-0000-000000080000}"/>
    <cellStyle name="Comma 5 2 3 2 2 4 4 2" xfId="11241" xr:uid="{00000000-0005-0000-0000-000001080000}"/>
    <cellStyle name="Comma 5 2 3 2 2 4 4 2 2" xfId="36796" xr:uid="{00000000-0005-0000-0000-000002080000}"/>
    <cellStyle name="Comma 5 2 3 2 2 4 4 3" xfId="21245" xr:uid="{00000000-0005-0000-0000-000003080000}"/>
    <cellStyle name="Comma 5 2 3 2 2 4 4 3 2" xfId="46798" xr:uid="{00000000-0005-0000-0000-000004080000}"/>
    <cellStyle name="Comma 5 2 3 2 2 4 4 4" xfId="27728" xr:uid="{00000000-0005-0000-0000-000005080000}"/>
    <cellStyle name="Comma 5 2 3 2 2 4 5" xfId="6917" xr:uid="{00000000-0005-0000-0000-000006080000}"/>
    <cellStyle name="Comma 5 2 3 2 2 4 5 2" xfId="15744" xr:uid="{00000000-0005-0000-0000-000007080000}"/>
    <cellStyle name="Comma 5 2 3 2 2 4 5 2 2" xfId="41299" xr:uid="{00000000-0005-0000-0000-000008080000}"/>
    <cellStyle name="Comma 5 2 3 2 2 4 5 3" xfId="25995" xr:uid="{00000000-0005-0000-0000-000009080000}"/>
    <cellStyle name="Comma 5 2 3 2 2 4 5 3 2" xfId="51548" xr:uid="{00000000-0005-0000-0000-00000A080000}"/>
    <cellStyle name="Comma 5 2 3 2 2 4 5 4" xfId="32478" xr:uid="{00000000-0005-0000-0000-00000B080000}"/>
    <cellStyle name="Comma 5 2 3 2 2 4 6" xfId="8363" xr:uid="{00000000-0005-0000-0000-00000C080000}"/>
    <cellStyle name="Comma 5 2 3 2 2 4 6 2" xfId="20753" xr:uid="{00000000-0005-0000-0000-00000D080000}"/>
    <cellStyle name="Comma 5 2 3 2 2 4 6 2 2" xfId="46306" xr:uid="{00000000-0005-0000-0000-00000E080000}"/>
    <cellStyle name="Comma 5 2 3 2 2 4 6 3" xfId="33920" xr:uid="{00000000-0005-0000-0000-00000F080000}"/>
    <cellStyle name="Comma 5 2 3 2 2 4 7" xfId="16238" xr:uid="{00000000-0005-0000-0000-000010080000}"/>
    <cellStyle name="Comma 5 2 3 2 2 4 7 2" xfId="41791" xr:uid="{00000000-0005-0000-0000-000011080000}"/>
    <cellStyle name="Comma 5 2 3 2 2 4 8" xfId="27236" xr:uid="{00000000-0005-0000-0000-000012080000}"/>
    <cellStyle name="Comma 5 2 3 2 2 5" xfId="2767" xr:uid="{00000000-0005-0000-0000-000013080000}"/>
    <cellStyle name="Comma 5 2 3 2 2 5 2" xfId="12084" xr:uid="{00000000-0005-0000-0000-000014080000}"/>
    <cellStyle name="Comma 5 2 3 2 2 5 2 2" xfId="22128" xr:uid="{00000000-0005-0000-0000-000015080000}"/>
    <cellStyle name="Comma 5 2 3 2 2 5 2 2 2" xfId="47681" xr:uid="{00000000-0005-0000-0000-000016080000}"/>
    <cellStyle name="Comma 5 2 3 2 2 5 2 3" xfId="37639" xr:uid="{00000000-0005-0000-0000-000017080000}"/>
    <cellStyle name="Comma 5 2 3 2 2 5 3" xfId="8629" xr:uid="{00000000-0005-0000-0000-000018080000}"/>
    <cellStyle name="Comma 5 2 3 2 2 5 3 2" xfId="34186" xr:uid="{00000000-0005-0000-0000-000019080000}"/>
    <cellStyle name="Comma 5 2 3 2 2 5 4" xfId="17121" xr:uid="{00000000-0005-0000-0000-00001A080000}"/>
    <cellStyle name="Comma 5 2 3 2 2 5 4 2" xfId="42674" xr:uid="{00000000-0005-0000-0000-00001B080000}"/>
    <cellStyle name="Comma 5 2 3 2 2 5 5" xfId="28611" xr:uid="{00000000-0005-0000-0000-00001C080000}"/>
    <cellStyle name="Comma 5 2 3 2 2 6" xfId="4418" xr:uid="{00000000-0005-0000-0000-00001D080000}"/>
    <cellStyle name="Comma 5 2 3 2 2 6 2" xfId="13256" xr:uid="{00000000-0005-0000-0000-00001E080000}"/>
    <cellStyle name="Comma 5 2 3 2 2 6 2 2" xfId="23507" xr:uid="{00000000-0005-0000-0000-00001F080000}"/>
    <cellStyle name="Comma 5 2 3 2 2 6 2 2 2" xfId="49060" xr:uid="{00000000-0005-0000-0000-000020080000}"/>
    <cellStyle name="Comma 5 2 3 2 2 6 2 3" xfId="38811" xr:uid="{00000000-0005-0000-0000-000021080000}"/>
    <cellStyle name="Comma 5 2 3 2 2 6 3" xfId="9677" xr:uid="{00000000-0005-0000-0000-000022080000}"/>
    <cellStyle name="Comma 5 2 3 2 2 6 3 2" xfId="35234" xr:uid="{00000000-0005-0000-0000-000023080000}"/>
    <cellStyle name="Comma 5 2 3 2 2 6 4" xfId="18500" xr:uid="{00000000-0005-0000-0000-000024080000}"/>
    <cellStyle name="Comma 5 2 3 2 2 6 4 2" xfId="44053" xr:uid="{00000000-0005-0000-0000-000025080000}"/>
    <cellStyle name="Comma 5 2 3 2 2 6 5" xfId="29990" xr:uid="{00000000-0005-0000-0000-000026080000}"/>
    <cellStyle name="Comma 5 2 3 2 2 7" xfId="1690" xr:uid="{00000000-0005-0000-0000-000027080000}"/>
    <cellStyle name="Comma 5 2 3 2 2 7 2" xfId="11067" xr:uid="{00000000-0005-0000-0000-000028080000}"/>
    <cellStyle name="Comma 5 2 3 2 2 7 2 2" xfId="36622" xr:uid="{00000000-0005-0000-0000-000029080000}"/>
    <cellStyle name="Comma 5 2 3 2 2 7 3" xfId="21071" xr:uid="{00000000-0005-0000-0000-00002A080000}"/>
    <cellStyle name="Comma 5 2 3 2 2 7 3 2" xfId="46624" xr:uid="{00000000-0005-0000-0000-00002B080000}"/>
    <cellStyle name="Comma 5 2 3 2 2 7 4" xfId="27554" xr:uid="{00000000-0005-0000-0000-00002C080000}"/>
    <cellStyle name="Comma 5 2 3 2 2 8" xfId="5874" xr:uid="{00000000-0005-0000-0000-00002D080000}"/>
    <cellStyle name="Comma 5 2 3 2 2 8 2" xfId="14701" xr:uid="{00000000-0005-0000-0000-00002E080000}"/>
    <cellStyle name="Comma 5 2 3 2 2 8 2 2" xfId="40256" xr:uid="{00000000-0005-0000-0000-00002F080000}"/>
    <cellStyle name="Comma 5 2 3 2 2 8 3" xfId="24952" xr:uid="{00000000-0005-0000-0000-000030080000}"/>
    <cellStyle name="Comma 5 2 3 2 2 8 3 2" xfId="50505" xr:uid="{00000000-0005-0000-0000-000031080000}"/>
    <cellStyle name="Comma 5 2 3 2 2 8 4" xfId="31435" xr:uid="{00000000-0005-0000-0000-000032080000}"/>
    <cellStyle name="Comma 5 2 3 2 2 9" xfId="7318" xr:uid="{00000000-0005-0000-0000-000033080000}"/>
    <cellStyle name="Comma 5 2 3 2 2 9 2" xfId="19727" xr:uid="{00000000-0005-0000-0000-000034080000}"/>
    <cellStyle name="Comma 5 2 3 2 2 9 2 2" xfId="45280" xr:uid="{00000000-0005-0000-0000-000035080000}"/>
    <cellStyle name="Comma 5 2 3 2 2 9 3" xfId="32875" xr:uid="{00000000-0005-0000-0000-000036080000}"/>
    <cellStyle name="Comma 5 2 3 2 3" xfId="494" xr:uid="{00000000-0005-0000-0000-000037080000}"/>
    <cellStyle name="Comma 5 2 3 2 3 10" xfId="26423" xr:uid="{00000000-0005-0000-0000-000038080000}"/>
    <cellStyle name="Comma 5 2 3 2 3 2" xfId="633" xr:uid="{00000000-0005-0000-0000-000039080000}"/>
    <cellStyle name="Comma 5 2 3 2 3 2 2" xfId="3119" xr:uid="{00000000-0005-0000-0000-00003A080000}"/>
    <cellStyle name="Comma 5 2 3 2 3 2 2 2" xfId="12262" xr:uid="{00000000-0005-0000-0000-00003B080000}"/>
    <cellStyle name="Comma 5 2 3 2 3 2 2 2 2" xfId="22480" xr:uid="{00000000-0005-0000-0000-00003C080000}"/>
    <cellStyle name="Comma 5 2 3 2 3 2 2 2 2 2" xfId="48033" xr:uid="{00000000-0005-0000-0000-00003D080000}"/>
    <cellStyle name="Comma 5 2 3 2 3 2 2 2 3" xfId="37817" xr:uid="{00000000-0005-0000-0000-00003E080000}"/>
    <cellStyle name="Comma 5 2 3 2 3 2 2 3" xfId="8684" xr:uid="{00000000-0005-0000-0000-00003F080000}"/>
    <cellStyle name="Comma 5 2 3 2 3 2 2 3 2" xfId="34241" xr:uid="{00000000-0005-0000-0000-000040080000}"/>
    <cellStyle name="Comma 5 2 3 2 3 2 2 4" xfId="17473" xr:uid="{00000000-0005-0000-0000-000041080000}"/>
    <cellStyle name="Comma 5 2 3 2 3 2 2 4 2" xfId="43026" xr:uid="{00000000-0005-0000-0000-000042080000}"/>
    <cellStyle name="Comma 5 2 3 2 3 2 2 5" xfId="28963" xr:uid="{00000000-0005-0000-0000-000043080000}"/>
    <cellStyle name="Comma 5 2 3 2 3 2 3" xfId="4448" xr:uid="{00000000-0005-0000-0000-000044080000}"/>
    <cellStyle name="Comma 5 2 3 2 3 2 3 2" xfId="13286" xr:uid="{00000000-0005-0000-0000-000045080000}"/>
    <cellStyle name="Comma 5 2 3 2 3 2 3 2 2" xfId="23537" xr:uid="{00000000-0005-0000-0000-000046080000}"/>
    <cellStyle name="Comma 5 2 3 2 3 2 3 2 2 2" xfId="49090" xr:uid="{00000000-0005-0000-0000-000047080000}"/>
    <cellStyle name="Comma 5 2 3 2 3 2 3 2 3" xfId="38841" xr:uid="{00000000-0005-0000-0000-000048080000}"/>
    <cellStyle name="Comma 5 2 3 2 3 2 3 3" xfId="9707" xr:uid="{00000000-0005-0000-0000-000049080000}"/>
    <cellStyle name="Comma 5 2 3 2 3 2 3 3 2" xfId="35264" xr:uid="{00000000-0005-0000-0000-00004A080000}"/>
    <cellStyle name="Comma 5 2 3 2 3 2 3 4" xfId="18530" xr:uid="{00000000-0005-0000-0000-00004B080000}"/>
    <cellStyle name="Comma 5 2 3 2 3 2 3 4 2" xfId="44083" xr:uid="{00000000-0005-0000-0000-00004C080000}"/>
    <cellStyle name="Comma 5 2 3 2 3 2 3 5" xfId="30020" xr:uid="{00000000-0005-0000-0000-00004D080000}"/>
    <cellStyle name="Comma 5 2 3 2 3 2 4" xfId="2228" xr:uid="{00000000-0005-0000-0000-00004E080000}"/>
    <cellStyle name="Comma 5 2 3 2 3 2 4 2" xfId="11593" xr:uid="{00000000-0005-0000-0000-00004F080000}"/>
    <cellStyle name="Comma 5 2 3 2 3 2 4 2 2" xfId="37148" xr:uid="{00000000-0005-0000-0000-000050080000}"/>
    <cellStyle name="Comma 5 2 3 2 3 2 4 3" xfId="21597" xr:uid="{00000000-0005-0000-0000-000051080000}"/>
    <cellStyle name="Comma 5 2 3 2 3 2 4 3 2" xfId="47150" xr:uid="{00000000-0005-0000-0000-000052080000}"/>
    <cellStyle name="Comma 5 2 3 2 3 2 4 4" xfId="28080" xr:uid="{00000000-0005-0000-0000-000053080000}"/>
    <cellStyle name="Comma 5 2 3 2 3 2 5" xfId="5904" xr:uid="{00000000-0005-0000-0000-000054080000}"/>
    <cellStyle name="Comma 5 2 3 2 3 2 5 2" xfId="14731" xr:uid="{00000000-0005-0000-0000-000055080000}"/>
    <cellStyle name="Comma 5 2 3 2 3 2 5 2 2" xfId="40286" xr:uid="{00000000-0005-0000-0000-000056080000}"/>
    <cellStyle name="Comma 5 2 3 2 3 2 5 3" xfId="24982" xr:uid="{00000000-0005-0000-0000-000057080000}"/>
    <cellStyle name="Comma 5 2 3 2 3 2 5 3 2" xfId="50535" xr:uid="{00000000-0005-0000-0000-000058080000}"/>
    <cellStyle name="Comma 5 2 3 2 3 2 5 4" xfId="31465" xr:uid="{00000000-0005-0000-0000-000059080000}"/>
    <cellStyle name="Comma 5 2 3 2 3 2 6" xfId="7348" xr:uid="{00000000-0005-0000-0000-00005A080000}"/>
    <cellStyle name="Comma 5 2 3 2 3 2 6 2" xfId="20079" xr:uid="{00000000-0005-0000-0000-00005B080000}"/>
    <cellStyle name="Comma 5 2 3 2 3 2 6 2 2" xfId="45632" xr:uid="{00000000-0005-0000-0000-00005C080000}"/>
    <cellStyle name="Comma 5 2 3 2 3 2 6 3" xfId="32905" xr:uid="{00000000-0005-0000-0000-00005D080000}"/>
    <cellStyle name="Comma 5 2 3 2 3 2 7" xfId="16590" xr:uid="{00000000-0005-0000-0000-00005E080000}"/>
    <cellStyle name="Comma 5 2 3 2 3 2 7 2" xfId="42143" xr:uid="{00000000-0005-0000-0000-00005F080000}"/>
    <cellStyle name="Comma 5 2 3 2 3 2 8" xfId="26562" xr:uid="{00000000-0005-0000-0000-000060080000}"/>
    <cellStyle name="Comma 5 2 3 2 3 3" xfId="1266" xr:uid="{00000000-0005-0000-0000-000061080000}"/>
    <cellStyle name="Comma 5 2 3 2 3 3 2" xfId="3695" xr:uid="{00000000-0005-0000-0000-000062080000}"/>
    <cellStyle name="Comma 5 2 3 2 3 3 2 2" xfId="12831" xr:uid="{00000000-0005-0000-0000-000063080000}"/>
    <cellStyle name="Comma 5 2 3 2 3 3 2 2 2" xfId="23050" xr:uid="{00000000-0005-0000-0000-000064080000}"/>
    <cellStyle name="Comma 5 2 3 2 3 3 2 2 2 2" xfId="48603" xr:uid="{00000000-0005-0000-0000-000065080000}"/>
    <cellStyle name="Comma 5 2 3 2 3 3 2 2 3" xfId="38386" xr:uid="{00000000-0005-0000-0000-000066080000}"/>
    <cellStyle name="Comma 5 2 3 2 3 3 2 3" xfId="9252" xr:uid="{00000000-0005-0000-0000-000067080000}"/>
    <cellStyle name="Comma 5 2 3 2 3 3 2 3 2" xfId="34809" xr:uid="{00000000-0005-0000-0000-000068080000}"/>
    <cellStyle name="Comma 5 2 3 2 3 3 2 4" xfId="18043" xr:uid="{00000000-0005-0000-0000-000069080000}"/>
    <cellStyle name="Comma 5 2 3 2 3 3 2 4 2" xfId="43596" xr:uid="{00000000-0005-0000-0000-00006A080000}"/>
    <cellStyle name="Comma 5 2 3 2 3 3 2 5" xfId="29533" xr:uid="{00000000-0005-0000-0000-00006B080000}"/>
    <cellStyle name="Comma 5 2 3 2 3 3 3" xfId="4797" xr:uid="{00000000-0005-0000-0000-00006C080000}"/>
    <cellStyle name="Comma 5 2 3 2 3 3 3 2" xfId="13634" xr:uid="{00000000-0005-0000-0000-00006D080000}"/>
    <cellStyle name="Comma 5 2 3 2 3 3 3 2 2" xfId="23885" xr:uid="{00000000-0005-0000-0000-00006E080000}"/>
    <cellStyle name="Comma 5 2 3 2 3 3 3 2 2 2" xfId="49438" xr:uid="{00000000-0005-0000-0000-00006F080000}"/>
    <cellStyle name="Comma 5 2 3 2 3 3 3 2 3" xfId="39189" xr:uid="{00000000-0005-0000-0000-000070080000}"/>
    <cellStyle name="Comma 5 2 3 2 3 3 3 3" xfId="10055" xr:uid="{00000000-0005-0000-0000-000071080000}"/>
    <cellStyle name="Comma 5 2 3 2 3 3 3 3 2" xfId="35612" xr:uid="{00000000-0005-0000-0000-000072080000}"/>
    <cellStyle name="Comma 5 2 3 2 3 3 3 4" xfId="18878" xr:uid="{00000000-0005-0000-0000-000073080000}"/>
    <cellStyle name="Comma 5 2 3 2 3 3 3 4 2" xfId="44431" xr:uid="{00000000-0005-0000-0000-000074080000}"/>
    <cellStyle name="Comma 5 2 3 2 3 3 3 5" xfId="30368" xr:uid="{00000000-0005-0000-0000-000075080000}"/>
    <cellStyle name="Comma 5 2 3 2 3 3 4" xfId="2089" xr:uid="{00000000-0005-0000-0000-000076080000}"/>
    <cellStyle name="Comma 5 2 3 2 3 3 4 2" xfId="11454" xr:uid="{00000000-0005-0000-0000-000077080000}"/>
    <cellStyle name="Comma 5 2 3 2 3 3 4 2 2" xfId="37009" xr:uid="{00000000-0005-0000-0000-000078080000}"/>
    <cellStyle name="Comma 5 2 3 2 3 3 4 3" xfId="21458" xr:uid="{00000000-0005-0000-0000-000079080000}"/>
    <cellStyle name="Comma 5 2 3 2 3 3 4 3 2" xfId="47011" xr:uid="{00000000-0005-0000-0000-00007A080000}"/>
    <cellStyle name="Comma 5 2 3 2 3 3 4 4" xfId="27941" xr:uid="{00000000-0005-0000-0000-00007B080000}"/>
    <cellStyle name="Comma 5 2 3 2 3 3 5" xfId="6252" xr:uid="{00000000-0005-0000-0000-00007C080000}"/>
    <cellStyle name="Comma 5 2 3 2 3 3 5 2" xfId="15079" xr:uid="{00000000-0005-0000-0000-00007D080000}"/>
    <cellStyle name="Comma 5 2 3 2 3 3 5 2 2" xfId="40634" xr:uid="{00000000-0005-0000-0000-00007E080000}"/>
    <cellStyle name="Comma 5 2 3 2 3 3 5 3" xfId="25330" xr:uid="{00000000-0005-0000-0000-00007F080000}"/>
    <cellStyle name="Comma 5 2 3 2 3 3 5 3 2" xfId="50883" xr:uid="{00000000-0005-0000-0000-000080080000}"/>
    <cellStyle name="Comma 5 2 3 2 3 3 5 4" xfId="31813" xr:uid="{00000000-0005-0000-0000-000081080000}"/>
    <cellStyle name="Comma 5 2 3 2 3 3 6" xfId="7698" xr:uid="{00000000-0005-0000-0000-000082080000}"/>
    <cellStyle name="Comma 5 2 3 2 3 3 6 2" xfId="20649" xr:uid="{00000000-0005-0000-0000-000083080000}"/>
    <cellStyle name="Comma 5 2 3 2 3 3 6 2 2" xfId="46202" xr:uid="{00000000-0005-0000-0000-000084080000}"/>
    <cellStyle name="Comma 5 2 3 2 3 3 6 3" xfId="33255" xr:uid="{00000000-0005-0000-0000-000085080000}"/>
    <cellStyle name="Comma 5 2 3 2 3 3 7" xfId="16451" xr:uid="{00000000-0005-0000-0000-000086080000}"/>
    <cellStyle name="Comma 5 2 3 2 3 3 7 2" xfId="42004" xr:uid="{00000000-0005-0000-0000-000087080000}"/>
    <cellStyle name="Comma 5 2 3 2 3 3 8" xfId="27132" xr:uid="{00000000-0005-0000-0000-000088080000}"/>
    <cellStyle name="Comma 5 2 3 2 3 4" xfId="2980" xr:uid="{00000000-0005-0000-0000-000089080000}"/>
    <cellStyle name="Comma 5 2 3 2 3 4 2" xfId="5358" xr:uid="{00000000-0005-0000-0000-00008A080000}"/>
    <cellStyle name="Comma 5 2 3 2 3 4 2 2" xfId="14195" xr:uid="{00000000-0005-0000-0000-00008B080000}"/>
    <cellStyle name="Comma 5 2 3 2 3 4 2 2 2" xfId="24446" xr:uid="{00000000-0005-0000-0000-00008C080000}"/>
    <cellStyle name="Comma 5 2 3 2 3 4 2 2 2 2" xfId="49999" xr:uid="{00000000-0005-0000-0000-00008D080000}"/>
    <cellStyle name="Comma 5 2 3 2 3 4 2 2 3" xfId="39750" xr:uid="{00000000-0005-0000-0000-00008E080000}"/>
    <cellStyle name="Comma 5 2 3 2 3 4 2 3" xfId="10616" xr:uid="{00000000-0005-0000-0000-00008F080000}"/>
    <cellStyle name="Comma 5 2 3 2 3 4 2 3 2" xfId="36173" xr:uid="{00000000-0005-0000-0000-000090080000}"/>
    <cellStyle name="Comma 5 2 3 2 3 4 2 4" xfId="19439" xr:uid="{00000000-0005-0000-0000-000091080000}"/>
    <cellStyle name="Comma 5 2 3 2 3 4 2 4 2" xfId="44992" xr:uid="{00000000-0005-0000-0000-000092080000}"/>
    <cellStyle name="Comma 5 2 3 2 3 4 2 5" xfId="30929" xr:uid="{00000000-0005-0000-0000-000093080000}"/>
    <cellStyle name="Comma 5 2 3 2 3 4 3" xfId="6813" xr:uid="{00000000-0005-0000-0000-000094080000}"/>
    <cellStyle name="Comma 5 2 3 2 3 4 3 2" xfId="15640" xr:uid="{00000000-0005-0000-0000-000095080000}"/>
    <cellStyle name="Comma 5 2 3 2 3 4 3 2 2" xfId="41195" xr:uid="{00000000-0005-0000-0000-000096080000}"/>
    <cellStyle name="Comma 5 2 3 2 3 4 3 3" xfId="25891" xr:uid="{00000000-0005-0000-0000-000097080000}"/>
    <cellStyle name="Comma 5 2 3 2 3 4 3 3 2" xfId="51444" xr:uid="{00000000-0005-0000-0000-000098080000}"/>
    <cellStyle name="Comma 5 2 3 2 3 4 3 4" xfId="32374" xr:uid="{00000000-0005-0000-0000-000099080000}"/>
    <cellStyle name="Comma 5 2 3 2 3 4 4" xfId="8259" xr:uid="{00000000-0005-0000-0000-00009A080000}"/>
    <cellStyle name="Comma 5 2 3 2 3 4 4 2" xfId="22341" xr:uid="{00000000-0005-0000-0000-00009B080000}"/>
    <cellStyle name="Comma 5 2 3 2 3 4 4 2 2" xfId="47894" xr:uid="{00000000-0005-0000-0000-00009C080000}"/>
    <cellStyle name="Comma 5 2 3 2 3 4 4 3" xfId="33816" xr:uid="{00000000-0005-0000-0000-00009D080000}"/>
    <cellStyle name="Comma 5 2 3 2 3 4 5" xfId="17334" xr:uid="{00000000-0005-0000-0000-00009E080000}"/>
    <cellStyle name="Comma 5 2 3 2 3 4 5 2" xfId="42887" xr:uid="{00000000-0005-0000-0000-00009F080000}"/>
    <cellStyle name="Comma 5 2 3 2 3 4 6" xfId="28824" xr:uid="{00000000-0005-0000-0000-0000A0080000}"/>
    <cellStyle name="Comma 5 2 3 2 3 5" xfId="4314" xr:uid="{00000000-0005-0000-0000-0000A1080000}"/>
    <cellStyle name="Comma 5 2 3 2 3 5 2" xfId="13152" xr:uid="{00000000-0005-0000-0000-0000A2080000}"/>
    <cellStyle name="Comma 5 2 3 2 3 5 2 2" xfId="23403" xr:uid="{00000000-0005-0000-0000-0000A3080000}"/>
    <cellStyle name="Comma 5 2 3 2 3 5 2 2 2" xfId="48956" xr:uid="{00000000-0005-0000-0000-0000A4080000}"/>
    <cellStyle name="Comma 5 2 3 2 3 5 2 3" xfId="38707" xr:uid="{00000000-0005-0000-0000-0000A5080000}"/>
    <cellStyle name="Comma 5 2 3 2 3 5 3" xfId="9573" xr:uid="{00000000-0005-0000-0000-0000A6080000}"/>
    <cellStyle name="Comma 5 2 3 2 3 5 3 2" xfId="35130" xr:uid="{00000000-0005-0000-0000-0000A7080000}"/>
    <cellStyle name="Comma 5 2 3 2 3 5 4" xfId="18396" xr:uid="{00000000-0005-0000-0000-0000A8080000}"/>
    <cellStyle name="Comma 5 2 3 2 3 5 4 2" xfId="43949" xr:uid="{00000000-0005-0000-0000-0000A9080000}"/>
    <cellStyle name="Comma 5 2 3 2 3 5 5" xfId="29886" xr:uid="{00000000-0005-0000-0000-0000AA080000}"/>
    <cellStyle name="Comma 5 2 3 2 3 6" xfId="1586" xr:uid="{00000000-0005-0000-0000-0000AB080000}"/>
    <cellStyle name="Comma 5 2 3 2 3 6 2" xfId="10963" xr:uid="{00000000-0005-0000-0000-0000AC080000}"/>
    <cellStyle name="Comma 5 2 3 2 3 6 2 2" xfId="36518" xr:uid="{00000000-0005-0000-0000-0000AD080000}"/>
    <cellStyle name="Comma 5 2 3 2 3 6 3" xfId="20967" xr:uid="{00000000-0005-0000-0000-0000AE080000}"/>
    <cellStyle name="Comma 5 2 3 2 3 6 3 2" xfId="46520" xr:uid="{00000000-0005-0000-0000-0000AF080000}"/>
    <cellStyle name="Comma 5 2 3 2 3 6 4" xfId="27450" xr:uid="{00000000-0005-0000-0000-0000B0080000}"/>
    <cellStyle name="Comma 5 2 3 2 3 7" xfId="5770" xr:uid="{00000000-0005-0000-0000-0000B1080000}"/>
    <cellStyle name="Comma 5 2 3 2 3 7 2" xfId="14597" xr:uid="{00000000-0005-0000-0000-0000B2080000}"/>
    <cellStyle name="Comma 5 2 3 2 3 7 2 2" xfId="40152" xr:uid="{00000000-0005-0000-0000-0000B3080000}"/>
    <cellStyle name="Comma 5 2 3 2 3 7 3" xfId="24848" xr:uid="{00000000-0005-0000-0000-0000B4080000}"/>
    <cellStyle name="Comma 5 2 3 2 3 7 3 2" xfId="50401" xr:uid="{00000000-0005-0000-0000-0000B5080000}"/>
    <cellStyle name="Comma 5 2 3 2 3 7 4" xfId="31331" xr:uid="{00000000-0005-0000-0000-0000B6080000}"/>
    <cellStyle name="Comma 5 2 3 2 3 8" xfId="7214" xr:uid="{00000000-0005-0000-0000-0000B7080000}"/>
    <cellStyle name="Comma 5 2 3 2 3 8 2" xfId="19940" xr:uid="{00000000-0005-0000-0000-0000B8080000}"/>
    <cellStyle name="Comma 5 2 3 2 3 8 2 2" xfId="45493" xr:uid="{00000000-0005-0000-0000-0000B9080000}"/>
    <cellStyle name="Comma 5 2 3 2 3 8 3" xfId="32771" xr:uid="{00000000-0005-0000-0000-0000BA080000}"/>
    <cellStyle name="Comma 5 2 3 2 3 9" xfId="15960" xr:uid="{00000000-0005-0000-0000-0000BB080000}"/>
    <cellStyle name="Comma 5 2 3 2 3 9 2" xfId="41513" xr:uid="{00000000-0005-0000-0000-0000BC080000}"/>
    <cellStyle name="Comma 5 2 3 2 4" xfId="394" xr:uid="{00000000-0005-0000-0000-0000BD080000}"/>
    <cellStyle name="Comma 5 2 3 2 4 2" xfId="2880" xr:uid="{00000000-0005-0000-0000-0000BE080000}"/>
    <cellStyle name="Comma 5 2 3 2 4 2 2" xfId="12168" xr:uid="{00000000-0005-0000-0000-0000BF080000}"/>
    <cellStyle name="Comma 5 2 3 2 4 2 2 2" xfId="22241" xr:uid="{00000000-0005-0000-0000-0000C0080000}"/>
    <cellStyle name="Comma 5 2 3 2 4 2 2 2 2" xfId="47794" xr:uid="{00000000-0005-0000-0000-0000C1080000}"/>
    <cellStyle name="Comma 5 2 3 2 4 2 2 3" xfId="37723" xr:uid="{00000000-0005-0000-0000-0000C2080000}"/>
    <cellStyle name="Comma 5 2 3 2 4 2 3" xfId="8636" xr:uid="{00000000-0005-0000-0000-0000C3080000}"/>
    <cellStyle name="Comma 5 2 3 2 4 2 3 2" xfId="34193" xr:uid="{00000000-0005-0000-0000-0000C4080000}"/>
    <cellStyle name="Comma 5 2 3 2 4 2 4" xfId="17234" xr:uid="{00000000-0005-0000-0000-0000C5080000}"/>
    <cellStyle name="Comma 5 2 3 2 4 2 4 2" xfId="42787" xr:uid="{00000000-0005-0000-0000-0000C6080000}"/>
    <cellStyle name="Comma 5 2 3 2 4 2 5" xfId="28724" xr:uid="{00000000-0005-0000-0000-0000C7080000}"/>
    <cellStyle name="Comma 5 2 3 2 4 3" xfId="4446" xr:uid="{00000000-0005-0000-0000-0000C8080000}"/>
    <cellStyle name="Comma 5 2 3 2 4 3 2" xfId="13284" xr:uid="{00000000-0005-0000-0000-0000C9080000}"/>
    <cellStyle name="Comma 5 2 3 2 4 3 2 2" xfId="23535" xr:uid="{00000000-0005-0000-0000-0000CA080000}"/>
    <cellStyle name="Comma 5 2 3 2 4 3 2 2 2" xfId="49088" xr:uid="{00000000-0005-0000-0000-0000CB080000}"/>
    <cellStyle name="Comma 5 2 3 2 4 3 2 3" xfId="38839" xr:uid="{00000000-0005-0000-0000-0000CC080000}"/>
    <cellStyle name="Comma 5 2 3 2 4 3 3" xfId="9705" xr:uid="{00000000-0005-0000-0000-0000CD080000}"/>
    <cellStyle name="Comma 5 2 3 2 4 3 3 2" xfId="35262" xr:uid="{00000000-0005-0000-0000-0000CE080000}"/>
    <cellStyle name="Comma 5 2 3 2 4 3 4" xfId="18528" xr:uid="{00000000-0005-0000-0000-0000CF080000}"/>
    <cellStyle name="Comma 5 2 3 2 4 3 4 2" xfId="44081" xr:uid="{00000000-0005-0000-0000-0000D0080000}"/>
    <cellStyle name="Comma 5 2 3 2 4 3 5" xfId="30018" xr:uid="{00000000-0005-0000-0000-0000D1080000}"/>
    <cellStyle name="Comma 5 2 3 2 4 4" xfId="1989" xr:uid="{00000000-0005-0000-0000-0000D2080000}"/>
    <cellStyle name="Comma 5 2 3 2 4 4 2" xfId="11354" xr:uid="{00000000-0005-0000-0000-0000D3080000}"/>
    <cellStyle name="Comma 5 2 3 2 4 4 2 2" xfId="36909" xr:uid="{00000000-0005-0000-0000-0000D4080000}"/>
    <cellStyle name="Comma 5 2 3 2 4 4 3" xfId="21358" xr:uid="{00000000-0005-0000-0000-0000D5080000}"/>
    <cellStyle name="Comma 5 2 3 2 4 4 3 2" xfId="46911" xr:uid="{00000000-0005-0000-0000-0000D6080000}"/>
    <cellStyle name="Comma 5 2 3 2 4 4 4" xfId="27841" xr:uid="{00000000-0005-0000-0000-0000D7080000}"/>
    <cellStyle name="Comma 5 2 3 2 4 5" xfId="5902" xr:uid="{00000000-0005-0000-0000-0000D8080000}"/>
    <cellStyle name="Comma 5 2 3 2 4 5 2" xfId="14729" xr:uid="{00000000-0005-0000-0000-0000D9080000}"/>
    <cellStyle name="Comma 5 2 3 2 4 5 2 2" xfId="40284" xr:uid="{00000000-0005-0000-0000-0000DA080000}"/>
    <cellStyle name="Comma 5 2 3 2 4 5 3" xfId="24980" xr:uid="{00000000-0005-0000-0000-0000DB080000}"/>
    <cellStyle name="Comma 5 2 3 2 4 5 3 2" xfId="50533" xr:uid="{00000000-0005-0000-0000-0000DC080000}"/>
    <cellStyle name="Comma 5 2 3 2 4 5 4" xfId="31463" xr:uid="{00000000-0005-0000-0000-0000DD080000}"/>
    <cellStyle name="Comma 5 2 3 2 4 6" xfId="7346" xr:uid="{00000000-0005-0000-0000-0000DE080000}"/>
    <cellStyle name="Comma 5 2 3 2 4 6 2" xfId="19840" xr:uid="{00000000-0005-0000-0000-0000DF080000}"/>
    <cellStyle name="Comma 5 2 3 2 4 6 2 2" xfId="45393" xr:uid="{00000000-0005-0000-0000-0000E0080000}"/>
    <cellStyle name="Comma 5 2 3 2 4 6 3" xfId="32903" xr:uid="{00000000-0005-0000-0000-0000E1080000}"/>
    <cellStyle name="Comma 5 2 3 2 4 7" xfId="16351" xr:uid="{00000000-0005-0000-0000-0000E2080000}"/>
    <cellStyle name="Comma 5 2 3 2 4 7 2" xfId="41904" xr:uid="{00000000-0005-0000-0000-0000E3080000}"/>
    <cellStyle name="Comma 5 2 3 2 4 8" xfId="26323" xr:uid="{00000000-0005-0000-0000-0000E4080000}"/>
    <cellStyle name="Comma 5 2 3 2 5" xfId="631" xr:uid="{00000000-0005-0000-0000-0000E5080000}"/>
    <cellStyle name="Comma 5 2 3 2 5 2" xfId="3117" xr:uid="{00000000-0005-0000-0000-0000E6080000}"/>
    <cellStyle name="Comma 5 2 3 2 5 2 2" xfId="12260" xr:uid="{00000000-0005-0000-0000-0000E7080000}"/>
    <cellStyle name="Comma 5 2 3 2 5 2 2 2" xfId="22478" xr:uid="{00000000-0005-0000-0000-0000E8080000}"/>
    <cellStyle name="Comma 5 2 3 2 5 2 2 2 2" xfId="48031" xr:uid="{00000000-0005-0000-0000-0000E9080000}"/>
    <cellStyle name="Comma 5 2 3 2 5 2 2 3" xfId="37815" xr:uid="{00000000-0005-0000-0000-0000EA080000}"/>
    <cellStyle name="Comma 5 2 3 2 5 2 3" xfId="8682" xr:uid="{00000000-0005-0000-0000-0000EB080000}"/>
    <cellStyle name="Comma 5 2 3 2 5 2 3 2" xfId="34239" xr:uid="{00000000-0005-0000-0000-0000EC080000}"/>
    <cellStyle name="Comma 5 2 3 2 5 2 4" xfId="17471" xr:uid="{00000000-0005-0000-0000-0000ED080000}"/>
    <cellStyle name="Comma 5 2 3 2 5 2 4 2" xfId="43024" xr:uid="{00000000-0005-0000-0000-0000EE080000}"/>
    <cellStyle name="Comma 5 2 3 2 5 2 5" xfId="28961" xr:uid="{00000000-0005-0000-0000-0000EF080000}"/>
    <cellStyle name="Comma 5 2 3 2 5 3" xfId="4795" xr:uid="{00000000-0005-0000-0000-0000F0080000}"/>
    <cellStyle name="Comma 5 2 3 2 5 3 2" xfId="13632" xr:uid="{00000000-0005-0000-0000-0000F1080000}"/>
    <cellStyle name="Comma 5 2 3 2 5 3 2 2" xfId="23883" xr:uid="{00000000-0005-0000-0000-0000F2080000}"/>
    <cellStyle name="Comma 5 2 3 2 5 3 2 2 2" xfId="49436" xr:uid="{00000000-0005-0000-0000-0000F3080000}"/>
    <cellStyle name="Comma 5 2 3 2 5 3 2 3" xfId="39187" xr:uid="{00000000-0005-0000-0000-0000F4080000}"/>
    <cellStyle name="Comma 5 2 3 2 5 3 3" xfId="10053" xr:uid="{00000000-0005-0000-0000-0000F5080000}"/>
    <cellStyle name="Comma 5 2 3 2 5 3 3 2" xfId="35610" xr:uid="{00000000-0005-0000-0000-0000F6080000}"/>
    <cellStyle name="Comma 5 2 3 2 5 3 4" xfId="18876" xr:uid="{00000000-0005-0000-0000-0000F7080000}"/>
    <cellStyle name="Comma 5 2 3 2 5 3 4 2" xfId="44429" xr:uid="{00000000-0005-0000-0000-0000F8080000}"/>
    <cellStyle name="Comma 5 2 3 2 5 3 5" xfId="30366" xr:uid="{00000000-0005-0000-0000-0000F9080000}"/>
    <cellStyle name="Comma 5 2 3 2 5 4" xfId="2226" xr:uid="{00000000-0005-0000-0000-0000FA080000}"/>
    <cellStyle name="Comma 5 2 3 2 5 4 2" xfId="11591" xr:uid="{00000000-0005-0000-0000-0000FB080000}"/>
    <cellStyle name="Comma 5 2 3 2 5 4 2 2" xfId="37146" xr:uid="{00000000-0005-0000-0000-0000FC080000}"/>
    <cellStyle name="Comma 5 2 3 2 5 4 3" xfId="21595" xr:uid="{00000000-0005-0000-0000-0000FD080000}"/>
    <cellStyle name="Comma 5 2 3 2 5 4 3 2" xfId="47148" xr:uid="{00000000-0005-0000-0000-0000FE080000}"/>
    <cellStyle name="Comma 5 2 3 2 5 4 4" xfId="28078" xr:uid="{00000000-0005-0000-0000-0000FF080000}"/>
    <cellStyle name="Comma 5 2 3 2 5 5" xfId="6250" xr:uid="{00000000-0005-0000-0000-000000090000}"/>
    <cellStyle name="Comma 5 2 3 2 5 5 2" xfId="15077" xr:uid="{00000000-0005-0000-0000-000001090000}"/>
    <cellStyle name="Comma 5 2 3 2 5 5 2 2" xfId="40632" xr:uid="{00000000-0005-0000-0000-000002090000}"/>
    <cellStyle name="Comma 5 2 3 2 5 5 3" xfId="25328" xr:uid="{00000000-0005-0000-0000-000003090000}"/>
    <cellStyle name="Comma 5 2 3 2 5 5 3 2" xfId="50881" xr:uid="{00000000-0005-0000-0000-000004090000}"/>
    <cellStyle name="Comma 5 2 3 2 5 5 4" xfId="31811" xr:uid="{00000000-0005-0000-0000-000005090000}"/>
    <cellStyle name="Comma 5 2 3 2 5 6" xfId="7696" xr:uid="{00000000-0005-0000-0000-000006090000}"/>
    <cellStyle name="Comma 5 2 3 2 5 6 2" xfId="20077" xr:uid="{00000000-0005-0000-0000-000007090000}"/>
    <cellStyle name="Comma 5 2 3 2 5 6 2 2" xfId="45630" xr:uid="{00000000-0005-0000-0000-000008090000}"/>
    <cellStyle name="Comma 5 2 3 2 5 6 3" xfId="33253" xr:uid="{00000000-0005-0000-0000-000009090000}"/>
    <cellStyle name="Comma 5 2 3 2 5 7" xfId="16588" xr:uid="{00000000-0005-0000-0000-00000A090000}"/>
    <cellStyle name="Comma 5 2 3 2 5 7 2" xfId="42141" xr:uid="{00000000-0005-0000-0000-00000B090000}"/>
    <cellStyle name="Comma 5 2 3 2 5 8" xfId="26560" xr:uid="{00000000-0005-0000-0000-00000C090000}"/>
    <cellStyle name="Comma 5 2 3 2 6" xfId="1166" xr:uid="{00000000-0005-0000-0000-00000D090000}"/>
    <cellStyle name="Comma 5 2 3 2 6 2" xfId="3595" xr:uid="{00000000-0005-0000-0000-00000E090000}"/>
    <cellStyle name="Comma 5 2 3 2 6 2 2" xfId="12731" xr:uid="{00000000-0005-0000-0000-00000F090000}"/>
    <cellStyle name="Comma 5 2 3 2 6 2 2 2" xfId="22950" xr:uid="{00000000-0005-0000-0000-000010090000}"/>
    <cellStyle name="Comma 5 2 3 2 6 2 2 2 2" xfId="48503" xr:uid="{00000000-0005-0000-0000-000011090000}"/>
    <cellStyle name="Comma 5 2 3 2 6 2 2 3" xfId="38286" xr:uid="{00000000-0005-0000-0000-000012090000}"/>
    <cellStyle name="Comma 5 2 3 2 6 2 3" xfId="9152" xr:uid="{00000000-0005-0000-0000-000013090000}"/>
    <cellStyle name="Comma 5 2 3 2 6 2 3 2" xfId="34709" xr:uid="{00000000-0005-0000-0000-000014090000}"/>
    <cellStyle name="Comma 5 2 3 2 6 2 4" xfId="17943" xr:uid="{00000000-0005-0000-0000-000015090000}"/>
    <cellStyle name="Comma 5 2 3 2 6 2 4 2" xfId="43496" xr:uid="{00000000-0005-0000-0000-000016090000}"/>
    <cellStyle name="Comma 5 2 3 2 6 2 5" xfId="29433" xr:uid="{00000000-0005-0000-0000-000017090000}"/>
    <cellStyle name="Comma 5 2 3 2 6 3" xfId="5258" xr:uid="{00000000-0005-0000-0000-000018090000}"/>
    <cellStyle name="Comma 5 2 3 2 6 3 2" xfId="14095" xr:uid="{00000000-0005-0000-0000-000019090000}"/>
    <cellStyle name="Comma 5 2 3 2 6 3 2 2" xfId="24346" xr:uid="{00000000-0005-0000-0000-00001A090000}"/>
    <cellStyle name="Comma 5 2 3 2 6 3 2 2 2" xfId="49899" xr:uid="{00000000-0005-0000-0000-00001B090000}"/>
    <cellStyle name="Comma 5 2 3 2 6 3 2 3" xfId="39650" xr:uid="{00000000-0005-0000-0000-00001C090000}"/>
    <cellStyle name="Comma 5 2 3 2 6 3 3" xfId="10516" xr:uid="{00000000-0005-0000-0000-00001D090000}"/>
    <cellStyle name="Comma 5 2 3 2 6 3 3 2" xfId="36073" xr:uid="{00000000-0005-0000-0000-00001E090000}"/>
    <cellStyle name="Comma 5 2 3 2 6 3 4" xfId="19339" xr:uid="{00000000-0005-0000-0000-00001F090000}"/>
    <cellStyle name="Comma 5 2 3 2 6 3 4 2" xfId="44892" xr:uid="{00000000-0005-0000-0000-000020090000}"/>
    <cellStyle name="Comma 5 2 3 2 6 3 5" xfId="30829" xr:uid="{00000000-0005-0000-0000-000021090000}"/>
    <cellStyle name="Comma 5 2 3 2 6 4" xfId="1766" xr:uid="{00000000-0005-0000-0000-000022090000}"/>
    <cellStyle name="Comma 5 2 3 2 6 4 2" xfId="11137" xr:uid="{00000000-0005-0000-0000-000023090000}"/>
    <cellStyle name="Comma 5 2 3 2 6 4 2 2" xfId="36692" xr:uid="{00000000-0005-0000-0000-000024090000}"/>
    <cellStyle name="Comma 5 2 3 2 6 4 3" xfId="21141" xr:uid="{00000000-0005-0000-0000-000025090000}"/>
    <cellStyle name="Comma 5 2 3 2 6 4 3 2" xfId="46694" xr:uid="{00000000-0005-0000-0000-000026090000}"/>
    <cellStyle name="Comma 5 2 3 2 6 4 4" xfId="27624" xr:uid="{00000000-0005-0000-0000-000027090000}"/>
    <cellStyle name="Comma 5 2 3 2 6 5" xfId="6713" xr:uid="{00000000-0005-0000-0000-000028090000}"/>
    <cellStyle name="Comma 5 2 3 2 6 5 2" xfId="15540" xr:uid="{00000000-0005-0000-0000-000029090000}"/>
    <cellStyle name="Comma 5 2 3 2 6 5 2 2" xfId="41095" xr:uid="{00000000-0005-0000-0000-00002A090000}"/>
    <cellStyle name="Comma 5 2 3 2 6 5 3" xfId="25791" xr:uid="{00000000-0005-0000-0000-00002B090000}"/>
    <cellStyle name="Comma 5 2 3 2 6 5 3 2" xfId="51344" xr:uid="{00000000-0005-0000-0000-00002C090000}"/>
    <cellStyle name="Comma 5 2 3 2 6 5 4" xfId="32274" xr:uid="{00000000-0005-0000-0000-00002D090000}"/>
    <cellStyle name="Comma 5 2 3 2 6 6" xfId="8159" xr:uid="{00000000-0005-0000-0000-00002E090000}"/>
    <cellStyle name="Comma 5 2 3 2 6 6 2" xfId="20549" xr:uid="{00000000-0005-0000-0000-00002F090000}"/>
    <cellStyle name="Comma 5 2 3 2 6 6 2 2" xfId="46102" xr:uid="{00000000-0005-0000-0000-000030090000}"/>
    <cellStyle name="Comma 5 2 3 2 6 6 3" xfId="33716" xr:uid="{00000000-0005-0000-0000-000031090000}"/>
    <cellStyle name="Comma 5 2 3 2 6 7" xfId="16134" xr:uid="{00000000-0005-0000-0000-000032090000}"/>
    <cellStyle name="Comma 5 2 3 2 6 7 2" xfId="41687" xr:uid="{00000000-0005-0000-0000-000033090000}"/>
    <cellStyle name="Comma 5 2 3 2 6 8" xfId="27032" xr:uid="{00000000-0005-0000-0000-000034090000}"/>
    <cellStyle name="Comma 5 2 3 2 7" xfId="2663" xr:uid="{00000000-0005-0000-0000-000035090000}"/>
    <cellStyle name="Comma 5 2 3 2 7 2" xfId="11980" xr:uid="{00000000-0005-0000-0000-000036090000}"/>
    <cellStyle name="Comma 5 2 3 2 7 2 2" xfId="22024" xr:uid="{00000000-0005-0000-0000-000037090000}"/>
    <cellStyle name="Comma 5 2 3 2 7 2 2 2" xfId="47577" xr:uid="{00000000-0005-0000-0000-000038090000}"/>
    <cellStyle name="Comma 5 2 3 2 7 2 3" xfId="37535" xr:uid="{00000000-0005-0000-0000-000039090000}"/>
    <cellStyle name="Comma 5 2 3 2 7 3" xfId="8603" xr:uid="{00000000-0005-0000-0000-00003A090000}"/>
    <cellStyle name="Comma 5 2 3 2 7 3 2" xfId="34160" xr:uid="{00000000-0005-0000-0000-00003B090000}"/>
    <cellStyle name="Comma 5 2 3 2 7 4" xfId="17017" xr:uid="{00000000-0005-0000-0000-00003C090000}"/>
    <cellStyle name="Comma 5 2 3 2 7 4 2" xfId="42570" xr:uid="{00000000-0005-0000-0000-00003D090000}"/>
    <cellStyle name="Comma 5 2 3 2 7 5" xfId="28507" xr:uid="{00000000-0005-0000-0000-00003E090000}"/>
    <cellStyle name="Comma 5 2 3 2 8" xfId="4214" xr:uid="{00000000-0005-0000-0000-00003F090000}"/>
    <cellStyle name="Comma 5 2 3 2 8 2" xfId="13052" xr:uid="{00000000-0005-0000-0000-000040090000}"/>
    <cellStyle name="Comma 5 2 3 2 8 2 2" xfId="23303" xr:uid="{00000000-0005-0000-0000-000041090000}"/>
    <cellStyle name="Comma 5 2 3 2 8 2 2 2" xfId="48856" xr:uid="{00000000-0005-0000-0000-000042090000}"/>
    <cellStyle name="Comma 5 2 3 2 8 2 3" xfId="38607" xr:uid="{00000000-0005-0000-0000-000043090000}"/>
    <cellStyle name="Comma 5 2 3 2 8 3" xfId="9473" xr:uid="{00000000-0005-0000-0000-000044090000}"/>
    <cellStyle name="Comma 5 2 3 2 8 3 2" xfId="35030" xr:uid="{00000000-0005-0000-0000-000045090000}"/>
    <cellStyle name="Comma 5 2 3 2 8 4" xfId="18296" xr:uid="{00000000-0005-0000-0000-000046090000}"/>
    <cellStyle name="Comma 5 2 3 2 8 4 2" xfId="43849" xr:uid="{00000000-0005-0000-0000-000047090000}"/>
    <cellStyle name="Comma 5 2 3 2 8 5" xfId="29786" xr:uid="{00000000-0005-0000-0000-000048090000}"/>
    <cellStyle name="Comma 5 2 3 2 9" xfId="1486" xr:uid="{00000000-0005-0000-0000-000049090000}"/>
    <cellStyle name="Comma 5 2 3 2 9 2" xfId="10863" xr:uid="{00000000-0005-0000-0000-00004A090000}"/>
    <cellStyle name="Comma 5 2 3 2 9 2 2" xfId="36418" xr:uid="{00000000-0005-0000-0000-00004B090000}"/>
    <cellStyle name="Comma 5 2 3 2 9 3" xfId="20867" xr:uid="{00000000-0005-0000-0000-00004C090000}"/>
    <cellStyle name="Comma 5 2 3 2 9 3 2" xfId="46420" xr:uid="{00000000-0005-0000-0000-00004D090000}"/>
    <cellStyle name="Comma 5 2 3 2 9 4" xfId="27350" xr:uid="{00000000-0005-0000-0000-00004E090000}"/>
    <cellStyle name="Comma 5 2 3 3" xfId="211" xr:uid="{00000000-0005-0000-0000-00004F090000}"/>
    <cellStyle name="Comma 5 2 3 3 10" xfId="7157" xr:uid="{00000000-0005-0000-0000-000050090000}"/>
    <cellStyle name="Comma 5 2 3 3 10 2" xfId="19666" xr:uid="{00000000-0005-0000-0000-000051090000}"/>
    <cellStyle name="Comma 5 2 3 3 10 2 2" xfId="45219" xr:uid="{00000000-0005-0000-0000-000052090000}"/>
    <cellStyle name="Comma 5 2 3 3 10 3" xfId="32714" xr:uid="{00000000-0005-0000-0000-000053090000}"/>
    <cellStyle name="Comma 5 2 3 3 11" xfId="15903" xr:uid="{00000000-0005-0000-0000-000054090000}"/>
    <cellStyle name="Comma 5 2 3 3 11 2" xfId="41456" xr:uid="{00000000-0005-0000-0000-000055090000}"/>
    <cellStyle name="Comma 5 2 3 3 12" xfId="26149" xr:uid="{00000000-0005-0000-0000-000056090000}"/>
    <cellStyle name="Comma 5 2 3 3 2" xfId="537" xr:uid="{00000000-0005-0000-0000-000057090000}"/>
    <cellStyle name="Comma 5 2 3 3 2 10" xfId="26466" xr:uid="{00000000-0005-0000-0000-000058090000}"/>
    <cellStyle name="Comma 5 2 3 3 2 2" xfId="635" xr:uid="{00000000-0005-0000-0000-000059090000}"/>
    <cellStyle name="Comma 5 2 3 3 2 2 2" xfId="3121" xr:uid="{00000000-0005-0000-0000-00005A090000}"/>
    <cellStyle name="Comma 5 2 3 3 2 2 2 2" xfId="12264" xr:uid="{00000000-0005-0000-0000-00005B090000}"/>
    <cellStyle name="Comma 5 2 3 3 2 2 2 2 2" xfId="22482" xr:uid="{00000000-0005-0000-0000-00005C090000}"/>
    <cellStyle name="Comma 5 2 3 3 2 2 2 2 2 2" xfId="48035" xr:uid="{00000000-0005-0000-0000-00005D090000}"/>
    <cellStyle name="Comma 5 2 3 3 2 2 2 2 3" xfId="37819" xr:uid="{00000000-0005-0000-0000-00005E090000}"/>
    <cellStyle name="Comma 5 2 3 3 2 2 2 3" xfId="8686" xr:uid="{00000000-0005-0000-0000-00005F090000}"/>
    <cellStyle name="Comma 5 2 3 3 2 2 2 3 2" xfId="34243" xr:uid="{00000000-0005-0000-0000-000060090000}"/>
    <cellStyle name="Comma 5 2 3 3 2 2 2 4" xfId="17475" xr:uid="{00000000-0005-0000-0000-000061090000}"/>
    <cellStyle name="Comma 5 2 3 3 2 2 2 4 2" xfId="43028" xr:uid="{00000000-0005-0000-0000-000062090000}"/>
    <cellStyle name="Comma 5 2 3 3 2 2 2 5" xfId="28965" xr:uid="{00000000-0005-0000-0000-000063090000}"/>
    <cellStyle name="Comma 5 2 3 3 2 2 3" xfId="4450" xr:uid="{00000000-0005-0000-0000-000064090000}"/>
    <cellStyle name="Comma 5 2 3 3 2 2 3 2" xfId="13288" xr:uid="{00000000-0005-0000-0000-000065090000}"/>
    <cellStyle name="Comma 5 2 3 3 2 2 3 2 2" xfId="23539" xr:uid="{00000000-0005-0000-0000-000066090000}"/>
    <cellStyle name="Comma 5 2 3 3 2 2 3 2 2 2" xfId="49092" xr:uid="{00000000-0005-0000-0000-000067090000}"/>
    <cellStyle name="Comma 5 2 3 3 2 2 3 2 3" xfId="38843" xr:uid="{00000000-0005-0000-0000-000068090000}"/>
    <cellStyle name="Comma 5 2 3 3 2 2 3 3" xfId="9709" xr:uid="{00000000-0005-0000-0000-000069090000}"/>
    <cellStyle name="Comma 5 2 3 3 2 2 3 3 2" xfId="35266" xr:uid="{00000000-0005-0000-0000-00006A090000}"/>
    <cellStyle name="Comma 5 2 3 3 2 2 3 4" xfId="18532" xr:uid="{00000000-0005-0000-0000-00006B090000}"/>
    <cellStyle name="Comma 5 2 3 3 2 2 3 4 2" xfId="44085" xr:uid="{00000000-0005-0000-0000-00006C090000}"/>
    <cellStyle name="Comma 5 2 3 3 2 2 3 5" xfId="30022" xr:uid="{00000000-0005-0000-0000-00006D090000}"/>
    <cellStyle name="Comma 5 2 3 3 2 2 4" xfId="2230" xr:uid="{00000000-0005-0000-0000-00006E090000}"/>
    <cellStyle name="Comma 5 2 3 3 2 2 4 2" xfId="11595" xr:uid="{00000000-0005-0000-0000-00006F090000}"/>
    <cellStyle name="Comma 5 2 3 3 2 2 4 2 2" xfId="37150" xr:uid="{00000000-0005-0000-0000-000070090000}"/>
    <cellStyle name="Comma 5 2 3 3 2 2 4 3" xfId="21599" xr:uid="{00000000-0005-0000-0000-000071090000}"/>
    <cellStyle name="Comma 5 2 3 3 2 2 4 3 2" xfId="47152" xr:uid="{00000000-0005-0000-0000-000072090000}"/>
    <cellStyle name="Comma 5 2 3 3 2 2 4 4" xfId="28082" xr:uid="{00000000-0005-0000-0000-000073090000}"/>
    <cellStyle name="Comma 5 2 3 3 2 2 5" xfId="5906" xr:uid="{00000000-0005-0000-0000-000074090000}"/>
    <cellStyle name="Comma 5 2 3 3 2 2 5 2" xfId="14733" xr:uid="{00000000-0005-0000-0000-000075090000}"/>
    <cellStyle name="Comma 5 2 3 3 2 2 5 2 2" xfId="40288" xr:uid="{00000000-0005-0000-0000-000076090000}"/>
    <cellStyle name="Comma 5 2 3 3 2 2 5 3" xfId="24984" xr:uid="{00000000-0005-0000-0000-000077090000}"/>
    <cellStyle name="Comma 5 2 3 3 2 2 5 3 2" xfId="50537" xr:uid="{00000000-0005-0000-0000-000078090000}"/>
    <cellStyle name="Comma 5 2 3 3 2 2 5 4" xfId="31467" xr:uid="{00000000-0005-0000-0000-000079090000}"/>
    <cellStyle name="Comma 5 2 3 3 2 2 6" xfId="7350" xr:uid="{00000000-0005-0000-0000-00007A090000}"/>
    <cellStyle name="Comma 5 2 3 3 2 2 6 2" xfId="20081" xr:uid="{00000000-0005-0000-0000-00007B090000}"/>
    <cellStyle name="Comma 5 2 3 3 2 2 6 2 2" xfId="45634" xr:uid="{00000000-0005-0000-0000-00007C090000}"/>
    <cellStyle name="Comma 5 2 3 3 2 2 6 3" xfId="32907" xr:uid="{00000000-0005-0000-0000-00007D090000}"/>
    <cellStyle name="Comma 5 2 3 3 2 2 7" xfId="16592" xr:uid="{00000000-0005-0000-0000-00007E090000}"/>
    <cellStyle name="Comma 5 2 3 3 2 2 7 2" xfId="42145" xr:uid="{00000000-0005-0000-0000-00007F090000}"/>
    <cellStyle name="Comma 5 2 3 3 2 2 8" xfId="26564" xr:uid="{00000000-0005-0000-0000-000080090000}"/>
    <cellStyle name="Comma 5 2 3 3 2 3" xfId="1309" xr:uid="{00000000-0005-0000-0000-000081090000}"/>
    <cellStyle name="Comma 5 2 3 3 2 3 2" xfId="3738" xr:uid="{00000000-0005-0000-0000-000082090000}"/>
    <cellStyle name="Comma 5 2 3 3 2 3 2 2" xfId="12874" xr:uid="{00000000-0005-0000-0000-000083090000}"/>
    <cellStyle name="Comma 5 2 3 3 2 3 2 2 2" xfId="23093" xr:uid="{00000000-0005-0000-0000-000084090000}"/>
    <cellStyle name="Comma 5 2 3 3 2 3 2 2 2 2" xfId="48646" xr:uid="{00000000-0005-0000-0000-000085090000}"/>
    <cellStyle name="Comma 5 2 3 3 2 3 2 2 3" xfId="38429" xr:uid="{00000000-0005-0000-0000-000086090000}"/>
    <cellStyle name="Comma 5 2 3 3 2 3 2 3" xfId="9295" xr:uid="{00000000-0005-0000-0000-000087090000}"/>
    <cellStyle name="Comma 5 2 3 3 2 3 2 3 2" xfId="34852" xr:uid="{00000000-0005-0000-0000-000088090000}"/>
    <cellStyle name="Comma 5 2 3 3 2 3 2 4" xfId="18086" xr:uid="{00000000-0005-0000-0000-000089090000}"/>
    <cellStyle name="Comma 5 2 3 3 2 3 2 4 2" xfId="43639" xr:uid="{00000000-0005-0000-0000-00008A090000}"/>
    <cellStyle name="Comma 5 2 3 3 2 3 2 5" xfId="29576" xr:uid="{00000000-0005-0000-0000-00008B090000}"/>
    <cellStyle name="Comma 5 2 3 3 2 3 3" xfId="4799" xr:uid="{00000000-0005-0000-0000-00008C090000}"/>
    <cellStyle name="Comma 5 2 3 3 2 3 3 2" xfId="13636" xr:uid="{00000000-0005-0000-0000-00008D090000}"/>
    <cellStyle name="Comma 5 2 3 3 2 3 3 2 2" xfId="23887" xr:uid="{00000000-0005-0000-0000-00008E090000}"/>
    <cellStyle name="Comma 5 2 3 3 2 3 3 2 2 2" xfId="49440" xr:uid="{00000000-0005-0000-0000-00008F090000}"/>
    <cellStyle name="Comma 5 2 3 3 2 3 3 2 3" xfId="39191" xr:uid="{00000000-0005-0000-0000-000090090000}"/>
    <cellStyle name="Comma 5 2 3 3 2 3 3 3" xfId="10057" xr:uid="{00000000-0005-0000-0000-000091090000}"/>
    <cellStyle name="Comma 5 2 3 3 2 3 3 3 2" xfId="35614" xr:uid="{00000000-0005-0000-0000-000092090000}"/>
    <cellStyle name="Comma 5 2 3 3 2 3 3 4" xfId="18880" xr:uid="{00000000-0005-0000-0000-000093090000}"/>
    <cellStyle name="Comma 5 2 3 3 2 3 3 4 2" xfId="44433" xr:uid="{00000000-0005-0000-0000-000094090000}"/>
    <cellStyle name="Comma 5 2 3 3 2 3 3 5" xfId="30370" xr:uid="{00000000-0005-0000-0000-000095090000}"/>
    <cellStyle name="Comma 5 2 3 3 2 3 4" xfId="2132" xr:uid="{00000000-0005-0000-0000-000096090000}"/>
    <cellStyle name="Comma 5 2 3 3 2 3 4 2" xfId="11497" xr:uid="{00000000-0005-0000-0000-000097090000}"/>
    <cellStyle name="Comma 5 2 3 3 2 3 4 2 2" xfId="37052" xr:uid="{00000000-0005-0000-0000-000098090000}"/>
    <cellStyle name="Comma 5 2 3 3 2 3 4 3" xfId="21501" xr:uid="{00000000-0005-0000-0000-000099090000}"/>
    <cellStyle name="Comma 5 2 3 3 2 3 4 3 2" xfId="47054" xr:uid="{00000000-0005-0000-0000-00009A090000}"/>
    <cellStyle name="Comma 5 2 3 3 2 3 4 4" xfId="27984" xr:uid="{00000000-0005-0000-0000-00009B090000}"/>
    <cellStyle name="Comma 5 2 3 3 2 3 5" xfId="6254" xr:uid="{00000000-0005-0000-0000-00009C090000}"/>
    <cellStyle name="Comma 5 2 3 3 2 3 5 2" xfId="15081" xr:uid="{00000000-0005-0000-0000-00009D090000}"/>
    <cellStyle name="Comma 5 2 3 3 2 3 5 2 2" xfId="40636" xr:uid="{00000000-0005-0000-0000-00009E090000}"/>
    <cellStyle name="Comma 5 2 3 3 2 3 5 3" xfId="25332" xr:uid="{00000000-0005-0000-0000-00009F090000}"/>
    <cellStyle name="Comma 5 2 3 3 2 3 5 3 2" xfId="50885" xr:uid="{00000000-0005-0000-0000-0000A0090000}"/>
    <cellStyle name="Comma 5 2 3 3 2 3 5 4" xfId="31815" xr:uid="{00000000-0005-0000-0000-0000A1090000}"/>
    <cellStyle name="Comma 5 2 3 3 2 3 6" xfId="7700" xr:uid="{00000000-0005-0000-0000-0000A2090000}"/>
    <cellStyle name="Comma 5 2 3 3 2 3 6 2" xfId="20692" xr:uid="{00000000-0005-0000-0000-0000A3090000}"/>
    <cellStyle name="Comma 5 2 3 3 2 3 6 2 2" xfId="46245" xr:uid="{00000000-0005-0000-0000-0000A4090000}"/>
    <cellStyle name="Comma 5 2 3 3 2 3 6 3" xfId="33257" xr:uid="{00000000-0005-0000-0000-0000A5090000}"/>
    <cellStyle name="Comma 5 2 3 3 2 3 7" xfId="16494" xr:uid="{00000000-0005-0000-0000-0000A6090000}"/>
    <cellStyle name="Comma 5 2 3 3 2 3 7 2" xfId="42047" xr:uid="{00000000-0005-0000-0000-0000A7090000}"/>
    <cellStyle name="Comma 5 2 3 3 2 3 8" xfId="27175" xr:uid="{00000000-0005-0000-0000-0000A8090000}"/>
    <cellStyle name="Comma 5 2 3 3 2 4" xfId="3023" xr:uid="{00000000-0005-0000-0000-0000A9090000}"/>
    <cellStyle name="Comma 5 2 3 3 2 4 2" xfId="5401" xr:uid="{00000000-0005-0000-0000-0000AA090000}"/>
    <cellStyle name="Comma 5 2 3 3 2 4 2 2" xfId="14238" xr:uid="{00000000-0005-0000-0000-0000AB090000}"/>
    <cellStyle name="Comma 5 2 3 3 2 4 2 2 2" xfId="24489" xr:uid="{00000000-0005-0000-0000-0000AC090000}"/>
    <cellStyle name="Comma 5 2 3 3 2 4 2 2 2 2" xfId="50042" xr:uid="{00000000-0005-0000-0000-0000AD090000}"/>
    <cellStyle name="Comma 5 2 3 3 2 4 2 2 3" xfId="39793" xr:uid="{00000000-0005-0000-0000-0000AE090000}"/>
    <cellStyle name="Comma 5 2 3 3 2 4 2 3" xfId="10659" xr:uid="{00000000-0005-0000-0000-0000AF090000}"/>
    <cellStyle name="Comma 5 2 3 3 2 4 2 3 2" xfId="36216" xr:uid="{00000000-0005-0000-0000-0000B0090000}"/>
    <cellStyle name="Comma 5 2 3 3 2 4 2 4" xfId="19482" xr:uid="{00000000-0005-0000-0000-0000B1090000}"/>
    <cellStyle name="Comma 5 2 3 3 2 4 2 4 2" xfId="45035" xr:uid="{00000000-0005-0000-0000-0000B2090000}"/>
    <cellStyle name="Comma 5 2 3 3 2 4 2 5" xfId="30972" xr:uid="{00000000-0005-0000-0000-0000B3090000}"/>
    <cellStyle name="Comma 5 2 3 3 2 4 3" xfId="6856" xr:uid="{00000000-0005-0000-0000-0000B4090000}"/>
    <cellStyle name="Comma 5 2 3 3 2 4 3 2" xfId="15683" xr:uid="{00000000-0005-0000-0000-0000B5090000}"/>
    <cellStyle name="Comma 5 2 3 3 2 4 3 2 2" xfId="41238" xr:uid="{00000000-0005-0000-0000-0000B6090000}"/>
    <cellStyle name="Comma 5 2 3 3 2 4 3 3" xfId="25934" xr:uid="{00000000-0005-0000-0000-0000B7090000}"/>
    <cellStyle name="Comma 5 2 3 3 2 4 3 3 2" xfId="51487" xr:uid="{00000000-0005-0000-0000-0000B8090000}"/>
    <cellStyle name="Comma 5 2 3 3 2 4 3 4" xfId="32417" xr:uid="{00000000-0005-0000-0000-0000B9090000}"/>
    <cellStyle name="Comma 5 2 3 3 2 4 4" xfId="8302" xr:uid="{00000000-0005-0000-0000-0000BA090000}"/>
    <cellStyle name="Comma 5 2 3 3 2 4 4 2" xfId="22384" xr:uid="{00000000-0005-0000-0000-0000BB090000}"/>
    <cellStyle name="Comma 5 2 3 3 2 4 4 2 2" xfId="47937" xr:uid="{00000000-0005-0000-0000-0000BC090000}"/>
    <cellStyle name="Comma 5 2 3 3 2 4 4 3" xfId="33859" xr:uid="{00000000-0005-0000-0000-0000BD090000}"/>
    <cellStyle name="Comma 5 2 3 3 2 4 5" xfId="17377" xr:uid="{00000000-0005-0000-0000-0000BE090000}"/>
    <cellStyle name="Comma 5 2 3 3 2 4 5 2" xfId="42930" xr:uid="{00000000-0005-0000-0000-0000BF090000}"/>
    <cellStyle name="Comma 5 2 3 3 2 4 6" xfId="28867" xr:uid="{00000000-0005-0000-0000-0000C0090000}"/>
    <cellStyle name="Comma 5 2 3 3 2 5" xfId="4357" xr:uid="{00000000-0005-0000-0000-0000C1090000}"/>
    <cellStyle name="Comma 5 2 3 3 2 5 2" xfId="13195" xr:uid="{00000000-0005-0000-0000-0000C2090000}"/>
    <cellStyle name="Comma 5 2 3 3 2 5 2 2" xfId="23446" xr:uid="{00000000-0005-0000-0000-0000C3090000}"/>
    <cellStyle name="Comma 5 2 3 3 2 5 2 2 2" xfId="48999" xr:uid="{00000000-0005-0000-0000-0000C4090000}"/>
    <cellStyle name="Comma 5 2 3 3 2 5 2 3" xfId="38750" xr:uid="{00000000-0005-0000-0000-0000C5090000}"/>
    <cellStyle name="Comma 5 2 3 3 2 5 3" xfId="9616" xr:uid="{00000000-0005-0000-0000-0000C6090000}"/>
    <cellStyle name="Comma 5 2 3 3 2 5 3 2" xfId="35173" xr:uid="{00000000-0005-0000-0000-0000C7090000}"/>
    <cellStyle name="Comma 5 2 3 3 2 5 4" xfId="18439" xr:uid="{00000000-0005-0000-0000-0000C8090000}"/>
    <cellStyle name="Comma 5 2 3 3 2 5 4 2" xfId="43992" xr:uid="{00000000-0005-0000-0000-0000C9090000}"/>
    <cellStyle name="Comma 5 2 3 3 2 5 5" xfId="29929" xr:uid="{00000000-0005-0000-0000-0000CA090000}"/>
    <cellStyle name="Comma 5 2 3 3 2 6" xfId="1629" xr:uid="{00000000-0005-0000-0000-0000CB090000}"/>
    <cellStyle name="Comma 5 2 3 3 2 6 2" xfId="11006" xr:uid="{00000000-0005-0000-0000-0000CC090000}"/>
    <cellStyle name="Comma 5 2 3 3 2 6 2 2" xfId="36561" xr:uid="{00000000-0005-0000-0000-0000CD090000}"/>
    <cellStyle name="Comma 5 2 3 3 2 6 3" xfId="21010" xr:uid="{00000000-0005-0000-0000-0000CE090000}"/>
    <cellStyle name="Comma 5 2 3 3 2 6 3 2" xfId="46563" xr:uid="{00000000-0005-0000-0000-0000CF090000}"/>
    <cellStyle name="Comma 5 2 3 3 2 6 4" xfId="27493" xr:uid="{00000000-0005-0000-0000-0000D0090000}"/>
    <cellStyle name="Comma 5 2 3 3 2 7" xfId="5813" xr:uid="{00000000-0005-0000-0000-0000D1090000}"/>
    <cellStyle name="Comma 5 2 3 3 2 7 2" xfId="14640" xr:uid="{00000000-0005-0000-0000-0000D2090000}"/>
    <cellStyle name="Comma 5 2 3 3 2 7 2 2" xfId="40195" xr:uid="{00000000-0005-0000-0000-0000D3090000}"/>
    <cellStyle name="Comma 5 2 3 3 2 7 3" xfId="24891" xr:uid="{00000000-0005-0000-0000-0000D4090000}"/>
    <cellStyle name="Comma 5 2 3 3 2 7 3 2" xfId="50444" xr:uid="{00000000-0005-0000-0000-0000D5090000}"/>
    <cellStyle name="Comma 5 2 3 3 2 7 4" xfId="31374" xr:uid="{00000000-0005-0000-0000-0000D6090000}"/>
    <cellStyle name="Comma 5 2 3 3 2 8" xfId="7257" xr:uid="{00000000-0005-0000-0000-0000D7090000}"/>
    <cellStyle name="Comma 5 2 3 3 2 8 2" xfId="19983" xr:uid="{00000000-0005-0000-0000-0000D8090000}"/>
    <cellStyle name="Comma 5 2 3 3 2 8 2 2" xfId="45536" xr:uid="{00000000-0005-0000-0000-0000D9090000}"/>
    <cellStyle name="Comma 5 2 3 3 2 8 3" xfId="32814" xr:uid="{00000000-0005-0000-0000-0000DA090000}"/>
    <cellStyle name="Comma 5 2 3 3 2 9" xfId="16003" xr:uid="{00000000-0005-0000-0000-0000DB090000}"/>
    <cellStyle name="Comma 5 2 3 3 2 9 2" xfId="41556" xr:uid="{00000000-0005-0000-0000-0000DC090000}"/>
    <cellStyle name="Comma 5 2 3 3 3" xfId="437" xr:uid="{00000000-0005-0000-0000-0000DD090000}"/>
    <cellStyle name="Comma 5 2 3 3 3 2" xfId="2923" xr:uid="{00000000-0005-0000-0000-0000DE090000}"/>
    <cellStyle name="Comma 5 2 3 3 3 2 2" xfId="12211" xr:uid="{00000000-0005-0000-0000-0000DF090000}"/>
    <cellStyle name="Comma 5 2 3 3 3 2 2 2" xfId="22284" xr:uid="{00000000-0005-0000-0000-0000E0090000}"/>
    <cellStyle name="Comma 5 2 3 3 3 2 2 2 2" xfId="47837" xr:uid="{00000000-0005-0000-0000-0000E1090000}"/>
    <cellStyle name="Comma 5 2 3 3 3 2 2 3" xfId="37766" xr:uid="{00000000-0005-0000-0000-0000E2090000}"/>
    <cellStyle name="Comma 5 2 3 3 3 2 3" xfId="8596" xr:uid="{00000000-0005-0000-0000-0000E3090000}"/>
    <cellStyle name="Comma 5 2 3 3 3 2 3 2" xfId="34153" xr:uid="{00000000-0005-0000-0000-0000E4090000}"/>
    <cellStyle name="Comma 5 2 3 3 3 2 4" xfId="17277" xr:uid="{00000000-0005-0000-0000-0000E5090000}"/>
    <cellStyle name="Comma 5 2 3 3 3 2 4 2" xfId="42830" xr:uid="{00000000-0005-0000-0000-0000E6090000}"/>
    <cellStyle name="Comma 5 2 3 3 3 2 5" xfId="28767" xr:uid="{00000000-0005-0000-0000-0000E7090000}"/>
    <cellStyle name="Comma 5 2 3 3 3 3" xfId="4449" xr:uid="{00000000-0005-0000-0000-0000E8090000}"/>
    <cellStyle name="Comma 5 2 3 3 3 3 2" xfId="13287" xr:uid="{00000000-0005-0000-0000-0000E9090000}"/>
    <cellStyle name="Comma 5 2 3 3 3 3 2 2" xfId="23538" xr:uid="{00000000-0005-0000-0000-0000EA090000}"/>
    <cellStyle name="Comma 5 2 3 3 3 3 2 2 2" xfId="49091" xr:uid="{00000000-0005-0000-0000-0000EB090000}"/>
    <cellStyle name="Comma 5 2 3 3 3 3 2 3" xfId="38842" xr:uid="{00000000-0005-0000-0000-0000EC090000}"/>
    <cellStyle name="Comma 5 2 3 3 3 3 3" xfId="9708" xr:uid="{00000000-0005-0000-0000-0000ED090000}"/>
    <cellStyle name="Comma 5 2 3 3 3 3 3 2" xfId="35265" xr:uid="{00000000-0005-0000-0000-0000EE090000}"/>
    <cellStyle name="Comma 5 2 3 3 3 3 4" xfId="18531" xr:uid="{00000000-0005-0000-0000-0000EF090000}"/>
    <cellStyle name="Comma 5 2 3 3 3 3 4 2" xfId="44084" xr:uid="{00000000-0005-0000-0000-0000F0090000}"/>
    <cellStyle name="Comma 5 2 3 3 3 3 5" xfId="30021" xr:uid="{00000000-0005-0000-0000-0000F1090000}"/>
    <cellStyle name="Comma 5 2 3 3 3 4" xfId="2032" xr:uid="{00000000-0005-0000-0000-0000F2090000}"/>
    <cellStyle name="Comma 5 2 3 3 3 4 2" xfId="11397" xr:uid="{00000000-0005-0000-0000-0000F3090000}"/>
    <cellStyle name="Comma 5 2 3 3 3 4 2 2" xfId="36952" xr:uid="{00000000-0005-0000-0000-0000F4090000}"/>
    <cellStyle name="Comma 5 2 3 3 3 4 3" xfId="21401" xr:uid="{00000000-0005-0000-0000-0000F5090000}"/>
    <cellStyle name="Comma 5 2 3 3 3 4 3 2" xfId="46954" xr:uid="{00000000-0005-0000-0000-0000F6090000}"/>
    <cellStyle name="Comma 5 2 3 3 3 4 4" xfId="27884" xr:uid="{00000000-0005-0000-0000-0000F7090000}"/>
    <cellStyle name="Comma 5 2 3 3 3 5" xfId="5905" xr:uid="{00000000-0005-0000-0000-0000F8090000}"/>
    <cellStyle name="Comma 5 2 3 3 3 5 2" xfId="14732" xr:uid="{00000000-0005-0000-0000-0000F9090000}"/>
    <cellStyle name="Comma 5 2 3 3 3 5 2 2" xfId="40287" xr:uid="{00000000-0005-0000-0000-0000FA090000}"/>
    <cellStyle name="Comma 5 2 3 3 3 5 3" xfId="24983" xr:uid="{00000000-0005-0000-0000-0000FB090000}"/>
    <cellStyle name="Comma 5 2 3 3 3 5 3 2" xfId="50536" xr:uid="{00000000-0005-0000-0000-0000FC090000}"/>
    <cellStyle name="Comma 5 2 3 3 3 5 4" xfId="31466" xr:uid="{00000000-0005-0000-0000-0000FD090000}"/>
    <cellStyle name="Comma 5 2 3 3 3 6" xfId="7349" xr:uid="{00000000-0005-0000-0000-0000FE090000}"/>
    <cellStyle name="Comma 5 2 3 3 3 6 2" xfId="19883" xr:uid="{00000000-0005-0000-0000-0000FF090000}"/>
    <cellStyle name="Comma 5 2 3 3 3 6 2 2" xfId="45436" xr:uid="{00000000-0005-0000-0000-0000000A0000}"/>
    <cellStyle name="Comma 5 2 3 3 3 6 3" xfId="32906" xr:uid="{00000000-0005-0000-0000-0000010A0000}"/>
    <cellStyle name="Comma 5 2 3 3 3 7" xfId="16394" xr:uid="{00000000-0005-0000-0000-0000020A0000}"/>
    <cellStyle name="Comma 5 2 3 3 3 7 2" xfId="41947" xr:uid="{00000000-0005-0000-0000-0000030A0000}"/>
    <cellStyle name="Comma 5 2 3 3 3 8" xfId="26366" xr:uid="{00000000-0005-0000-0000-0000040A0000}"/>
    <cellStyle name="Comma 5 2 3 3 4" xfId="634" xr:uid="{00000000-0005-0000-0000-0000050A0000}"/>
    <cellStyle name="Comma 5 2 3 3 4 2" xfId="3120" xr:uid="{00000000-0005-0000-0000-0000060A0000}"/>
    <cellStyle name="Comma 5 2 3 3 4 2 2" xfId="12263" xr:uid="{00000000-0005-0000-0000-0000070A0000}"/>
    <cellStyle name="Comma 5 2 3 3 4 2 2 2" xfId="22481" xr:uid="{00000000-0005-0000-0000-0000080A0000}"/>
    <cellStyle name="Comma 5 2 3 3 4 2 2 2 2" xfId="48034" xr:uid="{00000000-0005-0000-0000-0000090A0000}"/>
    <cellStyle name="Comma 5 2 3 3 4 2 2 3" xfId="37818" xr:uid="{00000000-0005-0000-0000-00000A0A0000}"/>
    <cellStyle name="Comma 5 2 3 3 4 2 3" xfId="8685" xr:uid="{00000000-0005-0000-0000-00000B0A0000}"/>
    <cellStyle name="Comma 5 2 3 3 4 2 3 2" xfId="34242" xr:uid="{00000000-0005-0000-0000-00000C0A0000}"/>
    <cellStyle name="Comma 5 2 3 3 4 2 4" xfId="17474" xr:uid="{00000000-0005-0000-0000-00000D0A0000}"/>
    <cellStyle name="Comma 5 2 3 3 4 2 4 2" xfId="43027" xr:uid="{00000000-0005-0000-0000-00000E0A0000}"/>
    <cellStyle name="Comma 5 2 3 3 4 2 5" xfId="28964" xr:uid="{00000000-0005-0000-0000-00000F0A0000}"/>
    <cellStyle name="Comma 5 2 3 3 4 3" xfId="4798" xr:uid="{00000000-0005-0000-0000-0000100A0000}"/>
    <cellStyle name="Comma 5 2 3 3 4 3 2" xfId="13635" xr:uid="{00000000-0005-0000-0000-0000110A0000}"/>
    <cellStyle name="Comma 5 2 3 3 4 3 2 2" xfId="23886" xr:uid="{00000000-0005-0000-0000-0000120A0000}"/>
    <cellStyle name="Comma 5 2 3 3 4 3 2 2 2" xfId="49439" xr:uid="{00000000-0005-0000-0000-0000130A0000}"/>
    <cellStyle name="Comma 5 2 3 3 4 3 2 3" xfId="39190" xr:uid="{00000000-0005-0000-0000-0000140A0000}"/>
    <cellStyle name="Comma 5 2 3 3 4 3 3" xfId="10056" xr:uid="{00000000-0005-0000-0000-0000150A0000}"/>
    <cellStyle name="Comma 5 2 3 3 4 3 3 2" xfId="35613" xr:uid="{00000000-0005-0000-0000-0000160A0000}"/>
    <cellStyle name="Comma 5 2 3 3 4 3 4" xfId="18879" xr:uid="{00000000-0005-0000-0000-0000170A0000}"/>
    <cellStyle name="Comma 5 2 3 3 4 3 4 2" xfId="44432" xr:uid="{00000000-0005-0000-0000-0000180A0000}"/>
    <cellStyle name="Comma 5 2 3 3 4 3 5" xfId="30369" xr:uid="{00000000-0005-0000-0000-0000190A0000}"/>
    <cellStyle name="Comma 5 2 3 3 4 4" xfId="2229" xr:uid="{00000000-0005-0000-0000-00001A0A0000}"/>
    <cellStyle name="Comma 5 2 3 3 4 4 2" xfId="11594" xr:uid="{00000000-0005-0000-0000-00001B0A0000}"/>
    <cellStyle name="Comma 5 2 3 3 4 4 2 2" xfId="37149" xr:uid="{00000000-0005-0000-0000-00001C0A0000}"/>
    <cellStyle name="Comma 5 2 3 3 4 4 3" xfId="21598" xr:uid="{00000000-0005-0000-0000-00001D0A0000}"/>
    <cellStyle name="Comma 5 2 3 3 4 4 3 2" xfId="47151" xr:uid="{00000000-0005-0000-0000-00001E0A0000}"/>
    <cellStyle name="Comma 5 2 3 3 4 4 4" xfId="28081" xr:uid="{00000000-0005-0000-0000-00001F0A0000}"/>
    <cellStyle name="Comma 5 2 3 3 4 5" xfId="6253" xr:uid="{00000000-0005-0000-0000-0000200A0000}"/>
    <cellStyle name="Comma 5 2 3 3 4 5 2" xfId="15080" xr:uid="{00000000-0005-0000-0000-0000210A0000}"/>
    <cellStyle name="Comma 5 2 3 3 4 5 2 2" xfId="40635" xr:uid="{00000000-0005-0000-0000-0000220A0000}"/>
    <cellStyle name="Comma 5 2 3 3 4 5 3" xfId="25331" xr:uid="{00000000-0005-0000-0000-0000230A0000}"/>
    <cellStyle name="Comma 5 2 3 3 4 5 3 2" xfId="50884" xr:uid="{00000000-0005-0000-0000-0000240A0000}"/>
    <cellStyle name="Comma 5 2 3 3 4 5 4" xfId="31814" xr:uid="{00000000-0005-0000-0000-0000250A0000}"/>
    <cellStyle name="Comma 5 2 3 3 4 6" xfId="7699" xr:uid="{00000000-0005-0000-0000-0000260A0000}"/>
    <cellStyle name="Comma 5 2 3 3 4 6 2" xfId="20080" xr:uid="{00000000-0005-0000-0000-0000270A0000}"/>
    <cellStyle name="Comma 5 2 3 3 4 6 2 2" xfId="45633" xr:uid="{00000000-0005-0000-0000-0000280A0000}"/>
    <cellStyle name="Comma 5 2 3 3 4 6 3" xfId="33256" xr:uid="{00000000-0005-0000-0000-0000290A0000}"/>
    <cellStyle name="Comma 5 2 3 3 4 7" xfId="16591" xr:uid="{00000000-0005-0000-0000-00002A0A0000}"/>
    <cellStyle name="Comma 5 2 3 3 4 7 2" xfId="42144" xr:uid="{00000000-0005-0000-0000-00002B0A0000}"/>
    <cellStyle name="Comma 5 2 3 3 4 8" xfId="26563" xr:uid="{00000000-0005-0000-0000-00002C0A0000}"/>
    <cellStyle name="Comma 5 2 3 3 5" xfId="1209" xr:uid="{00000000-0005-0000-0000-00002D0A0000}"/>
    <cellStyle name="Comma 5 2 3 3 5 2" xfId="3638" xr:uid="{00000000-0005-0000-0000-00002E0A0000}"/>
    <cellStyle name="Comma 5 2 3 3 5 2 2" xfId="12774" xr:uid="{00000000-0005-0000-0000-00002F0A0000}"/>
    <cellStyle name="Comma 5 2 3 3 5 2 2 2" xfId="22993" xr:uid="{00000000-0005-0000-0000-0000300A0000}"/>
    <cellStyle name="Comma 5 2 3 3 5 2 2 2 2" xfId="48546" xr:uid="{00000000-0005-0000-0000-0000310A0000}"/>
    <cellStyle name="Comma 5 2 3 3 5 2 2 3" xfId="38329" xr:uid="{00000000-0005-0000-0000-0000320A0000}"/>
    <cellStyle name="Comma 5 2 3 3 5 2 3" xfId="9195" xr:uid="{00000000-0005-0000-0000-0000330A0000}"/>
    <cellStyle name="Comma 5 2 3 3 5 2 3 2" xfId="34752" xr:uid="{00000000-0005-0000-0000-0000340A0000}"/>
    <cellStyle name="Comma 5 2 3 3 5 2 4" xfId="17986" xr:uid="{00000000-0005-0000-0000-0000350A0000}"/>
    <cellStyle name="Comma 5 2 3 3 5 2 4 2" xfId="43539" xr:uid="{00000000-0005-0000-0000-0000360A0000}"/>
    <cellStyle name="Comma 5 2 3 3 5 2 5" xfId="29476" xr:uid="{00000000-0005-0000-0000-0000370A0000}"/>
    <cellStyle name="Comma 5 2 3 3 5 3" xfId="5301" xr:uid="{00000000-0005-0000-0000-0000380A0000}"/>
    <cellStyle name="Comma 5 2 3 3 5 3 2" xfId="14138" xr:uid="{00000000-0005-0000-0000-0000390A0000}"/>
    <cellStyle name="Comma 5 2 3 3 5 3 2 2" xfId="24389" xr:uid="{00000000-0005-0000-0000-00003A0A0000}"/>
    <cellStyle name="Comma 5 2 3 3 5 3 2 2 2" xfId="49942" xr:uid="{00000000-0005-0000-0000-00003B0A0000}"/>
    <cellStyle name="Comma 5 2 3 3 5 3 2 3" xfId="39693" xr:uid="{00000000-0005-0000-0000-00003C0A0000}"/>
    <cellStyle name="Comma 5 2 3 3 5 3 3" xfId="10559" xr:uid="{00000000-0005-0000-0000-00003D0A0000}"/>
    <cellStyle name="Comma 5 2 3 3 5 3 3 2" xfId="36116" xr:uid="{00000000-0005-0000-0000-00003E0A0000}"/>
    <cellStyle name="Comma 5 2 3 3 5 3 4" xfId="19382" xr:uid="{00000000-0005-0000-0000-00003F0A0000}"/>
    <cellStyle name="Comma 5 2 3 3 5 3 4 2" xfId="44935" xr:uid="{00000000-0005-0000-0000-0000400A0000}"/>
    <cellStyle name="Comma 5 2 3 3 5 3 5" xfId="30872" xr:uid="{00000000-0005-0000-0000-0000410A0000}"/>
    <cellStyle name="Comma 5 2 3 3 5 4" xfId="1812" xr:uid="{00000000-0005-0000-0000-0000420A0000}"/>
    <cellStyle name="Comma 5 2 3 3 5 4 2" xfId="11180" xr:uid="{00000000-0005-0000-0000-0000430A0000}"/>
    <cellStyle name="Comma 5 2 3 3 5 4 2 2" xfId="36735" xr:uid="{00000000-0005-0000-0000-0000440A0000}"/>
    <cellStyle name="Comma 5 2 3 3 5 4 3" xfId="21184" xr:uid="{00000000-0005-0000-0000-0000450A0000}"/>
    <cellStyle name="Comma 5 2 3 3 5 4 3 2" xfId="46737" xr:uid="{00000000-0005-0000-0000-0000460A0000}"/>
    <cellStyle name="Comma 5 2 3 3 5 4 4" xfId="27667" xr:uid="{00000000-0005-0000-0000-0000470A0000}"/>
    <cellStyle name="Comma 5 2 3 3 5 5" xfId="6756" xr:uid="{00000000-0005-0000-0000-0000480A0000}"/>
    <cellStyle name="Comma 5 2 3 3 5 5 2" xfId="15583" xr:uid="{00000000-0005-0000-0000-0000490A0000}"/>
    <cellStyle name="Comma 5 2 3 3 5 5 2 2" xfId="41138" xr:uid="{00000000-0005-0000-0000-00004A0A0000}"/>
    <cellStyle name="Comma 5 2 3 3 5 5 3" xfId="25834" xr:uid="{00000000-0005-0000-0000-00004B0A0000}"/>
    <cellStyle name="Comma 5 2 3 3 5 5 3 2" xfId="51387" xr:uid="{00000000-0005-0000-0000-00004C0A0000}"/>
    <cellStyle name="Comma 5 2 3 3 5 5 4" xfId="32317" xr:uid="{00000000-0005-0000-0000-00004D0A0000}"/>
    <cellStyle name="Comma 5 2 3 3 5 6" xfId="8202" xr:uid="{00000000-0005-0000-0000-00004E0A0000}"/>
    <cellStyle name="Comma 5 2 3 3 5 6 2" xfId="20592" xr:uid="{00000000-0005-0000-0000-00004F0A0000}"/>
    <cellStyle name="Comma 5 2 3 3 5 6 2 2" xfId="46145" xr:uid="{00000000-0005-0000-0000-0000500A0000}"/>
    <cellStyle name="Comma 5 2 3 3 5 6 3" xfId="33759" xr:uid="{00000000-0005-0000-0000-0000510A0000}"/>
    <cellStyle name="Comma 5 2 3 3 5 7" xfId="16177" xr:uid="{00000000-0005-0000-0000-0000520A0000}"/>
    <cellStyle name="Comma 5 2 3 3 5 7 2" xfId="41730" xr:uid="{00000000-0005-0000-0000-0000530A0000}"/>
    <cellStyle name="Comma 5 2 3 3 5 8" xfId="27075" xr:uid="{00000000-0005-0000-0000-0000540A0000}"/>
    <cellStyle name="Comma 5 2 3 3 6" xfId="2706" xr:uid="{00000000-0005-0000-0000-0000550A0000}"/>
    <cellStyle name="Comma 5 2 3 3 6 2" xfId="12023" xr:uid="{00000000-0005-0000-0000-0000560A0000}"/>
    <cellStyle name="Comma 5 2 3 3 6 2 2" xfId="22067" xr:uid="{00000000-0005-0000-0000-0000570A0000}"/>
    <cellStyle name="Comma 5 2 3 3 6 2 2 2" xfId="47620" xr:uid="{00000000-0005-0000-0000-0000580A0000}"/>
    <cellStyle name="Comma 5 2 3 3 6 2 3" xfId="37578" xr:uid="{00000000-0005-0000-0000-0000590A0000}"/>
    <cellStyle name="Comma 5 2 3 3 6 3" xfId="7494" xr:uid="{00000000-0005-0000-0000-00005A0A0000}"/>
    <cellStyle name="Comma 5 2 3 3 6 3 2" xfId="33051" xr:uid="{00000000-0005-0000-0000-00005B0A0000}"/>
    <cellStyle name="Comma 5 2 3 3 6 4" xfId="17060" xr:uid="{00000000-0005-0000-0000-00005C0A0000}"/>
    <cellStyle name="Comma 5 2 3 3 6 4 2" xfId="42613" xr:uid="{00000000-0005-0000-0000-00005D0A0000}"/>
    <cellStyle name="Comma 5 2 3 3 6 5" xfId="28550" xr:uid="{00000000-0005-0000-0000-00005E0A0000}"/>
    <cellStyle name="Comma 5 2 3 3 7" xfId="4257" xr:uid="{00000000-0005-0000-0000-00005F0A0000}"/>
    <cellStyle name="Comma 5 2 3 3 7 2" xfId="13095" xr:uid="{00000000-0005-0000-0000-0000600A0000}"/>
    <cellStyle name="Comma 5 2 3 3 7 2 2" xfId="23346" xr:uid="{00000000-0005-0000-0000-0000610A0000}"/>
    <cellStyle name="Comma 5 2 3 3 7 2 2 2" xfId="48899" xr:uid="{00000000-0005-0000-0000-0000620A0000}"/>
    <cellStyle name="Comma 5 2 3 3 7 2 3" xfId="38650" xr:uid="{00000000-0005-0000-0000-0000630A0000}"/>
    <cellStyle name="Comma 5 2 3 3 7 3" xfId="9516" xr:uid="{00000000-0005-0000-0000-0000640A0000}"/>
    <cellStyle name="Comma 5 2 3 3 7 3 2" xfId="35073" xr:uid="{00000000-0005-0000-0000-0000650A0000}"/>
    <cellStyle name="Comma 5 2 3 3 7 4" xfId="18339" xr:uid="{00000000-0005-0000-0000-0000660A0000}"/>
    <cellStyle name="Comma 5 2 3 3 7 4 2" xfId="43892" xr:uid="{00000000-0005-0000-0000-0000670A0000}"/>
    <cellStyle name="Comma 5 2 3 3 7 5" xfId="29829" xr:uid="{00000000-0005-0000-0000-0000680A0000}"/>
    <cellStyle name="Comma 5 2 3 3 8" xfId="1529" xr:uid="{00000000-0005-0000-0000-0000690A0000}"/>
    <cellStyle name="Comma 5 2 3 3 8 2" xfId="10906" xr:uid="{00000000-0005-0000-0000-00006A0A0000}"/>
    <cellStyle name="Comma 5 2 3 3 8 2 2" xfId="36461" xr:uid="{00000000-0005-0000-0000-00006B0A0000}"/>
    <cellStyle name="Comma 5 2 3 3 8 3" xfId="20910" xr:uid="{00000000-0005-0000-0000-00006C0A0000}"/>
    <cellStyle name="Comma 5 2 3 3 8 3 2" xfId="46463" xr:uid="{00000000-0005-0000-0000-00006D0A0000}"/>
    <cellStyle name="Comma 5 2 3 3 8 4" xfId="27393" xr:uid="{00000000-0005-0000-0000-00006E0A0000}"/>
    <cellStyle name="Comma 5 2 3 3 9" xfId="5713" xr:uid="{00000000-0005-0000-0000-00006F0A0000}"/>
    <cellStyle name="Comma 5 2 3 3 9 2" xfId="14540" xr:uid="{00000000-0005-0000-0000-0000700A0000}"/>
    <cellStyle name="Comma 5 2 3 3 9 2 2" xfId="40095" xr:uid="{00000000-0005-0000-0000-0000710A0000}"/>
    <cellStyle name="Comma 5 2 3 3 9 3" xfId="24791" xr:uid="{00000000-0005-0000-0000-0000720A0000}"/>
    <cellStyle name="Comma 5 2 3 3 9 3 2" xfId="50344" xr:uid="{00000000-0005-0000-0000-0000730A0000}"/>
    <cellStyle name="Comma 5 2 3 3 9 4" xfId="31274" xr:uid="{00000000-0005-0000-0000-0000740A0000}"/>
    <cellStyle name="Comma 5 2 3 4" xfId="244" xr:uid="{00000000-0005-0000-0000-0000750A0000}"/>
    <cellStyle name="Comma 5 2 3 4 10" xfId="7082" xr:uid="{00000000-0005-0000-0000-0000760A0000}"/>
    <cellStyle name="Comma 5 2 3 4 10 2" xfId="19696" xr:uid="{00000000-0005-0000-0000-0000770A0000}"/>
    <cellStyle name="Comma 5 2 3 4 10 2 2" xfId="45249" xr:uid="{00000000-0005-0000-0000-0000780A0000}"/>
    <cellStyle name="Comma 5 2 3 4 10 3" xfId="32639" xr:uid="{00000000-0005-0000-0000-0000790A0000}"/>
    <cellStyle name="Comma 5 2 3 4 11" xfId="15828" xr:uid="{00000000-0005-0000-0000-00007A0A0000}"/>
    <cellStyle name="Comma 5 2 3 4 11 2" xfId="41381" xr:uid="{00000000-0005-0000-0000-00007B0A0000}"/>
    <cellStyle name="Comma 5 2 3 4 12" xfId="26179" xr:uid="{00000000-0005-0000-0000-00007C0A0000}"/>
    <cellStyle name="Comma 5 2 3 4 2" xfId="567" xr:uid="{00000000-0005-0000-0000-00007D0A0000}"/>
    <cellStyle name="Comma 5 2 3 4 2 10" xfId="26496" xr:uid="{00000000-0005-0000-0000-00007E0A0000}"/>
    <cellStyle name="Comma 5 2 3 4 2 2" xfId="637" xr:uid="{00000000-0005-0000-0000-00007F0A0000}"/>
    <cellStyle name="Comma 5 2 3 4 2 2 2" xfId="3123" xr:uid="{00000000-0005-0000-0000-0000800A0000}"/>
    <cellStyle name="Comma 5 2 3 4 2 2 2 2" xfId="12266" xr:uid="{00000000-0005-0000-0000-0000810A0000}"/>
    <cellStyle name="Comma 5 2 3 4 2 2 2 2 2" xfId="22484" xr:uid="{00000000-0005-0000-0000-0000820A0000}"/>
    <cellStyle name="Comma 5 2 3 4 2 2 2 2 2 2" xfId="48037" xr:uid="{00000000-0005-0000-0000-0000830A0000}"/>
    <cellStyle name="Comma 5 2 3 4 2 2 2 2 3" xfId="37821" xr:uid="{00000000-0005-0000-0000-0000840A0000}"/>
    <cellStyle name="Comma 5 2 3 4 2 2 2 3" xfId="8688" xr:uid="{00000000-0005-0000-0000-0000850A0000}"/>
    <cellStyle name="Comma 5 2 3 4 2 2 2 3 2" xfId="34245" xr:uid="{00000000-0005-0000-0000-0000860A0000}"/>
    <cellStyle name="Comma 5 2 3 4 2 2 2 4" xfId="17477" xr:uid="{00000000-0005-0000-0000-0000870A0000}"/>
    <cellStyle name="Comma 5 2 3 4 2 2 2 4 2" xfId="43030" xr:uid="{00000000-0005-0000-0000-0000880A0000}"/>
    <cellStyle name="Comma 5 2 3 4 2 2 2 5" xfId="28967" xr:uid="{00000000-0005-0000-0000-0000890A0000}"/>
    <cellStyle name="Comma 5 2 3 4 2 2 3" xfId="4452" xr:uid="{00000000-0005-0000-0000-00008A0A0000}"/>
    <cellStyle name="Comma 5 2 3 4 2 2 3 2" xfId="13290" xr:uid="{00000000-0005-0000-0000-00008B0A0000}"/>
    <cellStyle name="Comma 5 2 3 4 2 2 3 2 2" xfId="23541" xr:uid="{00000000-0005-0000-0000-00008C0A0000}"/>
    <cellStyle name="Comma 5 2 3 4 2 2 3 2 2 2" xfId="49094" xr:uid="{00000000-0005-0000-0000-00008D0A0000}"/>
    <cellStyle name="Comma 5 2 3 4 2 2 3 2 3" xfId="38845" xr:uid="{00000000-0005-0000-0000-00008E0A0000}"/>
    <cellStyle name="Comma 5 2 3 4 2 2 3 3" xfId="9711" xr:uid="{00000000-0005-0000-0000-00008F0A0000}"/>
    <cellStyle name="Comma 5 2 3 4 2 2 3 3 2" xfId="35268" xr:uid="{00000000-0005-0000-0000-0000900A0000}"/>
    <cellStyle name="Comma 5 2 3 4 2 2 3 4" xfId="18534" xr:uid="{00000000-0005-0000-0000-0000910A0000}"/>
    <cellStyle name="Comma 5 2 3 4 2 2 3 4 2" xfId="44087" xr:uid="{00000000-0005-0000-0000-0000920A0000}"/>
    <cellStyle name="Comma 5 2 3 4 2 2 3 5" xfId="30024" xr:uid="{00000000-0005-0000-0000-0000930A0000}"/>
    <cellStyle name="Comma 5 2 3 4 2 2 4" xfId="2232" xr:uid="{00000000-0005-0000-0000-0000940A0000}"/>
    <cellStyle name="Comma 5 2 3 4 2 2 4 2" xfId="11597" xr:uid="{00000000-0005-0000-0000-0000950A0000}"/>
    <cellStyle name="Comma 5 2 3 4 2 2 4 2 2" xfId="37152" xr:uid="{00000000-0005-0000-0000-0000960A0000}"/>
    <cellStyle name="Comma 5 2 3 4 2 2 4 3" xfId="21601" xr:uid="{00000000-0005-0000-0000-0000970A0000}"/>
    <cellStyle name="Comma 5 2 3 4 2 2 4 3 2" xfId="47154" xr:uid="{00000000-0005-0000-0000-0000980A0000}"/>
    <cellStyle name="Comma 5 2 3 4 2 2 4 4" xfId="28084" xr:uid="{00000000-0005-0000-0000-0000990A0000}"/>
    <cellStyle name="Comma 5 2 3 4 2 2 5" xfId="5908" xr:uid="{00000000-0005-0000-0000-00009A0A0000}"/>
    <cellStyle name="Comma 5 2 3 4 2 2 5 2" xfId="14735" xr:uid="{00000000-0005-0000-0000-00009B0A0000}"/>
    <cellStyle name="Comma 5 2 3 4 2 2 5 2 2" xfId="40290" xr:uid="{00000000-0005-0000-0000-00009C0A0000}"/>
    <cellStyle name="Comma 5 2 3 4 2 2 5 3" xfId="24986" xr:uid="{00000000-0005-0000-0000-00009D0A0000}"/>
    <cellStyle name="Comma 5 2 3 4 2 2 5 3 2" xfId="50539" xr:uid="{00000000-0005-0000-0000-00009E0A0000}"/>
    <cellStyle name="Comma 5 2 3 4 2 2 5 4" xfId="31469" xr:uid="{00000000-0005-0000-0000-00009F0A0000}"/>
    <cellStyle name="Comma 5 2 3 4 2 2 6" xfId="7352" xr:uid="{00000000-0005-0000-0000-0000A00A0000}"/>
    <cellStyle name="Comma 5 2 3 4 2 2 6 2" xfId="20083" xr:uid="{00000000-0005-0000-0000-0000A10A0000}"/>
    <cellStyle name="Comma 5 2 3 4 2 2 6 2 2" xfId="45636" xr:uid="{00000000-0005-0000-0000-0000A20A0000}"/>
    <cellStyle name="Comma 5 2 3 4 2 2 6 3" xfId="32909" xr:uid="{00000000-0005-0000-0000-0000A30A0000}"/>
    <cellStyle name="Comma 5 2 3 4 2 2 7" xfId="16594" xr:uid="{00000000-0005-0000-0000-0000A40A0000}"/>
    <cellStyle name="Comma 5 2 3 4 2 2 7 2" xfId="42147" xr:uid="{00000000-0005-0000-0000-0000A50A0000}"/>
    <cellStyle name="Comma 5 2 3 4 2 2 8" xfId="26566" xr:uid="{00000000-0005-0000-0000-0000A60A0000}"/>
    <cellStyle name="Comma 5 2 3 4 2 3" xfId="1339" xr:uid="{00000000-0005-0000-0000-0000A70A0000}"/>
    <cellStyle name="Comma 5 2 3 4 2 3 2" xfId="3768" xr:uid="{00000000-0005-0000-0000-0000A80A0000}"/>
    <cellStyle name="Comma 5 2 3 4 2 3 2 2" xfId="12904" xr:uid="{00000000-0005-0000-0000-0000A90A0000}"/>
    <cellStyle name="Comma 5 2 3 4 2 3 2 2 2" xfId="23123" xr:uid="{00000000-0005-0000-0000-0000AA0A0000}"/>
    <cellStyle name="Comma 5 2 3 4 2 3 2 2 2 2" xfId="48676" xr:uid="{00000000-0005-0000-0000-0000AB0A0000}"/>
    <cellStyle name="Comma 5 2 3 4 2 3 2 2 3" xfId="38459" xr:uid="{00000000-0005-0000-0000-0000AC0A0000}"/>
    <cellStyle name="Comma 5 2 3 4 2 3 2 3" xfId="9325" xr:uid="{00000000-0005-0000-0000-0000AD0A0000}"/>
    <cellStyle name="Comma 5 2 3 4 2 3 2 3 2" xfId="34882" xr:uid="{00000000-0005-0000-0000-0000AE0A0000}"/>
    <cellStyle name="Comma 5 2 3 4 2 3 2 4" xfId="18116" xr:uid="{00000000-0005-0000-0000-0000AF0A0000}"/>
    <cellStyle name="Comma 5 2 3 4 2 3 2 4 2" xfId="43669" xr:uid="{00000000-0005-0000-0000-0000B00A0000}"/>
    <cellStyle name="Comma 5 2 3 4 2 3 2 5" xfId="29606" xr:uid="{00000000-0005-0000-0000-0000B10A0000}"/>
    <cellStyle name="Comma 5 2 3 4 2 3 3" xfId="4801" xr:uid="{00000000-0005-0000-0000-0000B20A0000}"/>
    <cellStyle name="Comma 5 2 3 4 2 3 3 2" xfId="13638" xr:uid="{00000000-0005-0000-0000-0000B30A0000}"/>
    <cellStyle name="Comma 5 2 3 4 2 3 3 2 2" xfId="23889" xr:uid="{00000000-0005-0000-0000-0000B40A0000}"/>
    <cellStyle name="Comma 5 2 3 4 2 3 3 2 2 2" xfId="49442" xr:uid="{00000000-0005-0000-0000-0000B50A0000}"/>
    <cellStyle name="Comma 5 2 3 4 2 3 3 2 3" xfId="39193" xr:uid="{00000000-0005-0000-0000-0000B60A0000}"/>
    <cellStyle name="Comma 5 2 3 4 2 3 3 3" xfId="10059" xr:uid="{00000000-0005-0000-0000-0000B70A0000}"/>
    <cellStyle name="Comma 5 2 3 4 2 3 3 3 2" xfId="35616" xr:uid="{00000000-0005-0000-0000-0000B80A0000}"/>
    <cellStyle name="Comma 5 2 3 4 2 3 3 4" xfId="18882" xr:uid="{00000000-0005-0000-0000-0000B90A0000}"/>
    <cellStyle name="Comma 5 2 3 4 2 3 3 4 2" xfId="44435" xr:uid="{00000000-0005-0000-0000-0000BA0A0000}"/>
    <cellStyle name="Comma 5 2 3 4 2 3 3 5" xfId="30372" xr:uid="{00000000-0005-0000-0000-0000BB0A0000}"/>
    <cellStyle name="Comma 5 2 3 4 2 3 4" xfId="2162" xr:uid="{00000000-0005-0000-0000-0000BC0A0000}"/>
    <cellStyle name="Comma 5 2 3 4 2 3 4 2" xfId="11527" xr:uid="{00000000-0005-0000-0000-0000BD0A0000}"/>
    <cellStyle name="Comma 5 2 3 4 2 3 4 2 2" xfId="37082" xr:uid="{00000000-0005-0000-0000-0000BE0A0000}"/>
    <cellStyle name="Comma 5 2 3 4 2 3 4 3" xfId="21531" xr:uid="{00000000-0005-0000-0000-0000BF0A0000}"/>
    <cellStyle name="Comma 5 2 3 4 2 3 4 3 2" xfId="47084" xr:uid="{00000000-0005-0000-0000-0000C00A0000}"/>
    <cellStyle name="Comma 5 2 3 4 2 3 4 4" xfId="28014" xr:uid="{00000000-0005-0000-0000-0000C10A0000}"/>
    <cellStyle name="Comma 5 2 3 4 2 3 5" xfId="6256" xr:uid="{00000000-0005-0000-0000-0000C20A0000}"/>
    <cellStyle name="Comma 5 2 3 4 2 3 5 2" xfId="15083" xr:uid="{00000000-0005-0000-0000-0000C30A0000}"/>
    <cellStyle name="Comma 5 2 3 4 2 3 5 2 2" xfId="40638" xr:uid="{00000000-0005-0000-0000-0000C40A0000}"/>
    <cellStyle name="Comma 5 2 3 4 2 3 5 3" xfId="25334" xr:uid="{00000000-0005-0000-0000-0000C50A0000}"/>
    <cellStyle name="Comma 5 2 3 4 2 3 5 3 2" xfId="50887" xr:uid="{00000000-0005-0000-0000-0000C60A0000}"/>
    <cellStyle name="Comma 5 2 3 4 2 3 5 4" xfId="31817" xr:uid="{00000000-0005-0000-0000-0000C70A0000}"/>
    <cellStyle name="Comma 5 2 3 4 2 3 6" xfId="7702" xr:uid="{00000000-0005-0000-0000-0000C80A0000}"/>
    <cellStyle name="Comma 5 2 3 4 2 3 6 2" xfId="20722" xr:uid="{00000000-0005-0000-0000-0000C90A0000}"/>
    <cellStyle name="Comma 5 2 3 4 2 3 6 2 2" xfId="46275" xr:uid="{00000000-0005-0000-0000-0000CA0A0000}"/>
    <cellStyle name="Comma 5 2 3 4 2 3 6 3" xfId="33259" xr:uid="{00000000-0005-0000-0000-0000CB0A0000}"/>
    <cellStyle name="Comma 5 2 3 4 2 3 7" xfId="16524" xr:uid="{00000000-0005-0000-0000-0000CC0A0000}"/>
    <cellStyle name="Comma 5 2 3 4 2 3 7 2" xfId="42077" xr:uid="{00000000-0005-0000-0000-0000CD0A0000}"/>
    <cellStyle name="Comma 5 2 3 4 2 3 8" xfId="27205" xr:uid="{00000000-0005-0000-0000-0000CE0A0000}"/>
    <cellStyle name="Comma 5 2 3 4 2 4" xfId="3053" xr:uid="{00000000-0005-0000-0000-0000CF0A0000}"/>
    <cellStyle name="Comma 5 2 3 4 2 4 2" xfId="5431" xr:uid="{00000000-0005-0000-0000-0000D00A0000}"/>
    <cellStyle name="Comma 5 2 3 4 2 4 2 2" xfId="14268" xr:uid="{00000000-0005-0000-0000-0000D10A0000}"/>
    <cellStyle name="Comma 5 2 3 4 2 4 2 2 2" xfId="24519" xr:uid="{00000000-0005-0000-0000-0000D20A0000}"/>
    <cellStyle name="Comma 5 2 3 4 2 4 2 2 2 2" xfId="50072" xr:uid="{00000000-0005-0000-0000-0000D30A0000}"/>
    <cellStyle name="Comma 5 2 3 4 2 4 2 2 3" xfId="39823" xr:uid="{00000000-0005-0000-0000-0000D40A0000}"/>
    <cellStyle name="Comma 5 2 3 4 2 4 2 3" xfId="10689" xr:uid="{00000000-0005-0000-0000-0000D50A0000}"/>
    <cellStyle name="Comma 5 2 3 4 2 4 2 3 2" xfId="36246" xr:uid="{00000000-0005-0000-0000-0000D60A0000}"/>
    <cellStyle name="Comma 5 2 3 4 2 4 2 4" xfId="19512" xr:uid="{00000000-0005-0000-0000-0000D70A0000}"/>
    <cellStyle name="Comma 5 2 3 4 2 4 2 4 2" xfId="45065" xr:uid="{00000000-0005-0000-0000-0000D80A0000}"/>
    <cellStyle name="Comma 5 2 3 4 2 4 2 5" xfId="31002" xr:uid="{00000000-0005-0000-0000-0000D90A0000}"/>
    <cellStyle name="Comma 5 2 3 4 2 4 3" xfId="6886" xr:uid="{00000000-0005-0000-0000-0000DA0A0000}"/>
    <cellStyle name="Comma 5 2 3 4 2 4 3 2" xfId="15713" xr:uid="{00000000-0005-0000-0000-0000DB0A0000}"/>
    <cellStyle name="Comma 5 2 3 4 2 4 3 2 2" xfId="41268" xr:uid="{00000000-0005-0000-0000-0000DC0A0000}"/>
    <cellStyle name="Comma 5 2 3 4 2 4 3 3" xfId="25964" xr:uid="{00000000-0005-0000-0000-0000DD0A0000}"/>
    <cellStyle name="Comma 5 2 3 4 2 4 3 3 2" xfId="51517" xr:uid="{00000000-0005-0000-0000-0000DE0A0000}"/>
    <cellStyle name="Comma 5 2 3 4 2 4 3 4" xfId="32447" xr:uid="{00000000-0005-0000-0000-0000DF0A0000}"/>
    <cellStyle name="Comma 5 2 3 4 2 4 4" xfId="8332" xr:uid="{00000000-0005-0000-0000-0000E00A0000}"/>
    <cellStyle name="Comma 5 2 3 4 2 4 4 2" xfId="22414" xr:uid="{00000000-0005-0000-0000-0000E10A0000}"/>
    <cellStyle name="Comma 5 2 3 4 2 4 4 2 2" xfId="47967" xr:uid="{00000000-0005-0000-0000-0000E20A0000}"/>
    <cellStyle name="Comma 5 2 3 4 2 4 4 3" xfId="33889" xr:uid="{00000000-0005-0000-0000-0000E30A0000}"/>
    <cellStyle name="Comma 5 2 3 4 2 4 5" xfId="17407" xr:uid="{00000000-0005-0000-0000-0000E40A0000}"/>
    <cellStyle name="Comma 5 2 3 4 2 4 5 2" xfId="42960" xr:uid="{00000000-0005-0000-0000-0000E50A0000}"/>
    <cellStyle name="Comma 5 2 3 4 2 4 6" xfId="28897" xr:uid="{00000000-0005-0000-0000-0000E60A0000}"/>
    <cellStyle name="Comma 5 2 3 4 2 5" xfId="4387" xr:uid="{00000000-0005-0000-0000-0000E70A0000}"/>
    <cellStyle name="Comma 5 2 3 4 2 5 2" xfId="13225" xr:uid="{00000000-0005-0000-0000-0000E80A0000}"/>
    <cellStyle name="Comma 5 2 3 4 2 5 2 2" xfId="23476" xr:uid="{00000000-0005-0000-0000-0000E90A0000}"/>
    <cellStyle name="Comma 5 2 3 4 2 5 2 2 2" xfId="49029" xr:uid="{00000000-0005-0000-0000-0000EA0A0000}"/>
    <cellStyle name="Comma 5 2 3 4 2 5 2 3" xfId="38780" xr:uid="{00000000-0005-0000-0000-0000EB0A0000}"/>
    <cellStyle name="Comma 5 2 3 4 2 5 3" xfId="9646" xr:uid="{00000000-0005-0000-0000-0000EC0A0000}"/>
    <cellStyle name="Comma 5 2 3 4 2 5 3 2" xfId="35203" xr:uid="{00000000-0005-0000-0000-0000ED0A0000}"/>
    <cellStyle name="Comma 5 2 3 4 2 5 4" xfId="18469" xr:uid="{00000000-0005-0000-0000-0000EE0A0000}"/>
    <cellStyle name="Comma 5 2 3 4 2 5 4 2" xfId="44022" xr:uid="{00000000-0005-0000-0000-0000EF0A0000}"/>
    <cellStyle name="Comma 5 2 3 4 2 5 5" xfId="29959" xr:uid="{00000000-0005-0000-0000-0000F00A0000}"/>
    <cellStyle name="Comma 5 2 3 4 2 6" xfId="1659" xr:uid="{00000000-0005-0000-0000-0000F10A0000}"/>
    <cellStyle name="Comma 5 2 3 4 2 6 2" xfId="11036" xr:uid="{00000000-0005-0000-0000-0000F20A0000}"/>
    <cellStyle name="Comma 5 2 3 4 2 6 2 2" xfId="36591" xr:uid="{00000000-0005-0000-0000-0000F30A0000}"/>
    <cellStyle name="Comma 5 2 3 4 2 6 3" xfId="21040" xr:uid="{00000000-0005-0000-0000-0000F40A0000}"/>
    <cellStyle name="Comma 5 2 3 4 2 6 3 2" xfId="46593" xr:uid="{00000000-0005-0000-0000-0000F50A0000}"/>
    <cellStyle name="Comma 5 2 3 4 2 6 4" xfId="27523" xr:uid="{00000000-0005-0000-0000-0000F60A0000}"/>
    <cellStyle name="Comma 5 2 3 4 2 7" xfId="5843" xr:uid="{00000000-0005-0000-0000-0000F70A0000}"/>
    <cellStyle name="Comma 5 2 3 4 2 7 2" xfId="14670" xr:uid="{00000000-0005-0000-0000-0000F80A0000}"/>
    <cellStyle name="Comma 5 2 3 4 2 7 2 2" xfId="40225" xr:uid="{00000000-0005-0000-0000-0000F90A0000}"/>
    <cellStyle name="Comma 5 2 3 4 2 7 3" xfId="24921" xr:uid="{00000000-0005-0000-0000-0000FA0A0000}"/>
    <cellStyle name="Comma 5 2 3 4 2 7 3 2" xfId="50474" xr:uid="{00000000-0005-0000-0000-0000FB0A0000}"/>
    <cellStyle name="Comma 5 2 3 4 2 7 4" xfId="31404" xr:uid="{00000000-0005-0000-0000-0000FC0A0000}"/>
    <cellStyle name="Comma 5 2 3 4 2 8" xfId="7287" xr:uid="{00000000-0005-0000-0000-0000FD0A0000}"/>
    <cellStyle name="Comma 5 2 3 4 2 8 2" xfId="20013" xr:uid="{00000000-0005-0000-0000-0000FE0A0000}"/>
    <cellStyle name="Comma 5 2 3 4 2 8 2 2" xfId="45566" xr:uid="{00000000-0005-0000-0000-0000FF0A0000}"/>
    <cellStyle name="Comma 5 2 3 4 2 8 3" xfId="32844" xr:uid="{00000000-0005-0000-0000-0000000B0000}"/>
    <cellStyle name="Comma 5 2 3 4 2 9" xfId="16033" xr:uid="{00000000-0005-0000-0000-0000010B0000}"/>
    <cellStyle name="Comma 5 2 3 4 2 9 2" xfId="41586" xr:uid="{00000000-0005-0000-0000-0000020B0000}"/>
    <cellStyle name="Comma 5 2 3 4 3" xfId="362" xr:uid="{00000000-0005-0000-0000-0000030B0000}"/>
    <cellStyle name="Comma 5 2 3 4 3 2" xfId="2848" xr:uid="{00000000-0005-0000-0000-0000040B0000}"/>
    <cellStyle name="Comma 5 2 3 4 3 2 2" xfId="12136" xr:uid="{00000000-0005-0000-0000-0000050B0000}"/>
    <cellStyle name="Comma 5 2 3 4 3 2 2 2" xfId="22209" xr:uid="{00000000-0005-0000-0000-0000060B0000}"/>
    <cellStyle name="Comma 5 2 3 4 3 2 2 2 2" xfId="47762" xr:uid="{00000000-0005-0000-0000-0000070B0000}"/>
    <cellStyle name="Comma 5 2 3 4 3 2 2 3" xfId="37691" xr:uid="{00000000-0005-0000-0000-0000080B0000}"/>
    <cellStyle name="Comma 5 2 3 4 3 2 3" xfId="8454" xr:uid="{00000000-0005-0000-0000-0000090B0000}"/>
    <cellStyle name="Comma 5 2 3 4 3 2 3 2" xfId="34011" xr:uid="{00000000-0005-0000-0000-00000A0B0000}"/>
    <cellStyle name="Comma 5 2 3 4 3 2 4" xfId="17202" xr:uid="{00000000-0005-0000-0000-00000B0B0000}"/>
    <cellStyle name="Comma 5 2 3 4 3 2 4 2" xfId="42755" xr:uid="{00000000-0005-0000-0000-00000C0B0000}"/>
    <cellStyle name="Comma 5 2 3 4 3 2 5" xfId="28692" xr:uid="{00000000-0005-0000-0000-00000D0B0000}"/>
    <cellStyle name="Comma 5 2 3 4 3 3" xfId="4451" xr:uid="{00000000-0005-0000-0000-00000E0B0000}"/>
    <cellStyle name="Comma 5 2 3 4 3 3 2" xfId="13289" xr:uid="{00000000-0005-0000-0000-00000F0B0000}"/>
    <cellStyle name="Comma 5 2 3 4 3 3 2 2" xfId="23540" xr:uid="{00000000-0005-0000-0000-0000100B0000}"/>
    <cellStyle name="Comma 5 2 3 4 3 3 2 2 2" xfId="49093" xr:uid="{00000000-0005-0000-0000-0000110B0000}"/>
    <cellStyle name="Comma 5 2 3 4 3 3 2 3" xfId="38844" xr:uid="{00000000-0005-0000-0000-0000120B0000}"/>
    <cellStyle name="Comma 5 2 3 4 3 3 3" xfId="9710" xr:uid="{00000000-0005-0000-0000-0000130B0000}"/>
    <cellStyle name="Comma 5 2 3 4 3 3 3 2" xfId="35267" xr:uid="{00000000-0005-0000-0000-0000140B0000}"/>
    <cellStyle name="Comma 5 2 3 4 3 3 4" xfId="18533" xr:uid="{00000000-0005-0000-0000-0000150B0000}"/>
    <cellStyle name="Comma 5 2 3 4 3 3 4 2" xfId="44086" xr:uid="{00000000-0005-0000-0000-0000160B0000}"/>
    <cellStyle name="Comma 5 2 3 4 3 3 5" xfId="30023" xr:uid="{00000000-0005-0000-0000-0000170B0000}"/>
    <cellStyle name="Comma 5 2 3 4 3 4" xfId="1957" xr:uid="{00000000-0005-0000-0000-0000180B0000}"/>
    <cellStyle name="Comma 5 2 3 4 3 4 2" xfId="11322" xr:uid="{00000000-0005-0000-0000-0000190B0000}"/>
    <cellStyle name="Comma 5 2 3 4 3 4 2 2" xfId="36877" xr:uid="{00000000-0005-0000-0000-00001A0B0000}"/>
    <cellStyle name="Comma 5 2 3 4 3 4 3" xfId="21326" xr:uid="{00000000-0005-0000-0000-00001B0B0000}"/>
    <cellStyle name="Comma 5 2 3 4 3 4 3 2" xfId="46879" xr:uid="{00000000-0005-0000-0000-00001C0B0000}"/>
    <cellStyle name="Comma 5 2 3 4 3 4 4" xfId="27809" xr:uid="{00000000-0005-0000-0000-00001D0B0000}"/>
    <cellStyle name="Comma 5 2 3 4 3 5" xfId="5907" xr:uid="{00000000-0005-0000-0000-00001E0B0000}"/>
    <cellStyle name="Comma 5 2 3 4 3 5 2" xfId="14734" xr:uid="{00000000-0005-0000-0000-00001F0B0000}"/>
    <cellStyle name="Comma 5 2 3 4 3 5 2 2" xfId="40289" xr:uid="{00000000-0005-0000-0000-0000200B0000}"/>
    <cellStyle name="Comma 5 2 3 4 3 5 3" xfId="24985" xr:uid="{00000000-0005-0000-0000-0000210B0000}"/>
    <cellStyle name="Comma 5 2 3 4 3 5 3 2" xfId="50538" xr:uid="{00000000-0005-0000-0000-0000220B0000}"/>
    <cellStyle name="Comma 5 2 3 4 3 5 4" xfId="31468" xr:uid="{00000000-0005-0000-0000-0000230B0000}"/>
    <cellStyle name="Comma 5 2 3 4 3 6" xfId="7351" xr:uid="{00000000-0005-0000-0000-0000240B0000}"/>
    <cellStyle name="Comma 5 2 3 4 3 6 2" xfId="19808" xr:uid="{00000000-0005-0000-0000-0000250B0000}"/>
    <cellStyle name="Comma 5 2 3 4 3 6 2 2" xfId="45361" xr:uid="{00000000-0005-0000-0000-0000260B0000}"/>
    <cellStyle name="Comma 5 2 3 4 3 6 3" xfId="32908" xr:uid="{00000000-0005-0000-0000-0000270B0000}"/>
    <cellStyle name="Comma 5 2 3 4 3 7" xfId="16319" xr:uid="{00000000-0005-0000-0000-0000280B0000}"/>
    <cellStyle name="Comma 5 2 3 4 3 7 2" xfId="41872" xr:uid="{00000000-0005-0000-0000-0000290B0000}"/>
    <cellStyle name="Comma 5 2 3 4 3 8" xfId="26291" xr:uid="{00000000-0005-0000-0000-00002A0B0000}"/>
    <cellStyle name="Comma 5 2 3 4 4" xfId="636" xr:uid="{00000000-0005-0000-0000-00002B0B0000}"/>
    <cellStyle name="Comma 5 2 3 4 4 2" xfId="3122" xr:uid="{00000000-0005-0000-0000-00002C0B0000}"/>
    <cellStyle name="Comma 5 2 3 4 4 2 2" xfId="12265" xr:uid="{00000000-0005-0000-0000-00002D0B0000}"/>
    <cellStyle name="Comma 5 2 3 4 4 2 2 2" xfId="22483" xr:uid="{00000000-0005-0000-0000-00002E0B0000}"/>
    <cellStyle name="Comma 5 2 3 4 4 2 2 2 2" xfId="48036" xr:uid="{00000000-0005-0000-0000-00002F0B0000}"/>
    <cellStyle name="Comma 5 2 3 4 4 2 2 3" xfId="37820" xr:uid="{00000000-0005-0000-0000-0000300B0000}"/>
    <cellStyle name="Comma 5 2 3 4 4 2 3" xfId="8687" xr:uid="{00000000-0005-0000-0000-0000310B0000}"/>
    <cellStyle name="Comma 5 2 3 4 4 2 3 2" xfId="34244" xr:uid="{00000000-0005-0000-0000-0000320B0000}"/>
    <cellStyle name="Comma 5 2 3 4 4 2 4" xfId="17476" xr:uid="{00000000-0005-0000-0000-0000330B0000}"/>
    <cellStyle name="Comma 5 2 3 4 4 2 4 2" xfId="43029" xr:uid="{00000000-0005-0000-0000-0000340B0000}"/>
    <cellStyle name="Comma 5 2 3 4 4 2 5" xfId="28966" xr:uid="{00000000-0005-0000-0000-0000350B0000}"/>
    <cellStyle name="Comma 5 2 3 4 4 3" xfId="4800" xr:uid="{00000000-0005-0000-0000-0000360B0000}"/>
    <cellStyle name="Comma 5 2 3 4 4 3 2" xfId="13637" xr:uid="{00000000-0005-0000-0000-0000370B0000}"/>
    <cellStyle name="Comma 5 2 3 4 4 3 2 2" xfId="23888" xr:uid="{00000000-0005-0000-0000-0000380B0000}"/>
    <cellStyle name="Comma 5 2 3 4 4 3 2 2 2" xfId="49441" xr:uid="{00000000-0005-0000-0000-0000390B0000}"/>
    <cellStyle name="Comma 5 2 3 4 4 3 2 3" xfId="39192" xr:uid="{00000000-0005-0000-0000-00003A0B0000}"/>
    <cellStyle name="Comma 5 2 3 4 4 3 3" xfId="10058" xr:uid="{00000000-0005-0000-0000-00003B0B0000}"/>
    <cellStyle name="Comma 5 2 3 4 4 3 3 2" xfId="35615" xr:uid="{00000000-0005-0000-0000-00003C0B0000}"/>
    <cellStyle name="Comma 5 2 3 4 4 3 4" xfId="18881" xr:uid="{00000000-0005-0000-0000-00003D0B0000}"/>
    <cellStyle name="Comma 5 2 3 4 4 3 4 2" xfId="44434" xr:uid="{00000000-0005-0000-0000-00003E0B0000}"/>
    <cellStyle name="Comma 5 2 3 4 4 3 5" xfId="30371" xr:uid="{00000000-0005-0000-0000-00003F0B0000}"/>
    <cellStyle name="Comma 5 2 3 4 4 4" xfId="2231" xr:uid="{00000000-0005-0000-0000-0000400B0000}"/>
    <cellStyle name="Comma 5 2 3 4 4 4 2" xfId="11596" xr:uid="{00000000-0005-0000-0000-0000410B0000}"/>
    <cellStyle name="Comma 5 2 3 4 4 4 2 2" xfId="37151" xr:uid="{00000000-0005-0000-0000-0000420B0000}"/>
    <cellStyle name="Comma 5 2 3 4 4 4 3" xfId="21600" xr:uid="{00000000-0005-0000-0000-0000430B0000}"/>
    <cellStyle name="Comma 5 2 3 4 4 4 3 2" xfId="47153" xr:uid="{00000000-0005-0000-0000-0000440B0000}"/>
    <cellStyle name="Comma 5 2 3 4 4 4 4" xfId="28083" xr:uid="{00000000-0005-0000-0000-0000450B0000}"/>
    <cellStyle name="Comma 5 2 3 4 4 5" xfId="6255" xr:uid="{00000000-0005-0000-0000-0000460B0000}"/>
    <cellStyle name="Comma 5 2 3 4 4 5 2" xfId="15082" xr:uid="{00000000-0005-0000-0000-0000470B0000}"/>
    <cellStyle name="Comma 5 2 3 4 4 5 2 2" xfId="40637" xr:uid="{00000000-0005-0000-0000-0000480B0000}"/>
    <cellStyle name="Comma 5 2 3 4 4 5 3" xfId="25333" xr:uid="{00000000-0005-0000-0000-0000490B0000}"/>
    <cellStyle name="Comma 5 2 3 4 4 5 3 2" xfId="50886" xr:uid="{00000000-0005-0000-0000-00004A0B0000}"/>
    <cellStyle name="Comma 5 2 3 4 4 5 4" xfId="31816" xr:uid="{00000000-0005-0000-0000-00004B0B0000}"/>
    <cellStyle name="Comma 5 2 3 4 4 6" xfId="7701" xr:uid="{00000000-0005-0000-0000-00004C0B0000}"/>
    <cellStyle name="Comma 5 2 3 4 4 6 2" xfId="20082" xr:uid="{00000000-0005-0000-0000-00004D0B0000}"/>
    <cellStyle name="Comma 5 2 3 4 4 6 2 2" xfId="45635" xr:uid="{00000000-0005-0000-0000-00004E0B0000}"/>
    <cellStyle name="Comma 5 2 3 4 4 6 3" xfId="33258" xr:uid="{00000000-0005-0000-0000-00004F0B0000}"/>
    <cellStyle name="Comma 5 2 3 4 4 7" xfId="16593" xr:uid="{00000000-0005-0000-0000-0000500B0000}"/>
    <cellStyle name="Comma 5 2 3 4 4 7 2" xfId="42146" xr:uid="{00000000-0005-0000-0000-0000510B0000}"/>
    <cellStyle name="Comma 5 2 3 4 4 8" xfId="26565" xr:uid="{00000000-0005-0000-0000-0000520B0000}"/>
    <cellStyle name="Comma 5 2 3 4 5" xfId="1134" xr:uid="{00000000-0005-0000-0000-0000530B0000}"/>
    <cellStyle name="Comma 5 2 3 4 5 2" xfId="3563" xr:uid="{00000000-0005-0000-0000-0000540B0000}"/>
    <cellStyle name="Comma 5 2 3 4 5 2 2" xfId="12699" xr:uid="{00000000-0005-0000-0000-0000550B0000}"/>
    <cellStyle name="Comma 5 2 3 4 5 2 2 2" xfId="22918" xr:uid="{00000000-0005-0000-0000-0000560B0000}"/>
    <cellStyle name="Comma 5 2 3 4 5 2 2 2 2" xfId="48471" xr:uid="{00000000-0005-0000-0000-0000570B0000}"/>
    <cellStyle name="Comma 5 2 3 4 5 2 2 3" xfId="38254" xr:uid="{00000000-0005-0000-0000-0000580B0000}"/>
    <cellStyle name="Comma 5 2 3 4 5 2 3" xfId="9120" xr:uid="{00000000-0005-0000-0000-0000590B0000}"/>
    <cellStyle name="Comma 5 2 3 4 5 2 3 2" xfId="34677" xr:uid="{00000000-0005-0000-0000-00005A0B0000}"/>
    <cellStyle name="Comma 5 2 3 4 5 2 4" xfId="17911" xr:uid="{00000000-0005-0000-0000-00005B0B0000}"/>
    <cellStyle name="Comma 5 2 3 4 5 2 4 2" xfId="43464" xr:uid="{00000000-0005-0000-0000-00005C0B0000}"/>
    <cellStyle name="Comma 5 2 3 4 5 2 5" xfId="29401" xr:uid="{00000000-0005-0000-0000-00005D0B0000}"/>
    <cellStyle name="Comma 5 2 3 4 5 3" xfId="5226" xr:uid="{00000000-0005-0000-0000-00005E0B0000}"/>
    <cellStyle name="Comma 5 2 3 4 5 3 2" xfId="14063" xr:uid="{00000000-0005-0000-0000-00005F0B0000}"/>
    <cellStyle name="Comma 5 2 3 4 5 3 2 2" xfId="24314" xr:uid="{00000000-0005-0000-0000-0000600B0000}"/>
    <cellStyle name="Comma 5 2 3 4 5 3 2 2 2" xfId="49867" xr:uid="{00000000-0005-0000-0000-0000610B0000}"/>
    <cellStyle name="Comma 5 2 3 4 5 3 2 3" xfId="39618" xr:uid="{00000000-0005-0000-0000-0000620B0000}"/>
    <cellStyle name="Comma 5 2 3 4 5 3 3" xfId="10484" xr:uid="{00000000-0005-0000-0000-0000630B0000}"/>
    <cellStyle name="Comma 5 2 3 4 5 3 3 2" xfId="36041" xr:uid="{00000000-0005-0000-0000-0000640B0000}"/>
    <cellStyle name="Comma 5 2 3 4 5 3 4" xfId="19307" xr:uid="{00000000-0005-0000-0000-0000650B0000}"/>
    <cellStyle name="Comma 5 2 3 4 5 3 4 2" xfId="44860" xr:uid="{00000000-0005-0000-0000-0000660B0000}"/>
    <cellStyle name="Comma 5 2 3 4 5 3 5" xfId="30797" xr:uid="{00000000-0005-0000-0000-0000670B0000}"/>
    <cellStyle name="Comma 5 2 3 4 5 4" xfId="1842" xr:uid="{00000000-0005-0000-0000-0000680B0000}"/>
    <cellStyle name="Comma 5 2 3 4 5 4 2" xfId="11210" xr:uid="{00000000-0005-0000-0000-0000690B0000}"/>
    <cellStyle name="Comma 5 2 3 4 5 4 2 2" xfId="36765" xr:uid="{00000000-0005-0000-0000-00006A0B0000}"/>
    <cellStyle name="Comma 5 2 3 4 5 4 3" xfId="21214" xr:uid="{00000000-0005-0000-0000-00006B0B0000}"/>
    <cellStyle name="Comma 5 2 3 4 5 4 3 2" xfId="46767" xr:uid="{00000000-0005-0000-0000-00006C0B0000}"/>
    <cellStyle name="Comma 5 2 3 4 5 4 4" xfId="27697" xr:uid="{00000000-0005-0000-0000-00006D0B0000}"/>
    <cellStyle name="Comma 5 2 3 4 5 5" xfId="6681" xr:uid="{00000000-0005-0000-0000-00006E0B0000}"/>
    <cellStyle name="Comma 5 2 3 4 5 5 2" xfId="15508" xr:uid="{00000000-0005-0000-0000-00006F0B0000}"/>
    <cellStyle name="Comma 5 2 3 4 5 5 2 2" xfId="41063" xr:uid="{00000000-0005-0000-0000-0000700B0000}"/>
    <cellStyle name="Comma 5 2 3 4 5 5 3" xfId="25759" xr:uid="{00000000-0005-0000-0000-0000710B0000}"/>
    <cellStyle name="Comma 5 2 3 4 5 5 3 2" xfId="51312" xr:uid="{00000000-0005-0000-0000-0000720B0000}"/>
    <cellStyle name="Comma 5 2 3 4 5 5 4" xfId="32242" xr:uid="{00000000-0005-0000-0000-0000730B0000}"/>
    <cellStyle name="Comma 5 2 3 4 5 6" xfId="8127" xr:uid="{00000000-0005-0000-0000-0000740B0000}"/>
    <cellStyle name="Comma 5 2 3 4 5 6 2" xfId="20517" xr:uid="{00000000-0005-0000-0000-0000750B0000}"/>
    <cellStyle name="Comma 5 2 3 4 5 6 2 2" xfId="46070" xr:uid="{00000000-0005-0000-0000-0000760B0000}"/>
    <cellStyle name="Comma 5 2 3 4 5 6 3" xfId="33684" xr:uid="{00000000-0005-0000-0000-0000770B0000}"/>
    <cellStyle name="Comma 5 2 3 4 5 7" xfId="16207" xr:uid="{00000000-0005-0000-0000-0000780B0000}"/>
    <cellStyle name="Comma 5 2 3 4 5 7 2" xfId="41760" xr:uid="{00000000-0005-0000-0000-0000790B0000}"/>
    <cellStyle name="Comma 5 2 3 4 5 8" xfId="27000" xr:uid="{00000000-0005-0000-0000-00007A0B0000}"/>
    <cellStyle name="Comma 5 2 3 4 6" xfId="2736" xr:uid="{00000000-0005-0000-0000-00007B0B0000}"/>
    <cellStyle name="Comma 5 2 3 4 6 2" xfId="12053" xr:uid="{00000000-0005-0000-0000-00007C0B0000}"/>
    <cellStyle name="Comma 5 2 3 4 6 2 2" xfId="22097" xr:uid="{00000000-0005-0000-0000-00007D0B0000}"/>
    <cellStyle name="Comma 5 2 3 4 6 2 2 2" xfId="47650" xr:uid="{00000000-0005-0000-0000-00007E0B0000}"/>
    <cellStyle name="Comma 5 2 3 4 6 2 3" xfId="37608" xr:uid="{00000000-0005-0000-0000-00007F0B0000}"/>
    <cellStyle name="Comma 5 2 3 4 6 3" xfId="8480" xr:uid="{00000000-0005-0000-0000-0000800B0000}"/>
    <cellStyle name="Comma 5 2 3 4 6 3 2" xfId="34037" xr:uid="{00000000-0005-0000-0000-0000810B0000}"/>
    <cellStyle name="Comma 5 2 3 4 6 4" xfId="17090" xr:uid="{00000000-0005-0000-0000-0000820B0000}"/>
    <cellStyle name="Comma 5 2 3 4 6 4 2" xfId="42643" xr:uid="{00000000-0005-0000-0000-0000830B0000}"/>
    <cellStyle name="Comma 5 2 3 4 6 5" xfId="28580" xr:uid="{00000000-0005-0000-0000-0000840B0000}"/>
    <cellStyle name="Comma 5 2 3 4 7" xfId="4182" xr:uid="{00000000-0005-0000-0000-0000850B0000}"/>
    <cellStyle name="Comma 5 2 3 4 7 2" xfId="13020" xr:uid="{00000000-0005-0000-0000-0000860B0000}"/>
    <cellStyle name="Comma 5 2 3 4 7 2 2" xfId="23271" xr:uid="{00000000-0005-0000-0000-0000870B0000}"/>
    <cellStyle name="Comma 5 2 3 4 7 2 2 2" xfId="48824" xr:uid="{00000000-0005-0000-0000-0000880B0000}"/>
    <cellStyle name="Comma 5 2 3 4 7 2 3" xfId="38575" xr:uid="{00000000-0005-0000-0000-0000890B0000}"/>
    <cellStyle name="Comma 5 2 3 4 7 3" xfId="9441" xr:uid="{00000000-0005-0000-0000-00008A0B0000}"/>
    <cellStyle name="Comma 5 2 3 4 7 3 2" xfId="34998" xr:uid="{00000000-0005-0000-0000-00008B0B0000}"/>
    <cellStyle name="Comma 5 2 3 4 7 4" xfId="18264" xr:uid="{00000000-0005-0000-0000-00008C0B0000}"/>
    <cellStyle name="Comma 5 2 3 4 7 4 2" xfId="43817" xr:uid="{00000000-0005-0000-0000-00008D0B0000}"/>
    <cellStyle name="Comma 5 2 3 4 7 5" xfId="29754" xr:uid="{00000000-0005-0000-0000-00008E0B0000}"/>
    <cellStyle name="Comma 5 2 3 4 8" xfId="1454" xr:uid="{00000000-0005-0000-0000-00008F0B0000}"/>
    <cellStyle name="Comma 5 2 3 4 8 2" xfId="10831" xr:uid="{00000000-0005-0000-0000-0000900B0000}"/>
    <cellStyle name="Comma 5 2 3 4 8 2 2" xfId="36386" xr:uid="{00000000-0005-0000-0000-0000910B0000}"/>
    <cellStyle name="Comma 5 2 3 4 8 3" xfId="20835" xr:uid="{00000000-0005-0000-0000-0000920B0000}"/>
    <cellStyle name="Comma 5 2 3 4 8 3 2" xfId="46388" xr:uid="{00000000-0005-0000-0000-0000930B0000}"/>
    <cellStyle name="Comma 5 2 3 4 8 4" xfId="27318" xr:uid="{00000000-0005-0000-0000-0000940B0000}"/>
    <cellStyle name="Comma 5 2 3 4 9" xfId="5638" xr:uid="{00000000-0005-0000-0000-0000950B0000}"/>
    <cellStyle name="Comma 5 2 3 4 9 2" xfId="14465" xr:uid="{00000000-0005-0000-0000-0000960B0000}"/>
    <cellStyle name="Comma 5 2 3 4 9 2 2" xfId="40020" xr:uid="{00000000-0005-0000-0000-0000970B0000}"/>
    <cellStyle name="Comma 5 2 3 4 9 3" xfId="24716" xr:uid="{00000000-0005-0000-0000-0000980B0000}"/>
    <cellStyle name="Comma 5 2 3 4 9 3 2" xfId="50269" xr:uid="{00000000-0005-0000-0000-0000990B0000}"/>
    <cellStyle name="Comma 5 2 3 4 9 4" xfId="31199" xr:uid="{00000000-0005-0000-0000-00009A0B0000}"/>
    <cellStyle name="Comma 5 2 3 5" xfId="462" xr:uid="{00000000-0005-0000-0000-00009B0B0000}"/>
    <cellStyle name="Comma 5 2 3 5 10" xfId="26391" xr:uid="{00000000-0005-0000-0000-00009C0B0000}"/>
    <cellStyle name="Comma 5 2 3 5 2" xfId="638" xr:uid="{00000000-0005-0000-0000-00009D0B0000}"/>
    <cellStyle name="Comma 5 2 3 5 2 2" xfId="3124" xr:uid="{00000000-0005-0000-0000-00009E0B0000}"/>
    <cellStyle name="Comma 5 2 3 5 2 2 2" xfId="12267" xr:uid="{00000000-0005-0000-0000-00009F0B0000}"/>
    <cellStyle name="Comma 5 2 3 5 2 2 2 2" xfId="22485" xr:uid="{00000000-0005-0000-0000-0000A00B0000}"/>
    <cellStyle name="Comma 5 2 3 5 2 2 2 2 2" xfId="48038" xr:uid="{00000000-0005-0000-0000-0000A10B0000}"/>
    <cellStyle name="Comma 5 2 3 5 2 2 2 3" xfId="37822" xr:uid="{00000000-0005-0000-0000-0000A20B0000}"/>
    <cellStyle name="Comma 5 2 3 5 2 2 3" xfId="8689" xr:uid="{00000000-0005-0000-0000-0000A30B0000}"/>
    <cellStyle name="Comma 5 2 3 5 2 2 3 2" xfId="34246" xr:uid="{00000000-0005-0000-0000-0000A40B0000}"/>
    <cellStyle name="Comma 5 2 3 5 2 2 4" xfId="17478" xr:uid="{00000000-0005-0000-0000-0000A50B0000}"/>
    <cellStyle name="Comma 5 2 3 5 2 2 4 2" xfId="43031" xr:uid="{00000000-0005-0000-0000-0000A60B0000}"/>
    <cellStyle name="Comma 5 2 3 5 2 2 5" xfId="28968" xr:uid="{00000000-0005-0000-0000-0000A70B0000}"/>
    <cellStyle name="Comma 5 2 3 5 2 3" xfId="4453" xr:uid="{00000000-0005-0000-0000-0000A80B0000}"/>
    <cellStyle name="Comma 5 2 3 5 2 3 2" xfId="13291" xr:uid="{00000000-0005-0000-0000-0000A90B0000}"/>
    <cellStyle name="Comma 5 2 3 5 2 3 2 2" xfId="23542" xr:uid="{00000000-0005-0000-0000-0000AA0B0000}"/>
    <cellStyle name="Comma 5 2 3 5 2 3 2 2 2" xfId="49095" xr:uid="{00000000-0005-0000-0000-0000AB0B0000}"/>
    <cellStyle name="Comma 5 2 3 5 2 3 2 3" xfId="38846" xr:uid="{00000000-0005-0000-0000-0000AC0B0000}"/>
    <cellStyle name="Comma 5 2 3 5 2 3 3" xfId="9712" xr:uid="{00000000-0005-0000-0000-0000AD0B0000}"/>
    <cellStyle name="Comma 5 2 3 5 2 3 3 2" xfId="35269" xr:uid="{00000000-0005-0000-0000-0000AE0B0000}"/>
    <cellStyle name="Comma 5 2 3 5 2 3 4" xfId="18535" xr:uid="{00000000-0005-0000-0000-0000AF0B0000}"/>
    <cellStyle name="Comma 5 2 3 5 2 3 4 2" xfId="44088" xr:uid="{00000000-0005-0000-0000-0000B00B0000}"/>
    <cellStyle name="Comma 5 2 3 5 2 3 5" xfId="30025" xr:uid="{00000000-0005-0000-0000-0000B10B0000}"/>
    <cellStyle name="Comma 5 2 3 5 2 4" xfId="2233" xr:uid="{00000000-0005-0000-0000-0000B20B0000}"/>
    <cellStyle name="Comma 5 2 3 5 2 4 2" xfId="11598" xr:uid="{00000000-0005-0000-0000-0000B30B0000}"/>
    <cellStyle name="Comma 5 2 3 5 2 4 2 2" xfId="37153" xr:uid="{00000000-0005-0000-0000-0000B40B0000}"/>
    <cellStyle name="Comma 5 2 3 5 2 4 3" xfId="21602" xr:uid="{00000000-0005-0000-0000-0000B50B0000}"/>
    <cellStyle name="Comma 5 2 3 5 2 4 3 2" xfId="47155" xr:uid="{00000000-0005-0000-0000-0000B60B0000}"/>
    <cellStyle name="Comma 5 2 3 5 2 4 4" xfId="28085" xr:uid="{00000000-0005-0000-0000-0000B70B0000}"/>
    <cellStyle name="Comma 5 2 3 5 2 5" xfId="5909" xr:uid="{00000000-0005-0000-0000-0000B80B0000}"/>
    <cellStyle name="Comma 5 2 3 5 2 5 2" xfId="14736" xr:uid="{00000000-0005-0000-0000-0000B90B0000}"/>
    <cellStyle name="Comma 5 2 3 5 2 5 2 2" xfId="40291" xr:uid="{00000000-0005-0000-0000-0000BA0B0000}"/>
    <cellStyle name="Comma 5 2 3 5 2 5 3" xfId="24987" xr:uid="{00000000-0005-0000-0000-0000BB0B0000}"/>
    <cellStyle name="Comma 5 2 3 5 2 5 3 2" xfId="50540" xr:uid="{00000000-0005-0000-0000-0000BC0B0000}"/>
    <cellStyle name="Comma 5 2 3 5 2 5 4" xfId="31470" xr:uid="{00000000-0005-0000-0000-0000BD0B0000}"/>
    <cellStyle name="Comma 5 2 3 5 2 6" xfId="7353" xr:uid="{00000000-0005-0000-0000-0000BE0B0000}"/>
    <cellStyle name="Comma 5 2 3 5 2 6 2" xfId="20084" xr:uid="{00000000-0005-0000-0000-0000BF0B0000}"/>
    <cellStyle name="Comma 5 2 3 5 2 6 2 2" xfId="45637" xr:uid="{00000000-0005-0000-0000-0000C00B0000}"/>
    <cellStyle name="Comma 5 2 3 5 2 6 3" xfId="32910" xr:uid="{00000000-0005-0000-0000-0000C10B0000}"/>
    <cellStyle name="Comma 5 2 3 5 2 7" xfId="16595" xr:uid="{00000000-0005-0000-0000-0000C20B0000}"/>
    <cellStyle name="Comma 5 2 3 5 2 7 2" xfId="42148" xr:uid="{00000000-0005-0000-0000-0000C30B0000}"/>
    <cellStyle name="Comma 5 2 3 5 2 8" xfId="26567" xr:uid="{00000000-0005-0000-0000-0000C40B0000}"/>
    <cellStyle name="Comma 5 2 3 5 3" xfId="1234" xr:uid="{00000000-0005-0000-0000-0000C50B0000}"/>
    <cellStyle name="Comma 5 2 3 5 3 2" xfId="3663" xr:uid="{00000000-0005-0000-0000-0000C60B0000}"/>
    <cellStyle name="Comma 5 2 3 5 3 2 2" xfId="12799" xr:uid="{00000000-0005-0000-0000-0000C70B0000}"/>
    <cellStyle name="Comma 5 2 3 5 3 2 2 2" xfId="23018" xr:uid="{00000000-0005-0000-0000-0000C80B0000}"/>
    <cellStyle name="Comma 5 2 3 5 3 2 2 2 2" xfId="48571" xr:uid="{00000000-0005-0000-0000-0000C90B0000}"/>
    <cellStyle name="Comma 5 2 3 5 3 2 2 3" xfId="38354" xr:uid="{00000000-0005-0000-0000-0000CA0B0000}"/>
    <cellStyle name="Comma 5 2 3 5 3 2 3" xfId="9220" xr:uid="{00000000-0005-0000-0000-0000CB0B0000}"/>
    <cellStyle name="Comma 5 2 3 5 3 2 3 2" xfId="34777" xr:uid="{00000000-0005-0000-0000-0000CC0B0000}"/>
    <cellStyle name="Comma 5 2 3 5 3 2 4" xfId="18011" xr:uid="{00000000-0005-0000-0000-0000CD0B0000}"/>
    <cellStyle name="Comma 5 2 3 5 3 2 4 2" xfId="43564" xr:uid="{00000000-0005-0000-0000-0000CE0B0000}"/>
    <cellStyle name="Comma 5 2 3 5 3 2 5" xfId="29501" xr:uid="{00000000-0005-0000-0000-0000CF0B0000}"/>
    <cellStyle name="Comma 5 2 3 5 3 3" xfId="4802" xr:uid="{00000000-0005-0000-0000-0000D00B0000}"/>
    <cellStyle name="Comma 5 2 3 5 3 3 2" xfId="13639" xr:uid="{00000000-0005-0000-0000-0000D10B0000}"/>
    <cellStyle name="Comma 5 2 3 5 3 3 2 2" xfId="23890" xr:uid="{00000000-0005-0000-0000-0000D20B0000}"/>
    <cellStyle name="Comma 5 2 3 5 3 3 2 2 2" xfId="49443" xr:uid="{00000000-0005-0000-0000-0000D30B0000}"/>
    <cellStyle name="Comma 5 2 3 5 3 3 2 3" xfId="39194" xr:uid="{00000000-0005-0000-0000-0000D40B0000}"/>
    <cellStyle name="Comma 5 2 3 5 3 3 3" xfId="10060" xr:uid="{00000000-0005-0000-0000-0000D50B0000}"/>
    <cellStyle name="Comma 5 2 3 5 3 3 3 2" xfId="35617" xr:uid="{00000000-0005-0000-0000-0000D60B0000}"/>
    <cellStyle name="Comma 5 2 3 5 3 3 4" xfId="18883" xr:uid="{00000000-0005-0000-0000-0000D70B0000}"/>
    <cellStyle name="Comma 5 2 3 5 3 3 4 2" xfId="44436" xr:uid="{00000000-0005-0000-0000-0000D80B0000}"/>
    <cellStyle name="Comma 5 2 3 5 3 3 5" xfId="30373" xr:uid="{00000000-0005-0000-0000-0000D90B0000}"/>
    <cellStyle name="Comma 5 2 3 5 3 4" xfId="2057" xr:uid="{00000000-0005-0000-0000-0000DA0B0000}"/>
    <cellStyle name="Comma 5 2 3 5 3 4 2" xfId="11422" xr:uid="{00000000-0005-0000-0000-0000DB0B0000}"/>
    <cellStyle name="Comma 5 2 3 5 3 4 2 2" xfId="36977" xr:uid="{00000000-0005-0000-0000-0000DC0B0000}"/>
    <cellStyle name="Comma 5 2 3 5 3 4 3" xfId="21426" xr:uid="{00000000-0005-0000-0000-0000DD0B0000}"/>
    <cellStyle name="Comma 5 2 3 5 3 4 3 2" xfId="46979" xr:uid="{00000000-0005-0000-0000-0000DE0B0000}"/>
    <cellStyle name="Comma 5 2 3 5 3 4 4" xfId="27909" xr:uid="{00000000-0005-0000-0000-0000DF0B0000}"/>
    <cellStyle name="Comma 5 2 3 5 3 5" xfId="6257" xr:uid="{00000000-0005-0000-0000-0000E00B0000}"/>
    <cellStyle name="Comma 5 2 3 5 3 5 2" xfId="15084" xr:uid="{00000000-0005-0000-0000-0000E10B0000}"/>
    <cellStyle name="Comma 5 2 3 5 3 5 2 2" xfId="40639" xr:uid="{00000000-0005-0000-0000-0000E20B0000}"/>
    <cellStyle name="Comma 5 2 3 5 3 5 3" xfId="25335" xr:uid="{00000000-0005-0000-0000-0000E30B0000}"/>
    <cellStyle name="Comma 5 2 3 5 3 5 3 2" xfId="50888" xr:uid="{00000000-0005-0000-0000-0000E40B0000}"/>
    <cellStyle name="Comma 5 2 3 5 3 5 4" xfId="31818" xr:uid="{00000000-0005-0000-0000-0000E50B0000}"/>
    <cellStyle name="Comma 5 2 3 5 3 6" xfId="7703" xr:uid="{00000000-0005-0000-0000-0000E60B0000}"/>
    <cellStyle name="Comma 5 2 3 5 3 6 2" xfId="20617" xr:uid="{00000000-0005-0000-0000-0000E70B0000}"/>
    <cellStyle name="Comma 5 2 3 5 3 6 2 2" xfId="46170" xr:uid="{00000000-0005-0000-0000-0000E80B0000}"/>
    <cellStyle name="Comma 5 2 3 5 3 6 3" xfId="33260" xr:uid="{00000000-0005-0000-0000-0000E90B0000}"/>
    <cellStyle name="Comma 5 2 3 5 3 7" xfId="16419" xr:uid="{00000000-0005-0000-0000-0000EA0B0000}"/>
    <cellStyle name="Comma 5 2 3 5 3 7 2" xfId="41972" xr:uid="{00000000-0005-0000-0000-0000EB0B0000}"/>
    <cellStyle name="Comma 5 2 3 5 3 8" xfId="27100" xr:uid="{00000000-0005-0000-0000-0000EC0B0000}"/>
    <cellStyle name="Comma 5 2 3 5 4" xfId="2948" xr:uid="{00000000-0005-0000-0000-0000ED0B0000}"/>
    <cellStyle name="Comma 5 2 3 5 4 2" xfId="5326" xr:uid="{00000000-0005-0000-0000-0000EE0B0000}"/>
    <cellStyle name="Comma 5 2 3 5 4 2 2" xfId="14163" xr:uid="{00000000-0005-0000-0000-0000EF0B0000}"/>
    <cellStyle name="Comma 5 2 3 5 4 2 2 2" xfId="24414" xr:uid="{00000000-0005-0000-0000-0000F00B0000}"/>
    <cellStyle name="Comma 5 2 3 5 4 2 2 2 2" xfId="49967" xr:uid="{00000000-0005-0000-0000-0000F10B0000}"/>
    <cellStyle name="Comma 5 2 3 5 4 2 2 3" xfId="39718" xr:uid="{00000000-0005-0000-0000-0000F20B0000}"/>
    <cellStyle name="Comma 5 2 3 5 4 2 3" xfId="10584" xr:uid="{00000000-0005-0000-0000-0000F30B0000}"/>
    <cellStyle name="Comma 5 2 3 5 4 2 3 2" xfId="36141" xr:uid="{00000000-0005-0000-0000-0000F40B0000}"/>
    <cellStyle name="Comma 5 2 3 5 4 2 4" xfId="19407" xr:uid="{00000000-0005-0000-0000-0000F50B0000}"/>
    <cellStyle name="Comma 5 2 3 5 4 2 4 2" xfId="44960" xr:uid="{00000000-0005-0000-0000-0000F60B0000}"/>
    <cellStyle name="Comma 5 2 3 5 4 2 5" xfId="30897" xr:uid="{00000000-0005-0000-0000-0000F70B0000}"/>
    <cellStyle name="Comma 5 2 3 5 4 3" xfId="6781" xr:uid="{00000000-0005-0000-0000-0000F80B0000}"/>
    <cellStyle name="Comma 5 2 3 5 4 3 2" xfId="15608" xr:uid="{00000000-0005-0000-0000-0000F90B0000}"/>
    <cellStyle name="Comma 5 2 3 5 4 3 2 2" xfId="41163" xr:uid="{00000000-0005-0000-0000-0000FA0B0000}"/>
    <cellStyle name="Comma 5 2 3 5 4 3 3" xfId="25859" xr:uid="{00000000-0005-0000-0000-0000FB0B0000}"/>
    <cellStyle name="Comma 5 2 3 5 4 3 3 2" xfId="51412" xr:uid="{00000000-0005-0000-0000-0000FC0B0000}"/>
    <cellStyle name="Comma 5 2 3 5 4 3 4" xfId="32342" xr:uid="{00000000-0005-0000-0000-0000FD0B0000}"/>
    <cellStyle name="Comma 5 2 3 5 4 4" xfId="8227" xr:uid="{00000000-0005-0000-0000-0000FE0B0000}"/>
    <cellStyle name="Comma 5 2 3 5 4 4 2" xfId="22309" xr:uid="{00000000-0005-0000-0000-0000FF0B0000}"/>
    <cellStyle name="Comma 5 2 3 5 4 4 2 2" xfId="47862" xr:uid="{00000000-0005-0000-0000-0000000C0000}"/>
    <cellStyle name="Comma 5 2 3 5 4 4 3" xfId="33784" xr:uid="{00000000-0005-0000-0000-0000010C0000}"/>
    <cellStyle name="Comma 5 2 3 5 4 5" xfId="17302" xr:uid="{00000000-0005-0000-0000-0000020C0000}"/>
    <cellStyle name="Comma 5 2 3 5 4 5 2" xfId="42855" xr:uid="{00000000-0005-0000-0000-0000030C0000}"/>
    <cellStyle name="Comma 5 2 3 5 4 6" xfId="28792" xr:uid="{00000000-0005-0000-0000-0000040C0000}"/>
    <cellStyle name="Comma 5 2 3 5 5" xfId="4282" xr:uid="{00000000-0005-0000-0000-0000050C0000}"/>
    <cellStyle name="Comma 5 2 3 5 5 2" xfId="13120" xr:uid="{00000000-0005-0000-0000-0000060C0000}"/>
    <cellStyle name="Comma 5 2 3 5 5 2 2" xfId="23371" xr:uid="{00000000-0005-0000-0000-0000070C0000}"/>
    <cellStyle name="Comma 5 2 3 5 5 2 2 2" xfId="48924" xr:uid="{00000000-0005-0000-0000-0000080C0000}"/>
    <cellStyle name="Comma 5 2 3 5 5 2 3" xfId="38675" xr:uid="{00000000-0005-0000-0000-0000090C0000}"/>
    <cellStyle name="Comma 5 2 3 5 5 3" xfId="9541" xr:uid="{00000000-0005-0000-0000-00000A0C0000}"/>
    <cellStyle name="Comma 5 2 3 5 5 3 2" xfId="35098" xr:uid="{00000000-0005-0000-0000-00000B0C0000}"/>
    <cellStyle name="Comma 5 2 3 5 5 4" xfId="18364" xr:uid="{00000000-0005-0000-0000-00000C0C0000}"/>
    <cellStyle name="Comma 5 2 3 5 5 4 2" xfId="43917" xr:uid="{00000000-0005-0000-0000-00000D0C0000}"/>
    <cellStyle name="Comma 5 2 3 5 5 5" xfId="29854" xr:uid="{00000000-0005-0000-0000-00000E0C0000}"/>
    <cellStyle name="Comma 5 2 3 5 6" xfId="1554" xr:uid="{00000000-0005-0000-0000-00000F0C0000}"/>
    <cellStyle name="Comma 5 2 3 5 6 2" xfId="10931" xr:uid="{00000000-0005-0000-0000-0000100C0000}"/>
    <cellStyle name="Comma 5 2 3 5 6 2 2" xfId="36486" xr:uid="{00000000-0005-0000-0000-0000110C0000}"/>
    <cellStyle name="Comma 5 2 3 5 6 3" xfId="20935" xr:uid="{00000000-0005-0000-0000-0000120C0000}"/>
    <cellStyle name="Comma 5 2 3 5 6 3 2" xfId="46488" xr:uid="{00000000-0005-0000-0000-0000130C0000}"/>
    <cellStyle name="Comma 5 2 3 5 6 4" xfId="27418" xr:uid="{00000000-0005-0000-0000-0000140C0000}"/>
    <cellStyle name="Comma 5 2 3 5 7" xfId="5738" xr:uid="{00000000-0005-0000-0000-0000150C0000}"/>
    <cellStyle name="Comma 5 2 3 5 7 2" xfId="14565" xr:uid="{00000000-0005-0000-0000-0000160C0000}"/>
    <cellStyle name="Comma 5 2 3 5 7 2 2" xfId="40120" xr:uid="{00000000-0005-0000-0000-0000170C0000}"/>
    <cellStyle name="Comma 5 2 3 5 7 3" xfId="24816" xr:uid="{00000000-0005-0000-0000-0000180C0000}"/>
    <cellStyle name="Comma 5 2 3 5 7 3 2" xfId="50369" xr:uid="{00000000-0005-0000-0000-0000190C0000}"/>
    <cellStyle name="Comma 5 2 3 5 7 4" xfId="31299" xr:uid="{00000000-0005-0000-0000-00001A0C0000}"/>
    <cellStyle name="Comma 5 2 3 5 8" xfId="7182" xr:uid="{00000000-0005-0000-0000-00001B0C0000}"/>
    <cellStyle name="Comma 5 2 3 5 8 2" xfId="19908" xr:uid="{00000000-0005-0000-0000-00001C0C0000}"/>
    <cellStyle name="Comma 5 2 3 5 8 2 2" xfId="45461" xr:uid="{00000000-0005-0000-0000-00001D0C0000}"/>
    <cellStyle name="Comma 5 2 3 5 8 3" xfId="32739" xr:uid="{00000000-0005-0000-0000-00001E0C0000}"/>
    <cellStyle name="Comma 5 2 3 5 9" xfId="15928" xr:uid="{00000000-0005-0000-0000-00001F0C0000}"/>
    <cellStyle name="Comma 5 2 3 5 9 2" xfId="41481" xr:uid="{00000000-0005-0000-0000-0000200C0000}"/>
    <cellStyle name="Comma 5 2 3 6" xfId="337" xr:uid="{00000000-0005-0000-0000-0000210C0000}"/>
    <cellStyle name="Comma 5 2 3 6 10" xfId="26266" xr:uid="{00000000-0005-0000-0000-0000220C0000}"/>
    <cellStyle name="Comma 5 2 3 6 2" xfId="639" xr:uid="{00000000-0005-0000-0000-0000230C0000}"/>
    <cellStyle name="Comma 5 2 3 6 2 2" xfId="3125" xr:uid="{00000000-0005-0000-0000-0000240C0000}"/>
    <cellStyle name="Comma 5 2 3 6 2 2 2" xfId="12268" xr:uid="{00000000-0005-0000-0000-0000250C0000}"/>
    <cellStyle name="Comma 5 2 3 6 2 2 2 2" xfId="22486" xr:uid="{00000000-0005-0000-0000-0000260C0000}"/>
    <cellStyle name="Comma 5 2 3 6 2 2 2 2 2" xfId="48039" xr:uid="{00000000-0005-0000-0000-0000270C0000}"/>
    <cellStyle name="Comma 5 2 3 6 2 2 2 3" xfId="37823" xr:uid="{00000000-0005-0000-0000-0000280C0000}"/>
    <cellStyle name="Comma 5 2 3 6 2 2 3" xfId="8690" xr:uid="{00000000-0005-0000-0000-0000290C0000}"/>
    <cellStyle name="Comma 5 2 3 6 2 2 3 2" xfId="34247" xr:uid="{00000000-0005-0000-0000-00002A0C0000}"/>
    <cellStyle name="Comma 5 2 3 6 2 2 4" xfId="17479" xr:uid="{00000000-0005-0000-0000-00002B0C0000}"/>
    <cellStyle name="Comma 5 2 3 6 2 2 4 2" xfId="43032" xr:uid="{00000000-0005-0000-0000-00002C0C0000}"/>
    <cellStyle name="Comma 5 2 3 6 2 2 5" xfId="28969" xr:uid="{00000000-0005-0000-0000-00002D0C0000}"/>
    <cellStyle name="Comma 5 2 3 6 2 3" xfId="4454" xr:uid="{00000000-0005-0000-0000-00002E0C0000}"/>
    <cellStyle name="Comma 5 2 3 6 2 3 2" xfId="13292" xr:uid="{00000000-0005-0000-0000-00002F0C0000}"/>
    <cellStyle name="Comma 5 2 3 6 2 3 2 2" xfId="23543" xr:uid="{00000000-0005-0000-0000-0000300C0000}"/>
    <cellStyle name="Comma 5 2 3 6 2 3 2 2 2" xfId="49096" xr:uid="{00000000-0005-0000-0000-0000310C0000}"/>
    <cellStyle name="Comma 5 2 3 6 2 3 2 3" xfId="38847" xr:uid="{00000000-0005-0000-0000-0000320C0000}"/>
    <cellStyle name="Comma 5 2 3 6 2 3 3" xfId="9713" xr:uid="{00000000-0005-0000-0000-0000330C0000}"/>
    <cellStyle name="Comma 5 2 3 6 2 3 3 2" xfId="35270" xr:uid="{00000000-0005-0000-0000-0000340C0000}"/>
    <cellStyle name="Comma 5 2 3 6 2 3 4" xfId="18536" xr:uid="{00000000-0005-0000-0000-0000350C0000}"/>
    <cellStyle name="Comma 5 2 3 6 2 3 4 2" xfId="44089" xr:uid="{00000000-0005-0000-0000-0000360C0000}"/>
    <cellStyle name="Comma 5 2 3 6 2 3 5" xfId="30026" xr:uid="{00000000-0005-0000-0000-0000370C0000}"/>
    <cellStyle name="Comma 5 2 3 6 2 4" xfId="2234" xr:uid="{00000000-0005-0000-0000-0000380C0000}"/>
    <cellStyle name="Comma 5 2 3 6 2 4 2" xfId="11599" xr:uid="{00000000-0005-0000-0000-0000390C0000}"/>
    <cellStyle name="Comma 5 2 3 6 2 4 2 2" xfId="37154" xr:uid="{00000000-0005-0000-0000-00003A0C0000}"/>
    <cellStyle name="Comma 5 2 3 6 2 4 3" xfId="21603" xr:uid="{00000000-0005-0000-0000-00003B0C0000}"/>
    <cellStyle name="Comma 5 2 3 6 2 4 3 2" xfId="47156" xr:uid="{00000000-0005-0000-0000-00003C0C0000}"/>
    <cellStyle name="Comma 5 2 3 6 2 4 4" xfId="28086" xr:uid="{00000000-0005-0000-0000-00003D0C0000}"/>
    <cellStyle name="Comma 5 2 3 6 2 5" xfId="5910" xr:uid="{00000000-0005-0000-0000-00003E0C0000}"/>
    <cellStyle name="Comma 5 2 3 6 2 5 2" xfId="14737" xr:uid="{00000000-0005-0000-0000-00003F0C0000}"/>
    <cellStyle name="Comma 5 2 3 6 2 5 2 2" xfId="40292" xr:uid="{00000000-0005-0000-0000-0000400C0000}"/>
    <cellStyle name="Comma 5 2 3 6 2 5 3" xfId="24988" xr:uid="{00000000-0005-0000-0000-0000410C0000}"/>
    <cellStyle name="Comma 5 2 3 6 2 5 3 2" xfId="50541" xr:uid="{00000000-0005-0000-0000-0000420C0000}"/>
    <cellStyle name="Comma 5 2 3 6 2 5 4" xfId="31471" xr:uid="{00000000-0005-0000-0000-0000430C0000}"/>
    <cellStyle name="Comma 5 2 3 6 2 6" xfId="7354" xr:uid="{00000000-0005-0000-0000-0000440C0000}"/>
    <cellStyle name="Comma 5 2 3 6 2 6 2" xfId="20085" xr:uid="{00000000-0005-0000-0000-0000450C0000}"/>
    <cellStyle name="Comma 5 2 3 6 2 6 2 2" xfId="45638" xr:uid="{00000000-0005-0000-0000-0000460C0000}"/>
    <cellStyle name="Comma 5 2 3 6 2 6 3" xfId="32911" xr:uid="{00000000-0005-0000-0000-0000470C0000}"/>
    <cellStyle name="Comma 5 2 3 6 2 7" xfId="16596" xr:uid="{00000000-0005-0000-0000-0000480C0000}"/>
    <cellStyle name="Comma 5 2 3 6 2 7 2" xfId="42149" xr:uid="{00000000-0005-0000-0000-0000490C0000}"/>
    <cellStyle name="Comma 5 2 3 6 2 8" xfId="26568" xr:uid="{00000000-0005-0000-0000-00004A0C0000}"/>
    <cellStyle name="Comma 5 2 3 6 3" xfId="1109" xr:uid="{00000000-0005-0000-0000-00004B0C0000}"/>
    <cellStyle name="Comma 5 2 3 6 3 2" xfId="3538" xr:uid="{00000000-0005-0000-0000-00004C0C0000}"/>
    <cellStyle name="Comma 5 2 3 6 3 2 2" xfId="12674" xr:uid="{00000000-0005-0000-0000-00004D0C0000}"/>
    <cellStyle name="Comma 5 2 3 6 3 2 2 2" xfId="22893" xr:uid="{00000000-0005-0000-0000-00004E0C0000}"/>
    <cellStyle name="Comma 5 2 3 6 3 2 2 2 2" xfId="48446" xr:uid="{00000000-0005-0000-0000-00004F0C0000}"/>
    <cellStyle name="Comma 5 2 3 6 3 2 2 3" xfId="38229" xr:uid="{00000000-0005-0000-0000-0000500C0000}"/>
    <cellStyle name="Comma 5 2 3 6 3 2 3" xfId="9095" xr:uid="{00000000-0005-0000-0000-0000510C0000}"/>
    <cellStyle name="Comma 5 2 3 6 3 2 3 2" xfId="34652" xr:uid="{00000000-0005-0000-0000-0000520C0000}"/>
    <cellStyle name="Comma 5 2 3 6 3 2 4" xfId="17886" xr:uid="{00000000-0005-0000-0000-0000530C0000}"/>
    <cellStyle name="Comma 5 2 3 6 3 2 4 2" xfId="43439" xr:uid="{00000000-0005-0000-0000-0000540C0000}"/>
    <cellStyle name="Comma 5 2 3 6 3 2 5" xfId="29376" xr:uid="{00000000-0005-0000-0000-0000550C0000}"/>
    <cellStyle name="Comma 5 2 3 6 3 3" xfId="4803" xr:uid="{00000000-0005-0000-0000-0000560C0000}"/>
    <cellStyle name="Comma 5 2 3 6 3 3 2" xfId="13640" xr:uid="{00000000-0005-0000-0000-0000570C0000}"/>
    <cellStyle name="Comma 5 2 3 6 3 3 2 2" xfId="23891" xr:uid="{00000000-0005-0000-0000-0000580C0000}"/>
    <cellStyle name="Comma 5 2 3 6 3 3 2 2 2" xfId="49444" xr:uid="{00000000-0005-0000-0000-0000590C0000}"/>
    <cellStyle name="Comma 5 2 3 6 3 3 2 3" xfId="39195" xr:uid="{00000000-0005-0000-0000-00005A0C0000}"/>
    <cellStyle name="Comma 5 2 3 6 3 3 3" xfId="10061" xr:uid="{00000000-0005-0000-0000-00005B0C0000}"/>
    <cellStyle name="Comma 5 2 3 6 3 3 3 2" xfId="35618" xr:uid="{00000000-0005-0000-0000-00005C0C0000}"/>
    <cellStyle name="Comma 5 2 3 6 3 3 4" xfId="18884" xr:uid="{00000000-0005-0000-0000-00005D0C0000}"/>
    <cellStyle name="Comma 5 2 3 6 3 3 4 2" xfId="44437" xr:uid="{00000000-0005-0000-0000-00005E0C0000}"/>
    <cellStyle name="Comma 5 2 3 6 3 3 5" xfId="30374" xr:uid="{00000000-0005-0000-0000-00005F0C0000}"/>
    <cellStyle name="Comma 5 2 3 6 3 4" xfId="2570" xr:uid="{00000000-0005-0000-0000-0000600C0000}"/>
    <cellStyle name="Comma 5 2 3 6 3 4 2" xfId="11934" xr:uid="{00000000-0005-0000-0000-0000610C0000}"/>
    <cellStyle name="Comma 5 2 3 6 3 4 2 2" xfId="37489" xr:uid="{00000000-0005-0000-0000-0000620C0000}"/>
    <cellStyle name="Comma 5 2 3 6 3 4 3" xfId="21938" xr:uid="{00000000-0005-0000-0000-0000630C0000}"/>
    <cellStyle name="Comma 5 2 3 6 3 4 3 2" xfId="47491" xr:uid="{00000000-0005-0000-0000-0000640C0000}"/>
    <cellStyle name="Comma 5 2 3 6 3 4 4" xfId="28421" xr:uid="{00000000-0005-0000-0000-0000650C0000}"/>
    <cellStyle name="Comma 5 2 3 6 3 5" xfId="6258" xr:uid="{00000000-0005-0000-0000-0000660C0000}"/>
    <cellStyle name="Comma 5 2 3 6 3 5 2" xfId="15085" xr:uid="{00000000-0005-0000-0000-0000670C0000}"/>
    <cellStyle name="Comma 5 2 3 6 3 5 2 2" xfId="40640" xr:uid="{00000000-0005-0000-0000-0000680C0000}"/>
    <cellStyle name="Comma 5 2 3 6 3 5 3" xfId="25336" xr:uid="{00000000-0005-0000-0000-0000690C0000}"/>
    <cellStyle name="Comma 5 2 3 6 3 5 3 2" xfId="50889" xr:uid="{00000000-0005-0000-0000-00006A0C0000}"/>
    <cellStyle name="Comma 5 2 3 6 3 5 4" xfId="31819" xr:uid="{00000000-0005-0000-0000-00006B0C0000}"/>
    <cellStyle name="Comma 5 2 3 6 3 6" xfId="7704" xr:uid="{00000000-0005-0000-0000-00006C0C0000}"/>
    <cellStyle name="Comma 5 2 3 6 3 6 2" xfId="20492" xr:uid="{00000000-0005-0000-0000-00006D0C0000}"/>
    <cellStyle name="Comma 5 2 3 6 3 6 2 2" xfId="46045" xr:uid="{00000000-0005-0000-0000-00006E0C0000}"/>
    <cellStyle name="Comma 5 2 3 6 3 6 3" xfId="33261" xr:uid="{00000000-0005-0000-0000-00006F0C0000}"/>
    <cellStyle name="Comma 5 2 3 6 3 7" xfId="16931" xr:uid="{00000000-0005-0000-0000-0000700C0000}"/>
    <cellStyle name="Comma 5 2 3 6 3 7 2" xfId="42484" xr:uid="{00000000-0005-0000-0000-0000710C0000}"/>
    <cellStyle name="Comma 5 2 3 6 3 8" xfId="26975" xr:uid="{00000000-0005-0000-0000-0000720C0000}"/>
    <cellStyle name="Comma 5 2 3 6 4" xfId="2823" xr:uid="{00000000-0005-0000-0000-0000730C0000}"/>
    <cellStyle name="Comma 5 2 3 6 4 2" xfId="5201" xr:uid="{00000000-0005-0000-0000-0000740C0000}"/>
    <cellStyle name="Comma 5 2 3 6 4 2 2" xfId="14038" xr:uid="{00000000-0005-0000-0000-0000750C0000}"/>
    <cellStyle name="Comma 5 2 3 6 4 2 2 2" xfId="24289" xr:uid="{00000000-0005-0000-0000-0000760C0000}"/>
    <cellStyle name="Comma 5 2 3 6 4 2 2 2 2" xfId="49842" xr:uid="{00000000-0005-0000-0000-0000770C0000}"/>
    <cellStyle name="Comma 5 2 3 6 4 2 2 3" xfId="39593" xr:uid="{00000000-0005-0000-0000-0000780C0000}"/>
    <cellStyle name="Comma 5 2 3 6 4 2 3" xfId="10459" xr:uid="{00000000-0005-0000-0000-0000790C0000}"/>
    <cellStyle name="Comma 5 2 3 6 4 2 3 2" xfId="36016" xr:uid="{00000000-0005-0000-0000-00007A0C0000}"/>
    <cellStyle name="Comma 5 2 3 6 4 2 4" xfId="19282" xr:uid="{00000000-0005-0000-0000-00007B0C0000}"/>
    <cellStyle name="Comma 5 2 3 6 4 2 4 2" xfId="44835" xr:uid="{00000000-0005-0000-0000-00007C0C0000}"/>
    <cellStyle name="Comma 5 2 3 6 4 2 5" xfId="30772" xr:uid="{00000000-0005-0000-0000-00007D0C0000}"/>
    <cellStyle name="Comma 5 2 3 6 4 3" xfId="6656" xr:uid="{00000000-0005-0000-0000-00007E0C0000}"/>
    <cellStyle name="Comma 5 2 3 6 4 3 2" xfId="15483" xr:uid="{00000000-0005-0000-0000-00007F0C0000}"/>
    <cellStyle name="Comma 5 2 3 6 4 3 2 2" xfId="41038" xr:uid="{00000000-0005-0000-0000-0000800C0000}"/>
    <cellStyle name="Comma 5 2 3 6 4 3 3" xfId="25734" xr:uid="{00000000-0005-0000-0000-0000810C0000}"/>
    <cellStyle name="Comma 5 2 3 6 4 3 3 2" xfId="51287" xr:uid="{00000000-0005-0000-0000-0000820C0000}"/>
    <cellStyle name="Comma 5 2 3 6 4 3 4" xfId="32217" xr:uid="{00000000-0005-0000-0000-0000830C0000}"/>
    <cellStyle name="Comma 5 2 3 6 4 4" xfId="8102" xr:uid="{00000000-0005-0000-0000-0000840C0000}"/>
    <cellStyle name="Comma 5 2 3 6 4 4 2" xfId="22184" xr:uid="{00000000-0005-0000-0000-0000850C0000}"/>
    <cellStyle name="Comma 5 2 3 6 4 4 2 2" xfId="47737" xr:uid="{00000000-0005-0000-0000-0000860C0000}"/>
    <cellStyle name="Comma 5 2 3 6 4 4 3" xfId="33659" xr:uid="{00000000-0005-0000-0000-0000870C0000}"/>
    <cellStyle name="Comma 5 2 3 6 4 5" xfId="17177" xr:uid="{00000000-0005-0000-0000-0000880C0000}"/>
    <cellStyle name="Comma 5 2 3 6 4 5 2" xfId="42730" xr:uid="{00000000-0005-0000-0000-0000890C0000}"/>
    <cellStyle name="Comma 5 2 3 6 4 6" xfId="28667" xr:uid="{00000000-0005-0000-0000-00008A0C0000}"/>
    <cellStyle name="Comma 5 2 3 6 5" xfId="4155" xr:uid="{00000000-0005-0000-0000-00008B0C0000}"/>
    <cellStyle name="Comma 5 2 3 6 5 2" xfId="12993" xr:uid="{00000000-0005-0000-0000-00008C0C0000}"/>
    <cellStyle name="Comma 5 2 3 6 5 2 2" xfId="23244" xr:uid="{00000000-0005-0000-0000-00008D0C0000}"/>
    <cellStyle name="Comma 5 2 3 6 5 2 2 2" xfId="48797" xr:uid="{00000000-0005-0000-0000-00008E0C0000}"/>
    <cellStyle name="Comma 5 2 3 6 5 2 3" xfId="38548" xr:uid="{00000000-0005-0000-0000-00008F0C0000}"/>
    <cellStyle name="Comma 5 2 3 6 5 3" xfId="9414" xr:uid="{00000000-0005-0000-0000-0000900C0000}"/>
    <cellStyle name="Comma 5 2 3 6 5 3 2" xfId="34971" xr:uid="{00000000-0005-0000-0000-0000910C0000}"/>
    <cellStyle name="Comma 5 2 3 6 5 4" xfId="18237" xr:uid="{00000000-0005-0000-0000-0000920C0000}"/>
    <cellStyle name="Comma 5 2 3 6 5 4 2" xfId="43790" xr:uid="{00000000-0005-0000-0000-0000930C0000}"/>
    <cellStyle name="Comma 5 2 3 6 5 5" xfId="29727" xr:uid="{00000000-0005-0000-0000-0000940C0000}"/>
    <cellStyle name="Comma 5 2 3 6 6" xfId="1932" xr:uid="{00000000-0005-0000-0000-0000950C0000}"/>
    <cellStyle name="Comma 5 2 3 6 6 2" xfId="11297" xr:uid="{00000000-0005-0000-0000-0000960C0000}"/>
    <cellStyle name="Comma 5 2 3 6 6 2 2" xfId="36852" xr:uid="{00000000-0005-0000-0000-0000970C0000}"/>
    <cellStyle name="Comma 5 2 3 6 6 3" xfId="21301" xr:uid="{00000000-0005-0000-0000-0000980C0000}"/>
    <cellStyle name="Comma 5 2 3 6 6 3 2" xfId="46854" xr:uid="{00000000-0005-0000-0000-0000990C0000}"/>
    <cellStyle name="Comma 5 2 3 6 6 4" xfId="27784" xr:uid="{00000000-0005-0000-0000-00009A0C0000}"/>
    <cellStyle name="Comma 5 2 3 6 7" xfId="5613" xr:uid="{00000000-0005-0000-0000-00009B0C0000}"/>
    <cellStyle name="Comma 5 2 3 6 7 2" xfId="14440" xr:uid="{00000000-0005-0000-0000-00009C0C0000}"/>
    <cellStyle name="Comma 5 2 3 6 7 2 2" xfId="39995" xr:uid="{00000000-0005-0000-0000-00009D0C0000}"/>
    <cellStyle name="Comma 5 2 3 6 7 3" xfId="24691" xr:uid="{00000000-0005-0000-0000-00009E0C0000}"/>
    <cellStyle name="Comma 5 2 3 6 7 3 2" xfId="50244" xr:uid="{00000000-0005-0000-0000-00009F0C0000}"/>
    <cellStyle name="Comma 5 2 3 6 7 4" xfId="31174" xr:uid="{00000000-0005-0000-0000-0000A00C0000}"/>
    <cellStyle name="Comma 5 2 3 6 8" xfId="7057" xr:uid="{00000000-0005-0000-0000-0000A10C0000}"/>
    <cellStyle name="Comma 5 2 3 6 8 2" xfId="19783" xr:uid="{00000000-0005-0000-0000-0000A20C0000}"/>
    <cellStyle name="Comma 5 2 3 6 8 2 2" xfId="45336" xr:uid="{00000000-0005-0000-0000-0000A30C0000}"/>
    <cellStyle name="Comma 5 2 3 6 8 3" xfId="32614" xr:uid="{00000000-0005-0000-0000-0000A40C0000}"/>
    <cellStyle name="Comma 5 2 3 6 9" xfId="16294" xr:uid="{00000000-0005-0000-0000-0000A50C0000}"/>
    <cellStyle name="Comma 5 2 3 6 9 2" xfId="41847" xr:uid="{00000000-0005-0000-0000-0000A60C0000}"/>
    <cellStyle name="Comma 5 2 3 7" xfId="630" xr:uid="{00000000-0005-0000-0000-0000A70C0000}"/>
    <cellStyle name="Comma 5 2 3 7 2" xfId="3116" xr:uid="{00000000-0005-0000-0000-0000A80C0000}"/>
    <cellStyle name="Comma 5 2 3 7 2 2" xfId="12259" xr:uid="{00000000-0005-0000-0000-0000A90C0000}"/>
    <cellStyle name="Comma 5 2 3 7 2 2 2" xfId="22477" xr:uid="{00000000-0005-0000-0000-0000AA0C0000}"/>
    <cellStyle name="Comma 5 2 3 7 2 2 2 2" xfId="48030" xr:uid="{00000000-0005-0000-0000-0000AB0C0000}"/>
    <cellStyle name="Comma 5 2 3 7 2 2 3" xfId="37814" xr:uid="{00000000-0005-0000-0000-0000AC0C0000}"/>
    <cellStyle name="Comma 5 2 3 7 2 3" xfId="8681" xr:uid="{00000000-0005-0000-0000-0000AD0C0000}"/>
    <cellStyle name="Comma 5 2 3 7 2 3 2" xfId="34238" xr:uid="{00000000-0005-0000-0000-0000AE0C0000}"/>
    <cellStyle name="Comma 5 2 3 7 2 4" xfId="17470" xr:uid="{00000000-0005-0000-0000-0000AF0C0000}"/>
    <cellStyle name="Comma 5 2 3 7 2 4 2" xfId="43023" xr:uid="{00000000-0005-0000-0000-0000B00C0000}"/>
    <cellStyle name="Comma 5 2 3 7 2 5" xfId="28960" xr:uid="{00000000-0005-0000-0000-0000B10C0000}"/>
    <cellStyle name="Comma 5 2 3 7 3" xfId="4445" xr:uid="{00000000-0005-0000-0000-0000B20C0000}"/>
    <cellStyle name="Comma 5 2 3 7 3 2" xfId="13283" xr:uid="{00000000-0005-0000-0000-0000B30C0000}"/>
    <cellStyle name="Comma 5 2 3 7 3 2 2" xfId="23534" xr:uid="{00000000-0005-0000-0000-0000B40C0000}"/>
    <cellStyle name="Comma 5 2 3 7 3 2 2 2" xfId="49087" xr:uid="{00000000-0005-0000-0000-0000B50C0000}"/>
    <cellStyle name="Comma 5 2 3 7 3 2 3" xfId="38838" xr:uid="{00000000-0005-0000-0000-0000B60C0000}"/>
    <cellStyle name="Comma 5 2 3 7 3 3" xfId="9704" xr:uid="{00000000-0005-0000-0000-0000B70C0000}"/>
    <cellStyle name="Comma 5 2 3 7 3 3 2" xfId="35261" xr:uid="{00000000-0005-0000-0000-0000B80C0000}"/>
    <cellStyle name="Comma 5 2 3 7 3 4" xfId="18527" xr:uid="{00000000-0005-0000-0000-0000B90C0000}"/>
    <cellStyle name="Comma 5 2 3 7 3 4 2" xfId="44080" xr:uid="{00000000-0005-0000-0000-0000BA0C0000}"/>
    <cellStyle name="Comma 5 2 3 7 3 5" xfId="30017" xr:uid="{00000000-0005-0000-0000-0000BB0C0000}"/>
    <cellStyle name="Comma 5 2 3 7 4" xfId="2225" xr:uid="{00000000-0005-0000-0000-0000BC0C0000}"/>
    <cellStyle name="Comma 5 2 3 7 4 2" xfId="11590" xr:uid="{00000000-0005-0000-0000-0000BD0C0000}"/>
    <cellStyle name="Comma 5 2 3 7 4 2 2" xfId="37145" xr:uid="{00000000-0005-0000-0000-0000BE0C0000}"/>
    <cellStyle name="Comma 5 2 3 7 4 3" xfId="21594" xr:uid="{00000000-0005-0000-0000-0000BF0C0000}"/>
    <cellStyle name="Comma 5 2 3 7 4 3 2" xfId="47147" xr:uid="{00000000-0005-0000-0000-0000C00C0000}"/>
    <cellStyle name="Comma 5 2 3 7 4 4" xfId="28077" xr:uid="{00000000-0005-0000-0000-0000C10C0000}"/>
    <cellStyle name="Comma 5 2 3 7 5" xfId="5901" xr:uid="{00000000-0005-0000-0000-0000C20C0000}"/>
    <cellStyle name="Comma 5 2 3 7 5 2" xfId="14728" xr:uid="{00000000-0005-0000-0000-0000C30C0000}"/>
    <cellStyle name="Comma 5 2 3 7 5 2 2" xfId="40283" xr:uid="{00000000-0005-0000-0000-0000C40C0000}"/>
    <cellStyle name="Comma 5 2 3 7 5 3" xfId="24979" xr:uid="{00000000-0005-0000-0000-0000C50C0000}"/>
    <cellStyle name="Comma 5 2 3 7 5 3 2" xfId="50532" xr:uid="{00000000-0005-0000-0000-0000C60C0000}"/>
    <cellStyle name="Comma 5 2 3 7 5 4" xfId="31462" xr:uid="{00000000-0005-0000-0000-0000C70C0000}"/>
    <cellStyle name="Comma 5 2 3 7 6" xfId="7345" xr:uid="{00000000-0005-0000-0000-0000C80C0000}"/>
    <cellStyle name="Comma 5 2 3 7 6 2" xfId="20076" xr:uid="{00000000-0005-0000-0000-0000C90C0000}"/>
    <cellStyle name="Comma 5 2 3 7 6 2 2" xfId="45629" xr:uid="{00000000-0005-0000-0000-0000CA0C0000}"/>
    <cellStyle name="Comma 5 2 3 7 6 3" xfId="32902" xr:uid="{00000000-0005-0000-0000-0000CB0C0000}"/>
    <cellStyle name="Comma 5 2 3 7 7" xfId="16587" xr:uid="{00000000-0005-0000-0000-0000CC0C0000}"/>
    <cellStyle name="Comma 5 2 3 7 7 2" xfId="42140" xr:uid="{00000000-0005-0000-0000-0000CD0C0000}"/>
    <cellStyle name="Comma 5 2 3 7 8" xfId="26559" xr:uid="{00000000-0005-0000-0000-0000CE0C0000}"/>
    <cellStyle name="Comma 5 2 3 8" xfId="1064" xr:uid="{00000000-0005-0000-0000-0000CF0C0000}"/>
    <cellStyle name="Comma 5 2 3 8 2" xfId="3493" xr:uid="{00000000-0005-0000-0000-0000D00C0000}"/>
    <cellStyle name="Comma 5 2 3 8 2 2" xfId="12629" xr:uid="{00000000-0005-0000-0000-0000D10C0000}"/>
    <cellStyle name="Comma 5 2 3 8 2 2 2" xfId="22848" xr:uid="{00000000-0005-0000-0000-0000D20C0000}"/>
    <cellStyle name="Comma 5 2 3 8 2 2 2 2" xfId="48401" xr:uid="{00000000-0005-0000-0000-0000D30C0000}"/>
    <cellStyle name="Comma 5 2 3 8 2 2 3" xfId="38184" xr:uid="{00000000-0005-0000-0000-0000D40C0000}"/>
    <cellStyle name="Comma 5 2 3 8 2 3" xfId="9051" xr:uid="{00000000-0005-0000-0000-0000D50C0000}"/>
    <cellStyle name="Comma 5 2 3 8 2 3 2" xfId="34608" xr:uid="{00000000-0005-0000-0000-0000D60C0000}"/>
    <cellStyle name="Comma 5 2 3 8 2 4" xfId="17841" xr:uid="{00000000-0005-0000-0000-0000D70C0000}"/>
    <cellStyle name="Comma 5 2 3 8 2 4 2" xfId="43394" xr:uid="{00000000-0005-0000-0000-0000D80C0000}"/>
    <cellStyle name="Comma 5 2 3 8 2 5" xfId="29331" xr:uid="{00000000-0005-0000-0000-0000D90C0000}"/>
    <cellStyle name="Comma 5 2 3 8 3" xfId="4794" xr:uid="{00000000-0005-0000-0000-0000DA0C0000}"/>
    <cellStyle name="Comma 5 2 3 8 3 2" xfId="13631" xr:uid="{00000000-0005-0000-0000-0000DB0C0000}"/>
    <cellStyle name="Comma 5 2 3 8 3 2 2" xfId="23882" xr:uid="{00000000-0005-0000-0000-0000DC0C0000}"/>
    <cellStyle name="Comma 5 2 3 8 3 2 2 2" xfId="49435" xr:uid="{00000000-0005-0000-0000-0000DD0C0000}"/>
    <cellStyle name="Comma 5 2 3 8 3 2 3" xfId="39186" xr:uid="{00000000-0005-0000-0000-0000DE0C0000}"/>
    <cellStyle name="Comma 5 2 3 8 3 3" xfId="10052" xr:uid="{00000000-0005-0000-0000-0000DF0C0000}"/>
    <cellStyle name="Comma 5 2 3 8 3 3 2" xfId="35609" xr:uid="{00000000-0005-0000-0000-0000E00C0000}"/>
    <cellStyle name="Comma 5 2 3 8 3 4" xfId="18875" xr:uid="{00000000-0005-0000-0000-0000E10C0000}"/>
    <cellStyle name="Comma 5 2 3 8 3 4 2" xfId="44428" xr:uid="{00000000-0005-0000-0000-0000E20C0000}"/>
    <cellStyle name="Comma 5 2 3 8 3 5" xfId="30365" xr:uid="{00000000-0005-0000-0000-0000E30C0000}"/>
    <cellStyle name="Comma 5 2 3 8 4" xfId="1730" xr:uid="{00000000-0005-0000-0000-0000E40C0000}"/>
    <cellStyle name="Comma 5 2 3 8 4 2" xfId="11104" xr:uid="{00000000-0005-0000-0000-0000E50C0000}"/>
    <cellStyle name="Comma 5 2 3 8 4 2 2" xfId="36659" xr:uid="{00000000-0005-0000-0000-0000E60C0000}"/>
    <cellStyle name="Comma 5 2 3 8 4 3" xfId="21108" xr:uid="{00000000-0005-0000-0000-0000E70C0000}"/>
    <cellStyle name="Comma 5 2 3 8 4 3 2" xfId="46661" xr:uid="{00000000-0005-0000-0000-0000E80C0000}"/>
    <cellStyle name="Comma 5 2 3 8 4 4" xfId="27591" xr:uid="{00000000-0005-0000-0000-0000E90C0000}"/>
    <cellStyle name="Comma 5 2 3 8 5" xfId="6249" xr:uid="{00000000-0005-0000-0000-0000EA0C0000}"/>
    <cellStyle name="Comma 5 2 3 8 5 2" xfId="15076" xr:uid="{00000000-0005-0000-0000-0000EB0C0000}"/>
    <cellStyle name="Comma 5 2 3 8 5 2 2" xfId="40631" xr:uid="{00000000-0005-0000-0000-0000EC0C0000}"/>
    <cellStyle name="Comma 5 2 3 8 5 3" xfId="25327" xr:uid="{00000000-0005-0000-0000-0000ED0C0000}"/>
    <cellStyle name="Comma 5 2 3 8 5 3 2" xfId="50880" xr:uid="{00000000-0005-0000-0000-0000EE0C0000}"/>
    <cellStyle name="Comma 5 2 3 8 5 4" xfId="31810" xr:uid="{00000000-0005-0000-0000-0000EF0C0000}"/>
    <cellStyle name="Comma 5 2 3 8 6" xfId="7695" xr:uid="{00000000-0005-0000-0000-0000F00C0000}"/>
    <cellStyle name="Comma 5 2 3 8 6 2" xfId="20447" xr:uid="{00000000-0005-0000-0000-0000F10C0000}"/>
    <cellStyle name="Comma 5 2 3 8 6 2 2" xfId="46000" xr:uid="{00000000-0005-0000-0000-0000F20C0000}"/>
    <cellStyle name="Comma 5 2 3 8 6 3" xfId="33252" xr:uid="{00000000-0005-0000-0000-0000F30C0000}"/>
    <cellStyle name="Comma 5 2 3 8 7" xfId="16101" xr:uid="{00000000-0005-0000-0000-0000F40C0000}"/>
    <cellStyle name="Comma 5 2 3 8 7 2" xfId="41654" xr:uid="{00000000-0005-0000-0000-0000F50C0000}"/>
    <cellStyle name="Comma 5 2 3 8 8" xfId="26930" xr:uid="{00000000-0005-0000-0000-0000F60C0000}"/>
    <cellStyle name="Comma 5 2 3 9" xfId="2630" xr:uid="{00000000-0005-0000-0000-0000F70C0000}"/>
    <cellStyle name="Comma 5 2 3 9 2" xfId="5156" xr:uid="{00000000-0005-0000-0000-0000F80C0000}"/>
    <cellStyle name="Comma 5 2 3 9 2 2" xfId="13993" xr:uid="{00000000-0005-0000-0000-0000F90C0000}"/>
    <cellStyle name="Comma 5 2 3 9 2 2 2" xfId="24244" xr:uid="{00000000-0005-0000-0000-0000FA0C0000}"/>
    <cellStyle name="Comma 5 2 3 9 2 2 2 2" xfId="49797" xr:uid="{00000000-0005-0000-0000-0000FB0C0000}"/>
    <cellStyle name="Comma 5 2 3 9 2 2 3" xfId="39548" xr:uid="{00000000-0005-0000-0000-0000FC0C0000}"/>
    <cellStyle name="Comma 5 2 3 9 2 3" xfId="10414" xr:uid="{00000000-0005-0000-0000-0000FD0C0000}"/>
    <cellStyle name="Comma 5 2 3 9 2 3 2" xfId="35971" xr:uid="{00000000-0005-0000-0000-0000FE0C0000}"/>
    <cellStyle name="Comma 5 2 3 9 2 4" xfId="19237" xr:uid="{00000000-0005-0000-0000-0000FF0C0000}"/>
    <cellStyle name="Comma 5 2 3 9 2 4 2" xfId="44790" xr:uid="{00000000-0005-0000-0000-0000000D0000}"/>
    <cellStyle name="Comma 5 2 3 9 2 5" xfId="30727" xr:uid="{00000000-0005-0000-0000-0000010D0000}"/>
    <cellStyle name="Comma 5 2 3 9 3" xfId="6611" xr:uid="{00000000-0005-0000-0000-0000020D0000}"/>
    <cellStyle name="Comma 5 2 3 9 3 2" xfId="15438" xr:uid="{00000000-0005-0000-0000-0000030D0000}"/>
    <cellStyle name="Comma 5 2 3 9 3 2 2" xfId="40993" xr:uid="{00000000-0005-0000-0000-0000040D0000}"/>
    <cellStyle name="Comma 5 2 3 9 3 3" xfId="25689" xr:uid="{00000000-0005-0000-0000-0000050D0000}"/>
    <cellStyle name="Comma 5 2 3 9 3 3 2" xfId="51242" xr:uid="{00000000-0005-0000-0000-0000060D0000}"/>
    <cellStyle name="Comma 5 2 3 9 3 4" xfId="32172" xr:uid="{00000000-0005-0000-0000-0000070D0000}"/>
    <cellStyle name="Comma 5 2 3 9 4" xfId="8057" xr:uid="{00000000-0005-0000-0000-0000080D0000}"/>
    <cellStyle name="Comma 5 2 3 9 4 2" xfId="21992" xr:uid="{00000000-0005-0000-0000-0000090D0000}"/>
    <cellStyle name="Comma 5 2 3 9 4 2 2" xfId="47545" xr:uid="{00000000-0005-0000-0000-00000A0D0000}"/>
    <cellStyle name="Comma 5 2 3 9 4 3" xfId="33614" xr:uid="{00000000-0005-0000-0000-00000B0D0000}"/>
    <cellStyle name="Comma 5 2 3 9 5" xfId="16985" xr:uid="{00000000-0005-0000-0000-00000C0D0000}"/>
    <cellStyle name="Comma 5 2 3 9 5 2" xfId="42538" xr:uid="{00000000-0005-0000-0000-00000D0D0000}"/>
    <cellStyle name="Comma 5 2 3 9 6" xfId="28475" xr:uid="{00000000-0005-0000-0000-00000E0D0000}"/>
    <cellStyle name="Comma 5 2 4" xfId="139" xr:uid="{00000000-0005-0000-0000-00000F0D0000}"/>
    <cellStyle name="Comma 5 2 4 10" xfId="1407" xr:uid="{00000000-0005-0000-0000-0000100D0000}"/>
    <cellStyle name="Comma 5 2 4 10 2" xfId="10784" xr:uid="{00000000-0005-0000-0000-0000110D0000}"/>
    <cellStyle name="Comma 5 2 4 10 2 2" xfId="36339" xr:uid="{00000000-0005-0000-0000-0000120D0000}"/>
    <cellStyle name="Comma 5 2 4 10 3" xfId="20788" xr:uid="{00000000-0005-0000-0000-0000130D0000}"/>
    <cellStyle name="Comma 5 2 4 10 3 2" xfId="46341" xr:uid="{00000000-0005-0000-0000-0000140D0000}"/>
    <cellStyle name="Comma 5 2 4 10 4" xfId="27271" xr:uid="{00000000-0005-0000-0000-0000150D0000}"/>
    <cellStyle name="Comma 5 2 4 11" xfId="5518" xr:uid="{00000000-0005-0000-0000-0000160D0000}"/>
    <cellStyle name="Comma 5 2 4 11 2" xfId="14345" xr:uid="{00000000-0005-0000-0000-0000170D0000}"/>
    <cellStyle name="Comma 5 2 4 11 2 2" xfId="39900" xr:uid="{00000000-0005-0000-0000-0000180D0000}"/>
    <cellStyle name="Comma 5 2 4 11 3" xfId="24596" xr:uid="{00000000-0005-0000-0000-0000190D0000}"/>
    <cellStyle name="Comma 5 2 4 11 3 2" xfId="50149" xr:uid="{00000000-0005-0000-0000-00001A0D0000}"/>
    <cellStyle name="Comma 5 2 4 11 4" xfId="31079" xr:uid="{00000000-0005-0000-0000-00001B0D0000}"/>
    <cellStyle name="Comma 5 2 4 12" xfId="6958" xr:uid="{00000000-0005-0000-0000-00001C0D0000}"/>
    <cellStyle name="Comma 5 2 4 12 2" xfId="19603" xr:uid="{00000000-0005-0000-0000-00001D0D0000}"/>
    <cellStyle name="Comma 5 2 4 12 2 2" xfId="45156" xr:uid="{00000000-0005-0000-0000-00001E0D0000}"/>
    <cellStyle name="Comma 5 2 4 12 3" xfId="32516" xr:uid="{00000000-0005-0000-0000-00001F0D0000}"/>
    <cellStyle name="Comma 5 2 4 13" xfId="15781" xr:uid="{00000000-0005-0000-0000-0000200D0000}"/>
    <cellStyle name="Comma 5 2 4 13 2" xfId="41334" xr:uid="{00000000-0005-0000-0000-0000210D0000}"/>
    <cellStyle name="Comma 5 2 4 14" xfId="26086" xr:uid="{00000000-0005-0000-0000-0000220D0000}"/>
    <cellStyle name="Comma 5 2 4 2" xfId="189" xr:uid="{00000000-0005-0000-0000-0000230D0000}"/>
    <cellStyle name="Comma 5 2 4 2 10" xfId="7137" xr:uid="{00000000-0005-0000-0000-0000240D0000}"/>
    <cellStyle name="Comma 5 2 4 2 10 2" xfId="19646" xr:uid="{00000000-0005-0000-0000-0000250D0000}"/>
    <cellStyle name="Comma 5 2 4 2 10 2 2" xfId="45199" xr:uid="{00000000-0005-0000-0000-0000260D0000}"/>
    <cellStyle name="Comma 5 2 4 2 10 3" xfId="32694" xr:uid="{00000000-0005-0000-0000-0000270D0000}"/>
    <cellStyle name="Comma 5 2 4 2 11" xfId="15883" xr:uid="{00000000-0005-0000-0000-0000280D0000}"/>
    <cellStyle name="Comma 5 2 4 2 11 2" xfId="41436" xr:uid="{00000000-0005-0000-0000-0000290D0000}"/>
    <cellStyle name="Comma 5 2 4 2 12" xfId="26129" xr:uid="{00000000-0005-0000-0000-00002A0D0000}"/>
    <cellStyle name="Comma 5 2 4 2 2" xfId="517" xr:uid="{00000000-0005-0000-0000-00002B0D0000}"/>
    <cellStyle name="Comma 5 2 4 2 2 10" xfId="26446" xr:uid="{00000000-0005-0000-0000-00002C0D0000}"/>
    <cellStyle name="Comma 5 2 4 2 2 2" xfId="642" xr:uid="{00000000-0005-0000-0000-00002D0D0000}"/>
    <cellStyle name="Comma 5 2 4 2 2 2 2" xfId="3128" xr:uid="{00000000-0005-0000-0000-00002E0D0000}"/>
    <cellStyle name="Comma 5 2 4 2 2 2 2 2" xfId="12271" xr:uid="{00000000-0005-0000-0000-00002F0D0000}"/>
    <cellStyle name="Comma 5 2 4 2 2 2 2 2 2" xfId="22489" xr:uid="{00000000-0005-0000-0000-0000300D0000}"/>
    <cellStyle name="Comma 5 2 4 2 2 2 2 2 2 2" xfId="48042" xr:uid="{00000000-0005-0000-0000-0000310D0000}"/>
    <cellStyle name="Comma 5 2 4 2 2 2 2 2 3" xfId="37826" xr:uid="{00000000-0005-0000-0000-0000320D0000}"/>
    <cellStyle name="Comma 5 2 4 2 2 2 2 3" xfId="8693" xr:uid="{00000000-0005-0000-0000-0000330D0000}"/>
    <cellStyle name="Comma 5 2 4 2 2 2 2 3 2" xfId="34250" xr:uid="{00000000-0005-0000-0000-0000340D0000}"/>
    <cellStyle name="Comma 5 2 4 2 2 2 2 4" xfId="17482" xr:uid="{00000000-0005-0000-0000-0000350D0000}"/>
    <cellStyle name="Comma 5 2 4 2 2 2 2 4 2" xfId="43035" xr:uid="{00000000-0005-0000-0000-0000360D0000}"/>
    <cellStyle name="Comma 5 2 4 2 2 2 2 5" xfId="28972" xr:uid="{00000000-0005-0000-0000-0000370D0000}"/>
    <cellStyle name="Comma 5 2 4 2 2 2 3" xfId="4457" xr:uid="{00000000-0005-0000-0000-0000380D0000}"/>
    <cellStyle name="Comma 5 2 4 2 2 2 3 2" xfId="13295" xr:uid="{00000000-0005-0000-0000-0000390D0000}"/>
    <cellStyle name="Comma 5 2 4 2 2 2 3 2 2" xfId="23546" xr:uid="{00000000-0005-0000-0000-00003A0D0000}"/>
    <cellStyle name="Comma 5 2 4 2 2 2 3 2 2 2" xfId="49099" xr:uid="{00000000-0005-0000-0000-00003B0D0000}"/>
    <cellStyle name="Comma 5 2 4 2 2 2 3 2 3" xfId="38850" xr:uid="{00000000-0005-0000-0000-00003C0D0000}"/>
    <cellStyle name="Comma 5 2 4 2 2 2 3 3" xfId="9716" xr:uid="{00000000-0005-0000-0000-00003D0D0000}"/>
    <cellStyle name="Comma 5 2 4 2 2 2 3 3 2" xfId="35273" xr:uid="{00000000-0005-0000-0000-00003E0D0000}"/>
    <cellStyle name="Comma 5 2 4 2 2 2 3 4" xfId="18539" xr:uid="{00000000-0005-0000-0000-00003F0D0000}"/>
    <cellStyle name="Comma 5 2 4 2 2 2 3 4 2" xfId="44092" xr:uid="{00000000-0005-0000-0000-0000400D0000}"/>
    <cellStyle name="Comma 5 2 4 2 2 2 3 5" xfId="30029" xr:uid="{00000000-0005-0000-0000-0000410D0000}"/>
    <cellStyle name="Comma 5 2 4 2 2 2 4" xfId="2237" xr:uid="{00000000-0005-0000-0000-0000420D0000}"/>
    <cellStyle name="Comma 5 2 4 2 2 2 4 2" xfId="11602" xr:uid="{00000000-0005-0000-0000-0000430D0000}"/>
    <cellStyle name="Comma 5 2 4 2 2 2 4 2 2" xfId="37157" xr:uid="{00000000-0005-0000-0000-0000440D0000}"/>
    <cellStyle name="Comma 5 2 4 2 2 2 4 3" xfId="21606" xr:uid="{00000000-0005-0000-0000-0000450D0000}"/>
    <cellStyle name="Comma 5 2 4 2 2 2 4 3 2" xfId="47159" xr:uid="{00000000-0005-0000-0000-0000460D0000}"/>
    <cellStyle name="Comma 5 2 4 2 2 2 4 4" xfId="28089" xr:uid="{00000000-0005-0000-0000-0000470D0000}"/>
    <cellStyle name="Comma 5 2 4 2 2 2 5" xfId="5913" xr:uid="{00000000-0005-0000-0000-0000480D0000}"/>
    <cellStyle name="Comma 5 2 4 2 2 2 5 2" xfId="14740" xr:uid="{00000000-0005-0000-0000-0000490D0000}"/>
    <cellStyle name="Comma 5 2 4 2 2 2 5 2 2" xfId="40295" xr:uid="{00000000-0005-0000-0000-00004A0D0000}"/>
    <cellStyle name="Comma 5 2 4 2 2 2 5 3" xfId="24991" xr:uid="{00000000-0005-0000-0000-00004B0D0000}"/>
    <cellStyle name="Comma 5 2 4 2 2 2 5 3 2" xfId="50544" xr:uid="{00000000-0005-0000-0000-00004C0D0000}"/>
    <cellStyle name="Comma 5 2 4 2 2 2 5 4" xfId="31474" xr:uid="{00000000-0005-0000-0000-00004D0D0000}"/>
    <cellStyle name="Comma 5 2 4 2 2 2 6" xfId="7357" xr:uid="{00000000-0005-0000-0000-00004E0D0000}"/>
    <cellStyle name="Comma 5 2 4 2 2 2 6 2" xfId="20088" xr:uid="{00000000-0005-0000-0000-00004F0D0000}"/>
    <cellStyle name="Comma 5 2 4 2 2 2 6 2 2" xfId="45641" xr:uid="{00000000-0005-0000-0000-0000500D0000}"/>
    <cellStyle name="Comma 5 2 4 2 2 2 6 3" xfId="32914" xr:uid="{00000000-0005-0000-0000-0000510D0000}"/>
    <cellStyle name="Comma 5 2 4 2 2 2 7" xfId="16599" xr:uid="{00000000-0005-0000-0000-0000520D0000}"/>
    <cellStyle name="Comma 5 2 4 2 2 2 7 2" xfId="42152" xr:uid="{00000000-0005-0000-0000-0000530D0000}"/>
    <cellStyle name="Comma 5 2 4 2 2 2 8" xfId="26571" xr:uid="{00000000-0005-0000-0000-0000540D0000}"/>
    <cellStyle name="Comma 5 2 4 2 2 3" xfId="1289" xr:uid="{00000000-0005-0000-0000-0000550D0000}"/>
    <cellStyle name="Comma 5 2 4 2 2 3 2" xfId="3718" xr:uid="{00000000-0005-0000-0000-0000560D0000}"/>
    <cellStyle name="Comma 5 2 4 2 2 3 2 2" xfId="12854" xr:uid="{00000000-0005-0000-0000-0000570D0000}"/>
    <cellStyle name="Comma 5 2 4 2 2 3 2 2 2" xfId="23073" xr:uid="{00000000-0005-0000-0000-0000580D0000}"/>
    <cellStyle name="Comma 5 2 4 2 2 3 2 2 2 2" xfId="48626" xr:uid="{00000000-0005-0000-0000-0000590D0000}"/>
    <cellStyle name="Comma 5 2 4 2 2 3 2 2 3" xfId="38409" xr:uid="{00000000-0005-0000-0000-00005A0D0000}"/>
    <cellStyle name="Comma 5 2 4 2 2 3 2 3" xfId="9275" xr:uid="{00000000-0005-0000-0000-00005B0D0000}"/>
    <cellStyle name="Comma 5 2 4 2 2 3 2 3 2" xfId="34832" xr:uid="{00000000-0005-0000-0000-00005C0D0000}"/>
    <cellStyle name="Comma 5 2 4 2 2 3 2 4" xfId="18066" xr:uid="{00000000-0005-0000-0000-00005D0D0000}"/>
    <cellStyle name="Comma 5 2 4 2 2 3 2 4 2" xfId="43619" xr:uid="{00000000-0005-0000-0000-00005E0D0000}"/>
    <cellStyle name="Comma 5 2 4 2 2 3 2 5" xfId="29556" xr:uid="{00000000-0005-0000-0000-00005F0D0000}"/>
    <cellStyle name="Comma 5 2 4 2 2 3 3" xfId="4806" xr:uid="{00000000-0005-0000-0000-0000600D0000}"/>
    <cellStyle name="Comma 5 2 4 2 2 3 3 2" xfId="13643" xr:uid="{00000000-0005-0000-0000-0000610D0000}"/>
    <cellStyle name="Comma 5 2 4 2 2 3 3 2 2" xfId="23894" xr:uid="{00000000-0005-0000-0000-0000620D0000}"/>
    <cellStyle name="Comma 5 2 4 2 2 3 3 2 2 2" xfId="49447" xr:uid="{00000000-0005-0000-0000-0000630D0000}"/>
    <cellStyle name="Comma 5 2 4 2 2 3 3 2 3" xfId="39198" xr:uid="{00000000-0005-0000-0000-0000640D0000}"/>
    <cellStyle name="Comma 5 2 4 2 2 3 3 3" xfId="10064" xr:uid="{00000000-0005-0000-0000-0000650D0000}"/>
    <cellStyle name="Comma 5 2 4 2 2 3 3 3 2" xfId="35621" xr:uid="{00000000-0005-0000-0000-0000660D0000}"/>
    <cellStyle name="Comma 5 2 4 2 2 3 3 4" xfId="18887" xr:uid="{00000000-0005-0000-0000-0000670D0000}"/>
    <cellStyle name="Comma 5 2 4 2 2 3 3 4 2" xfId="44440" xr:uid="{00000000-0005-0000-0000-0000680D0000}"/>
    <cellStyle name="Comma 5 2 4 2 2 3 3 5" xfId="30377" xr:uid="{00000000-0005-0000-0000-0000690D0000}"/>
    <cellStyle name="Comma 5 2 4 2 2 3 4" xfId="2112" xr:uid="{00000000-0005-0000-0000-00006A0D0000}"/>
    <cellStyle name="Comma 5 2 4 2 2 3 4 2" xfId="11477" xr:uid="{00000000-0005-0000-0000-00006B0D0000}"/>
    <cellStyle name="Comma 5 2 4 2 2 3 4 2 2" xfId="37032" xr:uid="{00000000-0005-0000-0000-00006C0D0000}"/>
    <cellStyle name="Comma 5 2 4 2 2 3 4 3" xfId="21481" xr:uid="{00000000-0005-0000-0000-00006D0D0000}"/>
    <cellStyle name="Comma 5 2 4 2 2 3 4 3 2" xfId="47034" xr:uid="{00000000-0005-0000-0000-00006E0D0000}"/>
    <cellStyle name="Comma 5 2 4 2 2 3 4 4" xfId="27964" xr:uid="{00000000-0005-0000-0000-00006F0D0000}"/>
    <cellStyle name="Comma 5 2 4 2 2 3 5" xfId="6261" xr:uid="{00000000-0005-0000-0000-0000700D0000}"/>
    <cellStyle name="Comma 5 2 4 2 2 3 5 2" xfId="15088" xr:uid="{00000000-0005-0000-0000-0000710D0000}"/>
    <cellStyle name="Comma 5 2 4 2 2 3 5 2 2" xfId="40643" xr:uid="{00000000-0005-0000-0000-0000720D0000}"/>
    <cellStyle name="Comma 5 2 4 2 2 3 5 3" xfId="25339" xr:uid="{00000000-0005-0000-0000-0000730D0000}"/>
    <cellStyle name="Comma 5 2 4 2 2 3 5 3 2" xfId="50892" xr:uid="{00000000-0005-0000-0000-0000740D0000}"/>
    <cellStyle name="Comma 5 2 4 2 2 3 5 4" xfId="31822" xr:uid="{00000000-0005-0000-0000-0000750D0000}"/>
    <cellStyle name="Comma 5 2 4 2 2 3 6" xfId="7707" xr:uid="{00000000-0005-0000-0000-0000760D0000}"/>
    <cellStyle name="Comma 5 2 4 2 2 3 6 2" xfId="20672" xr:uid="{00000000-0005-0000-0000-0000770D0000}"/>
    <cellStyle name="Comma 5 2 4 2 2 3 6 2 2" xfId="46225" xr:uid="{00000000-0005-0000-0000-0000780D0000}"/>
    <cellStyle name="Comma 5 2 4 2 2 3 6 3" xfId="33264" xr:uid="{00000000-0005-0000-0000-0000790D0000}"/>
    <cellStyle name="Comma 5 2 4 2 2 3 7" xfId="16474" xr:uid="{00000000-0005-0000-0000-00007A0D0000}"/>
    <cellStyle name="Comma 5 2 4 2 2 3 7 2" xfId="42027" xr:uid="{00000000-0005-0000-0000-00007B0D0000}"/>
    <cellStyle name="Comma 5 2 4 2 2 3 8" xfId="27155" xr:uid="{00000000-0005-0000-0000-00007C0D0000}"/>
    <cellStyle name="Comma 5 2 4 2 2 4" xfId="3003" xr:uid="{00000000-0005-0000-0000-00007D0D0000}"/>
    <cellStyle name="Comma 5 2 4 2 2 4 2" xfId="5381" xr:uid="{00000000-0005-0000-0000-00007E0D0000}"/>
    <cellStyle name="Comma 5 2 4 2 2 4 2 2" xfId="14218" xr:uid="{00000000-0005-0000-0000-00007F0D0000}"/>
    <cellStyle name="Comma 5 2 4 2 2 4 2 2 2" xfId="24469" xr:uid="{00000000-0005-0000-0000-0000800D0000}"/>
    <cellStyle name="Comma 5 2 4 2 2 4 2 2 2 2" xfId="50022" xr:uid="{00000000-0005-0000-0000-0000810D0000}"/>
    <cellStyle name="Comma 5 2 4 2 2 4 2 2 3" xfId="39773" xr:uid="{00000000-0005-0000-0000-0000820D0000}"/>
    <cellStyle name="Comma 5 2 4 2 2 4 2 3" xfId="10639" xr:uid="{00000000-0005-0000-0000-0000830D0000}"/>
    <cellStyle name="Comma 5 2 4 2 2 4 2 3 2" xfId="36196" xr:uid="{00000000-0005-0000-0000-0000840D0000}"/>
    <cellStyle name="Comma 5 2 4 2 2 4 2 4" xfId="19462" xr:uid="{00000000-0005-0000-0000-0000850D0000}"/>
    <cellStyle name="Comma 5 2 4 2 2 4 2 4 2" xfId="45015" xr:uid="{00000000-0005-0000-0000-0000860D0000}"/>
    <cellStyle name="Comma 5 2 4 2 2 4 2 5" xfId="30952" xr:uid="{00000000-0005-0000-0000-0000870D0000}"/>
    <cellStyle name="Comma 5 2 4 2 2 4 3" xfId="6836" xr:uid="{00000000-0005-0000-0000-0000880D0000}"/>
    <cellStyle name="Comma 5 2 4 2 2 4 3 2" xfId="15663" xr:uid="{00000000-0005-0000-0000-0000890D0000}"/>
    <cellStyle name="Comma 5 2 4 2 2 4 3 2 2" xfId="41218" xr:uid="{00000000-0005-0000-0000-00008A0D0000}"/>
    <cellStyle name="Comma 5 2 4 2 2 4 3 3" xfId="25914" xr:uid="{00000000-0005-0000-0000-00008B0D0000}"/>
    <cellStyle name="Comma 5 2 4 2 2 4 3 3 2" xfId="51467" xr:uid="{00000000-0005-0000-0000-00008C0D0000}"/>
    <cellStyle name="Comma 5 2 4 2 2 4 3 4" xfId="32397" xr:uid="{00000000-0005-0000-0000-00008D0D0000}"/>
    <cellStyle name="Comma 5 2 4 2 2 4 4" xfId="8282" xr:uid="{00000000-0005-0000-0000-00008E0D0000}"/>
    <cellStyle name="Comma 5 2 4 2 2 4 4 2" xfId="22364" xr:uid="{00000000-0005-0000-0000-00008F0D0000}"/>
    <cellStyle name="Comma 5 2 4 2 2 4 4 2 2" xfId="47917" xr:uid="{00000000-0005-0000-0000-0000900D0000}"/>
    <cellStyle name="Comma 5 2 4 2 2 4 4 3" xfId="33839" xr:uid="{00000000-0005-0000-0000-0000910D0000}"/>
    <cellStyle name="Comma 5 2 4 2 2 4 5" xfId="17357" xr:uid="{00000000-0005-0000-0000-0000920D0000}"/>
    <cellStyle name="Comma 5 2 4 2 2 4 5 2" xfId="42910" xr:uid="{00000000-0005-0000-0000-0000930D0000}"/>
    <cellStyle name="Comma 5 2 4 2 2 4 6" xfId="28847" xr:uid="{00000000-0005-0000-0000-0000940D0000}"/>
    <cellStyle name="Comma 5 2 4 2 2 5" xfId="4337" xr:uid="{00000000-0005-0000-0000-0000950D0000}"/>
    <cellStyle name="Comma 5 2 4 2 2 5 2" xfId="13175" xr:uid="{00000000-0005-0000-0000-0000960D0000}"/>
    <cellStyle name="Comma 5 2 4 2 2 5 2 2" xfId="23426" xr:uid="{00000000-0005-0000-0000-0000970D0000}"/>
    <cellStyle name="Comma 5 2 4 2 2 5 2 2 2" xfId="48979" xr:uid="{00000000-0005-0000-0000-0000980D0000}"/>
    <cellStyle name="Comma 5 2 4 2 2 5 2 3" xfId="38730" xr:uid="{00000000-0005-0000-0000-0000990D0000}"/>
    <cellStyle name="Comma 5 2 4 2 2 5 3" xfId="9596" xr:uid="{00000000-0005-0000-0000-00009A0D0000}"/>
    <cellStyle name="Comma 5 2 4 2 2 5 3 2" xfId="35153" xr:uid="{00000000-0005-0000-0000-00009B0D0000}"/>
    <cellStyle name="Comma 5 2 4 2 2 5 4" xfId="18419" xr:uid="{00000000-0005-0000-0000-00009C0D0000}"/>
    <cellStyle name="Comma 5 2 4 2 2 5 4 2" xfId="43972" xr:uid="{00000000-0005-0000-0000-00009D0D0000}"/>
    <cellStyle name="Comma 5 2 4 2 2 5 5" xfId="29909" xr:uid="{00000000-0005-0000-0000-00009E0D0000}"/>
    <cellStyle name="Comma 5 2 4 2 2 6" xfId="1609" xr:uid="{00000000-0005-0000-0000-00009F0D0000}"/>
    <cellStyle name="Comma 5 2 4 2 2 6 2" xfId="10986" xr:uid="{00000000-0005-0000-0000-0000A00D0000}"/>
    <cellStyle name="Comma 5 2 4 2 2 6 2 2" xfId="36541" xr:uid="{00000000-0005-0000-0000-0000A10D0000}"/>
    <cellStyle name="Comma 5 2 4 2 2 6 3" xfId="20990" xr:uid="{00000000-0005-0000-0000-0000A20D0000}"/>
    <cellStyle name="Comma 5 2 4 2 2 6 3 2" xfId="46543" xr:uid="{00000000-0005-0000-0000-0000A30D0000}"/>
    <cellStyle name="Comma 5 2 4 2 2 6 4" xfId="27473" xr:uid="{00000000-0005-0000-0000-0000A40D0000}"/>
    <cellStyle name="Comma 5 2 4 2 2 7" xfId="5793" xr:uid="{00000000-0005-0000-0000-0000A50D0000}"/>
    <cellStyle name="Comma 5 2 4 2 2 7 2" xfId="14620" xr:uid="{00000000-0005-0000-0000-0000A60D0000}"/>
    <cellStyle name="Comma 5 2 4 2 2 7 2 2" xfId="40175" xr:uid="{00000000-0005-0000-0000-0000A70D0000}"/>
    <cellStyle name="Comma 5 2 4 2 2 7 3" xfId="24871" xr:uid="{00000000-0005-0000-0000-0000A80D0000}"/>
    <cellStyle name="Comma 5 2 4 2 2 7 3 2" xfId="50424" xr:uid="{00000000-0005-0000-0000-0000A90D0000}"/>
    <cellStyle name="Comma 5 2 4 2 2 7 4" xfId="31354" xr:uid="{00000000-0005-0000-0000-0000AA0D0000}"/>
    <cellStyle name="Comma 5 2 4 2 2 8" xfId="7237" xr:uid="{00000000-0005-0000-0000-0000AB0D0000}"/>
    <cellStyle name="Comma 5 2 4 2 2 8 2" xfId="19963" xr:uid="{00000000-0005-0000-0000-0000AC0D0000}"/>
    <cellStyle name="Comma 5 2 4 2 2 8 2 2" xfId="45516" xr:uid="{00000000-0005-0000-0000-0000AD0D0000}"/>
    <cellStyle name="Comma 5 2 4 2 2 8 3" xfId="32794" xr:uid="{00000000-0005-0000-0000-0000AE0D0000}"/>
    <cellStyle name="Comma 5 2 4 2 2 9" xfId="15983" xr:uid="{00000000-0005-0000-0000-0000AF0D0000}"/>
    <cellStyle name="Comma 5 2 4 2 2 9 2" xfId="41536" xr:uid="{00000000-0005-0000-0000-0000B00D0000}"/>
    <cellStyle name="Comma 5 2 4 2 3" xfId="417" xr:uid="{00000000-0005-0000-0000-0000B10D0000}"/>
    <cellStyle name="Comma 5 2 4 2 3 2" xfId="2903" xr:uid="{00000000-0005-0000-0000-0000B20D0000}"/>
    <cellStyle name="Comma 5 2 4 2 3 2 2" xfId="12191" xr:uid="{00000000-0005-0000-0000-0000B30D0000}"/>
    <cellStyle name="Comma 5 2 4 2 3 2 2 2" xfId="22264" xr:uid="{00000000-0005-0000-0000-0000B40D0000}"/>
    <cellStyle name="Comma 5 2 4 2 3 2 2 2 2" xfId="47817" xr:uid="{00000000-0005-0000-0000-0000B50D0000}"/>
    <cellStyle name="Comma 5 2 4 2 3 2 2 3" xfId="37746" xr:uid="{00000000-0005-0000-0000-0000B60D0000}"/>
    <cellStyle name="Comma 5 2 4 2 3 2 3" xfId="8512" xr:uid="{00000000-0005-0000-0000-0000B70D0000}"/>
    <cellStyle name="Comma 5 2 4 2 3 2 3 2" xfId="34069" xr:uid="{00000000-0005-0000-0000-0000B80D0000}"/>
    <cellStyle name="Comma 5 2 4 2 3 2 4" xfId="17257" xr:uid="{00000000-0005-0000-0000-0000B90D0000}"/>
    <cellStyle name="Comma 5 2 4 2 3 2 4 2" xfId="42810" xr:uid="{00000000-0005-0000-0000-0000BA0D0000}"/>
    <cellStyle name="Comma 5 2 4 2 3 2 5" xfId="28747" xr:uid="{00000000-0005-0000-0000-0000BB0D0000}"/>
    <cellStyle name="Comma 5 2 4 2 3 3" xfId="4456" xr:uid="{00000000-0005-0000-0000-0000BC0D0000}"/>
    <cellStyle name="Comma 5 2 4 2 3 3 2" xfId="13294" xr:uid="{00000000-0005-0000-0000-0000BD0D0000}"/>
    <cellStyle name="Comma 5 2 4 2 3 3 2 2" xfId="23545" xr:uid="{00000000-0005-0000-0000-0000BE0D0000}"/>
    <cellStyle name="Comma 5 2 4 2 3 3 2 2 2" xfId="49098" xr:uid="{00000000-0005-0000-0000-0000BF0D0000}"/>
    <cellStyle name="Comma 5 2 4 2 3 3 2 3" xfId="38849" xr:uid="{00000000-0005-0000-0000-0000C00D0000}"/>
    <cellStyle name="Comma 5 2 4 2 3 3 3" xfId="9715" xr:uid="{00000000-0005-0000-0000-0000C10D0000}"/>
    <cellStyle name="Comma 5 2 4 2 3 3 3 2" xfId="35272" xr:uid="{00000000-0005-0000-0000-0000C20D0000}"/>
    <cellStyle name="Comma 5 2 4 2 3 3 4" xfId="18538" xr:uid="{00000000-0005-0000-0000-0000C30D0000}"/>
    <cellStyle name="Comma 5 2 4 2 3 3 4 2" xfId="44091" xr:uid="{00000000-0005-0000-0000-0000C40D0000}"/>
    <cellStyle name="Comma 5 2 4 2 3 3 5" xfId="30028" xr:uid="{00000000-0005-0000-0000-0000C50D0000}"/>
    <cellStyle name="Comma 5 2 4 2 3 4" xfId="2012" xr:uid="{00000000-0005-0000-0000-0000C60D0000}"/>
    <cellStyle name="Comma 5 2 4 2 3 4 2" xfId="11377" xr:uid="{00000000-0005-0000-0000-0000C70D0000}"/>
    <cellStyle name="Comma 5 2 4 2 3 4 2 2" xfId="36932" xr:uid="{00000000-0005-0000-0000-0000C80D0000}"/>
    <cellStyle name="Comma 5 2 4 2 3 4 3" xfId="21381" xr:uid="{00000000-0005-0000-0000-0000C90D0000}"/>
    <cellStyle name="Comma 5 2 4 2 3 4 3 2" xfId="46934" xr:uid="{00000000-0005-0000-0000-0000CA0D0000}"/>
    <cellStyle name="Comma 5 2 4 2 3 4 4" xfId="27864" xr:uid="{00000000-0005-0000-0000-0000CB0D0000}"/>
    <cellStyle name="Comma 5 2 4 2 3 5" xfId="5912" xr:uid="{00000000-0005-0000-0000-0000CC0D0000}"/>
    <cellStyle name="Comma 5 2 4 2 3 5 2" xfId="14739" xr:uid="{00000000-0005-0000-0000-0000CD0D0000}"/>
    <cellStyle name="Comma 5 2 4 2 3 5 2 2" xfId="40294" xr:uid="{00000000-0005-0000-0000-0000CE0D0000}"/>
    <cellStyle name="Comma 5 2 4 2 3 5 3" xfId="24990" xr:uid="{00000000-0005-0000-0000-0000CF0D0000}"/>
    <cellStyle name="Comma 5 2 4 2 3 5 3 2" xfId="50543" xr:uid="{00000000-0005-0000-0000-0000D00D0000}"/>
    <cellStyle name="Comma 5 2 4 2 3 5 4" xfId="31473" xr:uid="{00000000-0005-0000-0000-0000D10D0000}"/>
    <cellStyle name="Comma 5 2 4 2 3 6" xfId="7356" xr:uid="{00000000-0005-0000-0000-0000D20D0000}"/>
    <cellStyle name="Comma 5 2 4 2 3 6 2" xfId="19863" xr:uid="{00000000-0005-0000-0000-0000D30D0000}"/>
    <cellStyle name="Comma 5 2 4 2 3 6 2 2" xfId="45416" xr:uid="{00000000-0005-0000-0000-0000D40D0000}"/>
    <cellStyle name="Comma 5 2 4 2 3 6 3" xfId="32913" xr:uid="{00000000-0005-0000-0000-0000D50D0000}"/>
    <cellStyle name="Comma 5 2 4 2 3 7" xfId="16374" xr:uid="{00000000-0005-0000-0000-0000D60D0000}"/>
    <cellStyle name="Comma 5 2 4 2 3 7 2" xfId="41927" xr:uid="{00000000-0005-0000-0000-0000D70D0000}"/>
    <cellStyle name="Comma 5 2 4 2 3 8" xfId="26346" xr:uid="{00000000-0005-0000-0000-0000D80D0000}"/>
    <cellStyle name="Comma 5 2 4 2 4" xfId="641" xr:uid="{00000000-0005-0000-0000-0000D90D0000}"/>
    <cellStyle name="Comma 5 2 4 2 4 2" xfId="3127" xr:uid="{00000000-0005-0000-0000-0000DA0D0000}"/>
    <cellStyle name="Comma 5 2 4 2 4 2 2" xfId="12270" xr:uid="{00000000-0005-0000-0000-0000DB0D0000}"/>
    <cellStyle name="Comma 5 2 4 2 4 2 2 2" xfId="22488" xr:uid="{00000000-0005-0000-0000-0000DC0D0000}"/>
    <cellStyle name="Comma 5 2 4 2 4 2 2 2 2" xfId="48041" xr:uid="{00000000-0005-0000-0000-0000DD0D0000}"/>
    <cellStyle name="Comma 5 2 4 2 4 2 2 3" xfId="37825" xr:uid="{00000000-0005-0000-0000-0000DE0D0000}"/>
    <cellStyle name="Comma 5 2 4 2 4 2 3" xfId="8692" xr:uid="{00000000-0005-0000-0000-0000DF0D0000}"/>
    <cellStyle name="Comma 5 2 4 2 4 2 3 2" xfId="34249" xr:uid="{00000000-0005-0000-0000-0000E00D0000}"/>
    <cellStyle name="Comma 5 2 4 2 4 2 4" xfId="17481" xr:uid="{00000000-0005-0000-0000-0000E10D0000}"/>
    <cellStyle name="Comma 5 2 4 2 4 2 4 2" xfId="43034" xr:uid="{00000000-0005-0000-0000-0000E20D0000}"/>
    <cellStyle name="Comma 5 2 4 2 4 2 5" xfId="28971" xr:uid="{00000000-0005-0000-0000-0000E30D0000}"/>
    <cellStyle name="Comma 5 2 4 2 4 3" xfId="4805" xr:uid="{00000000-0005-0000-0000-0000E40D0000}"/>
    <cellStyle name="Comma 5 2 4 2 4 3 2" xfId="13642" xr:uid="{00000000-0005-0000-0000-0000E50D0000}"/>
    <cellStyle name="Comma 5 2 4 2 4 3 2 2" xfId="23893" xr:uid="{00000000-0005-0000-0000-0000E60D0000}"/>
    <cellStyle name="Comma 5 2 4 2 4 3 2 2 2" xfId="49446" xr:uid="{00000000-0005-0000-0000-0000E70D0000}"/>
    <cellStyle name="Comma 5 2 4 2 4 3 2 3" xfId="39197" xr:uid="{00000000-0005-0000-0000-0000E80D0000}"/>
    <cellStyle name="Comma 5 2 4 2 4 3 3" xfId="10063" xr:uid="{00000000-0005-0000-0000-0000E90D0000}"/>
    <cellStyle name="Comma 5 2 4 2 4 3 3 2" xfId="35620" xr:uid="{00000000-0005-0000-0000-0000EA0D0000}"/>
    <cellStyle name="Comma 5 2 4 2 4 3 4" xfId="18886" xr:uid="{00000000-0005-0000-0000-0000EB0D0000}"/>
    <cellStyle name="Comma 5 2 4 2 4 3 4 2" xfId="44439" xr:uid="{00000000-0005-0000-0000-0000EC0D0000}"/>
    <cellStyle name="Comma 5 2 4 2 4 3 5" xfId="30376" xr:uid="{00000000-0005-0000-0000-0000ED0D0000}"/>
    <cellStyle name="Comma 5 2 4 2 4 4" xfId="2236" xr:uid="{00000000-0005-0000-0000-0000EE0D0000}"/>
    <cellStyle name="Comma 5 2 4 2 4 4 2" xfId="11601" xr:uid="{00000000-0005-0000-0000-0000EF0D0000}"/>
    <cellStyle name="Comma 5 2 4 2 4 4 2 2" xfId="37156" xr:uid="{00000000-0005-0000-0000-0000F00D0000}"/>
    <cellStyle name="Comma 5 2 4 2 4 4 3" xfId="21605" xr:uid="{00000000-0005-0000-0000-0000F10D0000}"/>
    <cellStyle name="Comma 5 2 4 2 4 4 3 2" xfId="47158" xr:uid="{00000000-0005-0000-0000-0000F20D0000}"/>
    <cellStyle name="Comma 5 2 4 2 4 4 4" xfId="28088" xr:uid="{00000000-0005-0000-0000-0000F30D0000}"/>
    <cellStyle name="Comma 5 2 4 2 4 5" xfId="6260" xr:uid="{00000000-0005-0000-0000-0000F40D0000}"/>
    <cellStyle name="Comma 5 2 4 2 4 5 2" xfId="15087" xr:uid="{00000000-0005-0000-0000-0000F50D0000}"/>
    <cellStyle name="Comma 5 2 4 2 4 5 2 2" xfId="40642" xr:uid="{00000000-0005-0000-0000-0000F60D0000}"/>
    <cellStyle name="Comma 5 2 4 2 4 5 3" xfId="25338" xr:uid="{00000000-0005-0000-0000-0000F70D0000}"/>
    <cellStyle name="Comma 5 2 4 2 4 5 3 2" xfId="50891" xr:uid="{00000000-0005-0000-0000-0000F80D0000}"/>
    <cellStyle name="Comma 5 2 4 2 4 5 4" xfId="31821" xr:uid="{00000000-0005-0000-0000-0000F90D0000}"/>
    <cellStyle name="Comma 5 2 4 2 4 6" xfId="7706" xr:uid="{00000000-0005-0000-0000-0000FA0D0000}"/>
    <cellStyle name="Comma 5 2 4 2 4 6 2" xfId="20087" xr:uid="{00000000-0005-0000-0000-0000FB0D0000}"/>
    <cellStyle name="Comma 5 2 4 2 4 6 2 2" xfId="45640" xr:uid="{00000000-0005-0000-0000-0000FC0D0000}"/>
    <cellStyle name="Comma 5 2 4 2 4 6 3" xfId="33263" xr:uid="{00000000-0005-0000-0000-0000FD0D0000}"/>
    <cellStyle name="Comma 5 2 4 2 4 7" xfId="16598" xr:uid="{00000000-0005-0000-0000-0000FE0D0000}"/>
    <cellStyle name="Comma 5 2 4 2 4 7 2" xfId="42151" xr:uid="{00000000-0005-0000-0000-0000FF0D0000}"/>
    <cellStyle name="Comma 5 2 4 2 4 8" xfId="26570" xr:uid="{00000000-0005-0000-0000-0000000E0000}"/>
    <cellStyle name="Comma 5 2 4 2 5" xfId="1189" xr:uid="{00000000-0005-0000-0000-0000010E0000}"/>
    <cellStyle name="Comma 5 2 4 2 5 2" xfId="3618" xr:uid="{00000000-0005-0000-0000-0000020E0000}"/>
    <cellStyle name="Comma 5 2 4 2 5 2 2" xfId="12754" xr:uid="{00000000-0005-0000-0000-0000030E0000}"/>
    <cellStyle name="Comma 5 2 4 2 5 2 2 2" xfId="22973" xr:uid="{00000000-0005-0000-0000-0000040E0000}"/>
    <cellStyle name="Comma 5 2 4 2 5 2 2 2 2" xfId="48526" xr:uid="{00000000-0005-0000-0000-0000050E0000}"/>
    <cellStyle name="Comma 5 2 4 2 5 2 2 3" xfId="38309" xr:uid="{00000000-0005-0000-0000-0000060E0000}"/>
    <cellStyle name="Comma 5 2 4 2 5 2 3" xfId="9175" xr:uid="{00000000-0005-0000-0000-0000070E0000}"/>
    <cellStyle name="Comma 5 2 4 2 5 2 3 2" xfId="34732" xr:uid="{00000000-0005-0000-0000-0000080E0000}"/>
    <cellStyle name="Comma 5 2 4 2 5 2 4" xfId="17966" xr:uid="{00000000-0005-0000-0000-0000090E0000}"/>
    <cellStyle name="Comma 5 2 4 2 5 2 4 2" xfId="43519" xr:uid="{00000000-0005-0000-0000-00000A0E0000}"/>
    <cellStyle name="Comma 5 2 4 2 5 2 5" xfId="29456" xr:uid="{00000000-0005-0000-0000-00000B0E0000}"/>
    <cellStyle name="Comma 5 2 4 2 5 3" xfId="5281" xr:uid="{00000000-0005-0000-0000-00000C0E0000}"/>
    <cellStyle name="Comma 5 2 4 2 5 3 2" xfId="14118" xr:uid="{00000000-0005-0000-0000-00000D0E0000}"/>
    <cellStyle name="Comma 5 2 4 2 5 3 2 2" xfId="24369" xr:uid="{00000000-0005-0000-0000-00000E0E0000}"/>
    <cellStyle name="Comma 5 2 4 2 5 3 2 2 2" xfId="49922" xr:uid="{00000000-0005-0000-0000-00000F0E0000}"/>
    <cellStyle name="Comma 5 2 4 2 5 3 2 3" xfId="39673" xr:uid="{00000000-0005-0000-0000-0000100E0000}"/>
    <cellStyle name="Comma 5 2 4 2 5 3 3" xfId="10539" xr:uid="{00000000-0005-0000-0000-0000110E0000}"/>
    <cellStyle name="Comma 5 2 4 2 5 3 3 2" xfId="36096" xr:uid="{00000000-0005-0000-0000-0000120E0000}"/>
    <cellStyle name="Comma 5 2 4 2 5 3 4" xfId="19362" xr:uid="{00000000-0005-0000-0000-0000130E0000}"/>
    <cellStyle name="Comma 5 2 4 2 5 3 4 2" xfId="44915" xr:uid="{00000000-0005-0000-0000-0000140E0000}"/>
    <cellStyle name="Comma 5 2 4 2 5 3 5" xfId="30852" xr:uid="{00000000-0005-0000-0000-0000150E0000}"/>
    <cellStyle name="Comma 5 2 4 2 5 4" xfId="1791" xr:uid="{00000000-0005-0000-0000-0000160E0000}"/>
    <cellStyle name="Comma 5 2 4 2 5 4 2" xfId="11160" xr:uid="{00000000-0005-0000-0000-0000170E0000}"/>
    <cellStyle name="Comma 5 2 4 2 5 4 2 2" xfId="36715" xr:uid="{00000000-0005-0000-0000-0000180E0000}"/>
    <cellStyle name="Comma 5 2 4 2 5 4 3" xfId="21164" xr:uid="{00000000-0005-0000-0000-0000190E0000}"/>
    <cellStyle name="Comma 5 2 4 2 5 4 3 2" xfId="46717" xr:uid="{00000000-0005-0000-0000-00001A0E0000}"/>
    <cellStyle name="Comma 5 2 4 2 5 4 4" xfId="27647" xr:uid="{00000000-0005-0000-0000-00001B0E0000}"/>
    <cellStyle name="Comma 5 2 4 2 5 5" xfId="6736" xr:uid="{00000000-0005-0000-0000-00001C0E0000}"/>
    <cellStyle name="Comma 5 2 4 2 5 5 2" xfId="15563" xr:uid="{00000000-0005-0000-0000-00001D0E0000}"/>
    <cellStyle name="Comma 5 2 4 2 5 5 2 2" xfId="41118" xr:uid="{00000000-0005-0000-0000-00001E0E0000}"/>
    <cellStyle name="Comma 5 2 4 2 5 5 3" xfId="25814" xr:uid="{00000000-0005-0000-0000-00001F0E0000}"/>
    <cellStyle name="Comma 5 2 4 2 5 5 3 2" xfId="51367" xr:uid="{00000000-0005-0000-0000-0000200E0000}"/>
    <cellStyle name="Comma 5 2 4 2 5 5 4" xfId="32297" xr:uid="{00000000-0005-0000-0000-0000210E0000}"/>
    <cellStyle name="Comma 5 2 4 2 5 6" xfId="8182" xr:uid="{00000000-0005-0000-0000-0000220E0000}"/>
    <cellStyle name="Comma 5 2 4 2 5 6 2" xfId="20572" xr:uid="{00000000-0005-0000-0000-0000230E0000}"/>
    <cellStyle name="Comma 5 2 4 2 5 6 2 2" xfId="46125" xr:uid="{00000000-0005-0000-0000-0000240E0000}"/>
    <cellStyle name="Comma 5 2 4 2 5 6 3" xfId="33739" xr:uid="{00000000-0005-0000-0000-0000250E0000}"/>
    <cellStyle name="Comma 5 2 4 2 5 7" xfId="16157" xr:uid="{00000000-0005-0000-0000-0000260E0000}"/>
    <cellStyle name="Comma 5 2 4 2 5 7 2" xfId="41710" xr:uid="{00000000-0005-0000-0000-0000270E0000}"/>
    <cellStyle name="Comma 5 2 4 2 5 8" xfId="27055" xr:uid="{00000000-0005-0000-0000-0000280E0000}"/>
    <cellStyle name="Comma 5 2 4 2 6" xfId="2686" xr:uid="{00000000-0005-0000-0000-0000290E0000}"/>
    <cellStyle name="Comma 5 2 4 2 6 2" xfId="12003" xr:uid="{00000000-0005-0000-0000-00002A0E0000}"/>
    <cellStyle name="Comma 5 2 4 2 6 2 2" xfId="22047" xr:uid="{00000000-0005-0000-0000-00002B0E0000}"/>
    <cellStyle name="Comma 5 2 4 2 6 2 2 2" xfId="47600" xr:uid="{00000000-0005-0000-0000-00002C0E0000}"/>
    <cellStyle name="Comma 5 2 4 2 6 2 3" xfId="37558" xr:uid="{00000000-0005-0000-0000-00002D0E0000}"/>
    <cellStyle name="Comma 5 2 4 2 6 3" xfId="8583" xr:uid="{00000000-0005-0000-0000-00002E0E0000}"/>
    <cellStyle name="Comma 5 2 4 2 6 3 2" xfId="34140" xr:uid="{00000000-0005-0000-0000-00002F0E0000}"/>
    <cellStyle name="Comma 5 2 4 2 6 4" xfId="17040" xr:uid="{00000000-0005-0000-0000-0000300E0000}"/>
    <cellStyle name="Comma 5 2 4 2 6 4 2" xfId="42593" xr:uid="{00000000-0005-0000-0000-0000310E0000}"/>
    <cellStyle name="Comma 5 2 4 2 6 5" xfId="28530" xr:uid="{00000000-0005-0000-0000-0000320E0000}"/>
    <cellStyle name="Comma 5 2 4 2 7" xfId="4237" xr:uid="{00000000-0005-0000-0000-0000330E0000}"/>
    <cellStyle name="Comma 5 2 4 2 7 2" xfId="13075" xr:uid="{00000000-0005-0000-0000-0000340E0000}"/>
    <cellStyle name="Comma 5 2 4 2 7 2 2" xfId="23326" xr:uid="{00000000-0005-0000-0000-0000350E0000}"/>
    <cellStyle name="Comma 5 2 4 2 7 2 2 2" xfId="48879" xr:uid="{00000000-0005-0000-0000-0000360E0000}"/>
    <cellStyle name="Comma 5 2 4 2 7 2 3" xfId="38630" xr:uid="{00000000-0005-0000-0000-0000370E0000}"/>
    <cellStyle name="Comma 5 2 4 2 7 3" xfId="9496" xr:uid="{00000000-0005-0000-0000-0000380E0000}"/>
    <cellStyle name="Comma 5 2 4 2 7 3 2" xfId="35053" xr:uid="{00000000-0005-0000-0000-0000390E0000}"/>
    <cellStyle name="Comma 5 2 4 2 7 4" xfId="18319" xr:uid="{00000000-0005-0000-0000-00003A0E0000}"/>
    <cellStyle name="Comma 5 2 4 2 7 4 2" xfId="43872" xr:uid="{00000000-0005-0000-0000-00003B0E0000}"/>
    <cellStyle name="Comma 5 2 4 2 7 5" xfId="29809" xr:uid="{00000000-0005-0000-0000-00003C0E0000}"/>
    <cellStyle name="Comma 5 2 4 2 8" xfId="1509" xr:uid="{00000000-0005-0000-0000-00003D0E0000}"/>
    <cellStyle name="Comma 5 2 4 2 8 2" xfId="10886" xr:uid="{00000000-0005-0000-0000-00003E0E0000}"/>
    <cellStyle name="Comma 5 2 4 2 8 2 2" xfId="36441" xr:uid="{00000000-0005-0000-0000-00003F0E0000}"/>
    <cellStyle name="Comma 5 2 4 2 8 3" xfId="20890" xr:uid="{00000000-0005-0000-0000-0000400E0000}"/>
    <cellStyle name="Comma 5 2 4 2 8 3 2" xfId="46443" xr:uid="{00000000-0005-0000-0000-0000410E0000}"/>
    <cellStyle name="Comma 5 2 4 2 8 4" xfId="27373" xr:uid="{00000000-0005-0000-0000-0000420E0000}"/>
    <cellStyle name="Comma 5 2 4 2 9" xfId="5693" xr:uid="{00000000-0005-0000-0000-0000430E0000}"/>
    <cellStyle name="Comma 5 2 4 2 9 2" xfId="14520" xr:uid="{00000000-0005-0000-0000-0000440E0000}"/>
    <cellStyle name="Comma 5 2 4 2 9 2 2" xfId="40075" xr:uid="{00000000-0005-0000-0000-0000450E0000}"/>
    <cellStyle name="Comma 5 2 4 2 9 3" xfId="24771" xr:uid="{00000000-0005-0000-0000-0000460E0000}"/>
    <cellStyle name="Comma 5 2 4 2 9 3 2" xfId="50324" xr:uid="{00000000-0005-0000-0000-0000470E0000}"/>
    <cellStyle name="Comma 5 2 4 2 9 4" xfId="31254" xr:uid="{00000000-0005-0000-0000-0000480E0000}"/>
    <cellStyle name="Comma 5 2 4 3" xfId="256" xr:uid="{00000000-0005-0000-0000-0000490E0000}"/>
    <cellStyle name="Comma 5 2 4 3 10" xfId="7094" xr:uid="{00000000-0005-0000-0000-00004A0E0000}"/>
    <cellStyle name="Comma 5 2 4 3 10 2" xfId="19708" xr:uid="{00000000-0005-0000-0000-00004B0E0000}"/>
    <cellStyle name="Comma 5 2 4 3 10 2 2" xfId="45261" xr:uid="{00000000-0005-0000-0000-00004C0E0000}"/>
    <cellStyle name="Comma 5 2 4 3 10 3" xfId="32651" xr:uid="{00000000-0005-0000-0000-00004D0E0000}"/>
    <cellStyle name="Comma 5 2 4 3 11" xfId="15840" xr:uid="{00000000-0005-0000-0000-00004E0E0000}"/>
    <cellStyle name="Comma 5 2 4 3 11 2" xfId="41393" xr:uid="{00000000-0005-0000-0000-00004F0E0000}"/>
    <cellStyle name="Comma 5 2 4 3 12" xfId="26191" xr:uid="{00000000-0005-0000-0000-0000500E0000}"/>
    <cellStyle name="Comma 5 2 4 3 2" xfId="579" xr:uid="{00000000-0005-0000-0000-0000510E0000}"/>
    <cellStyle name="Comma 5 2 4 3 2 10" xfId="26508" xr:uid="{00000000-0005-0000-0000-0000520E0000}"/>
    <cellStyle name="Comma 5 2 4 3 2 2" xfId="644" xr:uid="{00000000-0005-0000-0000-0000530E0000}"/>
    <cellStyle name="Comma 5 2 4 3 2 2 2" xfId="3130" xr:uid="{00000000-0005-0000-0000-0000540E0000}"/>
    <cellStyle name="Comma 5 2 4 3 2 2 2 2" xfId="12273" xr:uid="{00000000-0005-0000-0000-0000550E0000}"/>
    <cellStyle name="Comma 5 2 4 3 2 2 2 2 2" xfId="22491" xr:uid="{00000000-0005-0000-0000-0000560E0000}"/>
    <cellStyle name="Comma 5 2 4 3 2 2 2 2 2 2" xfId="48044" xr:uid="{00000000-0005-0000-0000-0000570E0000}"/>
    <cellStyle name="Comma 5 2 4 3 2 2 2 2 3" xfId="37828" xr:uid="{00000000-0005-0000-0000-0000580E0000}"/>
    <cellStyle name="Comma 5 2 4 3 2 2 2 3" xfId="8695" xr:uid="{00000000-0005-0000-0000-0000590E0000}"/>
    <cellStyle name="Comma 5 2 4 3 2 2 2 3 2" xfId="34252" xr:uid="{00000000-0005-0000-0000-00005A0E0000}"/>
    <cellStyle name="Comma 5 2 4 3 2 2 2 4" xfId="17484" xr:uid="{00000000-0005-0000-0000-00005B0E0000}"/>
    <cellStyle name="Comma 5 2 4 3 2 2 2 4 2" xfId="43037" xr:uid="{00000000-0005-0000-0000-00005C0E0000}"/>
    <cellStyle name="Comma 5 2 4 3 2 2 2 5" xfId="28974" xr:uid="{00000000-0005-0000-0000-00005D0E0000}"/>
    <cellStyle name="Comma 5 2 4 3 2 2 3" xfId="4459" xr:uid="{00000000-0005-0000-0000-00005E0E0000}"/>
    <cellStyle name="Comma 5 2 4 3 2 2 3 2" xfId="13297" xr:uid="{00000000-0005-0000-0000-00005F0E0000}"/>
    <cellStyle name="Comma 5 2 4 3 2 2 3 2 2" xfId="23548" xr:uid="{00000000-0005-0000-0000-0000600E0000}"/>
    <cellStyle name="Comma 5 2 4 3 2 2 3 2 2 2" xfId="49101" xr:uid="{00000000-0005-0000-0000-0000610E0000}"/>
    <cellStyle name="Comma 5 2 4 3 2 2 3 2 3" xfId="38852" xr:uid="{00000000-0005-0000-0000-0000620E0000}"/>
    <cellStyle name="Comma 5 2 4 3 2 2 3 3" xfId="9718" xr:uid="{00000000-0005-0000-0000-0000630E0000}"/>
    <cellStyle name="Comma 5 2 4 3 2 2 3 3 2" xfId="35275" xr:uid="{00000000-0005-0000-0000-0000640E0000}"/>
    <cellStyle name="Comma 5 2 4 3 2 2 3 4" xfId="18541" xr:uid="{00000000-0005-0000-0000-0000650E0000}"/>
    <cellStyle name="Comma 5 2 4 3 2 2 3 4 2" xfId="44094" xr:uid="{00000000-0005-0000-0000-0000660E0000}"/>
    <cellStyle name="Comma 5 2 4 3 2 2 3 5" xfId="30031" xr:uid="{00000000-0005-0000-0000-0000670E0000}"/>
    <cellStyle name="Comma 5 2 4 3 2 2 4" xfId="2239" xr:uid="{00000000-0005-0000-0000-0000680E0000}"/>
    <cellStyle name="Comma 5 2 4 3 2 2 4 2" xfId="11604" xr:uid="{00000000-0005-0000-0000-0000690E0000}"/>
    <cellStyle name="Comma 5 2 4 3 2 2 4 2 2" xfId="37159" xr:uid="{00000000-0005-0000-0000-00006A0E0000}"/>
    <cellStyle name="Comma 5 2 4 3 2 2 4 3" xfId="21608" xr:uid="{00000000-0005-0000-0000-00006B0E0000}"/>
    <cellStyle name="Comma 5 2 4 3 2 2 4 3 2" xfId="47161" xr:uid="{00000000-0005-0000-0000-00006C0E0000}"/>
    <cellStyle name="Comma 5 2 4 3 2 2 4 4" xfId="28091" xr:uid="{00000000-0005-0000-0000-00006D0E0000}"/>
    <cellStyle name="Comma 5 2 4 3 2 2 5" xfId="5915" xr:uid="{00000000-0005-0000-0000-00006E0E0000}"/>
    <cellStyle name="Comma 5 2 4 3 2 2 5 2" xfId="14742" xr:uid="{00000000-0005-0000-0000-00006F0E0000}"/>
    <cellStyle name="Comma 5 2 4 3 2 2 5 2 2" xfId="40297" xr:uid="{00000000-0005-0000-0000-0000700E0000}"/>
    <cellStyle name="Comma 5 2 4 3 2 2 5 3" xfId="24993" xr:uid="{00000000-0005-0000-0000-0000710E0000}"/>
    <cellStyle name="Comma 5 2 4 3 2 2 5 3 2" xfId="50546" xr:uid="{00000000-0005-0000-0000-0000720E0000}"/>
    <cellStyle name="Comma 5 2 4 3 2 2 5 4" xfId="31476" xr:uid="{00000000-0005-0000-0000-0000730E0000}"/>
    <cellStyle name="Comma 5 2 4 3 2 2 6" xfId="7359" xr:uid="{00000000-0005-0000-0000-0000740E0000}"/>
    <cellStyle name="Comma 5 2 4 3 2 2 6 2" xfId="20090" xr:uid="{00000000-0005-0000-0000-0000750E0000}"/>
    <cellStyle name="Comma 5 2 4 3 2 2 6 2 2" xfId="45643" xr:uid="{00000000-0005-0000-0000-0000760E0000}"/>
    <cellStyle name="Comma 5 2 4 3 2 2 6 3" xfId="32916" xr:uid="{00000000-0005-0000-0000-0000770E0000}"/>
    <cellStyle name="Comma 5 2 4 3 2 2 7" xfId="16601" xr:uid="{00000000-0005-0000-0000-0000780E0000}"/>
    <cellStyle name="Comma 5 2 4 3 2 2 7 2" xfId="42154" xr:uid="{00000000-0005-0000-0000-0000790E0000}"/>
    <cellStyle name="Comma 5 2 4 3 2 2 8" xfId="26573" xr:uid="{00000000-0005-0000-0000-00007A0E0000}"/>
    <cellStyle name="Comma 5 2 4 3 2 3" xfId="1351" xr:uid="{00000000-0005-0000-0000-00007B0E0000}"/>
    <cellStyle name="Comma 5 2 4 3 2 3 2" xfId="3780" xr:uid="{00000000-0005-0000-0000-00007C0E0000}"/>
    <cellStyle name="Comma 5 2 4 3 2 3 2 2" xfId="12916" xr:uid="{00000000-0005-0000-0000-00007D0E0000}"/>
    <cellStyle name="Comma 5 2 4 3 2 3 2 2 2" xfId="23135" xr:uid="{00000000-0005-0000-0000-00007E0E0000}"/>
    <cellStyle name="Comma 5 2 4 3 2 3 2 2 2 2" xfId="48688" xr:uid="{00000000-0005-0000-0000-00007F0E0000}"/>
    <cellStyle name="Comma 5 2 4 3 2 3 2 2 3" xfId="38471" xr:uid="{00000000-0005-0000-0000-0000800E0000}"/>
    <cellStyle name="Comma 5 2 4 3 2 3 2 3" xfId="9337" xr:uid="{00000000-0005-0000-0000-0000810E0000}"/>
    <cellStyle name="Comma 5 2 4 3 2 3 2 3 2" xfId="34894" xr:uid="{00000000-0005-0000-0000-0000820E0000}"/>
    <cellStyle name="Comma 5 2 4 3 2 3 2 4" xfId="18128" xr:uid="{00000000-0005-0000-0000-0000830E0000}"/>
    <cellStyle name="Comma 5 2 4 3 2 3 2 4 2" xfId="43681" xr:uid="{00000000-0005-0000-0000-0000840E0000}"/>
    <cellStyle name="Comma 5 2 4 3 2 3 2 5" xfId="29618" xr:uid="{00000000-0005-0000-0000-0000850E0000}"/>
    <cellStyle name="Comma 5 2 4 3 2 3 3" xfId="4808" xr:uid="{00000000-0005-0000-0000-0000860E0000}"/>
    <cellStyle name="Comma 5 2 4 3 2 3 3 2" xfId="13645" xr:uid="{00000000-0005-0000-0000-0000870E0000}"/>
    <cellStyle name="Comma 5 2 4 3 2 3 3 2 2" xfId="23896" xr:uid="{00000000-0005-0000-0000-0000880E0000}"/>
    <cellStyle name="Comma 5 2 4 3 2 3 3 2 2 2" xfId="49449" xr:uid="{00000000-0005-0000-0000-0000890E0000}"/>
    <cellStyle name="Comma 5 2 4 3 2 3 3 2 3" xfId="39200" xr:uid="{00000000-0005-0000-0000-00008A0E0000}"/>
    <cellStyle name="Comma 5 2 4 3 2 3 3 3" xfId="10066" xr:uid="{00000000-0005-0000-0000-00008B0E0000}"/>
    <cellStyle name="Comma 5 2 4 3 2 3 3 3 2" xfId="35623" xr:uid="{00000000-0005-0000-0000-00008C0E0000}"/>
    <cellStyle name="Comma 5 2 4 3 2 3 3 4" xfId="18889" xr:uid="{00000000-0005-0000-0000-00008D0E0000}"/>
    <cellStyle name="Comma 5 2 4 3 2 3 3 4 2" xfId="44442" xr:uid="{00000000-0005-0000-0000-00008E0E0000}"/>
    <cellStyle name="Comma 5 2 4 3 2 3 3 5" xfId="30379" xr:uid="{00000000-0005-0000-0000-00008F0E0000}"/>
    <cellStyle name="Comma 5 2 4 3 2 3 4" xfId="2174" xr:uid="{00000000-0005-0000-0000-0000900E0000}"/>
    <cellStyle name="Comma 5 2 4 3 2 3 4 2" xfId="11539" xr:uid="{00000000-0005-0000-0000-0000910E0000}"/>
    <cellStyle name="Comma 5 2 4 3 2 3 4 2 2" xfId="37094" xr:uid="{00000000-0005-0000-0000-0000920E0000}"/>
    <cellStyle name="Comma 5 2 4 3 2 3 4 3" xfId="21543" xr:uid="{00000000-0005-0000-0000-0000930E0000}"/>
    <cellStyle name="Comma 5 2 4 3 2 3 4 3 2" xfId="47096" xr:uid="{00000000-0005-0000-0000-0000940E0000}"/>
    <cellStyle name="Comma 5 2 4 3 2 3 4 4" xfId="28026" xr:uid="{00000000-0005-0000-0000-0000950E0000}"/>
    <cellStyle name="Comma 5 2 4 3 2 3 5" xfId="6263" xr:uid="{00000000-0005-0000-0000-0000960E0000}"/>
    <cellStyle name="Comma 5 2 4 3 2 3 5 2" xfId="15090" xr:uid="{00000000-0005-0000-0000-0000970E0000}"/>
    <cellStyle name="Comma 5 2 4 3 2 3 5 2 2" xfId="40645" xr:uid="{00000000-0005-0000-0000-0000980E0000}"/>
    <cellStyle name="Comma 5 2 4 3 2 3 5 3" xfId="25341" xr:uid="{00000000-0005-0000-0000-0000990E0000}"/>
    <cellStyle name="Comma 5 2 4 3 2 3 5 3 2" xfId="50894" xr:uid="{00000000-0005-0000-0000-00009A0E0000}"/>
    <cellStyle name="Comma 5 2 4 3 2 3 5 4" xfId="31824" xr:uid="{00000000-0005-0000-0000-00009B0E0000}"/>
    <cellStyle name="Comma 5 2 4 3 2 3 6" xfId="7709" xr:uid="{00000000-0005-0000-0000-00009C0E0000}"/>
    <cellStyle name="Comma 5 2 4 3 2 3 6 2" xfId="20734" xr:uid="{00000000-0005-0000-0000-00009D0E0000}"/>
    <cellStyle name="Comma 5 2 4 3 2 3 6 2 2" xfId="46287" xr:uid="{00000000-0005-0000-0000-00009E0E0000}"/>
    <cellStyle name="Comma 5 2 4 3 2 3 6 3" xfId="33266" xr:uid="{00000000-0005-0000-0000-00009F0E0000}"/>
    <cellStyle name="Comma 5 2 4 3 2 3 7" xfId="16536" xr:uid="{00000000-0005-0000-0000-0000A00E0000}"/>
    <cellStyle name="Comma 5 2 4 3 2 3 7 2" xfId="42089" xr:uid="{00000000-0005-0000-0000-0000A10E0000}"/>
    <cellStyle name="Comma 5 2 4 3 2 3 8" xfId="27217" xr:uid="{00000000-0005-0000-0000-0000A20E0000}"/>
    <cellStyle name="Comma 5 2 4 3 2 4" xfId="3065" xr:uid="{00000000-0005-0000-0000-0000A30E0000}"/>
    <cellStyle name="Comma 5 2 4 3 2 4 2" xfId="5443" xr:uid="{00000000-0005-0000-0000-0000A40E0000}"/>
    <cellStyle name="Comma 5 2 4 3 2 4 2 2" xfId="14280" xr:uid="{00000000-0005-0000-0000-0000A50E0000}"/>
    <cellStyle name="Comma 5 2 4 3 2 4 2 2 2" xfId="24531" xr:uid="{00000000-0005-0000-0000-0000A60E0000}"/>
    <cellStyle name="Comma 5 2 4 3 2 4 2 2 2 2" xfId="50084" xr:uid="{00000000-0005-0000-0000-0000A70E0000}"/>
    <cellStyle name="Comma 5 2 4 3 2 4 2 2 3" xfId="39835" xr:uid="{00000000-0005-0000-0000-0000A80E0000}"/>
    <cellStyle name="Comma 5 2 4 3 2 4 2 3" xfId="10701" xr:uid="{00000000-0005-0000-0000-0000A90E0000}"/>
    <cellStyle name="Comma 5 2 4 3 2 4 2 3 2" xfId="36258" xr:uid="{00000000-0005-0000-0000-0000AA0E0000}"/>
    <cellStyle name="Comma 5 2 4 3 2 4 2 4" xfId="19524" xr:uid="{00000000-0005-0000-0000-0000AB0E0000}"/>
    <cellStyle name="Comma 5 2 4 3 2 4 2 4 2" xfId="45077" xr:uid="{00000000-0005-0000-0000-0000AC0E0000}"/>
    <cellStyle name="Comma 5 2 4 3 2 4 2 5" xfId="31014" xr:uid="{00000000-0005-0000-0000-0000AD0E0000}"/>
    <cellStyle name="Comma 5 2 4 3 2 4 3" xfId="6898" xr:uid="{00000000-0005-0000-0000-0000AE0E0000}"/>
    <cellStyle name="Comma 5 2 4 3 2 4 3 2" xfId="15725" xr:uid="{00000000-0005-0000-0000-0000AF0E0000}"/>
    <cellStyle name="Comma 5 2 4 3 2 4 3 2 2" xfId="41280" xr:uid="{00000000-0005-0000-0000-0000B00E0000}"/>
    <cellStyle name="Comma 5 2 4 3 2 4 3 3" xfId="25976" xr:uid="{00000000-0005-0000-0000-0000B10E0000}"/>
    <cellStyle name="Comma 5 2 4 3 2 4 3 3 2" xfId="51529" xr:uid="{00000000-0005-0000-0000-0000B20E0000}"/>
    <cellStyle name="Comma 5 2 4 3 2 4 3 4" xfId="32459" xr:uid="{00000000-0005-0000-0000-0000B30E0000}"/>
    <cellStyle name="Comma 5 2 4 3 2 4 4" xfId="8344" xr:uid="{00000000-0005-0000-0000-0000B40E0000}"/>
    <cellStyle name="Comma 5 2 4 3 2 4 4 2" xfId="22426" xr:uid="{00000000-0005-0000-0000-0000B50E0000}"/>
    <cellStyle name="Comma 5 2 4 3 2 4 4 2 2" xfId="47979" xr:uid="{00000000-0005-0000-0000-0000B60E0000}"/>
    <cellStyle name="Comma 5 2 4 3 2 4 4 3" xfId="33901" xr:uid="{00000000-0005-0000-0000-0000B70E0000}"/>
    <cellStyle name="Comma 5 2 4 3 2 4 5" xfId="17419" xr:uid="{00000000-0005-0000-0000-0000B80E0000}"/>
    <cellStyle name="Comma 5 2 4 3 2 4 5 2" xfId="42972" xr:uid="{00000000-0005-0000-0000-0000B90E0000}"/>
    <cellStyle name="Comma 5 2 4 3 2 4 6" xfId="28909" xr:uid="{00000000-0005-0000-0000-0000BA0E0000}"/>
    <cellStyle name="Comma 5 2 4 3 2 5" xfId="4399" xr:uid="{00000000-0005-0000-0000-0000BB0E0000}"/>
    <cellStyle name="Comma 5 2 4 3 2 5 2" xfId="13237" xr:uid="{00000000-0005-0000-0000-0000BC0E0000}"/>
    <cellStyle name="Comma 5 2 4 3 2 5 2 2" xfId="23488" xr:uid="{00000000-0005-0000-0000-0000BD0E0000}"/>
    <cellStyle name="Comma 5 2 4 3 2 5 2 2 2" xfId="49041" xr:uid="{00000000-0005-0000-0000-0000BE0E0000}"/>
    <cellStyle name="Comma 5 2 4 3 2 5 2 3" xfId="38792" xr:uid="{00000000-0005-0000-0000-0000BF0E0000}"/>
    <cellStyle name="Comma 5 2 4 3 2 5 3" xfId="9658" xr:uid="{00000000-0005-0000-0000-0000C00E0000}"/>
    <cellStyle name="Comma 5 2 4 3 2 5 3 2" xfId="35215" xr:uid="{00000000-0005-0000-0000-0000C10E0000}"/>
    <cellStyle name="Comma 5 2 4 3 2 5 4" xfId="18481" xr:uid="{00000000-0005-0000-0000-0000C20E0000}"/>
    <cellStyle name="Comma 5 2 4 3 2 5 4 2" xfId="44034" xr:uid="{00000000-0005-0000-0000-0000C30E0000}"/>
    <cellStyle name="Comma 5 2 4 3 2 5 5" xfId="29971" xr:uid="{00000000-0005-0000-0000-0000C40E0000}"/>
    <cellStyle name="Comma 5 2 4 3 2 6" xfId="1671" xr:uid="{00000000-0005-0000-0000-0000C50E0000}"/>
    <cellStyle name="Comma 5 2 4 3 2 6 2" xfId="11048" xr:uid="{00000000-0005-0000-0000-0000C60E0000}"/>
    <cellStyle name="Comma 5 2 4 3 2 6 2 2" xfId="36603" xr:uid="{00000000-0005-0000-0000-0000C70E0000}"/>
    <cellStyle name="Comma 5 2 4 3 2 6 3" xfId="21052" xr:uid="{00000000-0005-0000-0000-0000C80E0000}"/>
    <cellStyle name="Comma 5 2 4 3 2 6 3 2" xfId="46605" xr:uid="{00000000-0005-0000-0000-0000C90E0000}"/>
    <cellStyle name="Comma 5 2 4 3 2 6 4" xfId="27535" xr:uid="{00000000-0005-0000-0000-0000CA0E0000}"/>
    <cellStyle name="Comma 5 2 4 3 2 7" xfId="5855" xr:uid="{00000000-0005-0000-0000-0000CB0E0000}"/>
    <cellStyle name="Comma 5 2 4 3 2 7 2" xfId="14682" xr:uid="{00000000-0005-0000-0000-0000CC0E0000}"/>
    <cellStyle name="Comma 5 2 4 3 2 7 2 2" xfId="40237" xr:uid="{00000000-0005-0000-0000-0000CD0E0000}"/>
    <cellStyle name="Comma 5 2 4 3 2 7 3" xfId="24933" xr:uid="{00000000-0005-0000-0000-0000CE0E0000}"/>
    <cellStyle name="Comma 5 2 4 3 2 7 3 2" xfId="50486" xr:uid="{00000000-0005-0000-0000-0000CF0E0000}"/>
    <cellStyle name="Comma 5 2 4 3 2 7 4" xfId="31416" xr:uid="{00000000-0005-0000-0000-0000D00E0000}"/>
    <cellStyle name="Comma 5 2 4 3 2 8" xfId="7299" xr:uid="{00000000-0005-0000-0000-0000D10E0000}"/>
    <cellStyle name="Comma 5 2 4 3 2 8 2" xfId="20025" xr:uid="{00000000-0005-0000-0000-0000D20E0000}"/>
    <cellStyle name="Comma 5 2 4 3 2 8 2 2" xfId="45578" xr:uid="{00000000-0005-0000-0000-0000D30E0000}"/>
    <cellStyle name="Comma 5 2 4 3 2 8 3" xfId="32856" xr:uid="{00000000-0005-0000-0000-0000D40E0000}"/>
    <cellStyle name="Comma 5 2 4 3 2 9" xfId="16045" xr:uid="{00000000-0005-0000-0000-0000D50E0000}"/>
    <cellStyle name="Comma 5 2 4 3 2 9 2" xfId="41598" xr:uid="{00000000-0005-0000-0000-0000D60E0000}"/>
    <cellStyle name="Comma 5 2 4 3 3" xfId="374" xr:uid="{00000000-0005-0000-0000-0000D70E0000}"/>
    <cellStyle name="Comma 5 2 4 3 3 2" xfId="2860" xr:uid="{00000000-0005-0000-0000-0000D80E0000}"/>
    <cellStyle name="Comma 5 2 4 3 3 2 2" xfId="12148" xr:uid="{00000000-0005-0000-0000-0000D90E0000}"/>
    <cellStyle name="Comma 5 2 4 3 3 2 2 2" xfId="22221" xr:uid="{00000000-0005-0000-0000-0000DA0E0000}"/>
    <cellStyle name="Comma 5 2 4 3 3 2 2 2 2" xfId="47774" xr:uid="{00000000-0005-0000-0000-0000DB0E0000}"/>
    <cellStyle name="Comma 5 2 4 3 3 2 2 3" xfId="37703" xr:uid="{00000000-0005-0000-0000-0000DC0E0000}"/>
    <cellStyle name="Comma 5 2 4 3 3 2 3" xfId="8632" xr:uid="{00000000-0005-0000-0000-0000DD0E0000}"/>
    <cellStyle name="Comma 5 2 4 3 3 2 3 2" xfId="34189" xr:uid="{00000000-0005-0000-0000-0000DE0E0000}"/>
    <cellStyle name="Comma 5 2 4 3 3 2 4" xfId="17214" xr:uid="{00000000-0005-0000-0000-0000DF0E0000}"/>
    <cellStyle name="Comma 5 2 4 3 3 2 4 2" xfId="42767" xr:uid="{00000000-0005-0000-0000-0000E00E0000}"/>
    <cellStyle name="Comma 5 2 4 3 3 2 5" xfId="28704" xr:uid="{00000000-0005-0000-0000-0000E10E0000}"/>
    <cellStyle name="Comma 5 2 4 3 3 3" xfId="4458" xr:uid="{00000000-0005-0000-0000-0000E20E0000}"/>
    <cellStyle name="Comma 5 2 4 3 3 3 2" xfId="13296" xr:uid="{00000000-0005-0000-0000-0000E30E0000}"/>
    <cellStyle name="Comma 5 2 4 3 3 3 2 2" xfId="23547" xr:uid="{00000000-0005-0000-0000-0000E40E0000}"/>
    <cellStyle name="Comma 5 2 4 3 3 3 2 2 2" xfId="49100" xr:uid="{00000000-0005-0000-0000-0000E50E0000}"/>
    <cellStyle name="Comma 5 2 4 3 3 3 2 3" xfId="38851" xr:uid="{00000000-0005-0000-0000-0000E60E0000}"/>
    <cellStyle name="Comma 5 2 4 3 3 3 3" xfId="9717" xr:uid="{00000000-0005-0000-0000-0000E70E0000}"/>
    <cellStyle name="Comma 5 2 4 3 3 3 3 2" xfId="35274" xr:uid="{00000000-0005-0000-0000-0000E80E0000}"/>
    <cellStyle name="Comma 5 2 4 3 3 3 4" xfId="18540" xr:uid="{00000000-0005-0000-0000-0000E90E0000}"/>
    <cellStyle name="Comma 5 2 4 3 3 3 4 2" xfId="44093" xr:uid="{00000000-0005-0000-0000-0000EA0E0000}"/>
    <cellStyle name="Comma 5 2 4 3 3 3 5" xfId="30030" xr:uid="{00000000-0005-0000-0000-0000EB0E0000}"/>
    <cellStyle name="Comma 5 2 4 3 3 4" xfId="1969" xr:uid="{00000000-0005-0000-0000-0000EC0E0000}"/>
    <cellStyle name="Comma 5 2 4 3 3 4 2" xfId="11334" xr:uid="{00000000-0005-0000-0000-0000ED0E0000}"/>
    <cellStyle name="Comma 5 2 4 3 3 4 2 2" xfId="36889" xr:uid="{00000000-0005-0000-0000-0000EE0E0000}"/>
    <cellStyle name="Comma 5 2 4 3 3 4 3" xfId="21338" xr:uid="{00000000-0005-0000-0000-0000EF0E0000}"/>
    <cellStyle name="Comma 5 2 4 3 3 4 3 2" xfId="46891" xr:uid="{00000000-0005-0000-0000-0000F00E0000}"/>
    <cellStyle name="Comma 5 2 4 3 3 4 4" xfId="27821" xr:uid="{00000000-0005-0000-0000-0000F10E0000}"/>
    <cellStyle name="Comma 5 2 4 3 3 5" xfId="5914" xr:uid="{00000000-0005-0000-0000-0000F20E0000}"/>
    <cellStyle name="Comma 5 2 4 3 3 5 2" xfId="14741" xr:uid="{00000000-0005-0000-0000-0000F30E0000}"/>
    <cellStyle name="Comma 5 2 4 3 3 5 2 2" xfId="40296" xr:uid="{00000000-0005-0000-0000-0000F40E0000}"/>
    <cellStyle name="Comma 5 2 4 3 3 5 3" xfId="24992" xr:uid="{00000000-0005-0000-0000-0000F50E0000}"/>
    <cellStyle name="Comma 5 2 4 3 3 5 3 2" xfId="50545" xr:uid="{00000000-0005-0000-0000-0000F60E0000}"/>
    <cellStyle name="Comma 5 2 4 3 3 5 4" xfId="31475" xr:uid="{00000000-0005-0000-0000-0000F70E0000}"/>
    <cellStyle name="Comma 5 2 4 3 3 6" xfId="7358" xr:uid="{00000000-0005-0000-0000-0000F80E0000}"/>
    <cellStyle name="Comma 5 2 4 3 3 6 2" xfId="19820" xr:uid="{00000000-0005-0000-0000-0000F90E0000}"/>
    <cellStyle name="Comma 5 2 4 3 3 6 2 2" xfId="45373" xr:uid="{00000000-0005-0000-0000-0000FA0E0000}"/>
    <cellStyle name="Comma 5 2 4 3 3 6 3" xfId="32915" xr:uid="{00000000-0005-0000-0000-0000FB0E0000}"/>
    <cellStyle name="Comma 5 2 4 3 3 7" xfId="16331" xr:uid="{00000000-0005-0000-0000-0000FC0E0000}"/>
    <cellStyle name="Comma 5 2 4 3 3 7 2" xfId="41884" xr:uid="{00000000-0005-0000-0000-0000FD0E0000}"/>
    <cellStyle name="Comma 5 2 4 3 3 8" xfId="26303" xr:uid="{00000000-0005-0000-0000-0000FE0E0000}"/>
    <cellStyle name="Comma 5 2 4 3 4" xfId="643" xr:uid="{00000000-0005-0000-0000-0000FF0E0000}"/>
    <cellStyle name="Comma 5 2 4 3 4 2" xfId="3129" xr:uid="{00000000-0005-0000-0000-0000000F0000}"/>
    <cellStyle name="Comma 5 2 4 3 4 2 2" xfId="12272" xr:uid="{00000000-0005-0000-0000-0000010F0000}"/>
    <cellStyle name="Comma 5 2 4 3 4 2 2 2" xfId="22490" xr:uid="{00000000-0005-0000-0000-0000020F0000}"/>
    <cellStyle name="Comma 5 2 4 3 4 2 2 2 2" xfId="48043" xr:uid="{00000000-0005-0000-0000-0000030F0000}"/>
    <cellStyle name="Comma 5 2 4 3 4 2 2 3" xfId="37827" xr:uid="{00000000-0005-0000-0000-0000040F0000}"/>
    <cellStyle name="Comma 5 2 4 3 4 2 3" xfId="8694" xr:uid="{00000000-0005-0000-0000-0000050F0000}"/>
    <cellStyle name="Comma 5 2 4 3 4 2 3 2" xfId="34251" xr:uid="{00000000-0005-0000-0000-0000060F0000}"/>
    <cellStyle name="Comma 5 2 4 3 4 2 4" xfId="17483" xr:uid="{00000000-0005-0000-0000-0000070F0000}"/>
    <cellStyle name="Comma 5 2 4 3 4 2 4 2" xfId="43036" xr:uid="{00000000-0005-0000-0000-0000080F0000}"/>
    <cellStyle name="Comma 5 2 4 3 4 2 5" xfId="28973" xr:uid="{00000000-0005-0000-0000-0000090F0000}"/>
    <cellStyle name="Comma 5 2 4 3 4 3" xfId="4807" xr:uid="{00000000-0005-0000-0000-00000A0F0000}"/>
    <cellStyle name="Comma 5 2 4 3 4 3 2" xfId="13644" xr:uid="{00000000-0005-0000-0000-00000B0F0000}"/>
    <cellStyle name="Comma 5 2 4 3 4 3 2 2" xfId="23895" xr:uid="{00000000-0005-0000-0000-00000C0F0000}"/>
    <cellStyle name="Comma 5 2 4 3 4 3 2 2 2" xfId="49448" xr:uid="{00000000-0005-0000-0000-00000D0F0000}"/>
    <cellStyle name="Comma 5 2 4 3 4 3 2 3" xfId="39199" xr:uid="{00000000-0005-0000-0000-00000E0F0000}"/>
    <cellStyle name="Comma 5 2 4 3 4 3 3" xfId="10065" xr:uid="{00000000-0005-0000-0000-00000F0F0000}"/>
    <cellStyle name="Comma 5 2 4 3 4 3 3 2" xfId="35622" xr:uid="{00000000-0005-0000-0000-0000100F0000}"/>
    <cellStyle name="Comma 5 2 4 3 4 3 4" xfId="18888" xr:uid="{00000000-0005-0000-0000-0000110F0000}"/>
    <cellStyle name="Comma 5 2 4 3 4 3 4 2" xfId="44441" xr:uid="{00000000-0005-0000-0000-0000120F0000}"/>
    <cellStyle name="Comma 5 2 4 3 4 3 5" xfId="30378" xr:uid="{00000000-0005-0000-0000-0000130F0000}"/>
    <cellStyle name="Comma 5 2 4 3 4 4" xfId="2238" xr:uid="{00000000-0005-0000-0000-0000140F0000}"/>
    <cellStyle name="Comma 5 2 4 3 4 4 2" xfId="11603" xr:uid="{00000000-0005-0000-0000-0000150F0000}"/>
    <cellStyle name="Comma 5 2 4 3 4 4 2 2" xfId="37158" xr:uid="{00000000-0005-0000-0000-0000160F0000}"/>
    <cellStyle name="Comma 5 2 4 3 4 4 3" xfId="21607" xr:uid="{00000000-0005-0000-0000-0000170F0000}"/>
    <cellStyle name="Comma 5 2 4 3 4 4 3 2" xfId="47160" xr:uid="{00000000-0005-0000-0000-0000180F0000}"/>
    <cellStyle name="Comma 5 2 4 3 4 4 4" xfId="28090" xr:uid="{00000000-0005-0000-0000-0000190F0000}"/>
    <cellStyle name="Comma 5 2 4 3 4 5" xfId="6262" xr:uid="{00000000-0005-0000-0000-00001A0F0000}"/>
    <cellStyle name="Comma 5 2 4 3 4 5 2" xfId="15089" xr:uid="{00000000-0005-0000-0000-00001B0F0000}"/>
    <cellStyle name="Comma 5 2 4 3 4 5 2 2" xfId="40644" xr:uid="{00000000-0005-0000-0000-00001C0F0000}"/>
    <cellStyle name="Comma 5 2 4 3 4 5 3" xfId="25340" xr:uid="{00000000-0005-0000-0000-00001D0F0000}"/>
    <cellStyle name="Comma 5 2 4 3 4 5 3 2" xfId="50893" xr:uid="{00000000-0005-0000-0000-00001E0F0000}"/>
    <cellStyle name="Comma 5 2 4 3 4 5 4" xfId="31823" xr:uid="{00000000-0005-0000-0000-00001F0F0000}"/>
    <cellStyle name="Comma 5 2 4 3 4 6" xfId="7708" xr:uid="{00000000-0005-0000-0000-0000200F0000}"/>
    <cellStyle name="Comma 5 2 4 3 4 6 2" xfId="20089" xr:uid="{00000000-0005-0000-0000-0000210F0000}"/>
    <cellStyle name="Comma 5 2 4 3 4 6 2 2" xfId="45642" xr:uid="{00000000-0005-0000-0000-0000220F0000}"/>
    <cellStyle name="Comma 5 2 4 3 4 6 3" xfId="33265" xr:uid="{00000000-0005-0000-0000-0000230F0000}"/>
    <cellStyle name="Comma 5 2 4 3 4 7" xfId="16600" xr:uid="{00000000-0005-0000-0000-0000240F0000}"/>
    <cellStyle name="Comma 5 2 4 3 4 7 2" xfId="42153" xr:uid="{00000000-0005-0000-0000-0000250F0000}"/>
    <cellStyle name="Comma 5 2 4 3 4 8" xfId="26572" xr:uid="{00000000-0005-0000-0000-0000260F0000}"/>
    <cellStyle name="Comma 5 2 4 3 5" xfId="1146" xr:uid="{00000000-0005-0000-0000-0000270F0000}"/>
    <cellStyle name="Comma 5 2 4 3 5 2" xfId="3575" xr:uid="{00000000-0005-0000-0000-0000280F0000}"/>
    <cellStyle name="Comma 5 2 4 3 5 2 2" xfId="12711" xr:uid="{00000000-0005-0000-0000-0000290F0000}"/>
    <cellStyle name="Comma 5 2 4 3 5 2 2 2" xfId="22930" xr:uid="{00000000-0005-0000-0000-00002A0F0000}"/>
    <cellStyle name="Comma 5 2 4 3 5 2 2 2 2" xfId="48483" xr:uid="{00000000-0005-0000-0000-00002B0F0000}"/>
    <cellStyle name="Comma 5 2 4 3 5 2 2 3" xfId="38266" xr:uid="{00000000-0005-0000-0000-00002C0F0000}"/>
    <cellStyle name="Comma 5 2 4 3 5 2 3" xfId="9132" xr:uid="{00000000-0005-0000-0000-00002D0F0000}"/>
    <cellStyle name="Comma 5 2 4 3 5 2 3 2" xfId="34689" xr:uid="{00000000-0005-0000-0000-00002E0F0000}"/>
    <cellStyle name="Comma 5 2 4 3 5 2 4" xfId="17923" xr:uid="{00000000-0005-0000-0000-00002F0F0000}"/>
    <cellStyle name="Comma 5 2 4 3 5 2 4 2" xfId="43476" xr:uid="{00000000-0005-0000-0000-0000300F0000}"/>
    <cellStyle name="Comma 5 2 4 3 5 2 5" xfId="29413" xr:uid="{00000000-0005-0000-0000-0000310F0000}"/>
    <cellStyle name="Comma 5 2 4 3 5 3" xfId="5238" xr:uid="{00000000-0005-0000-0000-0000320F0000}"/>
    <cellStyle name="Comma 5 2 4 3 5 3 2" xfId="14075" xr:uid="{00000000-0005-0000-0000-0000330F0000}"/>
    <cellStyle name="Comma 5 2 4 3 5 3 2 2" xfId="24326" xr:uid="{00000000-0005-0000-0000-0000340F0000}"/>
    <cellStyle name="Comma 5 2 4 3 5 3 2 2 2" xfId="49879" xr:uid="{00000000-0005-0000-0000-0000350F0000}"/>
    <cellStyle name="Comma 5 2 4 3 5 3 2 3" xfId="39630" xr:uid="{00000000-0005-0000-0000-0000360F0000}"/>
    <cellStyle name="Comma 5 2 4 3 5 3 3" xfId="10496" xr:uid="{00000000-0005-0000-0000-0000370F0000}"/>
    <cellStyle name="Comma 5 2 4 3 5 3 3 2" xfId="36053" xr:uid="{00000000-0005-0000-0000-0000380F0000}"/>
    <cellStyle name="Comma 5 2 4 3 5 3 4" xfId="19319" xr:uid="{00000000-0005-0000-0000-0000390F0000}"/>
    <cellStyle name="Comma 5 2 4 3 5 3 4 2" xfId="44872" xr:uid="{00000000-0005-0000-0000-00003A0F0000}"/>
    <cellStyle name="Comma 5 2 4 3 5 3 5" xfId="30809" xr:uid="{00000000-0005-0000-0000-00003B0F0000}"/>
    <cellStyle name="Comma 5 2 4 3 5 4" xfId="1854" xr:uid="{00000000-0005-0000-0000-00003C0F0000}"/>
    <cellStyle name="Comma 5 2 4 3 5 4 2" xfId="11222" xr:uid="{00000000-0005-0000-0000-00003D0F0000}"/>
    <cellStyle name="Comma 5 2 4 3 5 4 2 2" xfId="36777" xr:uid="{00000000-0005-0000-0000-00003E0F0000}"/>
    <cellStyle name="Comma 5 2 4 3 5 4 3" xfId="21226" xr:uid="{00000000-0005-0000-0000-00003F0F0000}"/>
    <cellStyle name="Comma 5 2 4 3 5 4 3 2" xfId="46779" xr:uid="{00000000-0005-0000-0000-0000400F0000}"/>
    <cellStyle name="Comma 5 2 4 3 5 4 4" xfId="27709" xr:uid="{00000000-0005-0000-0000-0000410F0000}"/>
    <cellStyle name="Comma 5 2 4 3 5 5" xfId="6693" xr:uid="{00000000-0005-0000-0000-0000420F0000}"/>
    <cellStyle name="Comma 5 2 4 3 5 5 2" xfId="15520" xr:uid="{00000000-0005-0000-0000-0000430F0000}"/>
    <cellStyle name="Comma 5 2 4 3 5 5 2 2" xfId="41075" xr:uid="{00000000-0005-0000-0000-0000440F0000}"/>
    <cellStyle name="Comma 5 2 4 3 5 5 3" xfId="25771" xr:uid="{00000000-0005-0000-0000-0000450F0000}"/>
    <cellStyle name="Comma 5 2 4 3 5 5 3 2" xfId="51324" xr:uid="{00000000-0005-0000-0000-0000460F0000}"/>
    <cellStyle name="Comma 5 2 4 3 5 5 4" xfId="32254" xr:uid="{00000000-0005-0000-0000-0000470F0000}"/>
    <cellStyle name="Comma 5 2 4 3 5 6" xfId="8139" xr:uid="{00000000-0005-0000-0000-0000480F0000}"/>
    <cellStyle name="Comma 5 2 4 3 5 6 2" xfId="20529" xr:uid="{00000000-0005-0000-0000-0000490F0000}"/>
    <cellStyle name="Comma 5 2 4 3 5 6 2 2" xfId="46082" xr:uid="{00000000-0005-0000-0000-00004A0F0000}"/>
    <cellStyle name="Comma 5 2 4 3 5 6 3" xfId="33696" xr:uid="{00000000-0005-0000-0000-00004B0F0000}"/>
    <cellStyle name="Comma 5 2 4 3 5 7" xfId="16219" xr:uid="{00000000-0005-0000-0000-00004C0F0000}"/>
    <cellStyle name="Comma 5 2 4 3 5 7 2" xfId="41772" xr:uid="{00000000-0005-0000-0000-00004D0F0000}"/>
    <cellStyle name="Comma 5 2 4 3 5 8" xfId="27012" xr:uid="{00000000-0005-0000-0000-00004E0F0000}"/>
    <cellStyle name="Comma 5 2 4 3 6" xfId="2748" xr:uid="{00000000-0005-0000-0000-00004F0F0000}"/>
    <cellStyle name="Comma 5 2 4 3 6 2" xfId="12065" xr:uid="{00000000-0005-0000-0000-0000500F0000}"/>
    <cellStyle name="Comma 5 2 4 3 6 2 2" xfId="22109" xr:uid="{00000000-0005-0000-0000-0000510F0000}"/>
    <cellStyle name="Comma 5 2 4 3 6 2 2 2" xfId="47662" xr:uid="{00000000-0005-0000-0000-0000520F0000}"/>
    <cellStyle name="Comma 5 2 4 3 6 2 3" xfId="37620" xr:uid="{00000000-0005-0000-0000-0000530F0000}"/>
    <cellStyle name="Comma 5 2 4 3 6 3" xfId="8634" xr:uid="{00000000-0005-0000-0000-0000540F0000}"/>
    <cellStyle name="Comma 5 2 4 3 6 3 2" xfId="34191" xr:uid="{00000000-0005-0000-0000-0000550F0000}"/>
    <cellStyle name="Comma 5 2 4 3 6 4" xfId="17102" xr:uid="{00000000-0005-0000-0000-0000560F0000}"/>
    <cellStyle name="Comma 5 2 4 3 6 4 2" xfId="42655" xr:uid="{00000000-0005-0000-0000-0000570F0000}"/>
    <cellStyle name="Comma 5 2 4 3 6 5" xfId="28592" xr:uid="{00000000-0005-0000-0000-0000580F0000}"/>
    <cellStyle name="Comma 5 2 4 3 7" xfId="4194" xr:uid="{00000000-0005-0000-0000-0000590F0000}"/>
    <cellStyle name="Comma 5 2 4 3 7 2" xfId="13032" xr:uid="{00000000-0005-0000-0000-00005A0F0000}"/>
    <cellStyle name="Comma 5 2 4 3 7 2 2" xfId="23283" xr:uid="{00000000-0005-0000-0000-00005B0F0000}"/>
    <cellStyle name="Comma 5 2 4 3 7 2 2 2" xfId="48836" xr:uid="{00000000-0005-0000-0000-00005C0F0000}"/>
    <cellStyle name="Comma 5 2 4 3 7 2 3" xfId="38587" xr:uid="{00000000-0005-0000-0000-00005D0F0000}"/>
    <cellStyle name="Comma 5 2 4 3 7 3" xfId="9453" xr:uid="{00000000-0005-0000-0000-00005E0F0000}"/>
    <cellStyle name="Comma 5 2 4 3 7 3 2" xfId="35010" xr:uid="{00000000-0005-0000-0000-00005F0F0000}"/>
    <cellStyle name="Comma 5 2 4 3 7 4" xfId="18276" xr:uid="{00000000-0005-0000-0000-0000600F0000}"/>
    <cellStyle name="Comma 5 2 4 3 7 4 2" xfId="43829" xr:uid="{00000000-0005-0000-0000-0000610F0000}"/>
    <cellStyle name="Comma 5 2 4 3 7 5" xfId="29766" xr:uid="{00000000-0005-0000-0000-0000620F0000}"/>
    <cellStyle name="Comma 5 2 4 3 8" xfId="1466" xr:uid="{00000000-0005-0000-0000-0000630F0000}"/>
    <cellStyle name="Comma 5 2 4 3 8 2" xfId="10843" xr:uid="{00000000-0005-0000-0000-0000640F0000}"/>
    <cellStyle name="Comma 5 2 4 3 8 2 2" xfId="36398" xr:uid="{00000000-0005-0000-0000-0000650F0000}"/>
    <cellStyle name="Comma 5 2 4 3 8 3" xfId="20847" xr:uid="{00000000-0005-0000-0000-0000660F0000}"/>
    <cellStyle name="Comma 5 2 4 3 8 3 2" xfId="46400" xr:uid="{00000000-0005-0000-0000-0000670F0000}"/>
    <cellStyle name="Comma 5 2 4 3 8 4" xfId="27330" xr:uid="{00000000-0005-0000-0000-0000680F0000}"/>
    <cellStyle name="Comma 5 2 4 3 9" xfId="5650" xr:uid="{00000000-0005-0000-0000-0000690F0000}"/>
    <cellStyle name="Comma 5 2 4 3 9 2" xfId="14477" xr:uid="{00000000-0005-0000-0000-00006A0F0000}"/>
    <cellStyle name="Comma 5 2 4 3 9 2 2" xfId="40032" xr:uid="{00000000-0005-0000-0000-00006B0F0000}"/>
    <cellStyle name="Comma 5 2 4 3 9 3" xfId="24728" xr:uid="{00000000-0005-0000-0000-00006C0F0000}"/>
    <cellStyle name="Comma 5 2 4 3 9 3 2" xfId="50281" xr:uid="{00000000-0005-0000-0000-00006D0F0000}"/>
    <cellStyle name="Comma 5 2 4 3 9 4" xfId="31211" xr:uid="{00000000-0005-0000-0000-00006E0F0000}"/>
    <cellStyle name="Comma 5 2 4 4" xfId="474" xr:uid="{00000000-0005-0000-0000-00006F0F0000}"/>
    <cellStyle name="Comma 5 2 4 4 10" xfId="26403" xr:uid="{00000000-0005-0000-0000-0000700F0000}"/>
    <cellStyle name="Comma 5 2 4 4 2" xfId="645" xr:uid="{00000000-0005-0000-0000-0000710F0000}"/>
    <cellStyle name="Comma 5 2 4 4 2 2" xfId="3131" xr:uid="{00000000-0005-0000-0000-0000720F0000}"/>
    <cellStyle name="Comma 5 2 4 4 2 2 2" xfId="12274" xr:uid="{00000000-0005-0000-0000-0000730F0000}"/>
    <cellStyle name="Comma 5 2 4 4 2 2 2 2" xfId="22492" xr:uid="{00000000-0005-0000-0000-0000740F0000}"/>
    <cellStyle name="Comma 5 2 4 4 2 2 2 2 2" xfId="48045" xr:uid="{00000000-0005-0000-0000-0000750F0000}"/>
    <cellStyle name="Comma 5 2 4 4 2 2 2 3" xfId="37829" xr:uid="{00000000-0005-0000-0000-0000760F0000}"/>
    <cellStyle name="Comma 5 2 4 4 2 2 3" xfId="8696" xr:uid="{00000000-0005-0000-0000-0000770F0000}"/>
    <cellStyle name="Comma 5 2 4 4 2 2 3 2" xfId="34253" xr:uid="{00000000-0005-0000-0000-0000780F0000}"/>
    <cellStyle name="Comma 5 2 4 4 2 2 4" xfId="17485" xr:uid="{00000000-0005-0000-0000-0000790F0000}"/>
    <cellStyle name="Comma 5 2 4 4 2 2 4 2" xfId="43038" xr:uid="{00000000-0005-0000-0000-00007A0F0000}"/>
    <cellStyle name="Comma 5 2 4 4 2 2 5" xfId="28975" xr:uid="{00000000-0005-0000-0000-00007B0F0000}"/>
    <cellStyle name="Comma 5 2 4 4 2 3" xfId="4460" xr:uid="{00000000-0005-0000-0000-00007C0F0000}"/>
    <cellStyle name="Comma 5 2 4 4 2 3 2" xfId="13298" xr:uid="{00000000-0005-0000-0000-00007D0F0000}"/>
    <cellStyle name="Comma 5 2 4 4 2 3 2 2" xfId="23549" xr:uid="{00000000-0005-0000-0000-00007E0F0000}"/>
    <cellStyle name="Comma 5 2 4 4 2 3 2 2 2" xfId="49102" xr:uid="{00000000-0005-0000-0000-00007F0F0000}"/>
    <cellStyle name="Comma 5 2 4 4 2 3 2 3" xfId="38853" xr:uid="{00000000-0005-0000-0000-0000800F0000}"/>
    <cellStyle name="Comma 5 2 4 4 2 3 3" xfId="9719" xr:uid="{00000000-0005-0000-0000-0000810F0000}"/>
    <cellStyle name="Comma 5 2 4 4 2 3 3 2" xfId="35276" xr:uid="{00000000-0005-0000-0000-0000820F0000}"/>
    <cellStyle name="Comma 5 2 4 4 2 3 4" xfId="18542" xr:uid="{00000000-0005-0000-0000-0000830F0000}"/>
    <cellStyle name="Comma 5 2 4 4 2 3 4 2" xfId="44095" xr:uid="{00000000-0005-0000-0000-0000840F0000}"/>
    <cellStyle name="Comma 5 2 4 4 2 3 5" xfId="30032" xr:uid="{00000000-0005-0000-0000-0000850F0000}"/>
    <cellStyle name="Comma 5 2 4 4 2 4" xfId="2240" xr:uid="{00000000-0005-0000-0000-0000860F0000}"/>
    <cellStyle name="Comma 5 2 4 4 2 4 2" xfId="11605" xr:uid="{00000000-0005-0000-0000-0000870F0000}"/>
    <cellStyle name="Comma 5 2 4 4 2 4 2 2" xfId="37160" xr:uid="{00000000-0005-0000-0000-0000880F0000}"/>
    <cellStyle name="Comma 5 2 4 4 2 4 3" xfId="21609" xr:uid="{00000000-0005-0000-0000-0000890F0000}"/>
    <cellStyle name="Comma 5 2 4 4 2 4 3 2" xfId="47162" xr:uid="{00000000-0005-0000-0000-00008A0F0000}"/>
    <cellStyle name="Comma 5 2 4 4 2 4 4" xfId="28092" xr:uid="{00000000-0005-0000-0000-00008B0F0000}"/>
    <cellStyle name="Comma 5 2 4 4 2 5" xfId="5916" xr:uid="{00000000-0005-0000-0000-00008C0F0000}"/>
    <cellStyle name="Comma 5 2 4 4 2 5 2" xfId="14743" xr:uid="{00000000-0005-0000-0000-00008D0F0000}"/>
    <cellStyle name="Comma 5 2 4 4 2 5 2 2" xfId="40298" xr:uid="{00000000-0005-0000-0000-00008E0F0000}"/>
    <cellStyle name="Comma 5 2 4 4 2 5 3" xfId="24994" xr:uid="{00000000-0005-0000-0000-00008F0F0000}"/>
    <cellStyle name="Comma 5 2 4 4 2 5 3 2" xfId="50547" xr:uid="{00000000-0005-0000-0000-0000900F0000}"/>
    <cellStyle name="Comma 5 2 4 4 2 5 4" xfId="31477" xr:uid="{00000000-0005-0000-0000-0000910F0000}"/>
    <cellStyle name="Comma 5 2 4 4 2 6" xfId="7360" xr:uid="{00000000-0005-0000-0000-0000920F0000}"/>
    <cellStyle name="Comma 5 2 4 4 2 6 2" xfId="20091" xr:uid="{00000000-0005-0000-0000-0000930F0000}"/>
    <cellStyle name="Comma 5 2 4 4 2 6 2 2" xfId="45644" xr:uid="{00000000-0005-0000-0000-0000940F0000}"/>
    <cellStyle name="Comma 5 2 4 4 2 6 3" xfId="32917" xr:uid="{00000000-0005-0000-0000-0000950F0000}"/>
    <cellStyle name="Comma 5 2 4 4 2 7" xfId="16602" xr:uid="{00000000-0005-0000-0000-0000960F0000}"/>
    <cellStyle name="Comma 5 2 4 4 2 7 2" xfId="42155" xr:uid="{00000000-0005-0000-0000-0000970F0000}"/>
    <cellStyle name="Comma 5 2 4 4 2 8" xfId="26574" xr:uid="{00000000-0005-0000-0000-0000980F0000}"/>
    <cellStyle name="Comma 5 2 4 4 3" xfId="1246" xr:uid="{00000000-0005-0000-0000-0000990F0000}"/>
    <cellStyle name="Comma 5 2 4 4 3 2" xfId="3675" xr:uid="{00000000-0005-0000-0000-00009A0F0000}"/>
    <cellStyle name="Comma 5 2 4 4 3 2 2" xfId="12811" xr:uid="{00000000-0005-0000-0000-00009B0F0000}"/>
    <cellStyle name="Comma 5 2 4 4 3 2 2 2" xfId="23030" xr:uid="{00000000-0005-0000-0000-00009C0F0000}"/>
    <cellStyle name="Comma 5 2 4 4 3 2 2 2 2" xfId="48583" xr:uid="{00000000-0005-0000-0000-00009D0F0000}"/>
    <cellStyle name="Comma 5 2 4 4 3 2 2 3" xfId="38366" xr:uid="{00000000-0005-0000-0000-00009E0F0000}"/>
    <cellStyle name="Comma 5 2 4 4 3 2 3" xfId="9232" xr:uid="{00000000-0005-0000-0000-00009F0F0000}"/>
    <cellStyle name="Comma 5 2 4 4 3 2 3 2" xfId="34789" xr:uid="{00000000-0005-0000-0000-0000A00F0000}"/>
    <cellStyle name="Comma 5 2 4 4 3 2 4" xfId="18023" xr:uid="{00000000-0005-0000-0000-0000A10F0000}"/>
    <cellStyle name="Comma 5 2 4 4 3 2 4 2" xfId="43576" xr:uid="{00000000-0005-0000-0000-0000A20F0000}"/>
    <cellStyle name="Comma 5 2 4 4 3 2 5" xfId="29513" xr:uid="{00000000-0005-0000-0000-0000A30F0000}"/>
    <cellStyle name="Comma 5 2 4 4 3 3" xfId="4809" xr:uid="{00000000-0005-0000-0000-0000A40F0000}"/>
    <cellStyle name="Comma 5 2 4 4 3 3 2" xfId="13646" xr:uid="{00000000-0005-0000-0000-0000A50F0000}"/>
    <cellStyle name="Comma 5 2 4 4 3 3 2 2" xfId="23897" xr:uid="{00000000-0005-0000-0000-0000A60F0000}"/>
    <cellStyle name="Comma 5 2 4 4 3 3 2 2 2" xfId="49450" xr:uid="{00000000-0005-0000-0000-0000A70F0000}"/>
    <cellStyle name="Comma 5 2 4 4 3 3 2 3" xfId="39201" xr:uid="{00000000-0005-0000-0000-0000A80F0000}"/>
    <cellStyle name="Comma 5 2 4 4 3 3 3" xfId="10067" xr:uid="{00000000-0005-0000-0000-0000A90F0000}"/>
    <cellStyle name="Comma 5 2 4 4 3 3 3 2" xfId="35624" xr:uid="{00000000-0005-0000-0000-0000AA0F0000}"/>
    <cellStyle name="Comma 5 2 4 4 3 3 4" xfId="18890" xr:uid="{00000000-0005-0000-0000-0000AB0F0000}"/>
    <cellStyle name="Comma 5 2 4 4 3 3 4 2" xfId="44443" xr:uid="{00000000-0005-0000-0000-0000AC0F0000}"/>
    <cellStyle name="Comma 5 2 4 4 3 3 5" xfId="30380" xr:uid="{00000000-0005-0000-0000-0000AD0F0000}"/>
    <cellStyle name="Comma 5 2 4 4 3 4" xfId="2069" xr:uid="{00000000-0005-0000-0000-0000AE0F0000}"/>
    <cellStyle name="Comma 5 2 4 4 3 4 2" xfId="11434" xr:uid="{00000000-0005-0000-0000-0000AF0F0000}"/>
    <cellStyle name="Comma 5 2 4 4 3 4 2 2" xfId="36989" xr:uid="{00000000-0005-0000-0000-0000B00F0000}"/>
    <cellStyle name="Comma 5 2 4 4 3 4 3" xfId="21438" xr:uid="{00000000-0005-0000-0000-0000B10F0000}"/>
    <cellStyle name="Comma 5 2 4 4 3 4 3 2" xfId="46991" xr:uid="{00000000-0005-0000-0000-0000B20F0000}"/>
    <cellStyle name="Comma 5 2 4 4 3 4 4" xfId="27921" xr:uid="{00000000-0005-0000-0000-0000B30F0000}"/>
    <cellStyle name="Comma 5 2 4 4 3 5" xfId="6264" xr:uid="{00000000-0005-0000-0000-0000B40F0000}"/>
    <cellStyle name="Comma 5 2 4 4 3 5 2" xfId="15091" xr:uid="{00000000-0005-0000-0000-0000B50F0000}"/>
    <cellStyle name="Comma 5 2 4 4 3 5 2 2" xfId="40646" xr:uid="{00000000-0005-0000-0000-0000B60F0000}"/>
    <cellStyle name="Comma 5 2 4 4 3 5 3" xfId="25342" xr:uid="{00000000-0005-0000-0000-0000B70F0000}"/>
    <cellStyle name="Comma 5 2 4 4 3 5 3 2" xfId="50895" xr:uid="{00000000-0005-0000-0000-0000B80F0000}"/>
    <cellStyle name="Comma 5 2 4 4 3 5 4" xfId="31825" xr:uid="{00000000-0005-0000-0000-0000B90F0000}"/>
    <cellStyle name="Comma 5 2 4 4 3 6" xfId="7710" xr:uid="{00000000-0005-0000-0000-0000BA0F0000}"/>
    <cellStyle name="Comma 5 2 4 4 3 6 2" xfId="20629" xr:uid="{00000000-0005-0000-0000-0000BB0F0000}"/>
    <cellStyle name="Comma 5 2 4 4 3 6 2 2" xfId="46182" xr:uid="{00000000-0005-0000-0000-0000BC0F0000}"/>
    <cellStyle name="Comma 5 2 4 4 3 6 3" xfId="33267" xr:uid="{00000000-0005-0000-0000-0000BD0F0000}"/>
    <cellStyle name="Comma 5 2 4 4 3 7" xfId="16431" xr:uid="{00000000-0005-0000-0000-0000BE0F0000}"/>
    <cellStyle name="Comma 5 2 4 4 3 7 2" xfId="41984" xr:uid="{00000000-0005-0000-0000-0000BF0F0000}"/>
    <cellStyle name="Comma 5 2 4 4 3 8" xfId="27112" xr:uid="{00000000-0005-0000-0000-0000C00F0000}"/>
    <cellStyle name="Comma 5 2 4 4 4" xfId="2960" xr:uid="{00000000-0005-0000-0000-0000C10F0000}"/>
    <cellStyle name="Comma 5 2 4 4 4 2" xfId="5338" xr:uid="{00000000-0005-0000-0000-0000C20F0000}"/>
    <cellStyle name="Comma 5 2 4 4 4 2 2" xfId="14175" xr:uid="{00000000-0005-0000-0000-0000C30F0000}"/>
    <cellStyle name="Comma 5 2 4 4 4 2 2 2" xfId="24426" xr:uid="{00000000-0005-0000-0000-0000C40F0000}"/>
    <cellStyle name="Comma 5 2 4 4 4 2 2 2 2" xfId="49979" xr:uid="{00000000-0005-0000-0000-0000C50F0000}"/>
    <cellStyle name="Comma 5 2 4 4 4 2 2 3" xfId="39730" xr:uid="{00000000-0005-0000-0000-0000C60F0000}"/>
    <cellStyle name="Comma 5 2 4 4 4 2 3" xfId="10596" xr:uid="{00000000-0005-0000-0000-0000C70F0000}"/>
    <cellStyle name="Comma 5 2 4 4 4 2 3 2" xfId="36153" xr:uid="{00000000-0005-0000-0000-0000C80F0000}"/>
    <cellStyle name="Comma 5 2 4 4 4 2 4" xfId="19419" xr:uid="{00000000-0005-0000-0000-0000C90F0000}"/>
    <cellStyle name="Comma 5 2 4 4 4 2 4 2" xfId="44972" xr:uid="{00000000-0005-0000-0000-0000CA0F0000}"/>
    <cellStyle name="Comma 5 2 4 4 4 2 5" xfId="30909" xr:uid="{00000000-0005-0000-0000-0000CB0F0000}"/>
    <cellStyle name="Comma 5 2 4 4 4 3" xfId="6793" xr:uid="{00000000-0005-0000-0000-0000CC0F0000}"/>
    <cellStyle name="Comma 5 2 4 4 4 3 2" xfId="15620" xr:uid="{00000000-0005-0000-0000-0000CD0F0000}"/>
    <cellStyle name="Comma 5 2 4 4 4 3 2 2" xfId="41175" xr:uid="{00000000-0005-0000-0000-0000CE0F0000}"/>
    <cellStyle name="Comma 5 2 4 4 4 3 3" xfId="25871" xr:uid="{00000000-0005-0000-0000-0000CF0F0000}"/>
    <cellStyle name="Comma 5 2 4 4 4 3 3 2" xfId="51424" xr:uid="{00000000-0005-0000-0000-0000D00F0000}"/>
    <cellStyle name="Comma 5 2 4 4 4 3 4" xfId="32354" xr:uid="{00000000-0005-0000-0000-0000D10F0000}"/>
    <cellStyle name="Comma 5 2 4 4 4 4" xfId="8239" xr:uid="{00000000-0005-0000-0000-0000D20F0000}"/>
    <cellStyle name="Comma 5 2 4 4 4 4 2" xfId="22321" xr:uid="{00000000-0005-0000-0000-0000D30F0000}"/>
    <cellStyle name="Comma 5 2 4 4 4 4 2 2" xfId="47874" xr:uid="{00000000-0005-0000-0000-0000D40F0000}"/>
    <cellStyle name="Comma 5 2 4 4 4 4 3" xfId="33796" xr:uid="{00000000-0005-0000-0000-0000D50F0000}"/>
    <cellStyle name="Comma 5 2 4 4 4 5" xfId="17314" xr:uid="{00000000-0005-0000-0000-0000D60F0000}"/>
    <cellStyle name="Comma 5 2 4 4 4 5 2" xfId="42867" xr:uid="{00000000-0005-0000-0000-0000D70F0000}"/>
    <cellStyle name="Comma 5 2 4 4 4 6" xfId="28804" xr:uid="{00000000-0005-0000-0000-0000D80F0000}"/>
    <cellStyle name="Comma 5 2 4 4 5" xfId="4294" xr:uid="{00000000-0005-0000-0000-0000D90F0000}"/>
    <cellStyle name="Comma 5 2 4 4 5 2" xfId="13132" xr:uid="{00000000-0005-0000-0000-0000DA0F0000}"/>
    <cellStyle name="Comma 5 2 4 4 5 2 2" xfId="23383" xr:uid="{00000000-0005-0000-0000-0000DB0F0000}"/>
    <cellStyle name="Comma 5 2 4 4 5 2 2 2" xfId="48936" xr:uid="{00000000-0005-0000-0000-0000DC0F0000}"/>
    <cellStyle name="Comma 5 2 4 4 5 2 3" xfId="38687" xr:uid="{00000000-0005-0000-0000-0000DD0F0000}"/>
    <cellStyle name="Comma 5 2 4 4 5 3" xfId="9553" xr:uid="{00000000-0005-0000-0000-0000DE0F0000}"/>
    <cellStyle name="Comma 5 2 4 4 5 3 2" xfId="35110" xr:uid="{00000000-0005-0000-0000-0000DF0F0000}"/>
    <cellStyle name="Comma 5 2 4 4 5 4" xfId="18376" xr:uid="{00000000-0005-0000-0000-0000E00F0000}"/>
    <cellStyle name="Comma 5 2 4 4 5 4 2" xfId="43929" xr:uid="{00000000-0005-0000-0000-0000E10F0000}"/>
    <cellStyle name="Comma 5 2 4 4 5 5" xfId="29866" xr:uid="{00000000-0005-0000-0000-0000E20F0000}"/>
    <cellStyle name="Comma 5 2 4 4 6" xfId="1566" xr:uid="{00000000-0005-0000-0000-0000E30F0000}"/>
    <cellStyle name="Comma 5 2 4 4 6 2" xfId="10943" xr:uid="{00000000-0005-0000-0000-0000E40F0000}"/>
    <cellStyle name="Comma 5 2 4 4 6 2 2" xfId="36498" xr:uid="{00000000-0005-0000-0000-0000E50F0000}"/>
    <cellStyle name="Comma 5 2 4 4 6 3" xfId="20947" xr:uid="{00000000-0005-0000-0000-0000E60F0000}"/>
    <cellStyle name="Comma 5 2 4 4 6 3 2" xfId="46500" xr:uid="{00000000-0005-0000-0000-0000E70F0000}"/>
    <cellStyle name="Comma 5 2 4 4 6 4" xfId="27430" xr:uid="{00000000-0005-0000-0000-0000E80F0000}"/>
    <cellStyle name="Comma 5 2 4 4 7" xfId="5750" xr:uid="{00000000-0005-0000-0000-0000E90F0000}"/>
    <cellStyle name="Comma 5 2 4 4 7 2" xfId="14577" xr:uid="{00000000-0005-0000-0000-0000EA0F0000}"/>
    <cellStyle name="Comma 5 2 4 4 7 2 2" xfId="40132" xr:uid="{00000000-0005-0000-0000-0000EB0F0000}"/>
    <cellStyle name="Comma 5 2 4 4 7 3" xfId="24828" xr:uid="{00000000-0005-0000-0000-0000EC0F0000}"/>
    <cellStyle name="Comma 5 2 4 4 7 3 2" xfId="50381" xr:uid="{00000000-0005-0000-0000-0000ED0F0000}"/>
    <cellStyle name="Comma 5 2 4 4 7 4" xfId="31311" xr:uid="{00000000-0005-0000-0000-0000EE0F0000}"/>
    <cellStyle name="Comma 5 2 4 4 8" xfId="7194" xr:uid="{00000000-0005-0000-0000-0000EF0F0000}"/>
    <cellStyle name="Comma 5 2 4 4 8 2" xfId="19920" xr:uid="{00000000-0005-0000-0000-0000F00F0000}"/>
    <cellStyle name="Comma 5 2 4 4 8 2 2" xfId="45473" xr:uid="{00000000-0005-0000-0000-0000F10F0000}"/>
    <cellStyle name="Comma 5 2 4 4 8 3" xfId="32751" xr:uid="{00000000-0005-0000-0000-0000F20F0000}"/>
    <cellStyle name="Comma 5 2 4 4 9" xfId="15940" xr:uid="{00000000-0005-0000-0000-0000F30F0000}"/>
    <cellStyle name="Comma 5 2 4 4 9 2" xfId="41493" xr:uid="{00000000-0005-0000-0000-0000F40F0000}"/>
    <cellStyle name="Comma 5 2 4 5" xfId="315" xr:uid="{00000000-0005-0000-0000-0000F50F0000}"/>
    <cellStyle name="Comma 5 2 4 5 2" xfId="2801" xr:uid="{00000000-0005-0000-0000-0000F60F0000}"/>
    <cellStyle name="Comma 5 2 4 5 2 2" xfId="12105" xr:uid="{00000000-0005-0000-0000-0000F70F0000}"/>
    <cellStyle name="Comma 5 2 4 5 2 2 2" xfId="22162" xr:uid="{00000000-0005-0000-0000-0000F80F0000}"/>
    <cellStyle name="Comma 5 2 4 5 2 2 2 2" xfId="47715" xr:uid="{00000000-0005-0000-0000-0000F90F0000}"/>
    <cellStyle name="Comma 5 2 4 5 2 2 3" xfId="37660" xr:uid="{00000000-0005-0000-0000-0000FA0F0000}"/>
    <cellStyle name="Comma 5 2 4 5 2 3" xfId="8472" xr:uid="{00000000-0005-0000-0000-0000FB0F0000}"/>
    <cellStyle name="Comma 5 2 4 5 2 3 2" xfId="34029" xr:uid="{00000000-0005-0000-0000-0000FC0F0000}"/>
    <cellStyle name="Comma 5 2 4 5 2 4" xfId="17155" xr:uid="{00000000-0005-0000-0000-0000FD0F0000}"/>
    <cellStyle name="Comma 5 2 4 5 2 4 2" xfId="42708" xr:uid="{00000000-0005-0000-0000-0000FE0F0000}"/>
    <cellStyle name="Comma 5 2 4 5 2 5" xfId="28645" xr:uid="{00000000-0005-0000-0000-0000FF0F0000}"/>
    <cellStyle name="Comma 5 2 4 5 3" xfId="4455" xr:uid="{00000000-0005-0000-0000-000000100000}"/>
    <cellStyle name="Comma 5 2 4 5 3 2" xfId="13293" xr:uid="{00000000-0005-0000-0000-000001100000}"/>
    <cellStyle name="Comma 5 2 4 5 3 2 2" xfId="23544" xr:uid="{00000000-0005-0000-0000-000002100000}"/>
    <cellStyle name="Comma 5 2 4 5 3 2 2 2" xfId="49097" xr:uid="{00000000-0005-0000-0000-000003100000}"/>
    <cellStyle name="Comma 5 2 4 5 3 2 3" xfId="38848" xr:uid="{00000000-0005-0000-0000-000004100000}"/>
    <cellStyle name="Comma 5 2 4 5 3 3" xfId="9714" xr:uid="{00000000-0005-0000-0000-000005100000}"/>
    <cellStyle name="Comma 5 2 4 5 3 3 2" xfId="35271" xr:uid="{00000000-0005-0000-0000-000006100000}"/>
    <cellStyle name="Comma 5 2 4 5 3 4" xfId="18537" xr:uid="{00000000-0005-0000-0000-000007100000}"/>
    <cellStyle name="Comma 5 2 4 5 3 4 2" xfId="44090" xr:uid="{00000000-0005-0000-0000-000008100000}"/>
    <cellStyle name="Comma 5 2 4 5 3 5" xfId="30027" xr:uid="{00000000-0005-0000-0000-000009100000}"/>
    <cellStyle name="Comma 5 2 4 5 4" xfId="1910" xr:uid="{00000000-0005-0000-0000-00000A100000}"/>
    <cellStyle name="Comma 5 2 4 5 4 2" xfId="11275" xr:uid="{00000000-0005-0000-0000-00000B100000}"/>
    <cellStyle name="Comma 5 2 4 5 4 2 2" xfId="36830" xr:uid="{00000000-0005-0000-0000-00000C100000}"/>
    <cellStyle name="Comma 5 2 4 5 4 3" xfId="21279" xr:uid="{00000000-0005-0000-0000-00000D100000}"/>
    <cellStyle name="Comma 5 2 4 5 4 3 2" xfId="46832" xr:uid="{00000000-0005-0000-0000-00000E100000}"/>
    <cellStyle name="Comma 5 2 4 5 4 4" xfId="27762" xr:uid="{00000000-0005-0000-0000-00000F100000}"/>
    <cellStyle name="Comma 5 2 4 5 5" xfId="5911" xr:uid="{00000000-0005-0000-0000-000010100000}"/>
    <cellStyle name="Comma 5 2 4 5 5 2" xfId="14738" xr:uid="{00000000-0005-0000-0000-000011100000}"/>
    <cellStyle name="Comma 5 2 4 5 5 2 2" xfId="40293" xr:uid="{00000000-0005-0000-0000-000012100000}"/>
    <cellStyle name="Comma 5 2 4 5 5 3" xfId="24989" xr:uid="{00000000-0005-0000-0000-000013100000}"/>
    <cellStyle name="Comma 5 2 4 5 5 3 2" xfId="50542" xr:uid="{00000000-0005-0000-0000-000014100000}"/>
    <cellStyle name="Comma 5 2 4 5 5 4" xfId="31472" xr:uid="{00000000-0005-0000-0000-000015100000}"/>
    <cellStyle name="Comma 5 2 4 5 6" xfId="7355" xr:uid="{00000000-0005-0000-0000-000016100000}"/>
    <cellStyle name="Comma 5 2 4 5 6 2" xfId="19761" xr:uid="{00000000-0005-0000-0000-000017100000}"/>
    <cellStyle name="Comma 5 2 4 5 6 2 2" xfId="45314" xr:uid="{00000000-0005-0000-0000-000018100000}"/>
    <cellStyle name="Comma 5 2 4 5 6 3" xfId="32912" xr:uid="{00000000-0005-0000-0000-000019100000}"/>
    <cellStyle name="Comma 5 2 4 5 7" xfId="16272" xr:uid="{00000000-0005-0000-0000-00001A100000}"/>
    <cellStyle name="Comma 5 2 4 5 7 2" xfId="41825" xr:uid="{00000000-0005-0000-0000-00001B100000}"/>
    <cellStyle name="Comma 5 2 4 5 8" xfId="26244" xr:uid="{00000000-0005-0000-0000-00001C100000}"/>
    <cellStyle name="Comma 5 2 4 6" xfId="640" xr:uid="{00000000-0005-0000-0000-00001D100000}"/>
    <cellStyle name="Comma 5 2 4 6 2" xfId="3126" xr:uid="{00000000-0005-0000-0000-00001E100000}"/>
    <cellStyle name="Comma 5 2 4 6 2 2" xfId="12269" xr:uid="{00000000-0005-0000-0000-00001F100000}"/>
    <cellStyle name="Comma 5 2 4 6 2 2 2" xfId="22487" xr:uid="{00000000-0005-0000-0000-000020100000}"/>
    <cellStyle name="Comma 5 2 4 6 2 2 2 2" xfId="48040" xr:uid="{00000000-0005-0000-0000-000021100000}"/>
    <cellStyle name="Comma 5 2 4 6 2 2 3" xfId="37824" xr:uid="{00000000-0005-0000-0000-000022100000}"/>
    <cellStyle name="Comma 5 2 4 6 2 3" xfId="8691" xr:uid="{00000000-0005-0000-0000-000023100000}"/>
    <cellStyle name="Comma 5 2 4 6 2 3 2" xfId="34248" xr:uid="{00000000-0005-0000-0000-000024100000}"/>
    <cellStyle name="Comma 5 2 4 6 2 4" xfId="17480" xr:uid="{00000000-0005-0000-0000-000025100000}"/>
    <cellStyle name="Comma 5 2 4 6 2 4 2" xfId="43033" xr:uid="{00000000-0005-0000-0000-000026100000}"/>
    <cellStyle name="Comma 5 2 4 6 2 5" xfId="28970" xr:uid="{00000000-0005-0000-0000-000027100000}"/>
    <cellStyle name="Comma 5 2 4 6 3" xfId="4804" xr:uid="{00000000-0005-0000-0000-000028100000}"/>
    <cellStyle name="Comma 5 2 4 6 3 2" xfId="13641" xr:uid="{00000000-0005-0000-0000-000029100000}"/>
    <cellStyle name="Comma 5 2 4 6 3 2 2" xfId="23892" xr:uid="{00000000-0005-0000-0000-00002A100000}"/>
    <cellStyle name="Comma 5 2 4 6 3 2 2 2" xfId="49445" xr:uid="{00000000-0005-0000-0000-00002B100000}"/>
    <cellStyle name="Comma 5 2 4 6 3 2 3" xfId="39196" xr:uid="{00000000-0005-0000-0000-00002C100000}"/>
    <cellStyle name="Comma 5 2 4 6 3 3" xfId="10062" xr:uid="{00000000-0005-0000-0000-00002D100000}"/>
    <cellStyle name="Comma 5 2 4 6 3 3 2" xfId="35619" xr:uid="{00000000-0005-0000-0000-00002E100000}"/>
    <cellStyle name="Comma 5 2 4 6 3 4" xfId="18885" xr:uid="{00000000-0005-0000-0000-00002F100000}"/>
    <cellStyle name="Comma 5 2 4 6 3 4 2" xfId="44438" xr:uid="{00000000-0005-0000-0000-000030100000}"/>
    <cellStyle name="Comma 5 2 4 6 3 5" xfId="30375" xr:uid="{00000000-0005-0000-0000-000031100000}"/>
    <cellStyle name="Comma 5 2 4 6 4" xfId="2235" xr:uid="{00000000-0005-0000-0000-000032100000}"/>
    <cellStyle name="Comma 5 2 4 6 4 2" xfId="11600" xr:uid="{00000000-0005-0000-0000-000033100000}"/>
    <cellStyle name="Comma 5 2 4 6 4 2 2" xfId="37155" xr:uid="{00000000-0005-0000-0000-000034100000}"/>
    <cellStyle name="Comma 5 2 4 6 4 3" xfId="21604" xr:uid="{00000000-0005-0000-0000-000035100000}"/>
    <cellStyle name="Comma 5 2 4 6 4 3 2" xfId="47157" xr:uid="{00000000-0005-0000-0000-000036100000}"/>
    <cellStyle name="Comma 5 2 4 6 4 4" xfId="28087" xr:uid="{00000000-0005-0000-0000-000037100000}"/>
    <cellStyle name="Comma 5 2 4 6 5" xfId="6259" xr:uid="{00000000-0005-0000-0000-000038100000}"/>
    <cellStyle name="Comma 5 2 4 6 5 2" xfId="15086" xr:uid="{00000000-0005-0000-0000-000039100000}"/>
    <cellStyle name="Comma 5 2 4 6 5 2 2" xfId="40641" xr:uid="{00000000-0005-0000-0000-00003A100000}"/>
    <cellStyle name="Comma 5 2 4 6 5 3" xfId="25337" xr:uid="{00000000-0005-0000-0000-00003B100000}"/>
    <cellStyle name="Comma 5 2 4 6 5 3 2" xfId="50890" xr:uid="{00000000-0005-0000-0000-00003C100000}"/>
    <cellStyle name="Comma 5 2 4 6 5 4" xfId="31820" xr:uid="{00000000-0005-0000-0000-00003D100000}"/>
    <cellStyle name="Comma 5 2 4 6 6" xfId="7705" xr:uid="{00000000-0005-0000-0000-00003E100000}"/>
    <cellStyle name="Comma 5 2 4 6 6 2" xfId="20086" xr:uid="{00000000-0005-0000-0000-00003F100000}"/>
    <cellStyle name="Comma 5 2 4 6 6 2 2" xfId="45639" xr:uid="{00000000-0005-0000-0000-000040100000}"/>
    <cellStyle name="Comma 5 2 4 6 6 3" xfId="33262" xr:uid="{00000000-0005-0000-0000-000041100000}"/>
    <cellStyle name="Comma 5 2 4 6 7" xfId="16597" xr:uid="{00000000-0005-0000-0000-000042100000}"/>
    <cellStyle name="Comma 5 2 4 6 7 2" xfId="42150" xr:uid="{00000000-0005-0000-0000-000043100000}"/>
    <cellStyle name="Comma 5 2 4 6 8" xfId="26569" xr:uid="{00000000-0005-0000-0000-000044100000}"/>
    <cellStyle name="Comma 5 2 4 7" xfId="1087" xr:uid="{00000000-0005-0000-0000-000045100000}"/>
    <cellStyle name="Comma 5 2 4 7 2" xfId="3516" xr:uid="{00000000-0005-0000-0000-000046100000}"/>
    <cellStyle name="Comma 5 2 4 7 2 2" xfId="12652" xr:uid="{00000000-0005-0000-0000-000047100000}"/>
    <cellStyle name="Comma 5 2 4 7 2 2 2" xfId="22871" xr:uid="{00000000-0005-0000-0000-000048100000}"/>
    <cellStyle name="Comma 5 2 4 7 2 2 2 2" xfId="48424" xr:uid="{00000000-0005-0000-0000-000049100000}"/>
    <cellStyle name="Comma 5 2 4 7 2 2 3" xfId="38207" xr:uid="{00000000-0005-0000-0000-00004A100000}"/>
    <cellStyle name="Comma 5 2 4 7 2 3" xfId="9074" xr:uid="{00000000-0005-0000-0000-00004B100000}"/>
    <cellStyle name="Comma 5 2 4 7 2 3 2" xfId="34631" xr:uid="{00000000-0005-0000-0000-00004C100000}"/>
    <cellStyle name="Comma 5 2 4 7 2 4" xfId="17864" xr:uid="{00000000-0005-0000-0000-00004D100000}"/>
    <cellStyle name="Comma 5 2 4 7 2 4 2" xfId="43417" xr:uid="{00000000-0005-0000-0000-00004E100000}"/>
    <cellStyle name="Comma 5 2 4 7 2 5" xfId="29354" xr:uid="{00000000-0005-0000-0000-00004F100000}"/>
    <cellStyle name="Comma 5 2 4 7 3" xfId="5179" xr:uid="{00000000-0005-0000-0000-000050100000}"/>
    <cellStyle name="Comma 5 2 4 7 3 2" xfId="14016" xr:uid="{00000000-0005-0000-0000-000051100000}"/>
    <cellStyle name="Comma 5 2 4 7 3 2 2" xfId="24267" xr:uid="{00000000-0005-0000-0000-000052100000}"/>
    <cellStyle name="Comma 5 2 4 7 3 2 2 2" xfId="49820" xr:uid="{00000000-0005-0000-0000-000053100000}"/>
    <cellStyle name="Comma 5 2 4 7 3 2 3" xfId="39571" xr:uid="{00000000-0005-0000-0000-000054100000}"/>
    <cellStyle name="Comma 5 2 4 7 3 3" xfId="10437" xr:uid="{00000000-0005-0000-0000-000055100000}"/>
    <cellStyle name="Comma 5 2 4 7 3 3 2" xfId="35994" xr:uid="{00000000-0005-0000-0000-000056100000}"/>
    <cellStyle name="Comma 5 2 4 7 3 4" xfId="19260" xr:uid="{00000000-0005-0000-0000-000057100000}"/>
    <cellStyle name="Comma 5 2 4 7 3 4 2" xfId="44813" xr:uid="{00000000-0005-0000-0000-000058100000}"/>
    <cellStyle name="Comma 5 2 4 7 3 5" xfId="30750" xr:uid="{00000000-0005-0000-0000-000059100000}"/>
    <cellStyle name="Comma 5 2 4 7 4" xfId="1745" xr:uid="{00000000-0005-0000-0000-00005A100000}"/>
    <cellStyle name="Comma 5 2 4 7 4 2" xfId="11116" xr:uid="{00000000-0005-0000-0000-00005B100000}"/>
    <cellStyle name="Comma 5 2 4 7 4 2 2" xfId="36671" xr:uid="{00000000-0005-0000-0000-00005C100000}"/>
    <cellStyle name="Comma 5 2 4 7 4 3" xfId="21120" xr:uid="{00000000-0005-0000-0000-00005D100000}"/>
    <cellStyle name="Comma 5 2 4 7 4 3 2" xfId="46673" xr:uid="{00000000-0005-0000-0000-00005E100000}"/>
    <cellStyle name="Comma 5 2 4 7 4 4" xfId="27603" xr:uid="{00000000-0005-0000-0000-00005F100000}"/>
    <cellStyle name="Comma 5 2 4 7 5" xfId="6634" xr:uid="{00000000-0005-0000-0000-000060100000}"/>
    <cellStyle name="Comma 5 2 4 7 5 2" xfId="15461" xr:uid="{00000000-0005-0000-0000-000061100000}"/>
    <cellStyle name="Comma 5 2 4 7 5 2 2" xfId="41016" xr:uid="{00000000-0005-0000-0000-000062100000}"/>
    <cellStyle name="Comma 5 2 4 7 5 3" xfId="25712" xr:uid="{00000000-0005-0000-0000-000063100000}"/>
    <cellStyle name="Comma 5 2 4 7 5 3 2" xfId="51265" xr:uid="{00000000-0005-0000-0000-000064100000}"/>
    <cellStyle name="Comma 5 2 4 7 5 4" xfId="32195" xr:uid="{00000000-0005-0000-0000-000065100000}"/>
    <cellStyle name="Comma 5 2 4 7 6" xfId="8080" xr:uid="{00000000-0005-0000-0000-000066100000}"/>
    <cellStyle name="Comma 5 2 4 7 6 2" xfId="20470" xr:uid="{00000000-0005-0000-0000-000067100000}"/>
    <cellStyle name="Comma 5 2 4 7 6 2 2" xfId="46023" xr:uid="{00000000-0005-0000-0000-000068100000}"/>
    <cellStyle name="Comma 5 2 4 7 6 3" xfId="33637" xr:uid="{00000000-0005-0000-0000-000069100000}"/>
    <cellStyle name="Comma 5 2 4 7 7" xfId="16113" xr:uid="{00000000-0005-0000-0000-00006A100000}"/>
    <cellStyle name="Comma 5 2 4 7 7 2" xfId="41666" xr:uid="{00000000-0005-0000-0000-00006B100000}"/>
    <cellStyle name="Comma 5 2 4 7 8" xfId="26953" xr:uid="{00000000-0005-0000-0000-00006C100000}"/>
    <cellStyle name="Comma 5 2 4 8" xfId="2643" xr:uid="{00000000-0005-0000-0000-00006D100000}"/>
    <cellStyle name="Comma 5 2 4 8 2" xfId="5591" xr:uid="{00000000-0005-0000-0000-00006E100000}"/>
    <cellStyle name="Comma 5 2 4 8 2 2" xfId="14418" xr:uid="{00000000-0005-0000-0000-00006F100000}"/>
    <cellStyle name="Comma 5 2 4 8 2 2 2" xfId="39973" xr:uid="{00000000-0005-0000-0000-000070100000}"/>
    <cellStyle name="Comma 5 2 4 8 2 3" xfId="24669" xr:uid="{00000000-0005-0000-0000-000071100000}"/>
    <cellStyle name="Comma 5 2 4 8 2 3 2" xfId="50222" xr:uid="{00000000-0005-0000-0000-000072100000}"/>
    <cellStyle name="Comma 5 2 4 8 2 4" xfId="31152" xr:uid="{00000000-0005-0000-0000-000073100000}"/>
    <cellStyle name="Comma 5 2 4 8 3" xfId="7035" xr:uid="{00000000-0005-0000-0000-000074100000}"/>
    <cellStyle name="Comma 5 2 4 8 3 2" xfId="22004" xr:uid="{00000000-0005-0000-0000-000075100000}"/>
    <cellStyle name="Comma 5 2 4 8 3 2 2" xfId="47557" xr:uid="{00000000-0005-0000-0000-000076100000}"/>
    <cellStyle name="Comma 5 2 4 8 3 3" xfId="32592" xr:uid="{00000000-0005-0000-0000-000077100000}"/>
    <cellStyle name="Comma 5 2 4 8 4" xfId="16997" xr:uid="{00000000-0005-0000-0000-000078100000}"/>
    <cellStyle name="Comma 5 2 4 8 4 2" xfId="42550" xr:uid="{00000000-0005-0000-0000-000079100000}"/>
    <cellStyle name="Comma 5 2 4 8 5" xfId="28487" xr:uid="{00000000-0005-0000-0000-00007A100000}"/>
    <cellStyle name="Comma 5 2 4 9" xfId="4133" xr:uid="{00000000-0005-0000-0000-00007B100000}"/>
    <cellStyle name="Comma 5 2 4 9 2" xfId="12971" xr:uid="{00000000-0005-0000-0000-00007C100000}"/>
    <cellStyle name="Comma 5 2 4 9 2 2" xfId="23222" xr:uid="{00000000-0005-0000-0000-00007D100000}"/>
    <cellStyle name="Comma 5 2 4 9 2 2 2" xfId="48775" xr:uid="{00000000-0005-0000-0000-00007E100000}"/>
    <cellStyle name="Comma 5 2 4 9 2 3" xfId="38526" xr:uid="{00000000-0005-0000-0000-00007F100000}"/>
    <cellStyle name="Comma 5 2 4 9 3" xfId="9392" xr:uid="{00000000-0005-0000-0000-000080100000}"/>
    <cellStyle name="Comma 5 2 4 9 3 2" xfId="34949" xr:uid="{00000000-0005-0000-0000-000081100000}"/>
    <cellStyle name="Comma 5 2 4 9 4" xfId="18215" xr:uid="{00000000-0005-0000-0000-000082100000}"/>
    <cellStyle name="Comma 5 2 4 9 4 2" xfId="43768" xr:uid="{00000000-0005-0000-0000-000083100000}"/>
    <cellStyle name="Comma 5 2 4 9 5" xfId="29705" xr:uid="{00000000-0005-0000-0000-000084100000}"/>
    <cellStyle name="Comma 5 2 5" xfId="172" xr:uid="{00000000-0005-0000-0000-000085100000}"/>
    <cellStyle name="Comma 5 2 5 10" xfId="7120" xr:uid="{00000000-0005-0000-0000-000086100000}"/>
    <cellStyle name="Comma 5 2 5 10 2" xfId="19629" xr:uid="{00000000-0005-0000-0000-000087100000}"/>
    <cellStyle name="Comma 5 2 5 10 2 2" xfId="45182" xr:uid="{00000000-0005-0000-0000-000088100000}"/>
    <cellStyle name="Comma 5 2 5 10 3" xfId="32677" xr:uid="{00000000-0005-0000-0000-000089100000}"/>
    <cellStyle name="Comma 5 2 5 11" xfId="15866" xr:uid="{00000000-0005-0000-0000-00008A100000}"/>
    <cellStyle name="Comma 5 2 5 11 2" xfId="41419" xr:uid="{00000000-0005-0000-0000-00008B100000}"/>
    <cellStyle name="Comma 5 2 5 12" xfId="26112" xr:uid="{00000000-0005-0000-0000-00008C100000}"/>
    <cellStyle name="Comma 5 2 5 2" xfId="500" xr:uid="{00000000-0005-0000-0000-00008D100000}"/>
    <cellStyle name="Comma 5 2 5 2 10" xfId="26429" xr:uid="{00000000-0005-0000-0000-00008E100000}"/>
    <cellStyle name="Comma 5 2 5 2 2" xfId="647" xr:uid="{00000000-0005-0000-0000-00008F100000}"/>
    <cellStyle name="Comma 5 2 5 2 2 2" xfId="3133" xr:uid="{00000000-0005-0000-0000-000090100000}"/>
    <cellStyle name="Comma 5 2 5 2 2 2 2" xfId="12276" xr:uid="{00000000-0005-0000-0000-000091100000}"/>
    <cellStyle name="Comma 5 2 5 2 2 2 2 2" xfId="22494" xr:uid="{00000000-0005-0000-0000-000092100000}"/>
    <cellStyle name="Comma 5 2 5 2 2 2 2 2 2" xfId="48047" xr:uid="{00000000-0005-0000-0000-000093100000}"/>
    <cellStyle name="Comma 5 2 5 2 2 2 2 3" xfId="37831" xr:uid="{00000000-0005-0000-0000-000094100000}"/>
    <cellStyle name="Comma 5 2 5 2 2 2 3" xfId="8698" xr:uid="{00000000-0005-0000-0000-000095100000}"/>
    <cellStyle name="Comma 5 2 5 2 2 2 3 2" xfId="34255" xr:uid="{00000000-0005-0000-0000-000096100000}"/>
    <cellStyle name="Comma 5 2 5 2 2 2 4" xfId="17487" xr:uid="{00000000-0005-0000-0000-000097100000}"/>
    <cellStyle name="Comma 5 2 5 2 2 2 4 2" xfId="43040" xr:uid="{00000000-0005-0000-0000-000098100000}"/>
    <cellStyle name="Comma 5 2 5 2 2 2 5" xfId="28977" xr:uid="{00000000-0005-0000-0000-000099100000}"/>
    <cellStyle name="Comma 5 2 5 2 2 3" xfId="4462" xr:uid="{00000000-0005-0000-0000-00009A100000}"/>
    <cellStyle name="Comma 5 2 5 2 2 3 2" xfId="13300" xr:uid="{00000000-0005-0000-0000-00009B100000}"/>
    <cellStyle name="Comma 5 2 5 2 2 3 2 2" xfId="23551" xr:uid="{00000000-0005-0000-0000-00009C100000}"/>
    <cellStyle name="Comma 5 2 5 2 2 3 2 2 2" xfId="49104" xr:uid="{00000000-0005-0000-0000-00009D100000}"/>
    <cellStyle name="Comma 5 2 5 2 2 3 2 3" xfId="38855" xr:uid="{00000000-0005-0000-0000-00009E100000}"/>
    <cellStyle name="Comma 5 2 5 2 2 3 3" xfId="9721" xr:uid="{00000000-0005-0000-0000-00009F100000}"/>
    <cellStyle name="Comma 5 2 5 2 2 3 3 2" xfId="35278" xr:uid="{00000000-0005-0000-0000-0000A0100000}"/>
    <cellStyle name="Comma 5 2 5 2 2 3 4" xfId="18544" xr:uid="{00000000-0005-0000-0000-0000A1100000}"/>
    <cellStyle name="Comma 5 2 5 2 2 3 4 2" xfId="44097" xr:uid="{00000000-0005-0000-0000-0000A2100000}"/>
    <cellStyle name="Comma 5 2 5 2 2 3 5" xfId="30034" xr:uid="{00000000-0005-0000-0000-0000A3100000}"/>
    <cellStyle name="Comma 5 2 5 2 2 4" xfId="2242" xr:uid="{00000000-0005-0000-0000-0000A4100000}"/>
    <cellStyle name="Comma 5 2 5 2 2 4 2" xfId="11607" xr:uid="{00000000-0005-0000-0000-0000A5100000}"/>
    <cellStyle name="Comma 5 2 5 2 2 4 2 2" xfId="37162" xr:uid="{00000000-0005-0000-0000-0000A6100000}"/>
    <cellStyle name="Comma 5 2 5 2 2 4 3" xfId="21611" xr:uid="{00000000-0005-0000-0000-0000A7100000}"/>
    <cellStyle name="Comma 5 2 5 2 2 4 3 2" xfId="47164" xr:uid="{00000000-0005-0000-0000-0000A8100000}"/>
    <cellStyle name="Comma 5 2 5 2 2 4 4" xfId="28094" xr:uid="{00000000-0005-0000-0000-0000A9100000}"/>
    <cellStyle name="Comma 5 2 5 2 2 5" xfId="5918" xr:uid="{00000000-0005-0000-0000-0000AA100000}"/>
    <cellStyle name="Comma 5 2 5 2 2 5 2" xfId="14745" xr:uid="{00000000-0005-0000-0000-0000AB100000}"/>
    <cellStyle name="Comma 5 2 5 2 2 5 2 2" xfId="40300" xr:uid="{00000000-0005-0000-0000-0000AC100000}"/>
    <cellStyle name="Comma 5 2 5 2 2 5 3" xfId="24996" xr:uid="{00000000-0005-0000-0000-0000AD100000}"/>
    <cellStyle name="Comma 5 2 5 2 2 5 3 2" xfId="50549" xr:uid="{00000000-0005-0000-0000-0000AE100000}"/>
    <cellStyle name="Comma 5 2 5 2 2 5 4" xfId="31479" xr:uid="{00000000-0005-0000-0000-0000AF100000}"/>
    <cellStyle name="Comma 5 2 5 2 2 6" xfId="7362" xr:uid="{00000000-0005-0000-0000-0000B0100000}"/>
    <cellStyle name="Comma 5 2 5 2 2 6 2" xfId="20093" xr:uid="{00000000-0005-0000-0000-0000B1100000}"/>
    <cellStyle name="Comma 5 2 5 2 2 6 2 2" xfId="45646" xr:uid="{00000000-0005-0000-0000-0000B2100000}"/>
    <cellStyle name="Comma 5 2 5 2 2 6 3" xfId="32919" xr:uid="{00000000-0005-0000-0000-0000B3100000}"/>
    <cellStyle name="Comma 5 2 5 2 2 7" xfId="16604" xr:uid="{00000000-0005-0000-0000-0000B4100000}"/>
    <cellStyle name="Comma 5 2 5 2 2 7 2" xfId="42157" xr:uid="{00000000-0005-0000-0000-0000B5100000}"/>
    <cellStyle name="Comma 5 2 5 2 2 8" xfId="26576" xr:uid="{00000000-0005-0000-0000-0000B6100000}"/>
    <cellStyle name="Comma 5 2 5 2 3" xfId="1272" xr:uid="{00000000-0005-0000-0000-0000B7100000}"/>
    <cellStyle name="Comma 5 2 5 2 3 2" xfId="3701" xr:uid="{00000000-0005-0000-0000-0000B8100000}"/>
    <cellStyle name="Comma 5 2 5 2 3 2 2" xfId="12837" xr:uid="{00000000-0005-0000-0000-0000B9100000}"/>
    <cellStyle name="Comma 5 2 5 2 3 2 2 2" xfId="23056" xr:uid="{00000000-0005-0000-0000-0000BA100000}"/>
    <cellStyle name="Comma 5 2 5 2 3 2 2 2 2" xfId="48609" xr:uid="{00000000-0005-0000-0000-0000BB100000}"/>
    <cellStyle name="Comma 5 2 5 2 3 2 2 3" xfId="38392" xr:uid="{00000000-0005-0000-0000-0000BC100000}"/>
    <cellStyle name="Comma 5 2 5 2 3 2 3" xfId="9258" xr:uid="{00000000-0005-0000-0000-0000BD100000}"/>
    <cellStyle name="Comma 5 2 5 2 3 2 3 2" xfId="34815" xr:uid="{00000000-0005-0000-0000-0000BE100000}"/>
    <cellStyle name="Comma 5 2 5 2 3 2 4" xfId="18049" xr:uid="{00000000-0005-0000-0000-0000BF100000}"/>
    <cellStyle name="Comma 5 2 5 2 3 2 4 2" xfId="43602" xr:uid="{00000000-0005-0000-0000-0000C0100000}"/>
    <cellStyle name="Comma 5 2 5 2 3 2 5" xfId="29539" xr:uid="{00000000-0005-0000-0000-0000C1100000}"/>
    <cellStyle name="Comma 5 2 5 2 3 3" xfId="4811" xr:uid="{00000000-0005-0000-0000-0000C2100000}"/>
    <cellStyle name="Comma 5 2 5 2 3 3 2" xfId="13648" xr:uid="{00000000-0005-0000-0000-0000C3100000}"/>
    <cellStyle name="Comma 5 2 5 2 3 3 2 2" xfId="23899" xr:uid="{00000000-0005-0000-0000-0000C4100000}"/>
    <cellStyle name="Comma 5 2 5 2 3 3 2 2 2" xfId="49452" xr:uid="{00000000-0005-0000-0000-0000C5100000}"/>
    <cellStyle name="Comma 5 2 5 2 3 3 2 3" xfId="39203" xr:uid="{00000000-0005-0000-0000-0000C6100000}"/>
    <cellStyle name="Comma 5 2 5 2 3 3 3" xfId="10069" xr:uid="{00000000-0005-0000-0000-0000C7100000}"/>
    <cellStyle name="Comma 5 2 5 2 3 3 3 2" xfId="35626" xr:uid="{00000000-0005-0000-0000-0000C8100000}"/>
    <cellStyle name="Comma 5 2 5 2 3 3 4" xfId="18892" xr:uid="{00000000-0005-0000-0000-0000C9100000}"/>
    <cellStyle name="Comma 5 2 5 2 3 3 4 2" xfId="44445" xr:uid="{00000000-0005-0000-0000-0000CA100000}"/>
    <cellStyle name="Comma 5 2 5 2 3 3 5" xfId="30382" xr:uid="{00000000-0005-0000-0000-0000CB100000}"/>
    <cellStyle name="Comma 5 2 5 2 3 4" xfId="2095" xr:uid="{00000000-0005-0000-0000-0000CC100000}"/>
    <cellStyle name="Comma 5 2 5 2 3 4 2" xfId="11460" xr:uid="{00000000-0005-0000-0000-0000CD100000}"/>
    <cellStyle name="Comma 5 2 5 2 3 4 2 2" xfId="37015" xr:uid="{00000000-0005-0000-0000-0000CE100000}"/>
    <cellStyle name="Comma 5 2 5 2 3 4 3" xfId="21464" xr:uid="{00000000-0005-0000-0000-0000CF100000}"/>
    <cellStyle name="Comma 5 2 5 2 3 4 3 2" xfId="47017" xr:uid="{00000000-0005-0000-0000-0000D0100000}"/>
    <cellStyle name="Comma 5 2 5 2 3 4 4" xfId="27947" xr:uid="{00000000-0005-0000-0000-0000D1100000}"/>
    <cellStyle name="Comma 5 2 5 2 3 5" xfId="6266" xr:uid="{00000000-0005-0000-0000-0000D2100000}"/>
    <cellStyle name="Comma 5 2 5 2 3 5 2" xfId="15093" xr:uid="{00000000-0005-0000-0000-0000D3100000}"/>
    <cellStyle name="Comma 5 2 5 2 3 5 2 2" xfId="40648" xr:uid="{00000000-0005-0000-0000-0000D4100000}"/>
    <cellStyle name="Comma 5 2 5 2 3 5 3" xfId="25344" xr:uid="{00000000-0005-0000-0000-0000D5100000}"/>
    <cellStyle name="Comma 5 2 5 2 3 5 3 2" xfId="50897" xr:uid="{00000000-0005-0000-0000-0000D6100000}"/>
    <cellStyle name="Comma 5 2 5 2 3 5 4" xfId="31827" xr:uid="{00000000-0005-0000-0000-0000D7100000}"/>
    <cellStyle name="Comma 5 2 5 2 3 6" xfId="7712" xr:uid="{00000000-0005-0000-0000-0000D8100000}"/>
    <cellStyle name="Comma 5 2 5 2 3 6 2" xfId="20655" xr:uid="{00000000-0005-0000-0000-0000D9100000}"/>
    <cellStyle name="Comma 5 2 5 2 3 6 2 2" xfId="46208" xr:uid="{00000000-0005-0000-0000-0000DA100000}"/>
    <cellStyle name="Comma 5 2 5 2 3 6 3" xfId="33269" xr:uid="{00000000-0005-0000-0000-0000DB100000}"/>
    <cellStyle name="Comma 5 2 5 2 3 7" xfId="16457" xr:uid="{00000000-0005-0000-0000-0000DC100000}"/>
    <cellStyle name="Comma 5 2 5 2 3 7 2" xfId="42010" xr:uid="{00000000-0005-0000-0000-0000DD100000}"/>
    <cellStyle name="Comma 5 2 5 2 3 8" xfId="27138" xr:uid="{00000000-0005-0000-0000-0000DE100000}"/>
    <cellStyle name="Comma 5 2 5 2 4" xfId="2986" xr:uid="{00000000-0005-0000-0000-0000DF100000}"/>
    <cellStyle name="Comma 5 2 5 2 4 2" xfId="5364" xr:uid="{00000000-0005-0000-0000-0000E0100000}"/>
    <cellStyle name="Comma 5 2 5 2 4 2 2" xfId="14201" xr:uid="{00000000-0005-0000-0000-0000E1100000}"/>
    <cellStyle name="Comma 5 2 5 2 4 2 2 2" xfId="24452" xr:uid="{00000000-0005-0000-0000-0000E2100000}"/>
    <cellStyle name="Comma 5 2 5 2 4 2 2 2 2" xfId="50005" xr:uid="{00000000-0005-0000-0000-0000E3100000}"/>
    <cellStyle name="Comma 5 2 5 2 4 2 2 3" xfId="39756" xr:uid="{00000000-0005-0000-0000-0000E4100000}"/>
    <cellStyle name="Comma 5 2 5 2 4 2 3" xfId="10622" xr:uid="{00000000-0005-0000-0000-0000E5100000}"/>
    <cellStyle name="Comma 5 2 5 2 4 2 3 2" xfId="36179" xr:uid="{00000000-0005-0000-0000-0000E6100000}"/>
    <cellStyle name="Comma 5 2 5 2 4 2 4" xfId="19445" xr:uid="{00000000-0005-0000-0000-0000E7100000}"/>
    <cellStyle name="Comma 5 2 5 2 4 2 4 2" xfId="44998" xr:uid="{00000000-0005-0000-0000-0000E8100000}"/>
    <cellStyle name="Comma 5 2 5 2 4 2 5" xfId="30935" xr:uid="{00000000-0005-0000-0000-0000E9100000}"/>
    <cellStyle name="Comma 5 2 5 2 4 3" xfId="6819" xr:uid="{00000000-0005-0000-0000-0000EA100000}"/>
    <cellStyle name="Comma 5 2 5 2 4 3 2" xfId="15646" xr:uid="{00000000-0005-0000-0000-0000EB100000}"/>
    <cellStyle name="Comma 5 2 5 2 4 3 2 2" xfId="41201" xr:uid="{00000000-0005-0000-0000-0000EC100000}"/>
    <cellStyle name="Comma 5 2 5 2 4 3 3" xfId="25897" xr:uid="{00000000-0005-0000-0000-0000ED100000}"/>
    <cellStyle name="Comma 5 2 5 2 4 3 3 2" xfId="51450" xr:uid="{00000000-0005-0000-0000-0000EE100000}"/>
    <cellStyle name="Comma 5 2 5 2 4 3 4" xfId="32380" xr:uid="{00000000-0005-0000-0000-0000EF100000}"/>
    <cellStyle name="Comma 5 2 5 2 4 4" xfId="8265" xr:uid="{00000000-0005-0000-0000-0000F0100000}"/>
    <cellStyle name="Comma 5 2 5 2 4 4 2" xfId="22347" xr:uid="{00000000-0005-0000-0000-0000F1100000}"/>
    <cellStyle name="Comma 5 2 5 2 4 4 2 2" xfId="47900" xr:uid="{00000000-0005-0000-0000-0000F2100000}"/>
    <cellStyle name="Comma 5 2 5 2 4 4 3" xfId="33822" xr:uid="{00000000-0005-0000-0000-0000F3100000}"/>
    <cellStyle name="Comma 5 2 5 2 4 5" xfId="17340" xr:uid="{00000000-0005-0000-0000-0000F4100000}"/>
    <cellStyle name="Comma 5 2 5 2 4 5 2" xfId="42893" xr:uid="{00000000-0005-0000-0000-0000F5100000}"/>
    <cellStyle name="Comma 5 2 5 2 4 6" xfId="28830" xr:uid="{00000000-0005-0000-0000-0000F6100000}"/>
    <cellStyle name="Comma 5 2 5 2 5" xfId="4320" xr:uid="{00000000-0005-0000-0000-0000F7100000}"/>
    <cellStyle name="Comma 5 2 5 2 5 2" xfId="13158" xr:uid="{00000000-0005-0000-0000-0000F8100000}"/>
    <cellStyle name="Comma 5 2 5 2 5 2 2" xfId="23409" xr:uid="{00000000-0005-0000-0000-0000F9100000}"/>
    <cellStyle name="Comma 5 2 5 2 5 2 2 2" xfId="48962" xr:uid="{00000000-0005-0000-0000-0000FA100000}"/>
    <cellStyle name="Comma 5 2 5 2 5 2 3" xfId="38713" xr:uid="{00000000-0005-0000-0000-0000FB100000}"/>
    <cellStyle name="Comma 5 2 5 2 5 3" xfId="9579" xr:uid="{00000000-0005-0000-0000-0000FC100000}"/>
    <cellStyle name="Comma 5 2 5 2 5 3 2" xfId="35136" xr:uid="{00000000-0005-0000-0000-0000FD100000}"/>
    <cellStyle name="Comma 5 2 5 2 5 4" xfId="18402" xr:uid="{00000000-0005-0000-0000-0000FE100000}"/>
    <cellStyle name="Comma 5 2 5 2 5 4 2" xfId="43955" xr:uid="{00000000-0005-0000-0000-0000FF100000}"/>
    <cellStyle name="Comma 5 2 5 2 5 5" xfId="29892" xr:uid="{00000000-0005-0000-0000-000000110000}"/>
    <cellStyle name="Comma 5 2 5 2 6" xfId="1592" xr:uid="{00000000-0005-0000-0000-000001110000}"/>
    <cellStyle name="Comma 5 2 5 2 6 2" xfId="10969" xr:uid="{00000000-0005-0000-0000-000002110000}"/>
    <cellStyle name="Comma 5 2 5 2 6 2 2" xfId="36524" xr:uid="{00000000-0005-0000-0000-000003110000}"/>
    <cellStyle name="Comma 5 2 5 2 6 3" xfId="20973" xr:uid="{00000000-0005-0000-0000-000004110000}"/>
    <cellStyle name="Comma 5 2 5 2 6 3 2" xfId="46526" xr:uid="{00000000-0005-0000-0000-000005110000}"/>
    <cellStyle name="Comma 5 2 5 2 6 4" xfId="27456" xr:uid="{00000000-0005-0000-0000-000006110000}"/>
    <cellStyle name="Comma 5 2 5 2 7" xfId="5776" xr:uid="{00000000-0005-0000-0000-000007110000}"/>
    <cellStyle name="Comma 5 2 5 2 7 2" xfId="14603" xr:uid="{00000000-0005-0000-0000-000008110000}"/>
    <cellStyle name="Comma 5 2 5 2 7 2 2" xfId="40158" xr:uid="{00000000-0005-0000-0000-000009110000}"/>
    <cellStyle name="Comma 5 2 5 2 7 3" xfId="24854" xr:uid="{00000000-0005-0000-0000-00000A110000}"/>
    <cellStyle name="Comma 5 2 5 2 7 3 2" xfId="50407" xr:uid="{00000000-0005-0000-0000-00000B110000}"/>
    <cellStyle name="Comma 5 2 5 2 7 4" xfId="31337" xr:uid="{00000000-0005-0000-0000-00000C110000}"/>
    <cellStyle name="Comma 5 2 5 2 8" xfId="7220" xr:uid="{00000000-0005-0000-0000-00000D110000}"/>
    <cellStyle name="Comma 5 2 5 2 8 2" xfId="19946" xr:uid="{00000000-0005-0000-0000-00000E110000}"/>
    <cellStyle name="Comma 5 2 5 2 8 2 2" xfId="45499" xr:uid="{00000000-0005-0000-0000-00000F110000}"/>
    <cellStyle name="Comma 5 2 5 2 8 3" xfId="32777" xr:uid="{00000000-0005-0000-0000-000010110000}"/>
    <cellStyle name="Comma 5 2 5 2 9" xfId="15966" xr:uid="{00000000-0005-0000-0000-000011110000}"/>
    <cellStyle name="Comma 5 2 5 2 9 2" xfId="41519" xr:uid="{00000000-0005-0000-0000-000012110000}"/>
    <cellStyle name="Comma 5 2 5 3" xfId="400" xr:uid="{00000000-0005-0000-0000-000013110000}"/>
    <cellStyle name="Comma 5 2 5 3 2" xfId="2886" xr:uid="{00000000-0005-0000-0000-000014110000}"/>
    <cellStyle name="Comma 5 2 5 3 2 2" xfId="12174" xr:uid="{00000000-0005-0000-0000-000015110000}"/>
    <cellStyle name="Comma 5 2 5 3 2 2 2" xfId="22247" xr:uid="{00000000-0005-0000-0000-000016110000}"/>
    <cellStyle name="Comma 5 2 5 3 2 2 2 2" xfId="47800" xr:uid="{00000000-0005-0000-0000-000017110000}"/>
    <cellStyle name="Comma 5 2 5 3 2 2 3" xfId="37729" xr:uid="{00000000-0005-0000-0000-000018110000}"/>
    <cellStyle name="Comma 5 2 5 3 2 3" xfId="6968" xr:uid="{00000000-0005-0000-0000-000019110000}"/>
    <cellStyle name="Comma 5 2 5 3 2 3 2" xfId="32526" xr:uid="{00000000-0005-0000-0000-00001A110000}"/>
    <cellStyle name="Comma 5 2 5 3 2 4" xfId="17240" xr:uid="{00000000-0005-0000-0000-00001B110000}"/>
    <cellStyle name="Comma 5 2 5 3 2 4 2" xfId="42793" xr:uid="{00000000-0005-0000-0000-00001C110000}"/>
    <cellStyle name="Comma 5 2 5 3 2 5" xfId="28730" xr:uid="{00000000-0005-0000-0000-00001D110000}"/>
    <cellStyle name="Comma 5 2 5 3 3" xfId="4461" xr:uid="{00000000-0005-0000-0000-00001E110000}"/>
    <cellStyle name="Comma 5 2 5 3 3 2" xfId="13299" xr:uid="{00000000-0005-0000-0000-00001F110000}"/>
    <cellStyle name="Comma 5 2 5 3 3 2 2" xfId="23550" xr:uid="{00000000-0005-0000-0000-000020110000}"/>
    <cellStyle name="Comma 5 2 5 3 3 2 2 2" xfId="49103" xr:uid="{00000000-0005-0000-0000-000021110000}"/>
    <cellStyle name="Comma 5 2 5 3 3 2 3" xfId="38854" xr:uid="{00000000-0005-0000-0000-000022110000}"/>
    <cellStyle name="Comma 5 2 5 3 3 3" xfId="9720" xr:uid="{00000000-0005-0000-0000-000023110000}"/>
    <cellStyle name="Comma 5 2 5 3 3 3 2" xfId="35277" xr:uid="{00000000-0005-0000-0000-000024110000}"/>
    <cellStyle name="Comma 5 2 5 3 3 4" xfId="18543" xr:uid="{00000000-0005-0000-0000-000025110000}"/>
    <cellStyle name="Comma 5 2 5 3 3 4 2" xfId="44096" xr:uid="{00000000-0005-0000-0000-000026110000}"/>
    <cellStyle name="Comma 5 2 5 3 3 5" xfId="30033" xr:uid="{00000000-0005-0000-0000-000027110000}"/>
    <cellStyle name="Comma 5 2 5 3 4" xfId="1995" xr:uid="{00000000-0005-0000-0000-000028110000}"/>
    <cellStyle name="Comma 5 2 5 3 4 2" xfId="11360" xr:uid="{00000000-0005-0000-0000-000029110000}"/>
    <cellStyle name="Comma 5 2 5 3 4 2 2" xfId="36915" xr:uid="{00000000-0005-0000-0000-00002A110000}"/>
    <cellStyle name="Comma 5 2 5 3 4 3" xfId="21364" xr:uid="{00000000-0005-0000-0000-00002B110000}"/>
    <cellStyle name="Comma 5 2 5 3 4 3 2" xfId="46917" xr:uid="{00000000-0005-0000-0000-00002C110000}"/>
    <cellStyle name="Comma 5 2 5 3 4 4" xfId="27847" xr:uid="{00000000-0005-0000-0000-00002D110000}"/>
    <cellStyle name="Comma 5 2 5 3 5" xfId="5917" xr:uid="{00000000-0005-0000-0000-00002E110000}"/>
    <cellStyle name="Comma 5 2 5 3 5 2" xfId="14744" xr:uid="{00000000-0005-0000-0000-00002F110000}"/>
    <cellStyle name="Comma 5 2 5 3 5 2 2" xfId="40299" xr:uid="{00000000-0005-0000-0000-000030110000}"/>
    <cellStyle name="Comma 5 2 5 3 5 3" xfId="24995" xr:uid="{00000000-0005-0000-0000-000031110000}"/>
    <cellStyle name="Comma 5 2 5 3 5 3 2" xfId="50548" xr:uid="{00000000-0005-0000-0000-000032110000}"/>
    <cellStyle name="Comma 5 2 5 3 5 4" xfId="31478" xr:uid="{00000000-0005-0000-0000-000033110000}"/>
    <cellStyle name="Comma 5 2 5 3 6" xfId="7361" xr:uid="{00000000-0005-0000-0000-000034110000}"/>
    <cellStyle name="Comma 5 2 5 3 6 2" xfId="19846" xr:uid="{00000000-0005-0000-0000-000035110000}"/>
    <cellStyle name="Comma 5 2 5 3 6 2 2" xfId="45399" xr:uid="{00000000-0005-0000-0000-000036110000}"/>
    <cellStyle name="Comma 5 2 5 3 6 3" xfId="32918" xr:uid="{00000000-0005-0000-0000-000037110000}"/>
    <cellStyle name="Comma 5 2 5 3 7" xfId="16357" xr:uid="{00000000-0005-0000-0000-000038110000}"/>
    <cellStyle name="Comma 5 2 5 3 7 2" xfId="41910" xr:uid="{00000000-0005-0000-0000-000039110000}"/>
    <cellStyle name="Comma 5 2 5 3 8" xfId="26329" xr:uid="{00000000-0005-0000-0000-00003A110000}"/>
    <cellStyle name="Comma 5 2 5 4" xfId="646" xr:uid="{00000000-0005-0000-0000-00003B110000}"/>
    <cellStyle name="Comma 5 2 5 4 2" xfId="3132" xr:uid="{00000000-0005-0000-0000-00003C110000}"/>
    <cellStyle name="Comma 5 2 5 4 2 2" xfId="12275" xr:uid="{00000000-0005-0000-0000-00003D110000}"/>
    <cellStyle name="Comma 5 2 5 4 2 2 2" xfId="22493" xr:uid="{00000000-0005-0000-0000-00003E110000}"/>
    <cellStyle name="Comma 5 2 5 4 2 2 2 2" xfId="48046" xr:uid="{00000000-0005-0000-0000-00003F110000}"/>
    <cellStyle name="Comma 5 2 5 4 2 2 3" xfId="37830" xr:uid="{00000000-0005-0000-0000-000040110000}"/>
    <cellStyle name="Comma 5 2 5 4 2 3" xfId="8697" xr:uid="{00000000-0005-0000-0000-000041110000}"/>
    <cellStyle name="Comma 5 2 5 4 2 3 2" xfId="34254" xr:uid="{00000000-0005-0000-0000-000042110000}"/>
    <cellStyle name="Comma 5 2 5 4 2 4" xfId="17486" xr:uid="{00000000-0005-0000-0000-000043110000}"/>
    <cellStyle name="Comma 5 2 5 4 2 4 2" xfId="43039" xr:uid="{00000000-0005-0000-0000-000044110000}"/>
    <cellStyle name="Comma 5 2 5 4 2 5" xfId="28976" xr:uid="{00000000-0005-0000-0000-000045110000}"/>
    <cellStyle name="Comma 5 2 5 4 3" xfId="4810" xr:uid="{00000000-0005-0000-0000-000046110000}"/>
    <cellStyle name="Comma 5 2 5 4 3 2" xfId="13647" xr:uid="{00000000-0005-0000-0000-000047110000}"/>
    <cellStyle name="Comma 5 2 5 4 3 2 2" xfId="23898" xr:uid="{00000000-0005-0000-0000-000048110000}"/>
    <cellStyle name="Comma 5 2 5 4 3 2 2 2" xfId="49451" xr:uid="{00000000-0005-0000-0000-000049110000}"/>
    <cellStyle name="Comma 5 2 5 4 3 2 3" xfId="39202" xr:uid="{00000000-0005-0000-0000-00004A110000}"/>
    <cellStyle name="Comma 5 2 5 4 3 3" xfId="10068" xr:uid="{00000000-0005-0000-0000-00004B110000}"/>
    <cellStyle name="Comma 5 2 5 4 3 3 2" xfId="35625" xr:uid="{00000000-0005-0000-0000-00004C110000}"/>
    <cellStyle name="Comma 5 2 5 4 3 4" xfId="18891" xr:uid="{00000000-0005-0000-0000-00004D110000}"/>
    <cellStyle name="Comma 5 2 5 4 3 4 2" xfId="44444" xr:uid="{00000000-0005-0000-0000-00004E110000}"/>
    <cellStyle name="Comma 5 2 5 4 3 5" xfId="30381" xr:uid="{00000000-0005-0000-0000-00004F110000}"/>
    <cellStyle name="Comma 5 2 5 4 4" xfId="2241" xr:uid="{00000000-0005-0000-0000-000050110000}"/>
    <cellStyle name="Comma 5 2 5 4 4 2" xfId="11606" xr:uid="{00000000-0005-0000-0000-000051110000}"/>
    <cellStyle name="Comma 5 2 5 4 4 2 2" xfId="37161" xr:uid="{00000000-0005-0000-0000-000052110000}"/>
    <cellStyle name="Comma 5 2 5 4 4 3" xfId="21610" xr:uid="{00000000-0005-0000-0000-000053110000}"/>
    <cellStyle name="Comma 5 2 5 4 4 3 2" xfId="47163" xr:uid="{00000000-0005-0000-0000-000054110000}"/>
    <cellStyle name="Comma 5 2 5 4 4 4" xfId="28093" xr:uid="{00000000-0005-0000-0000-000055110000}"/>
    <cellStyle name="Comma 5 2 5 4 5" xfId="6265" xr:uid="{00000000-0005-0000-0000-000056110000}"/>
    <cellStyle name="Comma 5 2 5 4 5 2" xfId="15092" xr:uid="{00000000-0005-0000-0000-000057110000}"/>
    <cellStyle name="Comma 5 2 5 4 5 2 2" xfId="40647" xr:uid="{00000000-0005-0000-0000-000058110000}"/>
    <cellStyle name="Comma 5 2 5 4 5 3" xfId="25343" xr:uid="{00000000-0005-0000-0000-000059110000}"/>
    <cellStyle name="Comma 5 2 5 4 5 3 2" xfId="50896" xr:uid="{00000000-0005-0000-0000-00005A110000}"/>
    <cellStyle name="Comma 5 2 5 4 5 4" xfId="31826" xr:uid="{00000000-0005-0000-0000-00005B110000}"/>
    <cellStyle name="Comma 5 2 5 4 6" xfId="7711" xr:uid="{00000000-0005-0000-0000-00005C110000}"/>
    <cellStyle name="Comma 5 2 5 4 6 2" xfId="20092" xr:uid="{00000000-0005-0000-0000-00005D110000}"/>
    <cellStyle name="Comma 5 2 5 4 6 2 2" xfId="45645" xr:uid="{00000000-0005-0000-0000-00005E110000}"/>
    <cellStyle name="Comma 5 2 5 4 6 3" xfId="33268" xr:uid="{00000000-0005-0000-0000-00005F110000}"/>
    <cellStyle name="Comma 5 2 5 4 7" xfId="16603" xr:uid="{00000000-0005-0000-0000-000060110000}"/>
    <cellStyle name="Comma 5 2 5 4 7 2" xfId="42156" xr:uid="{00000000-0005-0000-0000-000061110000}"/>
    <cellStyle name="Comma 5 2 5 4 8" xfId="26575" xr:uid="{00000000-0005-0000-0000-000062110000}"/>
    <cellStyle name="Comma 5 2 5 5" xfId="1172" xr:uid="{00000000-0005-0000-0000-000063110000}"/>
    <cellStyle name="Comma 5 2 5 5 2" xfId="3601" xr:uid="{00000000-0005-0000-0000-000064110000}"/>
    <cellStyle name="Comma 5 2 5 5 2 2" xfId="12737" xr:uid="{00000000-0005-0000-0000-000065110000}"/>
    <cellStyle name="Comma 5 2 5 5 2 2 2" xfId="22956" xr:uid="{00000000-0005-0000-0000-000066110000}"/>
    <cellStyle name="Comma 5 2 5 5 2 2 2 2" xfId="48509" xr:uid="{00000000-0005-0000-0000-000067110000}"/>
    <cellStyle name="Comma 5 2 5 5 2 2 3" xfId="38292" xr:uid="{00000000-0005-0000-0000-000068110000}"/>
    <cellStyle name="Comma 5 2 5 5 2 3" xfId="9158" xr:uid="{00000000-0005-0000-0000-000069110000}"/>
    <cellStyle name="Comma 5 2 5 5 2 3 2" xfId="34715" xr:uid="{00000000-0005-0000-0000-00006A110000}"/>
    <cellStyle name="Comma 5 2 5 5 2 4" xfId="17949" xr:uid="{00000000-0005-0000-0000-00006B110000}"/>
    <cellStyle name="Comma 5 2 5 5 2 4 2" xfId="43502" xr:uid="{00000000-0005-0000-0000-00006C110000}"/>
    <cellStyle name="Comma 5 2 5 5 2 5" xfId="29439" xr:uid="{00000000-0005-0000-0000-00006D110000}"/>
    <cellStyle name="Comma 5 2 5 5 3" xfId="5264" xr:uid="{00000000-0005-0000-0000-00006E110000}"/>
    <cellStyle name="Comma 5 2 5 5 3 2" xfId="14101" xr:uid="{00000000-0005-0000-0000-00006F110000}"/>
    <cellStyle name="Comma 5 2 5 5 3 2 2" xfId="24352" xr:uid="{00000000-0005-0000-0000-000070110000}"/>
    <cellStyle name="Comma 5 2 5 5 3 2 2 2" xfId="49905" xr:uid="{00000000-0005-0000-0000-000071110000}"/>
    <cellStyle name="Comma 5 2 5 5 3 2 3" xfId="39656" xr:uid="{00000000-0005-0000-0000-000072110000}"/>
    <cellStyle name="Comma 5 2 5 5 3 3" xfId="10522" xr:uid="{00000000-0005-0000-0000-000073110000}"/>
    <cellStyle name="Comma 5 2 5 5 3 3 2" xfId="36079" xr:uid="{00000000-0005-0000-0000-000074110000}"/>
    <cellStyle name="Comma 5 2 5 5 3 4" xfId="19345" xr:uid="{00000000-0005-0000-0000-000075110000}"/>
    <cellStyle name="Comma 5 2 5 5 3 4 2" xfId="44898" xr:uid="{00000000-0005-0000-0000-000076110000}"/>
    <cellStyle name="Comma 5 2 5 5 3 5" xfId="30835" xr:uid="{00000000-0005-0000-0000-000077110000}"/>
    <cellStyle name="Comma 5 2 5 5 4" xfId="1774" xr:uid="{00000000-0005-0000-0000-000078110000}"/>
    <cellStyle name="Comma 5 2 5 5 4 2" xfId="11143" xr:uid="{00000000-0005-0000-0000-000079110000}"/>
    <cellStyle name="Comma 5 2 5 5 4 2 2" xfId="36698" xr:uid="{00000000-0005-0000-0000-00007A110000}"/>
    <cellStyle name="Comma 5 2 5 5 4 3" xfId="21147" xr:uid="{00000000-0005-0000-0000-00007B110000}"/>
    <cellStyle name="Comma 5 2 5 5 4 3 2" xfId="46700" xr:uid="{00000000-0005-0000-0000-00007C110000}"/>
    <cellStyle name="Comma 5 2 5 5 4 4" xfId="27630" xr:uid="{00000000-0005-0000-0000-00007D110000}"/>
    <cellStyle name="Comma 5 2 5 5 5" xfId="6719" xr:uid="{00000000-0005-0000-0000-00007E110000}"/>
    <cellStyle name="Comma 5 2 5 5 5 2" xfId="15546" xr:uid="{00000000-0005-0000-0000-00007F110000}"/>
    <cellStyle name="Comma 5 2 5 5 5 2 2" xfId="41101" xr:uid="{00000000-0005-0000-0000-000080110000}"/>
    <cellStyle name="Comma 5 2 5 5 5 3" xfId="25797" xr:uid="{00000000-0005-0000-0000-000081110000}"/>
    <cellStyle name="Comma 5 2 5 5 5 3 2" xfId="51350" xr:uid="{00000000-0005-0000-0000-000082110000}"/>
    <cellStyle name="Comma 5 2 5 5 5 4" xfId="32280" xr:uid="{00000000-0005-0000-0000-000083110000}"/>
    <cellStyle name="Comma 5 2 5 5 6" xfId="8165" xr:uid="{00000000-0005-0000-0000-000084110000}"/>
    <cellStyle name="Comma 5 2 5 5 6 2" xfId="20555" xr:uid="{00000000-0005-0000-0000-000085110000}"/>
    <cellStyle name="Comma 5 2 5 5 6 2 2" xfId="46108" xr:uid="{00000000-0005-0000-0000-000086110000}"/>
    <cellStyle name="Comma 5 2 5 5 6 3" xfId="33722" xr:uid="{00000000-0005-0000-0000-000087110000}"/>
    <cellStyle name="Comma 5 2 5 5 7" xfId="16140" xr:uid="{00000000-0005-0000-0000-000088110000}"/>
    <cellStyle name="Comma 5 2 5 5 7 2" xfId="41693" xr:uid="{00000000-0005-0000-0000-000089110000}"/>
    <cellStyle name="Comma 5 2 5 5 8" xfId="27038" xr:uid="{00000000-0005-0000-0000-00008A110000}"/>
    <cellStyle name="Comma 5 2 5 6" xfId="2669" xr:uid="{00000000-0005-0000-0000-00008B110000}"/>
    <cellStyle name="Comma 5 2 5 6 2" xfId="11986" xr:uid="{00000000-0005-0000-0000-00008C110000}"/>
    <cellStyle name="Comma 5 2 5 6 2 2" xfId="22030" xr:uid="{00000000-0005-0000-0000-00008D110000}"/>
    <cellStyle name="Comma 5 2 5 6 2 2 2" xfId="47583" xr:uid="{00000000-0005-0000-0000-00008E110000}"/>
    <cellStyle name="Comma 5 2 5 6 2 3" xfId="37541" xr:uid="{00000000-0005-0000-0000-00008F110000}"/>
    <cellStyle name="Comma 5 2 5 6 3" xfId="8498" xr:uid="{00000000-0005-0000-0000-000090110000}"/>
    <cellStyle name="Comma 5 2 5 6 3 2" xfId="34055" xr:uid="{00000000-0005-0000-0000-000091110000}"/>
    <cellStyle name="Comma 5 2 5 6 4" xfId="17023" xr:uid="{00000000-0005-0000-0000-000092110000}"/>
    <cellStyle name="Comma 5 2 5 6 4 2" xfId="42576" xr:uid="{00000000-0005-0000-0000-000093110000}"/>
    <cellStyle name="Comma 5 2 5 6 5" xfId="28513" xr:uid="{00000000-0005-0000-0000-000094110000}"/>
    <cellStyle name="Comma 5 2 5 7" xfId="4220" xr:uid="{00000000-0005-0000-0000-000095110000}"/>
    <cellStyle name="Comma 5 2 5 7 2" xfId="13058" xr:uid="{00000000-0005-0000-0000-000096110000}"/>
    <cellStyle name="Comma 5 2 5 7 2 2" xfId="23309" xr:uid="{00000000-0005-0000-0000-000097110000}"/>
    <cellStyle name="Comma 5 2 5 7 2 2 2" xfId="48862" xr:uid="{00000000-0005-0000-0000-000098110000}"/>
    <cellStyle name="Comma 5 2 5 7 2 3" xfId="38613" xr:uid="{00000000-0005-0000-0000-000099110000}"/>
    <cellStyle name="Comma 5 2 5 7 3" xfId="9479" xr:uid="{00000000-0005-0000-0000-00009A110000}"/>
    <cellStyle name="Comma 5 2 5 7 3 2" xfId="35036" xr:uid="{00000000-0005-0000-0000-00009B110000}"/>
    <cellStyle name="Comma 5 2 5 7 4" xfId="18302" xr:uid="{00000000-0005-0000-0000-00009C110000}"/>
    <cellStyle name="Comma 5 2 5 7 4 2" xfId="43855" xr:uid="{00000000-0005-0000-0000-00009D110000}"/>
    <cellStyle name="Comma 5 2 5 7 5" xfId="29792" xr:uid="{00000000-0005-0000-0000-00009E110000}"/>
    <cellStyle name="Comma 5 2 5 8" xfId="1492" xr:uid="{00000000-0005-0000-0000-00009F110000}"/>
    <cellStyle name="Comma 5 2 5 8 2" xfId="10869" xr:uid="{00000000-0005-0000-0000-0000A0110000}"/>
    <cellStyle name="Comma 5 2 5 8 2 2" xfId="36424" xr:uid="{00000000-0005-0000-0000-0000A1110000}"/>
    <cellStyle name="Comma 5 2 5 8 3" xfId="20873" xr:uid="{00000000-0005-0000-0000-0000A2110000}"/>
    <cellStyle name="Comma 5 2 5 8 3 2" xfId="46426" xr:uid="{00000000-0005-0000-0000-0000A3110000}"/>
    <cellStyle name="Comma 5 2 5 8 4" xfId="27356" xr:uid="{00000000-0005-0000-0000-0000A4110000}"/>
    <cellStyle name="Comma 5 2 5 9" xfId="5676" xr:uid="{00000000-0005-0000-0000-0000A5110000}"/>
    <cellStyle name="Comma 5 2 5 9 2" xfId="14503" xr:uid="{00000000-0005-0000-0000-0000A6110000}"/>
    <cellStyle name="Comma 5 2 5 9 2 2" xfId="40058" xr:uid="{00000000-0005-0000-0000-0000A7110000}"/>
    <cellStyle name="Comma 5 2 5 9 3" xfId="24754" xr:uid="{00000000-0005-0000-0000-0000A8110000}"/>
    <cellStyle name="Comma 5 2 5 9 3 2" xfId="50307" xr:uid="{00000000-0005-0000-0000-0000A9110000}"/>
    <cellStyle name="Comma 5 2 5 9 4" xfId="31237" xr:uid="{00000000-0005-0000-0000-0000AA110000}"/>
    <cellStyle name="Comma 5 2 6" xfId="225" xr:uid="{00000000-0005-0000-0000-0000AB110000}"/>
    <cellStyle name="Comma 5 2 6 10" xfId="7063" xr:uid="{00000000-0005-0000-0000-0000AC110000}"/>
    <cellStyle name="Comma 5 2 6 10 2" xfId="19677" xr:uid="{00000000-0005-0000-0000-0000AD110000}"/>
    <cellStyle name="Comma 5 2 6 10 2 2" xfId="45230" xr:uid="{00000000-0005-0000-0000-0000AE110000}"/>
    <cellStyle name="Comma 5 2 6 10 3" xfId="32620" xr:uid="{00000000-0005-0000-0000-0000AF110000}"/>
    <cellStyle name="Comma 5 2 6 11" xfId="15809" xr:uid="{00000000-0005-0000-0000-0000B0110000}"/>
    <cellStyle name="Comma 5 2 6 11 2" xfId="41362" xr:uid="{00000000-0005-0000-0000-0000B1110000}"/>
    <cellStyle name="Comma 5 2 6 12" xfId="26160" xr:uid="{00000000-0005-0000-0000-0000B2110000}"/>
    <cellStyle name="Comma 5 2 6 2" xfId="548" xr:uid="{00000000-0005-0000-0000-0000B3110000}"/>
    <cellStyle name="Comma 5 2 6 2 10" xfId="26477" xr:uid="{00000000-0005-0000-0000-0000B4110000}"/>
    <cellStyle name="Comma 5 2 6 2 2" xfId="649" xr:uid="{00000000-0005-0000-0000-0000B5110000}"/>
    <cellStyle name="Comma 5 2 6 2 2 2" xfId="3135" xr:uid="{00000000-0005-0000-0000-0000B6110000}"/>
    <cellStyle name="Comma 5 2 6 2 2 2 2" xfId="12278" xr:uid="{00000000-0005-0000-0000-0000B7110000}"/>
    <cellStyle name="Comma 5 2 6 2 2 2 2 2" xfId="22496" xr:uid="{00000000-0005-0000-0000-0000B8110000}"/>
    <cellStyle name="Comma 5 2 6 2 2 2 2 2 2" xfId="48049" xr:uid="{00000000-0005-0000-0000-0000B9110000}"/>
    <cellStyle name="Comma 5 2 6 2 2 2 2 3" xfId="37833" xr:uid="{00000000-0005-0000-0000-0000BA110000}"/>
    <cellStyle name="Comma 5 2 6 2 2 2 3" xfId="8700" xr:uid="{00000000-0005-0000-0000-0000BB110000}"/>
    <cellStyle name="Comma 5 2 6 2 2 2 3 2" xfId="34257" xr:uid="{00000000-0005-0000-0000-0000BC110000}"/>
    <cellStyle name="Comma 5 2 6 2 2 2 4" xfId="17489" xr:uid="{00000000-0005-0000-0000-0000BD110000}"/>
    <cellStyle name="Comma 5 2 6 2 2 2 4 2" xfId="43042" xr:uid="{00000000-0005-0000-0000-0000BE110000}"/>
    <cellStyle name="Comma 5 2 6 2 2 2 5" xfId="28979" xr:uid="{00000000-0005-0000-0000-0000BF110000}"/>
    <cellStyle name="Comma 5 2 6 2 2 3" xfId="4464" xr:uid="{00000000-0005-0000-0000-0000C0110000}"/>
    <cellStyle name="Comma 5 2 6 2 2 3 2" xfId="13302" xr:uid="{00000000-0005-0000-0000-0000C1110000}"/>
    <cellStyle name="Comma 5 2 6 2 2 3 2 2" xfId="23553" xr:uid="{00000000-0005-0000-0000-0000C2110000}"/>
    <cellStyle name="Comma 5 2 6 2 2 3 2 2 2" xfId="49106" xr:uid="{00000000-0005-0000-0000-0000C3110000}"/>
    <cellStyle name="Comma 5 2 6 2 2 3 2 3" xfId="38857" xr:uid="{00000000-0005-0000-0000-0000C4110000}"/>
    <cellStyle name="Comma 5 2 6 2 2 3 3" xfId="9723" xr:uid="{00000000-0005-0000-0000-0000C5110000}"/>
    <cellStyle name="Comma 5 2 6 2 2 3 3 2" xfId="35280" xr:uid="{00000000-0005-0000-0000-0000C6110000}"/>
    <cellStyle name="Comma 5 2 6 2 2 3 4" xfId="18546" xr:uid="{00000000-0005-0000-0000-0000C7110000}"/>
    <cellStyle name="Comma 5 2 6 2 2 3 4 2" xfId="44099" xr:uid="{00000000-0005-0000-0000-0000C8110000}"/>
    <cellStyle name="Comma 5 2 6 2 2 3 5" xfId="30036" xr:uid="{00000000-0005-0000-0000-0000C9110000}"/>
    <cellStyle name="Comma 5 2 6 2 2 4" xfId="2244" xr:uid="{00000000-0005-0000-0000-0000CA110000}"/>
    <cellStyle name="Comma 5 2 6 2 2 4 2" xfId="11609" xr:uid="{00000000-0005-0000-0000-0000CB110000}"/>
    <cellStyle name="Comma 5 2 6 2 2 4 2 2" xfId="37164" xr:uid="{00000000-0005-0000-0000-0000CC110000}"/>
    <cellStyle name="Comma 5 2 6 2 2 4 3" xfId="21613" xr:uid="{00000000-0005-0000-0000-0000CD110000}"/>
    <cellStyle name="Comma 5 2 6 2 2 4 3 2" xfId="47166" xr:uid="{00000000-0005-0000-0000-0000CE110000}"/>
    <cellStyle name="Comma 5 2 6 2 2 4 4" xfId="28096" xr:uid="{00000000-0005-0000-0000-0000CF110000}"/>
    <cellStyle name="Comma 5 2 6 2 2 5" xfId="5920" xr:uid="{00000000-0005-0000-0000-0000D0110000}"/>
    <cellStyle name="Comma 5 2 6 2 2 5 2" xfId="14747" xr:uid="{00000000-0005-0000-0000-0000D1110000}"/>
    <cellStyle name="Comma 5 2 6 2 2 5 2 2" xfId="40302" xr:uid="{00000000-0005-0000-0000-0000D2110000}"/>
    <cellStyle name="Comma 5 2 6 2 2 5 3" xfId="24998" xr:uid="{00000000-0005-0000-0000-0000D3110000}"/>
    <cellStyle name="Comma 5 2 6 2 2 5 3 2" xfId="50551" xr:uid="{00000000-0005-0000-0000-0000D4110000}"/>
    <cellStyle name="Comma 5 2 6 2 2 5 4" xfId="31481" xr:uid="{00000000-0005-0000-0000-0000D5110000}"/>
    <cellStyle name="Comma 5 2 6 2 2 6" xfId="7364" xr:uid="{00000000-0005-0000-0000-0000D6110000}"/>
    <cellStyle name="Comma 5 2 6 2 2 6 2" xfId="20095" xr:uid="{00000000-0005-0000-0000-0000D7110000}"/>
    <cellStyle name="Comma 5 2 6 2 2 6 2 2" xfId="45648" xr:uid="{00000000-0005-0000-0000-0000D8110000}"/>
    <cellStyle name="Comma 5 2 6 2 2 6 3" xfId="32921" xr:uid="{00000000-0005-0000-0000-0000D9110000}"/>
    <cellStyle name="Comma 5 2 6 2 2 7" xfId="16606" xr:uid="{00000000-0005-0000-0000-0000DA110000}"/>
    <cellStyle name="Comma 5 2 6 2 2 7 2" xfId="42159" xr:uid="{00000000-0005-0000-0000-0000DB110000}"/>
    <cellStyle name="Comma 5 2 6 2 2 8" xfId="26578" xr:uid="{00000000-0005-0000-0000-0000DC110000}"/>
    <cellStyle name="Comma 5 2 6 2 3" xfId="1320" xr:uid="{00000000-0005-0000-0000-0000DD110000}"/>
    <cellStyle name="Comma 5 2 6 2 3 2" xfId="3749" xr:uid="{00000000-0005-0000-0000-0000DE110000}"/>
    <cellStyle name="Comma 5 2 6 2 3 2 2" xfId="12885" xr:uid="{00000000-0005-0000-0000-0000DF110000}"/>
    <cellStyle name="Comma 5 2 6 2 3 2 2 2" xfId="23104" xr:uid="{00000000-0005-0000-0000-0000E0110000}"/>
    <cellStyle name="Comma 5 2 6 2 3 2 2 2 2" xfId="48657" xr:uid="{00000000-0005-0000-0000-0000E1110000}"/>
    <cellStyle name="Comma 5 2 6 2 3 2 2 3" xfId="38440" xr:uid="{00000000-0005-0000-0000-0000E2110000}"/>
    <cellStyle name="Comma 5 2 6 2 3 2 3" xfId="9306" xr:uid="{00000000-0005-0000-0000-0000E3110000}"/>
    <cellStyle name="Comma 5 2 6 2 3 2 3 2" xfId="34863" xr:uid="{00000000-0005-0000-0000-0000E4110000}"/>
    <cellStyle name="Comma 5 2 6 2 3 2 4" xfId="18097" xr:uid="{00000000-0005-0000-0000-0000E5110000}"/>
    <cellStyle name="Comma 5 2 6 2 3 2 4 2" xfId="43650" xr:uid="{00000000-0005-0000-0000-0000E6110000}"/>
    <cellStyle name="Comma 5 2 6 2 3 2 5" xfId="29587" xr:uid="{00000000-0005-0000-0000-0000E7110000}"/>
    <cellStyle name="Comma 5 2 6 2 3 3" xfId="4813" xr:uid="{00000000-0005-0000-0000-0000E8110000}"/>
    <cellStyle name="Comma 5 2 6 2 3 3 2" xfId="13650" xr:uid="{00000000-0005-0000-0000-0000E9110000}"/>
    <cellStyle name="Comma 5 2 6 2 3 3 2 2" xfId="23901" xr:uid="{00000000-0005-0000-0000-0000EA110000}"/>
    <cellStyle name="Comma 5 2 6 2 3 3 2 2 2" xfId="49454" xr:uid="{00000000-0005-0000-0000-0000EB110000}"/>
    <cellStyle name="Comma 5 2 6 2 3 3 2 3" xfId="39205" xr:uid="{00000000-0005-0000-0000-0000EC110000}"/>
    <cellStyle name="Comma 5 2 6 2 3 3 3" xfId="10071" xr:uid="{00000000-0005-0000-0000-0000ED110000}"/>
    <cellStyle name="Comma 5 2 6 2 3 3 3 2" xfId="35628" xr:uid="{00000000-0005-0000-0000-0000EE110000}"/>
    <cellStyle name="Comma 5 2 6 2 3 3 4" xfId="18894" xr:uid="{00000000-0005-0000-0000-0000EF110000}"/>
    <cellStyle name="Comma 5 2 6 2 3 3 4 2" xfId="44447" xr:uid="{00000000-0005-0000-0000-0000F0110000}"/>
    <cellStyle name="Comma 5 2 6 2 3 3 5" xfId="30384" xr:uid="{00000000-0005-0000-0000-0000F1110000}"/>
    <cellStyle name="Comma 5 2 6 2 3 4" xfId="2143" xr:uid="{00000000-0005-0000-0000-0000F2110000}"/>
    <cellStyle name="Comma 5 2 6 2 3 4 2" xfId="11508" xr:uid="{00000000-0005-0000-0000-0000F3110000}"/>
    <cellStyle name="Comma 5 2 6 2 3 4 2 2" xfId="37063" xr:uid="{00000000-0005-0000-0000-0000F4110000}"/>
    <cellStyle name="Comma 5 2 6 2 3 4 3" xfId="21512" xr:uid="{00000000-0005-0000-0000-0000F5110000}"/>
    <cellStyle name="Comma 5 2 6 2 3 4 3 2" xfId="47065" xr:uid="{00000000-0005-0000-0000-0000F6110000}"/>
    <cellStyle name="Comma 5 2 6 2 3 4 4" xfId="27995" xr:uid="{00000000-0005-0000-0000-0000F7110000}"/>
    <cellStyle name="Comma 5 2 6 2 3 5" xfId="6268" xr:uid="{00000000-0005-0000-0000-0000F8110000}"/>
    <cellStyle name="Comma 5 2 6 2 3 5 2" xfId="15095" xr:uid="{00000000-0005-0000-0000-0000F9110000}"/>
    <cellStyle name="Comma 5 2 6 2 3 5 2 2" xfId="40650" xr:uid="{00000000-0005-0000-0000-0000FA110000}"/>
    <cellStyle name="Comma 5 2 6 2 3 5 3" xfId="25346" xr:uid="{00000000-0005-0000-0000-0000FB110000}"/>
    <cellStyle name="Comma 5 2 6 2 3 5 3 2" xfId="50899" xr:uid="{00000000-0005-0000-0000-0000FC110000}"/>
    <cellStyle name="Comma 5 2 6 2 3 5 4" xfId="31829" xr:uid="{00000000-0005-0000-0000-0000FD110000}"/>
    <cellStyle name="Comma 5 2 6 2 3 6" xfId="7714" xr:uid="{00000000-0005-0000-0000-0000FE110000}"/>
    <cellStyle name="Comma 5 2 6 2 3 6 2" xfId="20703" xr:uid="{00000000-0005-0000-0000-0000FF110000}"/>
    <cellStyle name="Comma 5 2 6 2 3 6 2 2" xfId="46256" xr:uid="{00000000-0005-0000-0000-000000120000}"/>
    <cellStyle name="Comma 5 2 6 2 3 6 3" xfId="33271" xr:uid="{00000000-0005-0000-0000-000001120000}"/>
    <cellStyle name="Comma 5 2 6 2 3 7" xfId="16505" xr:uid="{00000000-0005-0000-0000-000002120000}"/>
    <cellStyle name="Comma 5 2 6 2 3 7 2" xfId="42058" xr:uid="{00000000-0005-0000-0000-000003120000}"/>
    <cellStyle name="Comma 5 2 6 2 3 8" xfId="27186" xr:uid="{00000000-0005-0000-0000-000004120000}"/>
    <cellStyle name="Comma 5 2 6 2 4" xfId="3034" xr:uid="{00000000-0005-0000-0000-000005120000}"/>
    <cellStyle name="Comma 5 2 6 2 4 2" xfId="5412" xr:uid="{00000000-0005-0000-0000-000006120000}"/>
    <cellStyle name="Comma 5 2 6 2 4 2 2" xfId="14249" xr:uid="{00000000-0005-0000-0000-000007120000}"/>
    <cellStyle name="Comma 5 2 6 2 4 2 2 2" xfId="24500" xr:uid="{00000000-0005-0000-0000-000008120000}"/>
    <cellStyle name="Comma 5 2 6 2 4 2 2 2 2" xfId="50053" xr:uid="{00000000-0005-0000-0000-000009120000}"/>
    <cellStyle name="Comma 5 2 6 2 4 2 2 3" xfId="39804" xr:uid="{00000000-0005-0000-0000-00000A120000}"/>
    <cellStyle name="Comma 5 2 6 2 4 2 3" xfId="10670" xr:uid="{00000000-0005-0000-0000-00000B120000}"/>
    <cellStyle name="Comma 5 2 6 2 4 2 3 2" xfId="36227" xr:uid="{00000000-0005-0000-0000-00000C120000}"/>
    <cellStyle name="Comma 5 2 6 2 4 2 4" xfId="19493" xr:uid="{00000000-0005-0000-0000-00000D120000}"/>
    <cellStyle name="Comma 5 2 6 2 4 2 4 2" xfId="45046" xr:uid="{00000000-0005-0000-0000-00000E120000}"/>
    <cellStyle name="Comma 5 2 6 2 4 2 5" xfId="30983" xr:uid="{00000000-0005-0000-0000-00000F120000}"/>
    <cellStyle name="Comma 5 2 6 2 4 3" xfId="6867" xr:uid="{00000000-0005-0000-0000-000010120000}"/>
    <cellStyle name="Comma 5 2 6 2 4 3 2" xfId="15694" xr:uid="{00000000-0005-0000-0000-000011120000}"/>
    <cellStyle name="Comma 5 2 6 2 4 3 2 2" xfId="41249" xr:uid="{00000000-0005-0000-0000-000012120000}"/>
    <cellStyle name="Comma 5 2 6 2 4 3 3" xfId="25945" xr:uid="{00000000-0005-0000-0000-000013120000}"/>
    <cellStyle name="Comma 5 2 6 2 4 3 3 2" xfId="51498" xr:uid="{00000000-0005-0000-0000-000014120000}"/>
    <cellStyle name="Comma 5 2 6 2 4 3 4" xfId="32428" xr:uid="{00000000-0005-0000-0000-000015120000}"/>
    <cellStyle name="Comma 5 2 6 2 4 4" xfId="8313" xr:uid="{00000000-0005-0000-0000-000016120000}"/>
    <cellStyle name="Comma 5 2 6 2 4 4 2" xfId="22395" xr:uid="{00000000-0005-0000-0000-000017120000}"/>
    <cellStyle name="Comma 5 2 6 2 4 4 2 2" xfId="47948" xr:uid="{00000000-0005-0000-0000-000018120000}"/>
    <cellStyle name="Comma 5 2 6 2 4 4 3" xfId="33870" xr:uid="{00000000-0005-0000-0000-000019120000}"/>
    <cellStyle name="Comma 5 2 6 2 4 5" xfId="17388" xr:uid="{00000000-0005-0000-0000-00001A120000}"/>
    <cellStyle name="Comma 5 2 6 2 4 5 2" xfId="42941" xr:uid="{00000000-0005-0000-0000-00001B120000}"/>
    <cellStyle name="Comma 5 2 6 2 4 6" xfId="28878" xr:uid="{00000000-0005-0000-0000-00001C120000}"/>
    <cellStyle name="Comma 5 2 6 2 5" xfId="4368" xr:uid="{00000000-0005-0000-0000-00001D120000}"/>
    <cellStyle name="Comma 5 2 6 2 5 2" xfId="13206" xr:uid="{00000000-0005-0000-0000-00001E120000}"/>
    <cellStyle name="Comma 5 2 6 2 5 2 2" xfId="23457" xr:uid="{00000000-0005-0000-0000-00001F120000}"/>
    <cellStyle name="Comma 5 2 6 2 5 2 2 2" xfId="49010" xr:uid="{00000000-0005-0000-0000-000020120000}"/>
    <cellStyle name="Comma 5 2 6 2 5 2 3" xfId="38761" xr:uid="{00000000-0005-0000-0000-000021120000}"/>
    <cellStyle name="Comma 5 2 6 2 5 3" xfId="9627" xr:uid="{00000000-0005-0000-0000-000022120000}"/>
    <cellStyle name="Comma 5 2 6 2 5 3 2" xfId="35184" xr:uid="{00000000-0005-0000-0000-000023120000}"/>
    <cellStyle name="Comma 5 2 6 2 5 4" xfId="18450" xr:uid="{00000000-0005-0000-0000-000024120000}"/>
    <cellStyle name="Comma 5 2 6 2 5 4 2" xfId="44003" xr:uid="{00000000-0005-0000-0000-000025120000}"/>
    <cellStyle name="Comma 5 2 6 2 5 5" xfId="29940" xr:uid="{00000000-0005-0000-0000-000026120000}"/>
    <cellStyle name="Comma 5 2 6 2 6" xfId="1640" xr:uid="{00000000-0005-0000-0000-000027120000}"/>
    <cellStyle name="Comma 5 2 6 2 6 2" xfId="11017" xr:uid="{00000000-0005-0000-0000-000028120000}"/>
    <cellStyle name="Comma 5 2 6 2 6 2 2" xfId="36572" xr:uid="{00000000-0005-0000-0000-000029120000}"/>
    <cellStyle name="Comma 5 2 6 2 6 3" xfId="21021" xr:uid="{00000000-0005-0000-0000-00002A120000}"/>
    <cellStyle name="Comma 5 2 6 2 6 3 2" xfId="46574" xr:uid="{00000000-0005-0000-0000-00002B120000}"/>
    <cellStyle name="Comma 5 2 6 2 6 4" xfId="27504" xr:uid="{00000000-0005-0000-0000-00002C120000}"/>
    <cellStyle name="Comma 5 2 6 2 7" xfId="5824" xr:uid="{00000000-0005-0000-0000-00002D120000}"/>
    <cellStyle name="Comma 5 2 6 2 7 2" xfId="14651" xr:uid="{00000000-0005-0000-0000-00002E120000}"/>
    <cellStyle name="Comma 5 2 6 2 7 2 2" xfId="40206" xr:uid="{00000000-0005-0000-0000-00002F120000}"/>
    <cellStyle name="Comma 5 2 6 2 7 3" xfId="24902" xr:uid="{00000000-0005-0000-0000-000030120000}"/>
    <cellStyle name="Comma 5 2 6 2 7 3 2" xfId="50455" xr:uid="{00000000-0005-0000-0000-000031120000}"/>
    <cellStyle name="Comma 5 2 6 2 7 4" xfId="31385" xr:uid="{00000000-0005-0000-0000-000032120000}"/>
    <cellStyle name="Comma 5 2 6 2 8" xfId="7268" xr:uid="{00000000-0005-0000-0000-000033120000}"/>
    <cellStyle name="Comma 5 2 6 2 8 2" xfId="19994" xr:uid="{00000000-0005-0000-0000-000034120000}"/>
    <cellStyle name="Comma 5 2 6 2 8 2 2" xfId="45547" xr:uid="{00000000-0005-0000-0000-000035120000}"/>
    <cellStyle name="Comma 5 2 6 2 8 3" xfId="32825" xr:uid="{00000000-0005-0000-0000-000036120000}"/>
    <cellStyle name="Comma 5 2 6 2 9" xfId="16014" xr:uid="{00000000-0005-0000-0000-000037120000}"/>
    <cellStyle name="Comma 5 2 6 2 9 2" xfId="41567" xr:uid="{00000000-0005-0000-0000-000038120000}"/>
    <cellStyle name="Comma 5 2 6 3" xfId="343" xr:uid="{00000000-0005-0000-0000-000039120000}"/>
    <cellStyle name="Comma 5 2 6 3 2" xfId="2829" xr:uid="{00000000-0005-0000-0000-00003A120000}"/>
    <cellStyle name="Comma 5 2 6 3 2 2" xfId="12117" xr:uid="{00000000-0005-0000-0000-00003B120000}"/>
    <cellStyle name="Comma 5 2 6 3 2 2 2" xfId="22190" xr:uid="{00000000-0005-0000-0000-00003C120000}"/>
    <cellStyle name="Comma 5 2 6 3 2 2 2 2" xfId="47743" xr:uid="{00000000-0005-0000-0000-00003D120000}"/>
    <cellStyle name="Comma 5 2 6 3 2 2 3" xfId="37672" xr:uid="{00000000-0005-0000-0000-00003E120000}"/>
    <cellStyle name="Comma 5 2 6 3 2 3" xfId="8468" xr:uid="{00000000-0005-0000-0000-00003F120000}"/>
    <cellStyle name="Comma 5 2 6 3 2 3 2" xfId="34025" xr:uid="{00000000-0005-0000-0000-000040120000}"/>
    <cellStyle name="Comma 5 2 6 3 2 4" xfId="17183" xr:uid="{00000000-0005-0000-0000-000041120000}"/>
    <cellStyle name="Comma 5 2 6 3 2 4 2" xfId="42736" xr:uid="{00000000-0005-0000-0000-000042120000}"/>
    <cellStyle name="Comma 5 2 6 3 2 5" xfId="28673" xr:uid="{00000000-0005-0000-0000-000043120000}"/>
    <cellStyle name="Comma 5 2 6 3 3" xfId="4463" xr:uid="{00000000-0005-0000-0000-000044120000}"/>
    <cellStyle name="Comma 5 2 6 3 3 2" xfId="13301" xr:uid="{00000000-0005-0000-0000-000045120000}"/>
    <cellStyle name="Comma 5 2 6 3 3 2 2" xfId="23552" xr:uid="{00000000-0005-0000-0000-000046120000}"/>
    <cellStyle name="Comma 5 2 6 3 3 2 2 2" xfId="49105" xr:uid="{00000000-0005-0000-0000-000047120000}"/>
    <cellStyle name="Comma 5 2 6 3 3 2 3" xfId="38856" xr:uid="{00000000-0005-0000-0000-000048120000}"/>
    <cellStyle name="Comma 5 2 6 3 3 3" xfId="9722" xr:uid="{00000000-0005-0000-0000-000049120000}"/>
    <cellStyle name="Comma 5 2 6 3 3 3 2" xfId="35279" xr:uid="{00000000-0005-0000-0000-00004A120000}"/>
    <cellStyle name="Comma 5 2 6 3 3 4" xfId="18545" xr:uid="{00000000-0005-0000-0000-00004B120000}"/>
    <cellStyle name="Comma 5 2 6 3 3 4 2" xfId="44098" xr:uid="{00000000-0005-0000-0000-00004C120000}"/>
    <cellStyle name="Comma 5 2 6 3 3 5" xfId="30035" xr:uid="{00000000-0005-0000-0000-00004D120000}"/>
    <cellStyle name="Comma 5 2 6 3 4" xfId="1938" xr:uid="{00000000-0005-0000-0000-00004E120000}"/>
    <cellStyle name="Comma 5 2 6 3 4 2" xfId="11303" xr:uid="{00000000-0005-0000-0000-00004F120000}"/>
    <cellStyle name="Comma 5 2 6 3 4 2 2" xfId="36858" xr:uid="{00000000-0005-0000-0000-000050120000}"/>
    <cellStyle name="Comma 5 2 6 3 4 3" xfId="21307" xr:uid="{00000000-0005-0000-0000-000051120000}"/>
    <cellStyle name="Comma 5 2 6 3 4 3 2" xfId="46860" xr:uid="{00000000-0005-0000-0000-000052120000}"/>
    <cellStyle name="Comma 5 2 6 3 4 4" xfId="27790" xr:uid="{00000000-0005-0000-0000-000053120000}"/>
    <cellStyle name="Comma 5 2 6 3 5" xfId="5919" xr:uid="{00000000-0005-0000-0000-000054120000}"/>
    <cellStyle name="Comma 5 2 6 3 5 2" xfId="14746" xr:uid="{00000000-0005-0000-0000-000055120000}"/>
    <cellStyle name="Comma 5 2 6 3 5 2 2" xfId="40301" xr:uid="{00000000-0005-0000-0000-000056120000}"/>
    <cellStyle name="Comma 5 2 6 3 5 3" xfId="24997" xr:uid="{00000000-0005-0000-0000-000057120000}"/>
    <cellStyle name="Comma 5 2 6 3 5 3 2" xfId="50550" xr:uid="{00000000-0005-0000-0000-000058120000}"/>
    <cellStyle name="Comma 5 2 6 3 5 4" xfId="31480" xr:uid="{00000000-0005-0000-0000-000059120000}"/>
    <cellStyle name="Comma 5 2 6 3 6" xfId="7363" xr:uid="{00000000-0005-0000-0000-00005A120000}"/>
    <cellStyle name="Comma 5 2 6 3 6 2" xfId="19789" xr:uid="{00000000-0005-0000-0000-00005B120000}"/>
    <cellStyle name="Comma 5 2 6 3 6 2 2" xfId="45342" xr:uid="{00000000-0005-0000-0000-00005C120000}"/>
    <cellStyle name="Comma 5 2 6 3 6 3" xfId="32920" xr:uid="{00000000-0005-0000-0000-00005D120000}"/>
    <cellStyle name="Comma 5 2 6 3 7" xfId="16300" xr:uid="{00000000-0005-0000-0000-00005E120000}"/>
    <cellStyle name="Comma 5 2 6 3 7 2" xfId="41853" xr:uid="{00000000-0005-0000-0000-00005F120000}"/>
    <cellStyle name="Comma 5 2 6 3 8" xfId="26272" xr:uid="{00000000-0005-0000-0000-000060120000}"/>
    <cellStyle name="Comma 5 2 6 4" xfId="648" xr:uid="{00000000-0005-0000-0000-000061120000}"/>
    <cellStyle name="Comma 5 2 6 4 2" xfId="3134" xr:uid="{00000000-0005-0000-0000-000062120000}"/>
    <cellStyle name="Comma 5 2 6 4 2 2" xfId="12277" xr:uid="{00000000-0005-0000-0000-000063120000}"/>
    <cellStyle name="Comma 5 2 6 4 2 2 2" xfId="22495" xr:uid="{00000000-0005-0000-0000-000064120000}"/>
    <cellStyle name="Comma 5 2 6 4 2 2 2 2" xfId="48048" xr:uid="{00000000-0005-0000-0000-000065120000}"/>
    <cellStyle name="Comma 5 2 6 4 2 2 3" xfId="37832" xr:uid="{00000000-0005-0000-0000-000066120000}"/>
    <cellStyle name="Comma 5 2 6 4 2 3" xfId="8699" xr:uid="{00000000-0005-0000-0000-000067120000}"/>
    <cellStyle name="Comma 5 2 6 4 2 3 2" xfId="34256" xr:uid="{00000000-0005-0000-0000-000068120000}"/>
    <cellStyle name="Comma 5 2 6 4 2 4" xfId="17488" xr:uid="{00000000-0005-0000-0000-000069120000}"/>
    <cellStyle name="Comma 5 2 6 4 2 4 2" xfId="43041" xr:uid="{00000000-0005-0000-0000-00006A120000}"/>
    <cellStyle name="Comma 5 2 6 4 2 5" xfId="28978" xr:uid="{00000000-0005-0000-0000-00006B120000}"/>
    <cellStyle name="Comma 5 2 6 4 3" xfId="4812" xr:uid="{00000000-0005-0000-0000-00006C120000}"/>
    <cellStyle name="Comma 5 2 6 4 3 2" xfId="13649" xr:uid="{00000000-0005-0000-0000-00006D120000}"/>
    <cellStyle name="Comma 5 2 6 4 3 2 2" xfId="23900" xr:uid="{00000000-0005-0000-0000-00006E120000}"/>
    <cellStyle name="Comma 5 2 6 4 3 2 2 2" xfId="49453" xr:uid="{00000000-0005-0000-0000-00006F120000}"/>
    <cellStyle name="Comma 5 2 6 4 3 2 3" xfId="39204" xr:uid="{00000000-0005-0000-0000-000070120000}"/>
    <cellStyle name="Comma 5 2 6 4 3 3" xfId="10070" xr:uid="{00000000-0005-0000-0000-000071120000}"/>
    <cellStyle name="Comma 5 2 6 4 3 3 2" xfId="35627" xr:uid="{00000000-0005-0000-0000-000072120000}"/>
    <cellStyle name="Comma 5 2 6 4 3 4" xfId="18893" xr:uid="{00000000-0005-0000-0000-000073120000}"/>
    <cellStyle name="Comma 5 2 6 4 3 4 2" xfId="44446" xr:uid="{00000000-0005-0000-0000-000074120000}"/>
    <cellStyle name="Comma 5 2 6 4 3 5" xfId="30383" xr:uid="{00000000-0005-0000-0000-000075120000}"/>
    <cellStyle name="Comma 5 2 6 4 4" xfId="2243" xr:uid="{00000000-0005-0000-0000-000076120000}"/>
    <cellStyle name="Comma 5 2 6 4 4 2" xfId="11608" xr:uid="{00000000-0005-0000-0000-000077120000}"/>
    <cellStyle name="Comma 5 2 6 4 4 2 2" xfId="37163" xr:uid="{00000000-0005-0000-0000-000078120000}"/>
    <cellStyle name="Comma 5 2 6 4 4 3" xfId="21612" xr:uid="{00000000-0005-0000-0000-000079120000}"/>
    <cellStyle name="Comma 5 2 6 4 4 3 2" xfId="47165" xr:uid="{00000000-0005-0000-0000-00007A120000}"/>
    <cellStyle name="Comma 5 2 6 4 4 4" xfId="28095" xr:uid="{00000000-0005-0000-0000-00007B120000}"/>
    <cellStyle name="Comma 5 2 6 4 5" xfId="6267" xr:uid="{00000000-0005-0000-0000-00007C120000}"/>
    <cellStyle name="Comma 5 2 6 4 5 2" xfId="15094" xr:uid="{00000000-0005-0000-0000-00007D120000}"/>
    <cellStyle name="Comma 5 2 6 4 5 2 2" xfId="40649" xr:uid="{00000000-0005-0000-0000-00007E120000}"/>
    <cellStyle name="Comma 5 2 6 4 5 3" xfId="25345" xr:uid="{00000000-0005-0000-0000-00007F120000}"/>
    <cellStyle name="Comma 5 2 6 4 5 3 2" xfId="50898" xr:uid="{00000000-0005-0000-0000-000080120000}"/>
    <cellStyle name="Comma 5 2 6 4 5 4" xfId="31828" xr:uid="{00000000-0005-0000-0000-000081120000}"/>
    <cellStyle name="Comma 5 2 6 4 6" xfId="7713" xr:uid="{00000000-0005-0000-0000-000082120000}"/>
    <cellStyle name="Comma 5 2 6 4 6 2" xfId="20094" xr:uid="{00000000-0005-0000-0000-000083120000}"/>
    <cellStyle name="Comma 5 2 6 4 6 2 2" xfId="45647" xr:uid="{00000000-0005-0000-0000-000084120000}"/>
    <cellStyle name="Comma 5 2 6 4 6 3" xfId="33270" xr:uid="{00000000-0005-0000-0000-000085120000}"/>
    <cellStyle name="Comma 5 2 6 4 7" xfId="16605" xr:uid="{00000000-0005-0000-0000-000086120000}"/>
    <cellStyle name="Comma 5 2 6 4 7 2" xfId="42158" xr:uid="{00000000-0005-0000-0000-000087120000}"/>
    <cellStyle name="Comma 5 2 6 4 8" xfId="26577" xr:uid="{00000000-0005-0000-0000-000088120000}"/>
    <cellStyle name="Comma 5 2 6 5" xfId="1115" xr:uid="{00000000-0005-0000-0000-000089120000}"/>
    <cellStyle name="Comma 5 2 6 5 2" xfId="3544" xr:uid="{00000000-0005-0000-0000-00008A120000}"/>
    <cellStyle name="Comma 5 2 6 5 2 2" xfId="12680" xr:uid="{00000000-0005-0000-0000-00008B120000}"/>
    <cellStyle name="Comma 5 2 6 5 2 2 2" xfId="22899" xr:uid="{00000000-0005-0000-0000-00008C120000}"/>
    <cellStyle name="Comma 5 2 6 5 2 2 2 2" xfId="48452" xr:uid="{00000000-0005-0000-0000-00008D120000}"/>
    <cellStyle name="Comma 5 2 6 5 2 2 3" xfId="38235" xr:uid="{00000000-0005-0000-0000-00008E120000}"/>
    <cellStyle name="Comma 5 2 6 5 2 3" xfId="9101" xr:uid="{00000000-0005-0000-0000-00008F120000}"/>
    <cellStyle name="Comma 5 2 6 5 2 3 2" xfId="34658" xr:uid="{00000000-0005-0000-0000-000090120000}"/>
    <cellStyle name="Comma 5 2 6 5 2 4" xfId="17892" xr:uid="{00000000-0005-0000-0000-000091120000}"/>
    <cellStyle name="Comma 5 2 6 5 2 4 2" xfId="43445" xr:uid="{00000000-0005-0000-0000-000092120000}"/>
    <cellStyle name="Comma 5 2 6 5 2 5" xfId="29382" xr:uid="{00000000-0005-0000-0000-000093120000}"/>
    <cellStyle name="Comma 5 2 6 5 3" xfId="5207" xr:uid="{00000000-0005-0000-0000-000094120000}"/>
    <cellStyle name="Comma 5 2 6 5 3 2" xfId="14044" xr:uid="{00000000-0005-0000-0000-000095120000}"/>
    <cellStyle name="Comma 5 2 6 5 3 2 2" xfId="24295" xr:uid="{00000000-0005-0000-0000-000096120000}"/>
    <cellStyle name="Comma 5 2 6 5 3 2 2 2" xfId="49848" xr:uid="{00000000-0005-0000-0000-000097120000}"/>
    <cellStyle name="Comma 5 2 6 5 3 2 3" xfId="39599" xr:uid="{00000000-0005-0000-0000-000098120000}"/>
    <cellStyle name="Comma 5 2 6 5 3 3" xfId="10465" xr:uid="{00000000-0005-0000-0000-000099120000}"/>
    <cellStyle name="Comma 5 2 6 5 3 3 2" xfId="36022" xr:uid="{00000000-0005-0000-0000-00009A120000}"/>
    <cellStyle name="Comma 5 2 6 5 3 4" xfId="19288" xr:uid="{00000000-0005-0000-0000-00009B120000}"/>
    <cellStyle name="Comma 5 2 6 5 3 4 2" xfId="44841" xr:uid="{00000000-0005-0000-0000-00009C120000}"/>
    <cellStyle name="Comma 5 2 6 5 3 5" xfId="30778" xr:uid="{00000000-0005-0000-0000-00009D120000}"/>
    <cellStyle name="Comma 5 2 6 5 4" xfId="1823" xr:uid="{00000000-0005-0000-0000-00009E120000}"/>
    <cellStyle name="Comma 5 2 6 5 4 2" xfId="11191" xr:uid="{00000000-0005-0000-0000-00009F120000}"/>
    <cellStyle name="Comma 5 2 6 5 4 2 2" xfId="36746" xr:uid="{00000000-0005-0000-0000-0000A0120000}"/>
    <cellStyle name="Comma 5 2 6 5 4 3" xfId="21195" xr:uid="{00000000-0005-0000-0000-0000A1120000}"/>
    <cellStyle name="Comma 5 2 6 5 4 3 2" xfId="46748" xr:uid="{00000000-0005-0000-0000-0000A2120000}"/>
    <cellStyle name="Comma 5 2 6 5 4 4" xfId="27678" xr:uid="{00000000-0005-0000-0000-0000A3120000}"/>
    <cellStyle name="Comma 5 2 6 5 5" xfId="6662" xr:uid="{00000000-0005-0000-0000-0000A4120000}"/>
    <cellStyle name="Comma 5 2 6 5 5 2" xfId="15489" xr:uid="{00000000-0005-0000-0000-0000A5120000}"/>
    <cellStyle name="Comma 5 2 6 5 5 2 2" xfId="41044" xr:uid="{00000000-0005-0000-0000-0000A6120000}"/>
    <cellStyle name="Comma 5 2 6 5 5 3" xfId="25740" xr:uid="{00000000-0005-0000-0000-0000A7120000}"/>
    <cellStyle name="Comma 5 2 6 5 5 3 2" xfId="51293" xr:uid="{00000000-0005-0000-0000-0000A8120000}"/>
    <cellStyle name="Comma 5 2 6 5 5 4" xfId="32223" xr:uid="{00000000-0005-0000-0000-0000A9120000}"/>
    <cellStyle name="Comma 5 2 6 5 6" xfId="8108" xr:uid="{00000000-0005-0000-0000-0000AA120000}"/>
    <cellStyle name="Comma 5 2 6 5 6 2" xfId="20498" xr:uid="{00000000-0005-0000-0000-0000AB120000}"/>
    <cellStyle name="Comma 5 2 6 5 6 2 2" xfId="46051" xr:uid="{00000000-0005-0000-0000-0000AC120000}"/>
    <cellStyle name="Comma 5 2 6 5 6 3" xfId="33665" xr:uid="{00000000-0005-0000-0000-0000AD120000}"/>
    <cellStyle name="Comma 5 2 6 5 7" xfId="16188" xr:uid="{00000000-0005-0000-0000-0000AE120000}"/>
    <cellStyle name="Comma 5 2 6 5 7 2" xfId="41741" xr:uid="{00000000-0005-0000-0000-0000AF120000}"/>
    <cellStyle name="Comma 5 2 6 5 8" xfId="26981" xr:uid="{00000000-0005-0000-0000-0000B0120000}"/>
    <cellStyle name="Comma 5 2 6 6" xfId="2717" xr:uid="{00000000-0005-0000-0000-0000B1120000}"/>
    <cellStyle name="Comma 5 2 6 6 2" xfId="12034" xr:uid="{00000000-0005-0000-0000-0000B2120000}"/>
    <cellStyle name="Comma 5 2 6 6 2 2" xfId="22078" xr:uid="{00000000-0005-0000-0000-0000B3120000}"/>
    <cellStyle name="Comma 5 2 6 6 2 2 2" xfId="47631" xr:uid="{00000000-0005-0000-0000-0000B4120000}"/>
    <cellStyle name="Comma 5 2 6 6 2 3" xfId="37589" xr:uid="{00000000-0005-0000-0000-0000B5120000}"/>
    <cellStyle name="Comma 5 2 6 6 3" xfId="8414" xr:uid="{00000000-0005-0000-0000-0000B6120000}"/>
    <cellStyle name="Comma 5 2 6 6 3 2" xfId="33971" xr:uid="{00000000-0005-0000-0000-0000B7120000}"/>
    <cellStyle name="Comma 5 2 6 6 4" xfId="17071" xr:uid="{00000000-0005-0000-0000-0000B8120000}"/>
    <cellStyle name="Comma 5 2 6 6 4 2" xfId="42624" xr:uid="{00000000-0005-0000-0000-0000B9120000}"/>
    <cellStyle name="Comma 5 2 6 6 5" xfId="28561" xr:uid="{00000000-0005-0000-0000-0000BA120000}"/>
    <cellStyle name="Comma 5 2 6 7" xfId="4163" xr:uid="{00000000-0005-0000-0000-0000BB120000}"/>
    <cellStyle name="Comma 5 2 6 7 2" xfId="13001" xr:uid="{00000000-0005-0000-0000-0000BC120000}"/>
    <cellStyle name="Comma 5 2 6 7 2 2" xfId="23252" xr:uid="{00000000-0005-0000-0000-0000BD120000}"/>
    <cellStyle name="Comma 5 2 6 7 2 2 2" xfId="48805" xr:uid="{00000000-0005-0000-0000-0000BE120000}"/>
    <cellStyle name="Comma 5 2 6 7 2 3" xfId="38556" xr:uid="{00000000-0005-0000-0000-0000BF120000}"/>
    <cellStyle name="Comma 5 2 6 7 3" xfId="9422" xr:uid="{00000000-0005-0000-0000-0000C0120000}"/>
    <cellStyle name="Comma 5 2 6 7 3 2" xfId="34979" xr:uid="{00000000-0005-0000-0000-0000C1120000}"/>
    <cellStyle name="Comma 5 2 6 7 4" xfId="18245" xr:uid="{00000000-0005-0000-0000-0000C2120000}"/>
    <cellStyle name="Comma 5 2 6 7 4 2" xfId="43798" xr:uid="{00000000-0005-0000-0000-0000C3120000}"/>
    <cellStyle name="Comma 5 2 6 7 5" xfId="29735" xr:uid="{00000000-0005-0000-0000-0000C4120000}"/>
    <cellStyle name="Comma 5 2 6 8" xfId="1435" xr:uid="{00000000-0005-0000-0000-0000C5120000}"/>
    <cellStyle name="Comma 5 2 6 8 2" xfId="10812" xr:uid="{00000000-0005-0000-0000-0000C6120000}"/>
    <cellStyle name="Comma 5 2 6 8 2 2" xfId="36367" xr:uid="{00000000-0005-0000-0000-0000C7120000}"/>
    <cellStyle name="Comma 5 2 6 8 3" xfId="20816" xr:uid="{00000000-0005-0000-0000-0000C8120000}"/>
    <cellStyle name="Comma 5 2 6 8 3 2" xfId="46369" xr:uid="{00000000-0005-0000-0000-0000C9120000}"/>
    <cellStyle name="Comma 5 2 6 8 4" xfId="27299" xr:uid="{00000000-0005-0000-0000-0000CA120000}"/>
    <cellStyle name="Comma 5 2 6 9" xfId="5619" xr:uid="{00000000-0005-0000-0000-0000CB120000}"/>
    <cellStyle name="Comma 5 2 6 9 2" xfId="14446" xr:uid="{00000000-0005-0000-0000-0000CC120000}"/>
    <cellStyle name="Comma 5 2 6 9 2 2" xfId="40001" xr:uid="{00000000-0005-0000-0000-0000CD120000}"/>
    <cellStyle name="Comma 5 2 6 9 3" xfId="24697" xr:uid="{00000000-0005-0000-0000-0000CE120000}"/>
    <cellStyle name="Comma 5 2 6 9 3 2" xfId="50250" xr:uid="{00000000-0005-0000-0000-0000CF120000}"/>
    <cellStyle name="Comma 5 2 6 9 4" xfId="31180" xr:uid="{00000000-0005-0000-0000-0000D0120000}"/>
    <cellStyle name="Comma 5 2 7" xfId="282" xr:uid="{00000000-0005-0000-0000-0000D1120000}"/>
    <cellStyle name="Comma 5 2 7 10" xfId="16070" xr:uid="{00000000-0005-0000-0000-0000D2120000}"/>
    <cellStyle name="Comma 5 2 7 10 2" xfId="41623" xr:uid="{00000000-0005-0000-0000-0000D3120000}"/>
    <cellStyle name="Comma 5 2 7 11" xfId="26216" xr:uid="{00000000-0005-0000-0000-0000D4120000}"/>
    <cellStyle name="Comma 5 2 7 2" xfId="604" xr:uid="{00000000-0005-0000-0000-0000D5120000}"/>
    <cellStyle name="Comma 5 2 7 2 2" xfId="3090" xr:uid="{00000000-0005-0000-0000-0000D6120000}"/>
    <cellStyle name="Comma 5 2 7 2 2 2" xfId="12233" xr:uid="{00000000-0005-0000-0000-0000D7120000}"/>
    <cellStyle name="Comma 5 2 7 2 2 2 2" xfId="22451" xr:uid="{00000000-0005-0000-0000-0000D8120000}"/>
    <cellStyle name="Comma 5 2 7 2 2 2 2 2" xfId="48004" xr:uid="{00000000-0005-0000-0000-0000D9120000}"/>
    <cellStyle name="Comma 5 2 7 2 2 2 3" xfId="37788" xr:uid="{00000000-0005-0000-0000-0000DA120000}"/>
    <cellStyle name="Comma 5 2 7 2 2 3" xfId="8655" xr:uid="{00000000-0005-0000-0000-0000DB120000}"/>
    <cellStyle name="Comma 5 2 7 2 2 3 2" xfId="34212" xr:uid="{00000000-0005-0000-0000-0000DC120000}"/>
    <cellStyle name="Comma 5 2 7 2 2 4" xfId="17444" xr:uid="{00000000-0005-0000-0000-0000DD120000}"/>
    <cellStyle name="Comma 5 2 7 2 2 4 2" xfId="42997" xr:uid="{00000000-0005-0000-0000-0000DE120000}"/>
    <cellStyle name="Comma 5 2 7 2 2 5" xfId="28934" xr:uid="{00000000-0005-0000-0000-0000DF120000}"/>
    <cellStyle name="Comma 5 2 7 2 3" xfId="4465" xr:uid="{00000000-0005-0000-0000-0000E0120000}"/>
    <cellStyle name="Comma 5 2 7 2 3 2" xfId="13303" xr:uid="{00000000-0005-0000-0000-0000E1120000}"/>
    <cellStyle name="Comma 5 2 7 2 3 2 2" xfId="23554" xr:uid="{00000000-0005-0000-0000-0000E2120000}"/>
    <cellStyle name="Comma 5 2 7 2 3 2 2 2" xfId="49107" xr:uid="{00000000-0005-0000-0000-0000E3120000}"/>
    <cellStyle name="Comma 5 2 7 2 3 2 3" xfId="38858" xr:uid="{00000000-0005-0000-0000-0000E4120000}"/>
    <cellStyle name="Comma 5 2 7 2 3 3" xfId="9724" xr:uid="{00000000-0005-0000-0000-0000E5120000}"/>
    <cellStyle name="Comma 5 2 7 2 3 3 2" xfId="35281" xr:uid="{00000000-0005-0000-0000-0000E6120000}"/>
    <cellStyle name="Comma 5 2 7 2 3 4" xfId="18547" xr:uid="{00000000-0005-0000-0000-0000E7120000}"/>
    <cellStyle name="Comma 5 2 7 2 3 4 2" xfId="44100" xr:uid="{00000000-0005-0000-0000-0000E8120000}"/>
    <cellStyle name="Comma 5 2 7 2 3 5" xfId="30037" xr:uid="{00000000-0005-0000-0000-0000E9120000}"/>
    <cellStyle name="Comma 5 2 7 2 4" xfId="2199" xr:uid="{00000000-0005-0000-0000-0000EA120000}"/>
    <cellStyle name="Comma 5 2 7 2 4 2" xfId="11564" xr:uid="{00000000-0005-0000-0000-0000EB120000}"/>
    <cellStyle name="Comma 5 2 7 2 4 2 2" xfId="37119" xr:uid="{00000000-0005-0000-0000-0000EC120000}"/>
    <cellStyle name="Comma 5 2 7 2 4 3" xfId="21568" xr:uid="{00000000-0005-0000-0000-0000ED120000}"/>
    <cellStyle name="Comma 5 2 7 2 4 3 2" xfId="47121" xr:uid="{00000000-0005-0000-0000-0000EE120000}"/>
    <cellStyle name="Comma 5 2 7 2 4 4" xfId="28051" xr:uid="{00000000-0005-0000-0000-0000EF120000}"/>
    <cellStyle name="Comma 5 2 7 2 5" xfId="5921" xr:uid="{00000000-0005-0000-0000-0000F0120000}"/>
    <cellStyle name="Comma 5 2 7 2 5 2" xfId="14748" xr:uid="{00000000-0005-0000-0000-0000F1120000}"/>
    <cellStyle name="Comma 5 2 7 2 5 2 2" xfId="40303" xr:uid="{00000000-0005-0000-0000-0000F2120000}"/>
    <cellStyle name="Comma 5 2 7 2 5 3" xfId="24999" xr:uid="{00000000-0005-0000-0000-0000F3120000}"/>
    <cellStyle name="Comma 5 2 7 2 5 3 2" xfId="50552" xr:uid="{00000000-0005-0000-0000-0000F4120000}"/>
    <cellStyle name="Comma 5 2 7 2 5 4" xfId="31482" xr:uid="{00000000-0005-0000-0000-0000F5120000}"/>
    <cellStyle name="Comma 5 2 7 2 6" xfId="7365" xr:uid="{00000000-0005-0000-0000-0000F6120000}"/>
    <cellStyle name="Comma 5 2 7 2 6 2" xfId="20050" xr:uid="{00000000-0005-0000-0000-0000F7120000}"/>
    <cellStyle name="Comma 5 2 7 2 6 2 2" xfId="45603" xr:uid="{00000000-0005-0000-0000-0000F8120000}"/>
    <cellStyle name="Comma 5 2 7 2 6 3" xfId="32922" xr:uid="{00000000-0005-0000-0000-0000F9120000}"/>
    <cellStyle name="Comma 5 2 7 2 7" xfId="16561" xr:uid="{00000000-0005-0000-0000-0000FA120000}"/>
    <cellStyle name="Comma 5 2 7 2 7 2" xfId="42114" xr:uid="{00000000-0005-0000-0000-0000FB120000}"/>
    <cellStyle name="Comma 5 2 7 2 8" xfId="26533" xr:uid="{00000000-0005-0000-0000-0000FC120000}"/>
    <cellStyle name="Comma 5 2 7 3" xfId="650" xr:uid="{00000000-0005-0000-0000-0000FD120000}"/>
    <cellStyle name="Comma 5 2 7 3 2" xfId="3136" xr:uid="{00000000-0005-0000-0000-0000FE120000}"/>
    <cellStyle name="Comma 5 2 7 3 2 2" xfId="12279" xr:uid="{00000000-0005-0000-0000-0000FF120000}"/>
    <cellStyle name="Comma 5 2 7 3 2 2 2" xfId="22497" xr:uid="{00000000-0005-0000-0000-000000130000}"/>
    <cellStyle name="Comma 5 2 7 3 2 2 2 2" xfId="48050" xr:uid="{00000000-0005-0000-0000-000001130000}"/>
    <cellStyle name="Comma 5 2 7 3 2 2 3" xfId="37834" xr:uid="{00000000-0005-0000-0000-000002130000}"/>
    <cellStyle name="Comma 5 2 7 3 2 3" xfId="8701" xr:uid="{00000000-0005-0000-0000-000003130000}"/>
    <cellStyle name="Comma 5 2 7 3 2 3 2" xfId="34258" xr:uid="{00000000-0005-0000-0000-000004130000}"/>
    <cellStyle name="Comma 5 2 7 3 2 4" xfId="17490" xr:uid="{00000000-0005-0000-0000-000005130000}"/>
    <cellStyle name="Comma 5 2 7 3 2 4 2" xfId="43043" xr:uid="{00000000-0005-0000-0000-000006130000}"/>
    <cellStyle name="Comma 5 2 7 3 2 5" xfId="28980" xr:uid="{00000000-0005-0000-0000-000007130000}"/>
    <cellStyle name="Comma 5 2 7 3 3" xfId="4814" xr:uid="{00000000-0005-0000-0000-000008130000}"/>
    <cellStyle name="Comma 5 2 7 3 3 2" xfId="13651" xr:uid="{00000000-0005-0000-0000-000009130000}"/>
    <cellStyle name="Comma 5 2 7 3 3 2 2" xfId="23902" xr:uid="{00000000-0005-0000-0000-00000A130000}"/>
    <cellStyle name="Comma 5 2 7 3 3 2 2 2" xfId="49455" xr:uid="{00000000-0005-0000-0000-00000B130000}"/>
    <cellStyle name="Comma 5 2 7 3 3 2 3" xfId="39206" xr:uid="{00000000-0005-0000-0000-00000C130000}"/>
    <cellStyle name="Comma 5 2 7 3 3 3" xfId="10072" xr:uid="{00000000-0005-0000-0000-00000D130000}"/>
    <cellStyle name="Comma 5 2 7 3 3 3 2" xfId="35629" xr:uid="{00000000-0005-0000-0000-00000E130000}"/>
    <cellStyle name="Comma 5 2 7 3 3 4" xfId="18895" xr:uid="{00000000-0005-0000-0000-00000F130000}"/>
    <cellStyle name="Comma 5 2 7 3 3 4 2" xfId="44448" xr:uid="{00000000-0005-0000-0000-000010130000}"/>
    <cellStyle name="Comma 5 2 7 3 3 5" xfId="30385" xr:uid="{00000000-0005-0000-0000-000011130000}"/>
    <cellStyle name="Comma 5 2 7 3 4" xfId="2245" xr:uid="{00000000-0005-0000-0000-000012130000}"/>
    <cellStyle name="Comma 5 2 7 3 4 2" xfId="11610" xr:uid="{00000000-0005-0000-0000-000013130000}"/>
    <cellStyle name="Comma 5 2 7 3 4 2 2" xfId="37165" xr:uid="{00000000-0005-0000-0000-000014130000}"/>
    <cellStyle name="Comma 5 2 7 3 4 3" xfId="21614" xr:uid="{00000000-0005-0000-0000-000015130000}"/>
    <cellStyle name="Comma 5 2 7 3 4 3 2" xfId="47167" xr:uid="{00000000-0005-0000-0000-000016130000}"/>
    <cellStyle name="Comma 5 2 7 3 4 4" xfId="28097" xr:uid="{00000000-0005-0000-0000-000017130000}"/>
    <cellStyle name="Comma 5 2 7 3 5" xfId="6269" xr:uid="{00000000-0005-0000-0000-000018130000}"/>
    <cellStyle name="Comma 5 2 7 3 5 2" xfId="15096" xr:uid="{00000000-0005-0000-0000-000019130000}"/>
    <cellStyle name="Comma 5 2 7 3 5 2 2" xfId="40651" xr:uid="{00000000-0005-0000-0000-00001A130000}"/>
    <cellStyle name="Comma 5 2 7 3 5 3" xfId="25347" xr:uid="{00000000-0005-0000-0000-00001B130000}"/>
    <cellStyle name="Comma 5 2 7 3 5 3 2" xfId="50900" xr:uid="{00000000-0005-0000-0000-00001C130000}"/>
    <cellStyle name="Comma 5 2 7 3 5 4" xfId="31830" xr:uid="{00000000-0005-0000-0000-00001D130000}"/>
    <cellStyle name="Comma 5 2 7 3 6" xfId="7715" xr:uid="{00000000-0005-0000-0000-00001E130000}"/>
    <cellStyle name="Comma 5 2 7 3 6 2" xfId="20096" xr:uid="{00000000-0005-0000-0000-00001F130000}"/>
    <cellStyle name="Comma 5 2 7 3 6 2 2" xfId="45649" xr:uid="{00000000-0005-0000-0000-000020130000}"/>
    <cellStyle name="Comma 5 2 7 3 6 3" xfId="33272" xr:uid="{00000000-0005-0000-0000-000021130000}"/>
    <cellStyle name="Comma 5 2 7 3 7" xfId="16607" xr:uid="{00000000-0005-0000-0000-000022130000}"/>
    <cellStyle name="Comma 5 2 7 3 7 2" xfId="42160" xr:uid="{00000000-0005-0000-0000-000023130000}"/>
    <cellStyle name="Comma 5 2 7 3 8" xfId="26579" xr:uid="{00000000-0005-0000-0000-000024130000}"/>
    <cellStyle name="Comma 5 2 7 4" xfId="1376" xr:uid="{00000000-0005-0000-0000-000025130000}"/>
    <cellStyle name="Comma 5 2 7 4 2" xfId="3805" xr:uid="{00000000-0005-0000-0000-000026130000}"/>
    <cellStyle name="Comma 5 2 7 4 2 2" xfId="12941" xr:uid="{00000000-0005-0000-0000-000027130000}"/>
    <cellStyle name="Comma 5 2 7 4 2 2 2" xfId="23160" xr:uid="{00000000-0005-0000-0000-000028130000}"/>
    <cellStyle name="Comma 5 2 7 4 2 2 2 2" xfId="48713" xr:uid="{00000000-0005-0000-0000-000029130000}"/>
    <cellStyle name="Comma 5 2 7 4 2 2 3" xfId="38496" xr:uid="{00000000-0005-0000-0000-00002A130000}"/>
    <cellStyle name="Comma 5 2 7 4 2 3" xfId="9362" xr:uid="{00000000-0005-0000-0000-00002B130000}"/>
    <cellStyle name="Comma 5 2 7 4 2 3 2" xfId="34919" xr:uid="{00000000-0005-0000-0000-00002C130000}"/>
    <cellStyle name="Comma 5 2 7 4 2 4" xfId="18153" xr:uid="{00000000-0005-0000-0000-00002D130000}"/>
    <cellStyle name="Comma 5 2 7 4 2 4 2" xfId="43706" xr:uid="{00000000-0005-0000-0000-00002E130000}"/>
    <cellStyle name="Comma 5 2 7 4 2 5" xfId="29643" xr:uid="{00000000-0005-0000-0000-00002F130000}"/>
    <cellStyle name="Comma 5 2 7 4 3" xfId="5468" xr:uid="{00000000-0005-0000-0000-000030130000}"/>
    <cellStyle name="Comma 5 2 7 4 3 2" xfId="14305" xr:uid="{00000000-0005-0000-0000-000031130000}"/>
    <cellStyle name="Comma 5 2 7 4 3 2 2" xfId="24556" xr:uid="{00000000-0005-0000-0000-000032130000}"/>
    <cellStyle name="Comma 5 2 7 4 3 2 2 2" xfId="50109" xr:uid="{00000000-0005-0000-0000-000033130000}"/>
    <cellStyle name="Comma 5 2 7 4 3 2 3" xfId="39860" xr:uid="{00000000-0005-0000-0000-000034130000}"/>
    <cellStyle name="Comma 5 2 7 4 3 3" xfId="10726" xr:uid="{00000000-0005-0000-0000-000035130000}"/>
    <cellStyle name="Comma 5 2 7 4 3 3 2" xfId="36283" xr:uid="{00000000-0005-0000-0000-000036130000}"/>
    <cellStyle name="Comma 5 2 7 4 3 4" xfId="19549" xr:uid="{00000000-0005-0000-0000-000037130000}"/>
    <cellStyle name="Comma 5 2 7 4 3 4 2" xfId="45102" xr:uid="{00000000-0005-0000-0000-000038130000}"/>
    <cellStyle name="Comma 5 2 7 4 3 5" xfId="31039" xr:uid="{00000000-0005-0000-0000-000039130000}"/>
    <cellStyle name="Comma 5 2 7 4 4" xfId="1879" xr:uid="{00000000-0005-0000-0000-00003A130000}"/>
    <cellStyle name="Comma 5 2 7 4 4 2" xfId="11247" xr:uid="{00000000-0005-0000-0000-00003B130000}"/>
    <cellStyle name="Comma 5 2 7 4 4 2 2" xfId="36802" xr:uid="{00000000-0005-0000-0000-00003C130000}"/>
    <cellStyle name="Comma 5 2 7 4 4 3" xfId="21251" xr:uid="{00000000-0005-0000-0000-00003D130000}"/>
    <cellStyle name="Comma 5 2 7 4 4 3 2" xfId="46804" xr:uid="{00000000-0005-0000-0000-00003E130000}"/>
    <cellStyle name="Comma 5 2 7 4 4 4" xfId="27734" xr:uid="{00000000-0005-0000-0000-00003F130000}"/>
    <cellStyle name="Comma 5 2 7 4 5" xfId="6923" xr:uid="{00000000-0005-0000-0000-000040130000}"/>
    <cellStyle name="Comma 5 2 7 4 5 2" xfId="15750" xr:uid="{00000000-0005-0000-0000-000041130000}"/>
    <cellStyle name="Comma 5 2 7 4 5 2 2" xfId="41305" xr:uid="{00000000-0005-0000-0000-000042130000}"/>
    <cellStyle name="Comma 5 2 7 4 5 3" xfId="26001" xr:uid="{00000000-0005-0000-0000-000043130000}"/>
    <cellStyle name="Comma 5 2 7 4 5 3 2" xfId="51554" xr:uid="{00000000-0005-0000-0000-000044130000}"/>
    <cellStyle name="Comma 5 2 7 4 5 4" xfId="32484" xr:uid="{00000000-0005-0000-0000-000045130000}"/>
    <cellStyle name="Comma 5 2 7 4 6" xfId="8369" xr:uid="{00000000-0005-0000-0000-000046130000}"/>
    <cellStyle name="Comma 5 2 7 4 6 2" xfId="20759" xr:uid="{00000000-0005-0000-0000-000047130000}"/>
    <cellStyle name="Comma 5 2 7 4 6 2 2" xfId="46312" xr:uid="{00000000-0005-0000-0000-000048130000}"/>
    <cellStyle name="Comma 5 2 7 4 6 3" xfId="33926" xr:uid="{00000000-0005-0000-0000-000049130000}"/>
    <cellStyle name="Comma 5 2 7 4 7" xfId="16244" xr:uid="{00000000-0005-0000-0000-00004A130000}"/>
    <cellStyle name="Comma 5 2 7 4 7 2" xfId="41797" xr:uid="{00000000-0005-0000-0000-00004B130000}"/>
    <cellStyle name="Comma 5 2 7 4 8" xfId="27242" xr:uid="{00000000-0005-0000-0000-00004C130000}"/>
    <cellStyle name="Comma 5 2 7 5" xfId="2773" xr:uid="{00000000-0005-0000-0000-00004D130000}"/>
    <cellStyle name="Comma 5 2 7 5 2" xfId="12090" xr:uid="{00000000-0005-0000-0000-00004E130000}"/>
    <cellStyle name="Comma 5 2 7 5 2 2" xfId="22134" xr:uid="{00000000-0005-0000-0000-00004F130000}"/>
    <cellStyle name="Comma 5 2 7 5 2 2 2" xfId="47687" xr:uid="{00000000-0005-0000-0000-000050130000}"/>
    <cellStyle name="Comma 5 2 7 5 2 3" xfId="37645" xr:uid="{00000000-0005-0000-0000-000051130000}"/>
    <cellStyle name="Comma 5 2 7 5 3" xfId="8534" xr:uid="{00000000-0005-0000-0000-000052130000}"/>
    <cellStyle name="Comma 5 2 7 5 3 2" xfId="34091" xr:uid="{00000000-0005-0000-0000-000053130000}"/>
    <cellStyle name="Comma 5 2 7 5 4" xfId="17127" xr:uid="{00000000-0005-0000-0000-000054130000}"/>
    <cellStyle name="Comma 5 2 7 5 4 2" xfId="42680" xr:uid="{00000000-0005-0000-0000-000055130000}"/>
    <cellStyle name="Comma 5 2 7 5 5" xfId="28617" xr:uid="{00000000-0005-0000-0000-000056130000}"/>
    <cellStyle name="Comma 5 2 7 6" xfId="4424" xr:uid="{00000000-0005-0000-0000-000057130000}"/>
    <cellStyle name="Comma 5 2 7 6 2" xfId="13262" xr:uid="{00000000-0005-0000-0000-000058130000}"/>
    <cellStyle name="Comma 5 2 7 6 2 2" xfId="23513" xr:uid="{00000000-0005-0000-0000-000059130000}"/>
    <cellStyle name="Comma 5 2 7 6 2 2 2" xfId="49066" xr:uid="{00000000-0005-0000-0000-00005A130000}"/>
    <cellStyle name="Comma 5 2 7 6 2 3" xfId="38817" xr:uid="{00000000-0005-0000-0000-00005B130000}"/>
    <cellStyle name="Comma 5 2 7 6 3" xfId="9683" xr:uid="{00000000-0005-0000-0000-00005C130000}"/>
    <cellStyle name="Comma 5 2 7 6 3 2" xfId="35240" xr:uid="{00000000-0005-0000-0000-00005D130000}"/>
    <cellStyle name="Comma 5 2 7 6 4" xfId="18506" xr:uid="{00000000-0005-0000-0000-00005E130000}"/>
    <cellStyle name="Comma 5 2 7 6 4 2" xfId="44059" xr:uid="{00000000-0005-0000-0000-00005F130000}"/>
    <cellStyle name="Comma 5 2 7 6 5" xfId="29996" xr:uid="{00000000-0005-0000-0000-000060130000}"/>
    <cellStyle name="Comma 5 2 7 7" xfId="1696" xr:uid="{00000000-0005-0000-0000-000061130000}"/>
    <cellStyle name="Comma 5 2 7 7 2" xfId="11073" xr:uid="{00000000-0005-0000-0000-000062130000}"/>
    <cellStyle name="Comma 5 2 7 7 2 2" xfId="36628" xr:uid="{00000000-0005-0000-0000-000063130000}"/>
    <cellStyle name="Comma 5 2 7 7 3" xfId="21077" xr:uid="{00000000-0005-0000-0000-000064130000}"/>
    <cellStyle name="Comma 5 2 7 7 3 2" xfId="46630" xr:uid="{00000000-0005-0000-0000-000065130000}"/>
    <cellStyle name="Comma 5 2 7 7 4" xfId="27560" xr:uid="{00000000-0005-0000-0000-000066130000}"/>
    <cellStyle name="Comma 5 2 7 8" xfId="5880" xr:uid="{00000000-0005-0000-0000-000067130000}"/>
    <cellStyle name="Comma 5 2 7 8 2" xfId="14707" xr:uid="{00000000-0005-0000-0000-000068130000}"/>
    <cellStyle name="Comma 5 2 7 8 2 2" xfId="40262" xr:uid="{00000000-0005-0000-0000-000069130000}"/>
    <cellStyle name="Comma 5 2 7 8 3" xfId="24958" xr:uid="{00000000-0005-0000-0000-00006A130000}"/>
    <cellStyle name="Comma 5 2 7 8 3 2" xfId="50511" xr:uid="{00000000-0005-0000-0000-00006B130000}"/>
    <cellStyle name="Comma 5 2 7 8 4" xfId="31441" xr:uid="{00000000-0005-0000-0000-00006C130000}"/>
    <cellStyle name="Comma 5 2 7 9" xfId="7324" xr:uid="{00000000-0005-0000-0000-00006D130000}"/>
    <cellStyle name="Comma 5 2 7 9 2" xfId="19733" xr:uid="{00000000-0005-0000-0000-00006E130000}"/>
    <cellStyle name="Comma 5 2 7 9 2 2" xfId="45286" xr:uid="{00000000-0005-0000-0000-00006F130000}"/>
    <cellStyle name="Comma 5 2 7 9 3" xfId="32881" xr:uid="{00000000-0005-0000-0000-000070130000}"/>
    <cellStyle name="Comma 5 2 8" xfId="443" xr:uid="{00000000-0005-0000-0000-000071130000}"/>
    <cellStyle name="Comma 5 2 8 10" xfId="26372" xr:uid="{00000000-0005-0000-0000-000072130000}"/>
    <cellStyle name="Comma 5 2 8 2" xfId="651" xr:uid="{00000000-0005-0000-0000-000073130000}"/>
    <cellStyle name="Comma 5 2 8 2 2" xfId="3137" xr:uid="{00000000-0005-0000-0000-000074130000}"/>
    <cellStyle name="Comma 5 2 8 2 2 2" xfId="12280" xr:uid="{00000000-0005-0000-0000-000075130000}"/>
    <cellStyle name="Comma 5 2 8 2 2 2 2" xfId="22498" xr:uid="{00000000-0005-0000-0000-000076130000}"/>
    <cellStyle name="Comma 5 2 8 2 2 2 2 2" xfId="48051" xr:uid="{00000000-0005-0000-0000-000077130000}"/>
    <cellStyle name="Comma 5 2 8 2 2 2 3" xfId="37835" xr:uid="{00000000-0005-0000-0000-000078130000}"/>
    <cellStyle name="Comma 5 2 8 2 2 3" xfId="8702" xr:uid="{00000000-0005-0000-0000-000079130000}"/>
    <cellStyle name="Comma 5 2 8 2 2 3 2" xfId="34259" xr:uid="{00000000-0005-0000-0000-00007A130000}"/>
    <cellStyle name="Comma 5 2 8 2 2 4" xfId="17491" xr:uid="{00000000-0005-0000-0000-00007B130000}"/>
    <cellStyle name="Comma 5 2 8 2 2 4 2" xfId="43044" xr:uid="{00000000-0005-0000-0000-00007C130000}"/>
    <cellStyle name="Comma 5 2 8 2 2 5" xfId="28981" xr:uid="{00000000-0005-0000-0000-00007D130000}"/>
    <cellStyle name="Comma 5 2 8 2 3" xfId="4466" xr:uid="{00000000-0005-0000-0000-00007E130000}"/>
    <cellStyle name="Comma 5 2 8 2 3 2" xfId="13304" xr:uid="{00000000-0005-0000-0000-00007F130000}"/>
    <cellStyle name="Comma 5 2 8 2 3 2 2" xfId="23555" xr:uid="{00000000-0005-0000-0000-000080130000}"/>
    <cellStyle name="Comma 5 2 8 2 3 2 2 2" xfId="49108" xr:uid="{00000000-0005-0000-0000-000081130000}"/>
    <cellStyle name="Comma 5 2 8 2 3 2 3" xfId="38859" xr:uid="{00000000-0005-0000-0000-000082130000}"/>
    <cellStyle name="Comma 5 2 8 2 3 3" xfId="9725" xr:uid="{00000000-0005-0000-0000-000083130000}"/>
    <cellStyle name="Comma 5 2 8 2 3 3 2" xfId="35282" xr:uid="{00000000-0005-0000-0000-000084130000}"/>
    <cellStyle name="Comma 5 2 8 2 3 4" xfId="18548" xr:uid="{00000000-0005-0000-0000-000085130000}"/>
    <cellStyle name="Comma 5 2 8 2 3 4 2" xfId="44101" xr:uid="{00000000-0005-0000-0000-000086130000}"/>
    <cellStyle name="Comma 5 2 8 2 3 5" xfId="30038" xr:uid="{00000000-0005-0000-0000-000087130000}"/>
    <cellStyle name="Comma 5 2 8 2 4" xfId="2246" xr:uid="{00000000-0005-0000-0000-000088130000}"/>
    <cellStyle name="Comma 5 2 8 2 4 2" xfId="11611" xr:uid="{00000000-0005-0000-0000-000089130000}"/>
    <cellStyle name="Comma 5 2 8 2 4 2 2" xfId="37166" xr:uid="{00000000-0005-0000-0000-00008A130000}"/>
    <cellStyle name="Comma 5 2 8 2 4 3" xfId="21615" xr:uid="{00000000-0005-0000-0000-00008B130000}"/>
    <cellStyle name="Comma 5 2 8 2 4 3 2" xfId="47168" xr:uid="{00000000-0005-0000-0000-00008C130000}"/>
    <cellStyle name="Comma 5 2 8 2 4 4" xfId="28098" xr:uid="{00000000-0005-0000-0000-00008D130000}"/>
    <cellStyle name="Comma 5 2 8 2 5" xfId="5922" xr:uid="{00000000-0005-0000-0000-00008E130000}"/>
    <cellStyle name="Comma 5 2 8 2 5 2" xfId="14749" xr:uid="{00000000-0005-0000-0000-00008F130000}"/>
    <cellStyle name="Comma 5 2 8 2 5 2 2" xfId="40304" xr:uid="{00000000-0005-0000-0000-000090130000}"/>
    <cellStyle name="Comma 5 2 8 2 5 3" xfId="25000" xr:uid="{00000000-0005-0000-0000-000091130000}"/>
    <cellStyle name="Comma 5 2 8 2 5 3 2" xfId="50553" xr:uid="{00000000-0005-0000-0000-000092130000}"/>
    <cellStyle name="Comma 5 2 8 2 5 4" xfId="31483" xr:uid="{00000000-0005-0000-0000-000093130000}"/>
    <cellStyle name="Comma 5 2 8 2 6" xfId="7366" xr:uid="{00000000-0005-0000-0000-000094130000}"/>
    <cellStyle name="Comma 5 2 8 2 6 2" xfId="20097" xr:uid="{00000000-0005-0000-0000-000095130000}"/>
    <cellStyle name="Comma 5 2 8 2 6 2 2" xfId="45650" xr:uid="{00000000-0005-0000-0000-000096130000}"/>
    <cellStyle name="Comma 5 2 8 2 6 3" xfId="32923" xr:uid="{00000000-0005-0000-0000-000097130000}"/>
    <cellStyle name="Comma 5 2 8 2 7" xfId="16608" xr:uid="{00000000-0005-0000-0000-000098130000}"/>
    <cellStyle name="Comma 5 2 8 2 7 2" xfId="42161" xr:uid="{00000000-0005-0000-0000-000099130000}"/>
    <cellStyle name="Comma 5 2 8 2 8" xfId="26580" xr:uid="{00000000-0005-0000-0000-00009A130000}"/>
    <cellStyle name="Comma 5 2 8 3" xfId="1215" xr:uid="{00000000-0005-0000-0000-00009B130000}"/>
    <cellStyle name="Comma 5 2 8 3 2" xfId="3644" xr:uid="{00000000-0005-0000-0000-00009C130000}"/>
    <cellStyle name="Comma 5 2 8 3 2 2" xfId="12780" xr:uid="{00000000-0005-0000-0000-00009D130000}"/>
    <cellStyle name="Comma 5 2 8 3 2 2 2" xfId="22999" xr:uid="{00000000-0005-0000-0000-00009E130000}"/>
    <cellStyle name="Comma 5 2 8 3 2 2 2 2" xfId="48552" xr:uid="{00000000-0005-0000-0000-00009F130000}"/>
    <cellStyle name="Comma 5 2 8 3 2 2 3" xfId="38335" xr:uid="{00000000-0005-0000-0000-0000A0130000}"/>
    <cellStyle name="Comma 5 2 8 3 2 3" xfId="9201" xr:uid="{00000000-0005-0000-0000-0000A1130000}"/>
    <cellStyle name="Comma 5 2 8 3 2 3 2" xfId="34758" xr:uid="{00000000-0005-0000-0000-0000A2130000}"/>
    <cellStyle name="Comma 5 2 8 3 2 4" xfId="17992" xr:uid="{00000000-0005-0000-0000-0000A3130000}"/>
    <cellStyle name="Comma 5 2 8 3 2 4 2" xfId="43545" xr:uid="{00000000-0005-0000-0000-0000A4130000}"/>
    <cellStyle name="Comma 5 2 8 3 2 5" xfId="29482" xr:uid="{00000000-0005-0000-0000-0000A5130000}"/>
    <cellStyle name="Comma 5 2 8 3 3" xfId="4815" xr:uid="{00000000-0005-0000-0000-0000A6130000}"/>
    <cellStyle name="Comma 5 2 8 3 3 2" xfId="13652" xr:uid="{00000000-0005-0000-0000-0000A7130000}"/>
    <cellStyle name="Comma 5 2 8 3 3 2 2" xfId="23903" xr:uid="{00000000-0005-0000-0000-0000A8130000}"/>
    <cellStyle name="Comma 5 2 8 3 3 2 2 2" xfId="49456" xr:uid="{00000000-0005-0000-0000-0000A9130000}"/>
    <cellStyle name="Comma 5 2 8 3 3 2 3" xfId="39207" xr:uid="{00000000-0005-0000-0000-0000AA130000}"/>
    <cellStyle name="Comma 5 2 8 3 3 3" xfId="10073" xr:uid="{00000000-0005-0000-0000-0000AB130000}"/>
    <cellStyle name="Comma 5 2 8 3 3 3 2" xfId="35630" xr:uid="{00000000-0005-0000-0000-0000AC130000}"/>
    <cellStyle name="Comma 5 2 8 3 3 4" xfId="18896" xr:uid="{00000000-0005-0000-0000-0000AD130000}"/>
    <cellStyle name="Comma 5 2 8 3 3 4 2" xfId="44449" xr:uid="{00000000-0005-0000-0000-0000AE130000}"/>
    <cellStyle name="Comma 5 2 8 3 3 5" xfId="30386" xr:uid="{00000000-0005-0000-0000-0000AF130000}"/>
    <cellStyle name="Comma 5 2 8 3 4" xfId="2038" xr:uid="{00000000-0005-0000-0000-0000B0130000}"/>
    <cellStyle name="Comma 5 2 8 3 4 2" xfId="11403" xr:uid="{00000000-0005-0000-0000-0000B1130000}"/>
    <cellStyle name="Comma 5 2 8 3 4 2 2" xfId="36958" xr:uid="{00000000-0005-0000-0000-0000B2130000}"/>
    <cellStyle name="Comma 5 2 8 3 4 3" xfId="21407" xr:uid="{00000000-0005-0000-0000-0000B3130000}"/>
    <cellStyle name="Comma 5 2 8 3 4 3 2" xfId="46960" xr:uid="{00000000-0005-0000-0000-0000B4130000}"/>
    <cellStyle name="Comma 5 2 8 3 4 4" xfId="27890" xr:uid="{00000000-0005-0000-0000-0000B5130000}"/>
    <cellStyle name="Comma 5 2 8 3 5" xfId="6270" xr:uid="{00000000-0005-0000-0000-0000B6130000}"/>
    <cellStyle name="Comma 5 2 8 3 5 2" xfId="15097" xr:uid="{00000000-0005-0000-0000-0000B7130000}"/>
    <cellStyle name="Comma 5 2 8 3 5 2 2" xfId="40652" xr:uid="{00000000-0005-0000-0000-0000B8130000}"/>
    <cellStyle name="Comma 5 2 8 3 5 3" xfId="25348" xr:uid="{00000000-0005-0000-0000-0000B9130000}"/>
    <cellStyle name="Comma 5 2 8 3 5 3 2" xfId="50901" xr:uid="{00000000-0005-0000-0000-0000BA130000}"/>
    <cellStyle name="Comma 5 2 8 3 5 4" xfId="31831" xr:uid="{00000000-0005-0000-0000-0000BB130000}"/>
    <cellStyle name="Comma 5 2 8 3 6" xfId="7716" xr:uid="{00000000-0005-0000-0000-0000BC130000}"/>
    <cellStyle name="Comma 5 2 8 3 6 2" xfId="20598" xr:uid="{00000000-0005-0000-0000-0000BD130000}"/>
    <cellStyle name="Comma 5 2 8 3 6 2 2" xfId="46151" xr:uid="{00000000-0005-0000-0000-0000BE130000}"/>
    <cellStyle name="Comma 5 2 8 3 6 3" xfId="33273" xr:uid="{00000000-0005-0000-0000-0000BF130000}"/>
    <cellStyle name="Comma 5 2 8 3 7" xfId="16400" xr:uid="{00000000-0005-0000-0000-0000C0130000}"/>
    <cellStyle name="Comma 5 2 8 3 7 2" xfId="41953" xr:uid="{00000000-0005-0000-0000-0000C1130000}"/>
    <cellStyle name="Comma 5 2 8 3 8" xfId="27081" xr:uid="{00000000-0005-0000-0000-0000C2130000}"/>
    <cellStyle name="Comma 5 2 8 4" xfId="2929" xr:uid="{00000000-0005-0000-0000-0000C3130000}"/>
    <cellStyle name="Comma 5 2 8 4 2" xfId="5307" xr:uid="{00000000-0005-0000-0000-0000C4130000}"/>
    <cellStyle name="Comma 5 2 8 4 2 2" xfId="14144" xr:uid="{00000000-0005-0000-0000-0000C5130000}"/>
    <cellStyle name="Comma 5 2 8 4 2 2 2" xfId="24395" xr:uid="{00000000-0005-0000-0000-0000C6130000}"/>
    <cellStyle name="Comma 5 2 8 4 2 2 2 2" xfId="49948" xr:uid="{00000000-0005-0000-0000-0000C7130000}"/>
    <cellStyle name="Comma 5 2 8 4 2 2 3" xfId="39699" xr:uid="{00000000-0005-0000-0000-0000C8130000}"/>
    <cellStyle name="Comma 5 2 8 4 2 3" xfId="10565" xr:uid="{00000000-0005-0000-0000-0000C9130000}"/>
    <cellStyle name="Comma 5 2 8 4 2 3 2" xfId="36122" xr:uid="{00000000-0005-0000-0000-0000CA130000}"/>
    <cellStyle name="Comma 5 2 8 4 2 4" xfId="19388" xr:uid="{00000000-0005-0000-0000-0000CB130000}"/>
    <cellStyle name="Comma 5 2 8 4 2 4 2" xfId="44941" xr:uid="{00000000-0005-0000-0000-0000CC130000}"/>
    <cellStyle name="Comma 5 2 8 4 2 5" xfId="30878" xr:uid="{00000000-0005-0000-0000-0000CD130000}"/>
    <cellStyle name="Comma 5 2 8 4 3" xfId="6762" xr:uid="{00000000-0005-0000-0000-0000CE130000}"/>
    <cellStyle name="Comma 5 2 8 4 3 2" xfId="15589" xr:uid="{00000000-0005-0000-0000-0000CF130000}"/>
    <cellStyle name="Comma 5 2 8 4 3 2 2" xfId="41144" xr:uid="{00000000-0005-0000-0000-0000D0130000}"/>
    <cellStyle name="Comma 5 2 8 4 3 3" xfId="25840" xr:uid="{00000000-0005-0000-0000-0000D1130000}"/>
    <cellStyle name="Comma 5 2 8 4 3 3 2" xfId="51393" xr:uid="{00000000-0005-0000-0000-0000D2130000}"/>
    <cellStyle name="Comma 5 2 8 4 3 4" xfId="32323" xr:uid="{00000000-0005-0000-0000-0000D3130000}"/>
    <cellStyle name="Comma 5 2 8 4 4" xfId="8208" xr:uid="{00000000-0005-0000-0000-0000D4130000}"/>
    <cellStyle name="Comma 5 2 8 4 4 2" xfId="22290" xr:uid="{00000000-0005-0000-0000-0000D5130000}"/>
    <cellStyle name="Comma 5 2 8 4 4 2 2" xfId="47843" xr:uid="{00000000-0005-0000-0000-0000D6130000}"/>
    <cellStyle name="Comma 5 2 8 4 4 3" xfId="33765" xr:uid="{00000000-0005-0000-0000-0000D7130000}"/>
    <cellStyle name="Comma 5 2 8 4 5" xfId="17283" xr:uid="{00000000-0005-0000-0000-0000D8130000}"/>
    <cellStyle name="Comma 5 2 8 4 5 2" xfId="42836" xr:uid="{00000000-0005-0000-0000-0000D9130000}"/>
    <cellStyle name="Comma 5 2 8 4 6" xfId="28773" xr:uid="{00000000-0005-0000-0000-0000DA130000}"/>
    <cellStyle name="Comma 5 2 8 5" xfId="4263" xr:uid="{00000000-0005-0000-0000-0000DB130000}"/>
    <cellStyle name="Comma 5 2 8 5 2" xfId="13101" xr:uid="{00000000-0005-0000-0000-0000DC130000}"/>
    <cellStyle name="Comma 5 2 8 5 2 2" xfId="23352" xr:uid="{00000000-0005-0000-0000-0000DD130000}"/>
    <cellStyle name="Comma 5 2 8 5 2 2 2" xfId="48905" xr:uid="{00000000-0005-0000-0000-0000DE130000}"/>
    <cellStyle name="Comma 5 2 8 5 2 3" xfId="38656" xr:uid="{00000000-0005-0000-0000-0000DF130000}"/>
    <cellStyle name="Comma 5 2 8 5 3" xfId="9522" xr:uid="{00000000-0005-0000-0000-0000E0130000}"/>
    <cellStyle name="Comma 5 2 8 5 3 2" xfId="35079" xr:uid="{00000000-0005-0000-0000-0000E1130000}"/>
    <cellStyle name="Comma 5 2 8 5 4" xfId="18345" xr:uid="{00000000-0005-0000-0000-0000E2130000}"/>
    <cellStyle name="Comma 5 2 8 5 4 2" xfId="43898" xr:uid="{00000000-0005-0000-0000-0000E3130000}"/>
    <cellStyle name="Comma 5 2 8 5 5" xfId="29835" xr:uid="{00000000-0005-0000-0000-0000E4130000}"/>
    <cellStyle name="Comma 5 2 8 6" xfId="1535" xr:uid="{00000000-0005-0000-0000-0000E5130000}"/>
    <cellStyle name="Comma 5 2 8 6 2" xfId="10912" xr:uid="{00000000-0005-0000-0000-0000E6130000}"/>
    <cellStyle name="Comma 5 2 8 6 2 2" xfId="36467" xr:uid="{00000000-0005-0000-0000-0000E7130000}"/>
    <cellStyle name="Comma 5 2 8 6 3" xfId="20916" xr:uid="{00000000-0005-0000-0000-0000E8130000}"/>
    <cellStyle name="Comma 5 2 8 6 3 2" xfId="46469" xr:uid="{00000000-0005-0000-0000-0000E9130000}"/>
    <cellStyle name="Comma 5 2 8 6 4" xfId="27399" xr:uid="{00000000-0005-0000-0000-0000EA130000}"/>
    <cellStyle name="Comma 5 2 8 7" xfId="5719" xr:uid="{00000000-0005-0000-0000-0000EB130000}"/>
    <cellStyle name="Comma 5 2 8 7 2" xfId="14546" xr:uid="{00000000-0005-0000-0000-0000EC130000}"/>
    <cellStyle name="Comma 5 2 8 7 2 2" xfId="40101" xr:uid="{00000000-0005-0000-0000-0000ED130000}"/>
    <cellStyle name="Comma 5 2 8 7 3" xfId="24797" xr:uid="{00000000-0005-0000-0000-0000EE130000}"/>
    <cellStyle name="Comma 5 2 8 7 3 2" xfId="50350" xr:uid="{00000000-0005-0000-0000-0000EF130000}"/>
    <cellStyle name="Comma 5 2 8 7 4" xfId="31280" xr:uid="{00000000-0005-0000-0000-0000F0130000}"/>
    <cellStyle name="Comma 5 2 8 8" xfId="7163" xr:uid="{00000000-0005-0000-0000-0000F1130000}"/>
    <cellStyle name="Comma 5 2 8 8 2" xfId="19889" xr:uid="{00000000-0005-0000-0000-0000F2130000}"/>
    <cellStyle name="Comma 5 2 8 8 2 2" xfId="45442" xr:uid="{00000000-0005-0000-0000-0000F3130000}"/>
    <cellStyle name="Comma 5 2 8 8 3" xfId="32720" xr:uid="{00000000-0005-0000-0000-0000F4130000}"/>
    <cellStyle name="Comma 5 2 8 9" xfId="15909" xr:uid="{00000000-0005-0000-0000-0000F5130000}"/>
    <cellStyle name="Comma 5 2 8 9 2" xfId="41462" xr:uid="{00000000-0005-0000-0000-0000F6130000}"/>
    <cellStyle name="Comma 5 2 9" xfId="304" xr:uid="{00000000-0005-0000-0000-0000F7130000}"/>
    <cellStyle name="Comma 5 2 9 10" xfId="26233" xr:uid="{00000000-0005-0000-0000-0000F8130000}"/>
    <cellStyle name="Comma 5 2 9 2" xfId="652" xr:uid="{00000000-0005-0000-0000-0000F9130000}"/>
    <cellStyle name="Comma 5 2 9 2 2" xfId="3138" xr:uid="{00000000-0005-0000-0000-0000FA130000}"/>
    <cellStyle name="Comma 5 2 9 2 2 2" xfId="12281" xr:uid="{00000000-0005-0000-0000-0000FB130000}"/>
    <cellStyle name="Comma 5 2 9 2 2 2 2" xfId="22499" xr:uid="{00000000-0005-0000-0000-0000FC130000}"/>
    <cellStyle name="Comma 5 2 9 2 2 2 2 2" xfId="48052" xr:uid="{00000000-0005-0000-0000-0000FD130000}"/>
    <cellStyle name="Comma 5 2 9 2 2 2 3" xfId="37836" xr:uid="{00000000-0005-0000-0000-0000FE130000}"/>
    <cellStyle name="Comma 5 2 9 2 2 3" xfId="8703" xr:uid="{00000000-0005-0000-0000-0000FF130000}"/>
    <cellStyle name="Comma 5 2 9 2 2 3 2" xfId="34260" xr:uid="{00000000-0005-0000-0000-000000140000}"/>
    <cellStyle name="Comma 5 2 9 2 2 4" xfId="17492" xr:uid="{00000000-0005-0000-0000-000001140000}"/>
    <cellStyle name="Comma 5 2 9 2 2 4 2" xfId="43045" xr:uid="{00000000-0005-0000-0000-000002140000}"/>
    <cellStyle name="Comma 5 2 9 2 2 5" xfId="28982" xr:uid="{00000000-0005-0000-0000-000003140000}"/>
    <cellStyle name="Comma 5 2 9 2 3" xfId="4467" xr:uid="{00000000-0005-0000-0000-000004140000}"/>
    <cellStyle name="Comma 5 2 9 2 3 2" xfId="13305" xr:uid="{00000000-0005-0000-0000-000005140000}"/>
    <cellStyle name="Comma 5 2 9 2 3 2 2" xfId="23556" xr:uid="{00000000-0005-0000-0000-000006140000}"/>
    <cellStyle name="Comma 5 2 9 2 3 2 2 2" xfId="49109" xr:uid="{00000000-0005-0000-0000-000007140000}"/>
    <cellStyle name="Comma 5 2 9 2 3 2 3" xfId="38860" xr:uid="{00000000-0005-0000-0000-000008140000}"/>
    <cellStyle name="Comma 5 2 9 2 3 3" xfId="9726" xr:uid="{00000000-0005-0000-0000-000009140000}"/>
    <cellStyle name="Comma 5 2 9 2 3 3 2" xfId="35283" xr:uid="{00000000-0005-0000-0000-00000A140000}"/>
    <cellStyle name="Comma 5 2 9 2 3 4" xfId="18549" xr:uid="{00000000-0005-0000-0000-00000B140000}"/>
    <cellStyle name="Comma 5 2 9 2 3 4 2" xfId="44102" xr:uid="{00000000-0005-0000-0000-00000C140000}"/>
    <cellStyle name="Comma 5 2 9 2 3 5" xfId="30039" xr:uid="{00000000-0005-0000-0000-00000D140000}"/>
    <cellStyle name="Comma 5 2 9 2 4" xfId="2247" xr:uid="{00000000-0005-0000-0000-00000E140000}"/>
    <cellStyle name="Comma 5 2 9 2 4 2" xfId="11612" xr:uid="{00000000-0005-0000-0000-00000F140000}"/>
    <cellStyle name="Comma 5 2 9 2 4 2 2" xfId="37167" xr:uid="{00000000-0005-0000-0000-000010140000}"/>
    <cellStyle name="Comma 5 2 9 2 4 3" xfId="21616" xr:uid="{00000000-0005-0000-0000-000011140000}"/>
    <cellStyle name="Comma 5 2 9 2 4 3 2" xfId="47169" xr:uid="{00000000-0005-0000-0000-000012140000}"/>
    <cellStyle name="Comma 5 2 9 2 4 4" xfId="28099" xr:uid="{00000000-0005-0000-0000-000013140000}"/>
    <cellStyle name="Comma 5 2 9 2 5" xfId="5923" xr:uid="{00000000-0005-0000-0000-000014140000}"/>
    <cellStyle name="Comma 5 2 9 2 5 2" xfId="14750" xr:uid="{00000000-0005-0000-0000-000015140000}"/>
    <cellStyle name="Comma 5 2 9 2 5 2 2" xfId="40305" xr:uid="{00000000-0005-0000-0000-000016140000}"/>
    <cellStyle name="Comma 5 2 9 2 5 3" xfId="25001" xr:uid="{00000000-0005-0000-0000-000017140000}"/>
    <cellStyle name="Comma 5 2 9 2 5 3 2" xfId="50554" xr:uid="{00000000-0005-0000-0000-000018140000}"/>
    <cellStyle name="Comma 5 2 9 2 5 4" xfId="31484" xr:uid="{00000000-0005-0000-0000-000019140000}"/>
    <cellStyle name="Comma 5 2 9 2 6" xfId="7367" xr:uid="{00000000-0005-0000-0000-00001A140000}"/>
    <cellStyle name="Comma 5 2 9 2 6 2" xfId="20098" xr:uid="{00000000-0005-0000-0000-00001B140000}"/>
    <cellStyle name="Comma 5 2 9 2 6 2 2" xfId="45651" xr:uid="{00000000-0005-0000-0000-00001C140000}"/>
    <cellStyle name="Comma 5 2 9 2 6 3" xfId="32924" xr:uid="{00000000-0005-0000-0000-00001D140000}"/>
    <cellStyle name="Comma 5 2 9 2 7" xfId="16609" xr:uid="{00000000-0005-0000-0000-00001E140000}"/>
    <cellStyle name="Comma 5 2 9 2 7 2" xfId="42162" xr:uid="{00000000-0005-0000-0000-00001F140000}"/>
    <cellStyle name="Comma 5 2 9 2 8" xfId="26581" xr:uid="{00000000-0005-0000-0000-000020140000}"/>
    <cellStyle name="Comma 5 2 9 3" xfId="1076" xr:uid="{00000000-0005-0000-0000-000021140000}"/>
    <cellStyle name="Comma 5 2 9 3 2" xfId="3505" xr:uid="{00000000-0005-0000-0000-000022140000}"/>
    <cellStyle name="Comma 5 2 9 3 2 2" xfId="12641" xr:uid="{00000000-0005-0000-0000-000023140000}"/>
    <cellStyle name="Comma 5 2 9 3 2 2 2" xfId="22860" xr:uid="{00000000-0005-0000-0000-000024140000}"/>
    <cellStyle name="Comma 5 2 9 3 2 2 2 2" xfId="48413" xr:uid="{00000000-0005-0000-0000-000025140000}"/>
    <cellStyle name="Comma 5 2 9 3 2 2 3" xfId="38196" xr:uid="{00000000-0005-0000-0000-000026140000}"/>
    <cellStyle name="Comma 5 2 9 3 2 3" xfId="9063" xr:uid="{00000000-0005-0000-0000-000027140000}"/>
    <cellStyle name="Comma 5 2 9 3 2 3 2" xfId="34620" xr:uid="{00000000-0005-0000-0000-000028140000}"/>
    <cellStyle name="Comma 5 2 9 3 2 4" xfId="17853" xr:uid="{00000000-0005-0000-0000-000029140000}"/>
    <cellStyle name="Comma 5 2 9 3 2 4 2" xfId="43406" xr:uid="{00000000-0005-0000-0000-00002A140000}"/>
    <cellStyle name="Comma 5 2 9 3 2 5" xfId="29343" xr:uid="{00000000-0005-0000-0000-00002B140000}"/>
    <cellStyle name="Comma 5 2 9 3 3" xfId="4816" xr:uid="{00000000-0005-0000-0000-00002C140000}"/>
    <cellStyle name="Comma 5 2 9 3 3 2" xfId="13653" xr:uid="{00000000-0005-0000-0000-00002D140000}"/>
    <cellStyle name="Comma 5 2 9 3 3 2 2" xfId="23904" xr:uid="{00000000-0005-0000-0000-00002E140000}"/>
    <cellStyle name="Comma 5 2 9 3 3 2 2 2" xfId="49457" xr:uid="{00000000-0005-0000-0000-00002F140000}"/>
    <cellStyle name="Comma 5 2 9 3 3 2 3" xfId="39208" xr:uid="{00000000-0005-0000-0000-000030140000}"/>
    <cellStyle name="Comma 5 2 9 3 3 3" xfId="10074" xr:uid="{00000000-0005-0000-0000-000031140000}"/>
    <cellStyle name="Comma 5 2 9 3 3 3 2" xfId="35631" xr:uid="{00000000-0005-0000-0000-000032140000}"/>
    <cellStyle name="Comma 5 2 9 3 3 4" xfId="18897" xr:uid="{00000000-0005-0000-0000-000033140000}"/>
    <cellStyle name="Comma 5 2 9 3 3 4 2" xfId="44450" xr:uid="{00000000-0005-0000-0000-000034140000}"/>
    <cellStyle name="Comma 5 2 9 3 3 5" xfId="30387" xr:uid="{00000000-0005-0000-0000-000035140000}"/>
    <cellStyle name="Comma 5 2 9 3 4" xfId="2578" xr:uid="{00000000-0005-0000-0000-000036140000}"/>
    <cellStyle name="Comma 5 2 9 3 4 2" xfId="11942" xr:uid="{00000000-0005-0000-0000-000037140000}"/>
    <cellStyle name="Comma 5 2 9 3 4 2 2" xfId="37497" xr:uid="{00000000-0005-0000-0000-000038140000}"/>
    <cellStyle name="Comma 5 2 9 3 4 3" xfId="21946" xr:uid="{00000000-0005-0000-0000-000039140000}"/>
    <cellStyle name="Comma 5 2 9 3 4 3 2" xfId="47499" xr:uid="{00000000-0005-0000-0000-00003A140000}"/>
    <cellStyle name="Comma 5 2 9 3 4 4" xfId="28429" xr:uid="{00000000-0005-0000-0000-00003B140000}"/>
    <cellStyle name="Comma 5 2 9 3 5" xfId="6271" xr:uid="{00000000-0005-0000-0000-00003C140000}"/>
    <cellStyle name="Comma 5 2 9 3 5 2" xfId="15098" xr:uid="{00000000-0005-0000-0000-00003D140000}"/>
    <cellStyle name="Comma 5 2 9 3 5 2 2" xfId="40653" xr:uid="{00000000-0005-0000-0000-00003E140000}"/>
    <cellStyle name="Comma 5 2 9 3 5 3" xfId="25349" xr:uid="{00000000-0005-0000-0000-00003F140000}"/>
    <cellStyle name="Comma 5 2 9 3 5 3 2" xfId="50902" xr:uid="{00000000-0005-0000-0000-000040140000}"/>
    <cellStyle name="Comma 5 2 9 3 5 4" xfId="31832" xr:uid="{00000000-0005-0000-0000-000041140000}"/>
    <cellStyle name="Comma 5 2 9 3 6" xfId="7717" xr:uid="{00000000-0005-0000-0000-000042140000}"/>
    <cellStyle name="Comma 5 2 9 3 6 2" xfId="20459" xr:uid="{00000000-0005-0000-0000-000043140000}"/>
    <cellStyle name="Comma 5 2 9 3 6 2 2" xfId="46012" xr:uid="{00000000-0005-0000-0000-000044140000}"/>
    <cellStyle name="Comma 5 2 9 3 6 3" xfId="33274" xr:uid="{00000000-0005-0000-0000-000045140000}"/>
    <cellStyle name="Comma 5 2 9 3 7" xfId="16939" xr:uid="{00000000-0005-0000-0000-000046140000}"/>
    <cellStyle name="Comma 5 2 9 3 7 2" xfId="42492" xr:uid="{00000000-0005-0000-0000-000047140000}"/>
    <cellStyle name="Comma 5 2 9 3 8" xfId="26942" xr:uid="{00000000-0005-0000-0000-000048140000}"/>
    <cellStyle name="Comma 5 2 9 4" xfId="2790" xr:uid="{00000000-0005-0000-0000-000049140000}"/>
    <cellStyle name="Comma 5 2 9 4 2" xfId="5168" xr:uid="{00000000-0005-0000-0000-00004A140000}"/>
    <cellStyle name="Comma 5 2 9 4 2 2" xfId="14005" xr:uid="{00000000-0005-0000-0000-00004B140000}"/>
    <cellStyle name="Comma 5 2 9 4 2 2 2" xfId="24256" xr:uid="{00000000-0005-0000-0000-00004C140000}"/>
    <cellStyle name="Comma 5 2 9 4 2 2 2 2" xfId="49809" xr:uid="{00000000-0005-0000-0000-00004D140000}"/>
    <cellStyle name="Comma 5 2 9 4 2 2 3" xfId="39560" xr:uid="{00000000-0005-0000-0000-00004E140000}"/>
    <cellStyle name="Comma 5 2 9 4 2 3" xfId="10426" xr:uid="{00000000-0005-0000-0000-00004F140000}"/>
    <cellStyle name="Comma 5 2 9 4 2 3 2" xfId="35983" xr:uid="{00000000-0005-0000-0000-000050140000}"/>
    <cellStyle name="Comma 5 2 9 4 2 4" xfId="19249" xr:uid="{00000000-0005-0000-0000-000051140000}"/>
    <cellStyle name="Comma 5 2 9 4 2 4 2" xfId="44802" xr:uid="{00000000-0005-0000-0000-000052140000}"/>
    <cellStyle name="Comma 5 2 9 4 2 5" xfId="30739" xr:uid="{00000000-0005-0000-0000-000053140000}"/>
    <cellStyle name="Comma 5 2 9 4 3" xfId="6623" xr:uid="{00000000-0005-0000-0000-000054140000}"/>
    <cellStyle name="Comma 5 2 9 4 3 2" xfId="15450" xr:uid="{00000000-0005-0000-0000-000055140000}"/>
    <cellStyle name="Comma 5 2 9 4 3 2 2" xfId="41005" xr:uid="{00000000-0005-0000-0000-000056140000}"/>
    <cellStyle name="Comma 5 2 9 4 3 3" xfId="25701" xr:uid="{00000000-0005-0000-0000-000057140000}"/>
    <cellStyle name="Comma 5 2 9 4 3 3 2" xfId="51254" xr:uid="{00000000-0005-0000-0000-000058140000}"/>
    <cellStyle name="Comma 5 2 9 4 3 4" xfId="32184" xr:uid="{00000000-0005-0000-0000-000059140000}"/>
    <cellStyle name="Comma 5 2 9 4 4" xfId="8069" xr:uid="{00000000-0005-0000-0000-00005A140000}"/>
    <cellStyle name="Comma 5 2 9 4 4 2" xfId="22151" xr:uid="{00000000-0005-0000-0000-00005B140000}"/>
    <cellStyle name="Comma 5 2 9 4 4 2 2" xfId="47704" xr:uid="{00000000-0005-0000-0000-00005C140000}"/>
    <cellStyle name="Comma 5 2 9 4 4 3" xfId="33626" xr:uid="{00000000-0005-0000-0000-00005D140000}"/>
    <cellStyle name="Comma 5 2 9 4 5" xfId="17144" xr:uid="{00000000-0005-0000-0000-00005E140000}"/>
    <cellStyle name="Comma 5 2 9 4 5 2" xfId="42697" xr:uid="{00000000-0005-0000-0000-00005F140000}"/>
    <cellStyle name="Comma 5 2 9 4 6" xfId="28634" xr:uid="{00000000-0005-0000-0000-000060140000}"/>
    <cellStyle name="Comma 5 2 9 5" xfId="4122" xr:uid="{00000000-0005-0000-0000-000061140000}"/>
    <cellStyle name="Comma 5 2 9 5 2" xfId="12960" xr:uid="{00000000-0005-0000-0000-000062140000}"/>
    <cellStyle name="Comma 5 2 9 5 2 2" xfId="23211" xr:uid="{00000000-0005-0000-0000-000063140000}"/>
    <cellStyle name="Comma 5 2 9 5 2 2 2" xfId="48764" xr:uid="{00000000-0005-0000-0000-000064140000}"/>
    <cellStyle name="Comma 5 2 9 5 2 3" xfId="38515" xr:uid="{00000000-0005-0000-0000-000065140000}"/>
    <cellStyle name="Comma 5 2 9 5 3" xfId="9381" xr:uid="{00000000-0005-0000-0000-000066140000}"/>
    <cellStyle name="Comma 5 2 9 5 3 2" xfId="34938" xr:uid="{00000000-0005-0000-0000-000067140000}"/>
    <cellStyle name="Comma 5 2 9 5 4" xfId="18204" xr:uid="{00000000-0005-0000-0000-000068140000}"/>
    <cellStyle name="Comma 5 2 9 5 4 2" xfId="43757" xr:uid="{00000000-0005-0000-0000-000069140000}"/>
    <cellStyle name="Comma 5 2 9 5 5" xfId="29694" xr:uid="{00000000-0005-0000-0000-00006A140000}"/>
    <cellStyle name="Comma 5 2 9 6" xfId="1899" xr:uid="{00000000-0005-0000-0000-00006B140000}"/>
    <cellStyle name="Comma 5 2 9 6 2" xfId="11264" xr:uid="{00000000-0005-0000-0000-00006C140000}"/>
    <cellStyle name="Comma 5 2 9 6 2 2" xfId="36819" xr:uid="{00000000-0005-0000-0000-00006D140000}"/>
    <cellStyle name="Comma 5 2 9 6 3" xfId="21268" xr:uid="{00000000-0005-0000-0000-00006E140000}"/>
    <cellStyle name="Comma 5 2 9 6 3 2" xfId="46821" xr:uid="{00000000-0005-0000-0000-00006F140000}"/>
    <cellStyle name="Comma 5 2 9 6 4" xfId="27751" xr:uid="{00000000-0005-0000-0000-000070140000}"/>
    <cellStyle name="Comma 5 2 9 7" xfId="5580" xr:uid="{00000000-0005-0000-0000-000071140000}"/>
    <cellStyle name="Comma 5 2 9 7 2" xfId="14407" xr:uid="{00000000-0005-0000-0000-000072140000}"/>
    <cellStyle name="Comma 5 2 9 7 2 2" xfId="39962" xr:uid="{00000000-0005-0000-0000-000073140000}"/>
    <cellStyle name="Comma 5 2 9 7 3" xfId="24658" xr:uid="{00000000-0005-0000-0000-000074140000}"/>
    <cellStyle name="Comma 5 2 9 7 3 2" xfId="50211" xr:uid="{00000000-0005-0000-0000-000075140000}"/>
    <cellStyle name="Comma 5 2 9 7 4" xfId="31141" xr:uid="{00000000-0005-0000-0000-000076140000}"/>
    <cellStyle name="Comma 5 2 9 8" xfId="7024" xr:uid="{00000000-0005-0000-0000-000077140000}"/>
    <cellStyle name="Comma 5 2 9 8 2" xfId="19750" xr:uid="{00000000-0005-0000-0000-000078140000}"/>
    <cellStyle name="Comma 5 2 9 8 2 2" xfId="45303" xr:uid="{00000000-0005-0000-0000-000079140000}"/>
    <cellStyle name="Comma 5 2 9 8 3" xfId="32581" xr:uid="{00000000-0005-0000-0000-00007A140000}"/>
    <cellStyle name="Comma 5 2 9 9" xfId="16261" xr:uid="{00000000-0005-0000-0000-00007B140000}"/>
    <cellStyle name="Comma 5 2 9 9 2" xfId="41814" xr:uid="{00000000-0005-0000-0000-00007C140000}"/>
    <cellStyle name="Comma 5 3" xfId="111" xr:uid="{00000000-0005-0000-0000-00007D140000}"/>
    <cellStyle name="Comma 5 3 10" xfId="4101" xr:uid="{00000000-0005-0000-0000-00007E140000}"/>
    <cellStyle name="Comma 5 3 10 2" xfId="5559" xr:uid="{00000000-0005-0000-0000-00007F140000}"/>
    <cellStyle name="Comma 5 3 10 2 2" xfId="14386" xr:uid="{00000000-0005-0000-0000-000080140000}"/>
    <cellStyle name="Comma 5 3 10 2 2 2" xfId="39941" xr:uid="{00000000-0005-0000-0000-000081140000}"/>
    <cellStyle name="Comma 5 3 10 2 3" xfId="24637" xr:uid="{00000000-0005-0000-0000-000082140000}"/>
    <cellStyle name="Comma 5 3 10 2 3 2" xfId="50190" xr:uid="{00000000-0005-0000-0000-000083140000}"/>
    <cellStyle name="Comma 5 3 10 2 4" xfId="31120" xr:uid="{00000000-0005-0000-0000-000084140000}"/>
    <cellStyle name="Comma 5 3 10 3" xfId="7003" xr:uid="{00000000-0005-0000-0000-000085140000}"/>
    <cellStyle name="Comma 5 3 10 3 2" xfId="23190" xr:uid="{00000000-0005-0000-0000-000086140000}"/>
    <cellStyle name="Comma 5 3 10 3 2 2" xfId="48743" xr:uid="{00000000-0005-0000-0000-000087140000}"/>
    <cellStyle name="Comma 5 3 10 3 3" xfId="32560" xr:uid="{00000000-0005-0000-0000-000088140000}"/>
    <cellStyle name="Comma 5 3 10 4" xfId="18183" xr:uid="{00000000-0005-0000-0000-000089140000}"/>
    <cellStyle name="Comma 5 3 10 4 2" xfId="43736" xr:uid="{00000000-0005-0000-0000-00008A140000}"/>
    <cellStyle name="Comma 5 3 10 5" xfId="29673" xr:uid="{00000000-0005-0000-0000-00008B140000}"/>
    <cellStyle name="Comma 5 3 11" xfId="1420" xr:uid="{00000000-0005-0000-0000-00008C140000}"/>
    <cellStyle name="Comma 5 3 11 2" xfId="10797" xr:uid="{00000000-0005-0000-0000-00008D140000}"/>
    <cellStyle name="Comma 5 3 11 2 2" xfId="36352" xr:uid="{00000000-0005-0000-0000-00008E140000}"/>
    <cellStyle name="Comma 5 3 11 3" xfId="20801" xr:uid="{00000000-0005-0000-0000-00008F140000}"/>
    <cellStyle name="Comma 5 3 11 3 2" xfId="46354" xr:uid="{00000000-0005-0000-0000-000090140000}"/>
    <cellStyle name="Comma 5 3 11 4" xfId="27284" xr:uid="{00000000-0005-0000-0000-000091140000}"/>
    <cellStyle name="Comma 5 3 12" xfId="5529" xr:uid="{00000000-0005-0000-0000-000092140000}"/>
    <cellStyle name="Comma 5 3 12 2" xfId="14356" xr:uid="{00000000-0005-0000-0000-000093140000}"/>
    <cellStyle name="Comma 5 3 12 2 2" xfId="39911" xr:uid="{00000000-0005-0000-0000-000094140000}"/>
    <cellStyle name="Comma 5 3 12 3" xfId="24607" xr:uid="{00000000-0005-0000-0000-000095140000}"/>
    <cellStyle name="Comma 5 3 12 3 2" xfId="50160" xr:uid="{00000000-0005-0000-0000-000096140000}"/>
    <cellStyle name="Comma 5 3 12 4" xfId="31090" xr:uid="{00000000-0005-0000-0000-000097140000}"/>
    <cellStyle name="Comma 5 3 13" xfId="6973" xr:uid="{00000000-0005-0000-0000-000098140000}"/>
    <cellStyle name="Comma 5 3 13 2" xfId="19584" xr:uid="{00000000-0005-0000-0000-000099140000}"/>
    <cellStyle name="Comma 5 3 13 2 2" xfId="45137" xr:uid="{00000000-0005-0000-0000-00009A140000}"/>
    <cellStyle name="Comma 5 3 13 3" xfId="32530" xr:uid="{00000000-0005-0000-0000-00009B140000}"/>
    <cellStyle name="Comma 5 3 14" xfId="15794" xr:uid="{00000000-0005-0000-0000-00009C140000}"/>
    <cellStyle name="Comma 5 3 14 2" xfId="41347" xr:uid="{00000000-0005-0000-0000-00009D140000}"/>
    <cellStyle name="Comma 5 3 15" xfId="26067" xr:uid="{00000000-0005-0000-0000-00009E140000}"/>
    <cellStyle name="Comma 5 3 2" xfId="155" xr:uid="{00000000-0005-0000-0000-00009F140000}"/>
    <cellStyle name="Comma 5 3 2 10" xfId="5661" xr:uid="{00000000-0005-0000-0000-0000A0140000}"/>
    <cellStyle name="Comma 5 3 2 10 2" xfId="14488" xr:uid="{00000000-0005-0000-0000-0000A1140000}"/>
    <cellStyle name="Comma 5 3 2 10 2 2" xfId="40043" xr:uid="{00000000-0005-0000-0000-0000A2140000}"/>
    <cellStyle name="Comma 5 3 2 10 3" xfId="24739" xr:uid="{00000000-0005-0000-0000-0000A3140000}"/>
    <cellStyle name="Comma 5 3 2 10 3 2" xfId="50292" xr:uid="{00000000-0005-0000-0000-0000A4140000}"/>
    <cellStyle name="Comma 5 3 2 10 4" xfId="31222" xr:uid="{00000000-0005-0000-0000-0000A5140000}"/>
    <cellStyle name="Comma 5 3 2 11" xfId="7105" xr:uid="{00000000-0005-0000-0000-0000A6140000}"/>
    <cellStyle name="Comma 5 3 2 11 2" xfId="19614" xr:uid="{00000000-0005-0000-0000-0000A7140000}"/>
    <cellStyle name="Comma 5 3 2 11 2 2" xfId="45167" xr:uid="{00000000-0005-0000-0000-0000A8140000}"/>
    <cellStyle name="Comma 5 3 2 11 3" xfId="32662" xr:uid="{00000000-0005-0000-0000-0000A9140000}"/>
    <cellStyle name="Comma 5 3 2 12" xfId="15851" xr:uid="{00000000-0005-0000-0000-0000AA140000}"/>
    <cellStyle name="Comma 5 3 2 12 2" xfId="41404" xr:uid="{00000000-0005-0000-0000-0000AB140000}"/>
    <cellStyle name="Comma 5 3 2 13" xfId="26097" xr:uid="{00000000-0005-0000-0000-0000AC140000}"/>
    <cellStyle name="Comma 5 3 2 2" xfId="267" xr:uid="{00000000-0005-0000-0000-0000AD140000}"/>
    <cellStyle name="Comma 5 3 2 2 10" xfId="16055" xr:uid="{00000000-0005-0000-0000-0000AE140000}"/>
    <cellStyle name="Comma 5 3 2 2 10 2" xfId="41608" xr:uid="{00000000-0005-0000-0000-0000AF140000}"/>
    <cellStyle name="Comma 5 3 2 2 11" xfId="26201" xr:uid="{00000000-0005-0000-0000-0000B0140000}"/>
    <cellStyle name="Comma 5 3 2 2 2" xfId="589" xr:uid="{00000000-0005-0000-0000-0000B1140000}"/>
    <cellStyle name="Comma 5 3 2 2 2 2" xfId="3075" xr:uid="{00000000-0005-0000-0000-0000B2140000}"/>
    <cellStyle name="Comma 5 3 2 2 2 2 2" xfId="12222" xr:uid="{00000000-0005-0000-0000-0000B3140000}"/>
    <cellStyle name="Comma 5 3 2 2 2 2 2 2" xfId="22436" xr:uid="{00000000-0005-0000-0000-0000B4140000}"/>
    <cellStyle name="Comma 5 3 2 2 2 2 2 2 2" xfId="47989" xr:uid="{00000000-0005-0000-0000-0000B5140000}"/>
    <cellStyle name="Comma 5 3 2 2 2 2 2 3" xfId="37777" xr:uid="{00000000-0005-0000-0000-0000B6140000}"/>
    <cellStyle name="Comma 5 3 2 2 2 2 3" xfId="8644" xr:uid="{00000000-0005-0000-0000-0000B7140000}"/>
    <cellStyle name="Comma 5 3 2 2 2 2 3 2" xfId="34201" xr:uid="{00000000-0005-0000-0000-0000B8140000}"/>
    <cellStyle name="Comma 5 3 2 2 2 2 4" xfId="17429" xr:uid="{00000000-0005-0000-0000-0000B9140000}"/>
    <cellStyle name="Comma 5 3 2 2 2 2 4 2" xfId="42982" xr:uid="{00000000-0005-0000-0000-0000BA140000}"/>
    <cellStyle name="Comma 5 3 2 2 2 2 5" xfId="28919" xr:uid="{00000000-0005-0000-0000-0000BB140000}"/>
    <cellStyle name="Comma 5 3 2 2 2 3" xfId="4470" xr:uid="{00000000-0005-0000-0000-0000BC140000}"/>
    <cellStyle name="Comma 5 3 2 2 2 3 2" xfId="13308" xr:uid="{00000000-0005-0000-0000-0000BD140000}"/>
    <cellStyle name="Comma 5 3 2 2 2 3 2 2" xfId="23559" xr:uid="{00000000-0005-0000-0000-0000BE140000}"/>
    <cellStyle name="Comma 5 3 2 2 2 3 2 2 2" xfId="49112" xr:uid="{00000000-0005-0000-0000-0000BF140000}"/>
    <cellStyle name="Comma 5 3 2 2 2 3 2 3" xfId="38863" xr:uid="{00000000-0005-0000-0000-0000C0140000}"/>
    <cellStyle name="Comma 5 3 2 2 2 3 3" xfId="9729" xr:uid="{00000000-0005-0000-0000-0000C1140000}"/>
    <cellStyle name="Comma 5 3 2 2 2 3 3 2" xfId="35286" xr:uid="{00000000-0005-0000-0000-0000C2140000}"/>
    <cellStyle name="Comma 5 3 2 2 2 3 4" xfId="18552" xr:uid="{00000000-0005-0000-0000-0000C3140000}"/>
    <cellStyle name="Comma 5 3 2 2 2 3 4 2" xfId="44105" xr:uid="{00000000-0005-0000-0000-0000C4140000}"/>
    <cellStyle name="Comma 5 3 2 2 2 3 5" xfId="30042" xr:uid="{00000000-0005-0000-0000-0000C5140000}"/>
    <cellStyle name="Comma 5 3 2 2 2 4" xfId="2184" xr:uid="{00000000-0005-0000-0000-0000C6140000}"/>
    <cellStyle name="Comma 5 3 2 2 2 4 2" xfId="11549" xr:uid="{00000000-0005-0000-0000-0000C7140000}"/>
    <cellStyle name="Comma 5 3 2 2 2 4 2 2" xfId="37104" xr:uid="{00000000-0005-0000-0000-0000C8140000}"/>
    <cellStyle name="Comma 5 3 2 2 2 4 3" xfId="21553" xr:uid="{00000000-0005-0000-0000-0000C9140000}"/>
    <cellStyle name="Comma 5 3 2 2 2 4 3 2" xfId="47106" xr:uid="{00000000-0005-0000-0000-0000CA140000}"/>
    <cellStyle name="Comma 5 3 2 2 2 4 4" xfId="28036" xr:uid="{00000000-0005-0000-0000-0000CB140000}"/>
    <cellStyle name="Comma 5 3 2 2 2 5" xfId="5926" xr:uid="{00000000-0005-0000-0000-0000CC140000}"/>
    <cellStyle name="Comma 5 3 2 2 2 5 2" xfId="14753" xr:uid="{00000000-0005-0000-0000-0000CD140000}"/>
    <cellStyle name="Comma 5 3 2 2 2 5 2 2" xfId="40308" xr:uid="{00000000-0005-0000-0000-0000CE140000}"/>
    <cellStyle name="Comma 5 3 2 2 2 5 3" xfId="25004" xr:uid="{00000000-0005-0000-0000-0000CF140000}"/>
    <cellStyle name="Comma 5 3 2 2 2 5 3 2" xfId="50557" xr:uid="{00000000-0005-0000-0000-0000D0140000}"/>
    <cellStyle name="Comma 5 3 2 2 2 5 4" xfId="31487" xr:uid="{00000000-0005-0000-0000-0000D1140000}"/>
    <cellStyle name="Comma 5 3 2 2 2 6" xfId="7370" xr:uid="{00000000-0005-0000-0000-0000D2140000}"/>
    <cellStyle name="Comma 5 3 2 2 2 6 2" xfId="20035" xr:uid="{00000000-0005-0000-0000-0000D3140000}"/>
    <cellStyle name="Comma 5 3 2 2 2 6 2 2" xfId="45588" xr:uid="{00000000-0005-0000-0000-0000D4140000}"/>
    <cellStyle name="Comma 5 3 2 2 2 6 3" xfId="32927" xr:uid="{00000000-0005-0000-0000-0000D5140000}"/>
    <cellStyle name="Comma 5 3 2 2 2 7" xfId="16546" xr:uid="{00000000-0005-0000-0000-0000D6140000}"/>
    <cellStyle name="Comma 5 3 2 2 2 7 2" xfId="42099" xr:uid="{00000000-0005-0000-0000-0000D7140000}"/>
    <cellStyle name="Comma 5 3 2 2 2 8" xfId="26518" xr:uid="{00000000-0005-0000-0000-0000D8140000}"/>
    <cellStyle name="Comma 5 3 2 2 3" xfId="655" xr:uid="{00000000-0005-0000-0000-0000D9140000}"/>
    <cellStyle name="Comma 5 3 2 2 3 2" xfId="3141" xr:uid="{00000000-0005-0000-0000-0000DA140000}"/>
    <cellStyle name="Comma 5 3 2 2 3 2 2" xfId="12284" xr:uid="{00000000-0005-0000-0000-0000DB140000}"/>
    <cellStyle name="Comma 5 3 2 2 3 2 2 2" xfId="22502" xr:uid="{00000000-0005-0000-0000-0000DC140000}"/>
    <cellStyle name="Comma 5 3 2 2 3 2 2 2 2" xfId="48055" xr:uid="{00000000-0005-0000-0000-0000DD140000}"/>
    <cellStyle name="Comma 5 3 2 2 3 2 2 3" xfId="37839" xr:uid="{00000000-0005-0000-0000-0000DE140000}"/>
    <cellStyle name="Comma 5 3 2 2 3 2 3" xfId="8706" xr:uid="{00000000-0005-0000-0000-0000DF140000}"/>
    <cellStyle name="Comma 5 3 2 2 3 2 3 2" xfId="34263" xr:uid="{00000000-0005-0000-0000-0000E0140000}"/>
    <cellStyle name="Comma 5 3 2 2 3 2 4" xfId="17495" xr:uid="{00000000-0005-0000-0000-0000E1140000}"/>
    <cellStyle name="Comma 5 3 2 2 3 2 4 2" xfId="43048" xr:uid="{00000000-0005-0000-0000-0000E2140000}"/>
    <cellStyle name="Comma 5 3 2 2 3 2 5" xfId="28985" xr:uid="{00000000-0005-0000-0000-0000E3140000}"/>
    <cellStyle name="Comma 5 3 2 2 3 3" xfId="4819" xr:uid="{00000000-0005-0000-0000-0000E4140000}"/>
    <cellStyle name="Comma 5 3 2 2 3 3 2" xfId="13656" xr:uid="{00000000-0005-0000-0000-0000E5140000}"/>
    <cellStyle name="Comma 5 3 2 2 3 3 2 2" xfId="23907" xr:uid="{00000000-0005-0000-0000-0000E6140000}"/>
    <cellStyle name="Comma 5 3 2 2 3 3 2 2 2" xfId="49460" xr:uid="{00000000-0005-0000-0000-0000E7140000}"/>
    <cellStyle name="Comma 5 3 2 2 3 3 2 3" xfId="39211" xr:uid="{00000000-0005-0000-0000-0000E8140000}"/>
    <cellStyle name="Comma 5 3 2 2 3 3 3" xfId="10077" xr:uid="{00000000-0005-0000-0000-0000E9140000}"/>
    <cellStyle name="Comma 5 3 2 2 3 3 3 2" xfId="35634" xr:uid="{00000000-0005-0000-0000-0000EA140000}"/>
    <cellStyle name="Comma 5 3 2 2 3 3 4" xfId="18900" xr:uid="{00000000-0005-0000-0000-0000EB140000}"/>
    <cellStyle name="Comma 5 3 2 2 3 3 4 2" xfId="44453" xr:uid="{00000000-0005-0000-0000-0000EC140000}"/>
    <cellStyle name="Comma 5 3 2 2 3 3 5" xfId="30390" xr:uid="{00000000-0005-0000-0000-0000ED140000}"/>
    <cellStyle name="Comma 5 3 2 2 3 4" xfId="2250" xr:uid="{00000000-0005-0000-0000-0000EE140000}"/>
    <cellStyle name="Comma 5 3 2 2 3 4 2" xfId="11615" xr:uid="{00000000-0005-0000-0000-0000EF140000}"/>
    <cellStyle name="Comma 5 3 2 2 3 4 2 2" xfId="37170" xr:uid="{00000000-0005-0000-0000-0000F0140000}"/>
    <cellStyle name="Comma 5 3 2 2 3 4 3" xfId="21619" xr:uid="{00000000-0005-0000-0000-0000F1140000}"/>
    <cellStyle name="Comma 5 3 2 2 3 4 3 2" xfId="47172" xr:uid="{00000000-0005-0000-0000-0000F2140000}"/>
    <cellStyle name="Comma 5 3 2 2 3 4 4" xfId="28102" xr:uid="{00000000-0005-0000-0000-0000F3140000}"/>
    <cellStyle name="Comma 5 3 2 2 3 5" xfId="6274" xr:uid="{00000000-0005-0000-0000-0000F4140000}"/>
    <cellStyle name="Comma 5 3 2 2 3 5 2" xfId="15101" xr:uid="{00000000-0005-0000-0000-0000F5140000}"/>
    <cellStyle name="Comma 5 3 2 2 3 5 2 2" xfId="40656" xr:uid="{00000000-0005-0000-0000-0000F6140000}"/>
    <cellStyle name="Comma 5 3 2 2 3 5 3" xfId="25352" xr:uid="{00000000-0005-0000-0000-0000F7140000}"/>
    <cellStyle name="Comma 5 3 2 2 3 5 3 2" xfId="50905" xr:uid="{00000000-0005-0000-0000-0000F8140000}"/>
    <cellStyle name="Comma 5 3 2 2 3 5 4" xfId="31835" xr:uid="{00000000-0005-0000-0000-0000F9140000}"/>
    <cellStyle name="Comma 5 3 2 2 3 6" xfId="7720" xr:uid="{00000000-0005-0000-0000-0000FA140000}"/>
    <cellStyle name="Comma 5 3 2 2 3 6 2" xfId="20101" xr:uid="{00000000-0005-0000-0000-0000FB140000}"/>
    <cellStyle name="Comma 5 3 2 2 3 6 2 2" xfId="45654" xr:uid="{00000000-0005-0000-0000-0000FC140000}"/>
    <cellStyle name="Comma 5 3 2 2 3 6 3" xfId="33277" xr:uid="{00000000-0005-0000-0000-0000FD140000}"/>
    <cellStyle name="Comma 5 3 2 2 3 7" xfId="16612" xr:uid="{00000000-0005-0000-0000-0000FE140000}"/>
    <cellStyle name="Comma 5 3 2 2 3 7 2" xfId="42165" xr:uid="{00000000-0005-0000-0000-0000FF140000}"/>
    <cellStyle name="Comma 5 3 2 2 3 8" xfId="26584" xr:uid="{00000000-0005-0000-0000-000000150000}"/>
    <cellStyle name="Comma 5 3 2 2 4" xfId="1361" xr:uid="{00000000-0005-0000-0000-000001150000}"/>
    <cellStyle name="Comma 5 3 2 2 4 2" xfId="3790" xr:uid="{00000000-0005-0000-0000-000002150000}"/>
    <cellStyle name="Comma 5 3 2 2 4 2 2" xfId="12926" xr:uid="{00000000-0005-0000-0000-000003150000}"/>
    <cellStyle name="Comma 5 3 2 2 4 2 2 2" xfId="23145" xr:uid="{00000000-0005-0000-0000-000004150000}"/>
    <cellStyle name="Comma 5 3 2 2 4 2 2 2 2" xfId="48698" xr:uid="{00000000-0005-0000-0000-000005150000}"/>
    <cellStyle name="Comma 5 3 2 2 4 2 2 3" xfId="38481" xr:uid="{00000000-0005-0000-0000-000006150000}"/>
    <cellStyle name="Comma 5 3 2 2 4 2 3" xfId="9347" xr:uid="{00000000-0005-0000-0000-000007150000}"/>
    <cellStyle name="Comma 5 3 2 2 4 2 3 2" xfId="34904" xr:uid="{00000000-0005-0000-0000-000008150000}"/>
    <cellStyle name="Comma 5 3 2 2 4 2 4" xfId="18138" xr:uid="{00000000-0005-0000-0000-000009150000}"/>
    <cellStyle name="Comma 5 3 2 2 4 2 4 2" xfId="43691" xr:uid="{00000000-0005-0000-0000-00000A150000}"/>
    <cellStyle name="Comma 5 3 2 2 4 2 5" xfId="29628" xr:uid="{00000000-0005-0000-0000-00000B150000}"/>
    <cellStyle name="Comma 5 3 2 2 4 3" xfId="5453" xr:uid="{00000000-0005-0000-0000-00000C150000}"/>
    <cellStyle name="Comma 5 3 2 2 4 3 2" xfId="14290" xr:uid="{00000000-0005-0000-0000-00000D150000}"/>
    <cellStyle name="Comma 5 3 2 2 4 3 2 2" xfId="24541" xr:uid="{00000000-0005-0000-0000-00000E150000}"/>
    <cellStyle name="Comma 5 3 2 2 4 3 2 2 2" xfId="50094" xr:uid="{00000000-0005-0000-0000-00000F150000}"/>
    <cellStyle name="Comma 5 3 2 2 4 3 2 3" xfId="39845" xr:uid="{00000000-0005-0000-0000-000010150000}"/>
    <cellStyle name="Comma 5 3 2 2 4 3 3" xfId="10711" xr:uid="{00000000-0005-0000-0000-000011150000}"/>
    <cellStyle name="Comma 5 3 2 2 4 3 3 2" xfId="36268" xr:uid="{00000000-0005-0000-0000-000012150000}"/>
    <cellStyle name="Comma 5 3 2 2 4 3 4" xfId="19534" xr:uid="{00000000-0005-0000-0000-000013150000}"/>
    <cellStyle name="Comma 5 3 2 2 4 3 4 2" xfId="45087" xr:uid="{00000000-0005-0000-0000-000014150000}"/>
    <cellStyle name="Comma 5 3 2 2 4 3 5" xfId="31024" xr:uid="{00000000-0005-0000-0000-000015150000}"/>
    <cellStyle name="Comma 5 3 2 2 4 4" xfId="1864" xr:uid="{00000000-0005-0000-0000-000016150000}"/>
    <cellStyle name="Comma 5 3 2 2 4 4 2" xfId="11232" xr:uid="{00000000-0005-0000-0000-000017150000}"/>
    <cellStyle name="Comma 5 3 2 2 4 4 2 2" xfId="36787" xr:uid="{00000000-0005-0000-0000-000018150000}"/>
    <cellStyle name="Comma 5 3 2 2 4 4 3" xfId="21236" xr:uid="{00000000-0005-0000-0000-000019150000}"/>
    <cellStyle name="Comma 5 3 2 2 4 4 3 2" xfId="46789" xr:uid="{00000000-0005-0000-0000-00001A150000}"/>
    <cellStyle name="Comma 5 3 2 2 4 4 4" xfId="27719" xr:uid="{00000000-0005-0000-0000-00001B150000}"/>
    <cellStyle name="Comma 5 3 2 2 4 5" xfId="6908" xr:uid="{00000000-0005-0000-0000-00001C150000}"/>
    <cellStyle name="Comma 5 3 2 2 4 5 2" xfId="15735" xr:uid="{00000000-0005-0000-0000-00001D150000}"/>
    <cellStyle name="Comma 5 3 2 2 4 5 2 2" xfId="41290" xr:uid="{00000000-0005-0000-0000-00001E150000}"/>
    <cellStyle name="Comma 5 3 2 2 4 5 3" xfId="25986" xr:uid="{00000000-0005-0000-0000-00001F150000}"/>
    <cellStyle name="Comma 5 3 2 2 4 5 3 2" xfId="51539" xr:uid="{00000000-0005-0000-0000-000020150000}"/>
    <cellStyle name="Comma 5 3 2 2 4 5 4" xfId="32469" xr:uid="{00000000-0005-0000-0000-000021150000}"/>
    <cellStyle name="Comma 5 3 2 2 4 6" xfId="8354" xr:uid="{00000000-0005-0000-0000-000022150000}"/>
    <cellStyle name="Comma 5 3 2 2 4 6 2" xfId="20744" xr:uid="{00000000-0005-0000-0000-000023150000}"/>
    <cellStyle name="Comma 5 3 2 2 4 6 2 2" xfId="46297" xr:uid="{00000000-0005-0000-0000-000024150000}"/>
    <cellStyle name="Comma 5 3 2 2 4 6 3" xfId="33911" xr:uid="{00000000-0005-0000-0000-000025150000}"/>
    <cellStyle name="Comma 5 3 2 2 4 7" xfId="16229" xr:uid="{00000000-0005-0000-0000-000026150000}"/>
    <cellStyle name="Comma 5 3 2 2 4 7 2" xfId="41782" xr:uid="{00000000-0005-0000-0000-000027150000}"/>
    <cellStyle name="Comma 5 3 2 2 4 8" xfId="27227" xr:uid="{00000000-0005-0000-0000-000028150000}"/>
    <cellStyle name="Comma 5 3 2 2 5" xfId="2758" xr:uid="{00000000-0005-0000-0000-000029150000}"/>
    <cellStyle name="Comma 5 3 2 2 5 2" xfId="12075" xr:uid="{00000000-0005-0000-0000-00002A150000}"/>
    <cellStyle name="Comma 5 3 2 2 5 2 2" xfId="22119" xr:uid="{00000000-0005-0000-0000-00002B150000}"/>
    <cellStyle name="Comma 5 3 2 2 5 2 2 2" xfId="47672" xr:uid="{00000000-0005-0000-0000-00002C150000}"/>
    <cellStyle name="Comma 5 3 2 2 5 2 3" xfId="37630" xr:uid="{00000000-0005-0000-0000-00002D150000}"/>
    <cellStyle name="Comma 5 3 2 2 5 3" xfId="8478" xr:uid="{00000000-0005-0000-0000-00002E150000}"/>
    <cellStyle name="Comma 5 3 2 2 5 3 2" xfId="34035" xr:uid="{00000000-0005-0000-0000-00002F150000}"/>
    <cellStyle name="Comma 5 3 2 2 5 4" xfId="17112" xr:uid="{00000000-0005-0000-0000-000030150000}"/>
    <cellStyle name="Comma 5 3 2 2 5 4 2" xfId="42665" xr:uid="{00000000-0005-0000-0000-000031150000}"/>
    <cellStyle name="Comma 5 3 2 2 5 5" xfId="28602" xr:uid="{00000000-0005-0000-0000-000032150000}"/>
    <cellStyle name="Comma 5 3 2 2 6" xfId="4409" xr:uid="{00000000-0005-0000-0000-000033150000}"/>
    <cellStyle name="Comma 5 3 2 2 6 2" xfId="13247" xr:uid="{00000000-0005-0000-0000-000034150000}"/>
    <cellStyle name="Comma 5 3 2 2 6 2 2" xfId="23498" xr:uid="{00000000-0005-0000-0000-000035150000}"/>
    <cellStyle name="Comma 5 3 2 2 6 2 2 2" xfId="49051" xr:uid="{00000000-0005-0000-0000-000036150000}"/>
    <cellStyle name="Comma 5 3 2 2 6 2 3" xfId="38802" xr:uid="{00000000-0005-0000-0000-000037150000}"/>
    <cellStyle name="Comma 5 3 2 2 6 3" xfId="9668" xr:uid="{00000000-0005-0000-0000-000038150000}"/>
    <cellStyle name="Comma 5 3 2 2 6 3 2" xfId="35225" xr:uid="{00000000-0005-0000-0000-000039150000}"/>
    <cellStyle name="Comma 5 3 2 2 6 4" xfId="18491" xr:uid="{00000000-0005-0000-0000-00003A150000}"/>
    <cellStyle name="Comma 5 3 2 2 6 4 2" xfId="44044" xr:uid="{00000000-0005-0000-0000-00003B150000}"/>
    <cellStyle name="Comma 5 3 2 2 6 5" xfId="29981" xr:uid="{00000000-0005-0000-0000-00003C150000}"/>
    <cellStyle name="Comma 5 3 2 2 7" xfId="1681" xr:uid="{00000000-0005-0000-0000-00003D150000}"/>
    <cellStyle name="Comma 5 3 2 2 7 2" xfId="11058" xr:uid="{00000000-0005-0000-0000-00003E150000}"/>
    <cellStyle name="Comma 5 3 2 2 7 2 2" xfId="36613" xr:uid="{00000000-0005-0000-0000-00003F150000}"/>
    <cellStyle name="Comma 5 3 2 2 7 3" xfId="21062" xr:uid="{00000000-0005-0000-0000-000040150000}"/>
    <cellStyle name="Comma 5 3 2 2 7 3 2" xfId="46615" xr:uid="{00000000-0005-0000-0000-000041150000}"/>
    <cellStyle name="Comma 5 3 2 2 7 4" xfId="27545" xr:uid="{00000000-0005-0000-0000-000042150000}"/>
    <cellStyle name="Comma 5 3 2 2 8" xfId="5865" xr:uid="{00000000-0005-0000-0000-000043150000}"/>
    <cellStyle name="Comma 5 3 2 2 8 2" xfId="14692" xr:uid="{00000000-0005-0000-0000-000044150000}"/>
    <cellStyle name="Comma 5 3 2 2 8 2 2" xfId="40247" xr:uid="{00000000-0005-0000-0000-000045150000}"/>
    <cellStyle name="Comma 5 3 2 2 8 3" xfId="24943" xr:uid="{00000000-0005-0000-0000-000046150000}"/>
    <cellStyle name="Comma 5 3 2 2 8 3 2" xfId="50496" xr:uid="{00000000-0005-0000-0000-000047150000}"/>
    <cellStyle name="Comma 5 3 2 2 8 4" xfId="31426" xr:uid="{00000000-0005-0000-0000-000048150000}"/>
    <cellStyle name="Comma 5 3 2 2 9" xfId="7309" xr:uid="{00000000-0005-0000-0000-000049150000}"/>
    <cellStyle name="Comma 5 3 2 2 9 2" xfId="19718" xr:uid="{00000000-0005-0000-0000-00004A150000}"/>
    <cellStyle name="Comma 5 3 2 2 9 2 2" xfId="45271" xr:uid="{00000000-0005-0000-0000-00004B150000}"/>
    <cellStyle name="Comma 5 3 2 2 9 3" xfId="32866" xr:uid="{00000000-0005-0000-0000-00004C150000}"/>
    <cellStyle name="Comma 5 3 2 3" xfId="485" xr:uid="{00000000-0005-0000-0000-00004D150000}"/>
    <cellStyle name="Comma 5 3 2 3 10" xfId="26414" xr:uid="{00000000-0005-0000-0000-00004E150000}"/>
    <cellStyle name="Comma 5 3 2 3 2" xfId="656" xr:uid="{00000000-0005-0000-0000-00004F150000}"/>
    <cellStyle name="Comma 5 3 2 3 2 2" xfId="3142" xr:uid="{00000000-0005-0000-0000-000050150000}"/>
    <cellStyle name="Comma 5 3 2 3 2 2 2" xfId="12285" xr:uid="{00000000-0005-0000-0000-000051150000}"/>
    <cellStyle name="Comma 5 3 2 3 2 2 2 2" xfId="22503" xr:uid="{00000000-0005-0000-0000-000052150000}"/>
    <cellStyle name="Comma 5 3 2 3 2 2 2 2 2" xfId="48056" xr:uid="{00000000-0005-0000-0000-000053150000}"/>
    <cellStyle name="Comma 5 3 2 3 2 2 2 3" xfId="37840" xr:uid="{00000000-0005-0000-0000-000054150000}"/>
    <cellStyle name="Comma 5 3 2 3 2 2 3" xfId="8707" xr:uid="{00000000-0005-0000-0000-000055150000}"/>
    <cellStyle name="Comma 5 3 2 3 2 2 3 2" xfId="34264" xr:uid="{00000000-0005-0000-0000-000056150000}"/>
    <cellStyle name="Comma 5 3 2 3 2 2 4" xfId="17496" xr:uid="{00000000-0005-0000-0000-000057150000}"/>
    <cellStyle name="Comma 5 3 2 3 2 2 4 2" xfId="43049" xr:uid="{00000000-0005-0000-0000-000058150000}"/>
    <cellStyle name="Comma 5 3 2 3 2 2 5" xfId="28986" xr:uid="{00000000-0005-0000-0000-000059150000}"/>
    <cellStyle name="Comma 5 3 2 3 2 3" xfId="4471" xr:uid="{00000000-0005-0000-0000-00005A150000}"/>
    <cellStyle name="Comma 5 3 2 3 2 3 2" xfId="13309" xr:uid="{00000000-0005-0000-0000-00005B150000}"/>
    <cellStyle name="Comma 5 3 2 3 2 3 2 2" xfId="23560" xr:uid="{00000000-0005-0000-0000-00005C150000}"/>
    <cellStyle name="Comma 5 3 2 3 2 3 2 2 2" xfId="49113" xr:uid="{00000000-0005-0000-0000-00005D150000}"/>
    <cellStyle name="Comma 5 3 2 3 2 3 2 3" xfId="38864" xr:uid="{00000000-0005-0000-0000-00005E150000}"/>
    <cellStyle name="Comma 5 3 2 3 2 3 3" xfId="9730" xr:uid="{00000000-0005-0000-0000-00005F150000}"/>
    <cellStyle name="Comma 5 3 2 3 2 3 3 2" xfId="35287" xr:uid="{00000000-0005-0000-0000-000060150000}"/>
    <cellStyle name="Comma 5 3 2 3 2 3 4" xfId="18553" xr:uid="{00000000-0005-0000-0000-000061150000}"/>
    <cellStyle name="Comma 5 3 2 3 2 3 4 2" xfId="44106" xr:uid="{00000000-0005-0000-0000-000062150000}"/>
    <cellStyle name="Comma 5 3 2 3 2 3 5" xfId="30043" xr:uid="{00000000-0005-0000-0000-000063150000}"/>
    <cellStyle name="Comma 5 3 2 3 2 4" xfId="2251" xr:uid="{00000000-0005-0000-0000-000064150000}"/>
    <cellStyle name="Comma 5 3 2 3 2 4 2" xfId="11616" xr:uid="{00000000-0005-0000-0000-000065150000}"/>
    <cellStyle name="Comma 5 3 2 3 2 4 2 2" xfId="37171" xr:uid="{00000000-0005-0000-0000-000066150000}"/>
    <cellStyle name="Comma 5 3 2 3 2 4 3" xfId="21620" xr:uid="{00000000-0005-0000-0000-000067150000}"/>
    <cellStyle name="Comma 5 3 2 3 2 4 3 2" xfId="47173" xr:uid="{00000000-0005-0000-0000-000068150000}"/>
    <cellStyle name="Comma 5 3 2 3 2 4 4" xfId="28103" xr:uid="{00000000-0005-0000-0000-000069150000}"/>
    <cellStyle name="Comma 5 3 2 3 2 5" xfId="5927" xr:uid="{00000000-0005-0000-0000-00006A150000}"/>
    <cellStyle name="Comma 5 3 2 3 2 5 2" xfId="14754" xr:uid="{00000000-0005-0000-0000-00006B150000}"/>
    <cellStyle name="Comma 5 3 2 3 2 5 2 2" xfId="40309" xr:uid="{00000000-0005-0000-0000-00006C150000}"/>
    <cellStyle name="Comma 5 3 2 3 2 5 3" xfId="25005" xr:uid="{00000000-0005-0000-0000-00006D150000}"/>
    <cellStyle name="Comma 5 3 2 3 2 5 3 2" xfId="50558" xr:uid="{00000000-0005-0000-0000-00006E150000}"/>
    <cellStyle name="Comma 5 3 2 3 2 5 4" xfId="31488" xr:uid="{00000000-0005-0000-0000-00006F150000}"/>
    <cellStyle name="Comma 5 3 2 3 2 6" xfId="7371" xr:uid="{00000000-0005-0000-0000-000070150000}"/>
    <cellStyle name="Comma 5 3 2 3 2 6 2" xfId="20102" xr:uid="{00000000-0005-0000-0000-000071150000}"/>
    <cellStyle name="Comma 5 3 2 3 2 6 2 2" xfId="45655" xr:uid="{00000000-0005-0000-0000-000072150000}"/>
    <cellStyle name="Comma 5 3 2 3 2 6 3" xfId="32928" xr:uid="{00000000-0005-0000-0000-000073150000}"/>
    <cellStyle name="Comma 5 3 2 3 2 7" xfId="16613" xr:uid="{00000000-0005-0000-0000-000074150000}"/>
    <cellStyle name="Comma 5 3 2 3 2 7 2" xfId="42166" xr:uid="{00000000-0005-0000-0000-000075150000}"/>
    <cellStyle name="Comma 5 3 2 3 2 8" xfId="26585" xr:uid="{00000000-0005-0000-0000-000076150000}"/>
    <cellStyle name="Comma 5 3 2 3 3" xfId="1257" xr:uid="{00000000-0005-0000-0000-000077150000}"/>
    <cellStyle name="Comma 5 3 2 3 3 2" xfId="3686" xr:uid="{00000000-0005-0000-0000-000078150000}"/>
    <cellStyle name="Comma 5 3 2 3 3 2 2" xfId="12822" xr:uid="{00000000-0005-0000-0000-000079150000}"/>
    <cellStyle name="Comma 5 3 2 3 3 2 2 2" xfId="23041" xr:uid="{00000000-0005-0000-0000-00007A150000}"/>
    <cellStyle name="Comma 5 3 2 3 3 2 2 2 2" xfId="48594" xr:uid="{00000000-0005-0000-0000-00007B150000}"/>
    <cellStyle name="Comma 5 3 2 3 3 2 2 3" xfId="38377" xr:uid="{00000000-0005-0000-0000-00007C150000}"/>
    <cellStyle name="Comma 5 3 2 3 3 2 3" xfId="9243" xr:uid="{00000000-0005-0000-0000-00007D150000}"/>
    <cellStyle name="Comma 5 3 2 3 3 2 3 2" xfId="34800" xr:uid="{00000000-0005-0000-0000-00007E150000}"/>
    <cellStyle name="Comma 5 3 2 3 3 2 4" xfId="18034" xr:uid="{00000000-0005-0000-0000-00007F150000}"/>
    <cellStyle name="Comma 5 3 2 3 3 2 4 2" xfId="43587" xr:uid="{00000000-0005-0000-0000-000080150000}"/>
    <cellStyle name="Comma 5 3 2 3 3 2 5" xfId="29524" xr:uid="{00000000-0005-0000-0000-000081150000}"/>
    <cellStyle name="Comma 5 3 2 3 3 3" xfId="4820" xr:uid="{00000000-0005-0000-0000-000082150000}"/>
    <cellStyle name="Comma 5 3 2 3 3 3 2" xfId="13657" xr:uid="{00000000-0005-0000-0000-000083150000}"/>
    <cellStyle name="Comma 5 3 2 3 3 3 2 2" xfId="23908" xr:uid="{00000000-0005-0000-0000-000084150000}"/>
    <cellStyle name="Comma 5 3 2 3 3 3 2 2 2" xfId="49461" xr:uid="{00000000-0005-0000-0000-000085150000}"/>
    <cellStyle name="Comma 5 3 2 3 3 3 2 3" xfId="39212" xr:uid="{00000000-0005-0000-0000-000086150000}"/>
    <cellStyle name="Comma 5 3 2 3 3 3 3" xfId="10078" xr:uid="{00000000-0005-0000-0000-000087150000}"/>
    <cellStyle name="Comma 5 3 2 3 3 3 3 2" xfId="35635" xr:uid="{00000000-0005-0000-0000-000088150000}"/>
    <cellStyle name="Comma 5 3 2 3 3 3 4" xfId="18901" xr:uid="{00000000-0005-0000-0000-000089150000}"/>
    <cellStyle name="Comma 5 3 2 3 3 3 4 2" xfId="44454" xr:uid="{00000000-0005-0000-0000-00008A150000}"/>
    <cellStyle name="Comma 5 3 2 3 3 3 5" xfId="30391" xr:uid="{00000000-0005-0000-0000-00008B150000}"/>
    <cellStyle name="Comma 5 3 2 3 3 4" xfId="2080" xr:uid="{00000000-0005-0000-0000-00008C150000}"/>
    <cellStyle name="Comma 5 3 2 3 3 4 2" xfId="11445" xr:uid="{00000000-0005-0000-0000-00008D150000}"/>
    <cellStyle name="Comma 5 3 2 3 3 4 2 2" xfId="37000" xr:uid="{00000000-0005-0000-0000-00008E150000}"/>
    <cellStyle name="Comma 5 3 2 3 3 4 3" xfId="21449" xr:uid="{00000000-0005-0000-0000-00008F150000}"/>
    <cellStyle name="Comma 5 3 2 3 3 4 3 2" xfId="47002" xr:uid="{00000000-0005-0000-0000-000090150000}"/>
    <cellStyle name="Comma 5 3 2 3 3 4 4" xfId="27932" xr:uid="{00000000-0005-0000-0000-000091150000}"/>
    <cellStyle name="Comma 5 3 2 3 3 5" xfId="6275" xr:uid="{00000000-0005-0000-0000-000092150000}"/>
    <cellStyle name="Comma 5 3 2 3 3 5 2" xfId="15102" xr:uid="{00000000-0005-0000-0000-000093150000}"/>
    <cellStyle name="Comma 5 3 2 3 3 5 2 2" xfId="40657" xr:uid="{00000000-0005-0000-0000-000094150000}"/>
    <cellStyle name="Comma 5 3 2 3 3 5 3" xfId="25353" xr:uid="{00000000-0005-0000-0000-000095150000}"/>
    <cellStyle name="Comma 5 3 2 3 3 5 3 2" xfId="50906" xr:uid="{00000000-0005-0000-0000-000096150000}"/>
    <cellStyle name="Comma 5 3 2 3 3 5 4" xfId="31836" xr:uid="{00000000-0005-0000-0000-000097150000}"/>
    <cellStyle name="Comma 5 3 2 3 3 6" xfId="7721" xr:uid="{00000000-0005-0000-0000-000098150000}"/>
    <cellStyle name="Comma 5 3 2 3 3 6 2" xfId="20640" xr:uid="{00000000-0005-0000-0000-000099150000}"/>
    <cellStyle name="Comma 5 3 2 3 3 6 2 2" xfId="46193" xr:uid="{00000000-0005-0000-0000-00009A150000}"/>
    <cellStyle name="Comma 5 3 2 3 3 6 3" xfId="33278" xr:uid="{00000000-0005-0000-0000-00009B150000}"/>
    <cellStyle name="Comma 5 3 2 3 3 7" xfId="16442" xr:uid="{00000000-0005-0000-0000-00009C150000}"/>
    <cellStyle name="Comma 5 3 2 3 3 7 2" xfId="41995" xr:uid="{00000000-0005-0000-0000-00009D150000}"/>
    <cellStyle name="Comma 5 3 2 3 3 8" xfId="27123" xr:uid="{00000000-0005-0000-0000-00009E150000}"/>
    <cellStyle name="Comma 5 3 2 3 4" xfId="2971" xr:uid="{00000000-0005-0000-0000-00009F150000}"/>
    <cellStyle name="Comma 5 3 2 3 4 2" xfId="5349" xr:uid="{00000000-0005-0000-0000-0000A0150000}"/>
    <cellStyle name="Comma 5 3 2 3 4 2 2" xfId="14186" xr:uid="{00000000-0005-0000-0000-0000A1150000}"/>
    <cellStyle name="Comma 5 3 2 3 4 2 2 2" xfId="24437" xr:uid="{00000000-0005-0000-0000-0000A2150000}"/>
    <cellStyle name="Comma 5 3 2 3 4 2 2 2 2" xfId="49990" xr:uid="{00000000-0005-0000-0000-0000A3150000}"/>
    <cellStyle name="Comma 5 3 2 3 4 2 2 3" xfId="39741" xr:uid="{00000000-0005-0000-0000-0000A4150000}"/>
    <cellStyle name="Comma 5 3 2 3 4 2 3" xfId="10607" xr:uid="{00000000-0005-0000-0000-0000A5150000}"/>
    <cellStyle name="Comma 5 3 2 3 4 2 3 2" xfId="36164" xr:uid="{00000000-0005-0000-0000-0000A6150000}"/>
    <cellStyle name="Comma 5 3 2 3 4 2 4" xfId="19430" xr:uid="{00000000-0005-0000-0000-0000A7150000}"/>
    <cellStyle name="Comma 5 3 2 3 4 2 4 2" xfId="44983" xr:uid="{00000000-0005-0000-0000-0000A8150000}"/>
    <cellStyle name="Comma 5 3 2 3 4 2 5" xfId="30920" xr:uid="{00000000-0005-0000-0000-0000A9150000}"/>
    <cellStyle name="Comma 5 3 2 3 4 3" xfId="6804" xr:uid="{00000000-0005-0000-0000-0000AA150000}"/>
    <cellStyle name="Comma 5 3 2 3 4 3 2" xfId="15631" xr:uid="{00000000-0005-0000-0000-0000AB150000}"/>
    <cellStyle name="Comma 5 3 2 3 4 3 2 2" xfId="41186" xr:uid="{00000000-0005-0000-0000-0000AC150000}"/>
    <cellStyle name="Comma 5 3 2 3 4 3 3" xfId="25882" xr:uid="{00000000-0005-0000-0000-0000AD150000}"/>
    <cellStyle name="Comma 5 3 2 3 4 3 3 2" xfId="51435" xr:uid="{00000000-0005-0000-0000-0000AE150000}"/>
    <cellStyle name="Comma 5 3 2 3 4 3 4" xfId="32365" xr:uid="{00000000-0005-0000-0000-0000AF150000}"/>
    <cellStyle name="Comma 5 3 2 3 4 4" xfId="8250" xr:uid="{00000000-0005-0000-0000-0000B0150000}"/>
    <cellStyle name="Comma 5 3 2 3 4 4 2" xfId="22332" xr:uid="{00000000-0005-0000-0000-0000B1150000}"/>
    <cellStyle name="Comma 5 3 2 3 4 4 2 2" xfId="47885" xr:uid="{00000000-0005-0000-0000-0000B2150000}"/>
    <cellStyle name="Comma 5 3 2 3 4 4 3" xfId="33807" xr:uid="{00000000-0005-0000-0000-0000B3150000}"/>
    <cellStyle name="Comma 5 3 2 3 4 5" xfId="17325" xr:uid="{00000000-0005-0000-0000-0000B4150000}"/>
    <cellStyle name="Comma 5 3 2 3 4 5 2" xfId="42878" xr:uid="{00000000-0005-0000-0000-0000B5150000}"/>
    <cellStyle name="Comma 5 3 2 3 4 6" xfId="28815" xr:uid="{00000000-0005-0000-0000-0000B6150000}"/>
    <cellStyle name="Comma 5 3 2 3 5" xfId="4305" xr:uid="{00000000-0005-0000-0000-0000B7150000}"/>
    <cellStyle name="Comma 5 3 2 3 5 2" xfId="13143" xr:uid="{00000000-0005-0000-0000-0000B8150000}"/>
    <cellStyle name="Comma 5 3 2 3 5 2 2" xfId="23394" xr:uid="{00000000-0005-0000-0000-0000B9150000}"/>
    <cellStyle name="Comma 5 3 2 3 5 2 2 2" xfId="48947" xr:uid="{00000000-0005-0000-0000-0000BA150000}"/>
    <cellStyle name="Comma 5 3 2 3 5 2 3" xfId="38698" xr:uid="{00000000-0005-0000-0000-0000BB150000}"/>
    <cellStyle name="Comma 5 3 2 3 5 3" xfId="9564" xr:uid="{00000000-0005-0000-0000-0000BC150000}"/>
    <cellStyle name="Comma 5 3 2 3 5 3 2" xfId="35121" xr:uid="{00000000-0005-0000-0000-0000BD150000}"/>
    <cellStyle name="Comma 5 3 2 3 5 4" xfId="18387" xr:uid="{00000000-0005-0000-0000-0000BE150000}"/>
    <cellStyle name="Comma 5 3 2 3 5 4 2" xfId="43940" xr:uid="{00000000-0005-0000-0000-0000BF150000}"/>
    <cellStyle name="Comma 5 3 2 3 5 5" xfId="29877" xr:uid="{00000000-0005-0000-0000-0000C0150000}"/>
    <cellStyle name="Comma 5 3 2 3 6" xfId="1577" xr:uid="{00000000-0005-0000-0000-0000C1150000}"/>
    <cellStyle name="Comma 5 3 2 3 6 2" xfId="10954" xr:uid="{00000000-0005-0000-0000-0000C2150000}"/>
    <cellStyle name="Comma 5 3 2 3 6 2 2" xfId="36509" xr:uid="{00000000-0005-0000-0000-0000C3150000}"/>
    <cellStyle name="Comma 5 3 2 3 6 3" xfId="20958" xr:uid="{00000000-0005-0000-0000-0000C4150000}"/>
    <cellStyle name="Comma 5 3 2 3 6 3 2" xfId="46511" xr:uid="{00000000-0005-0000-0000-0000C5150000}"/>
    <cellStyle name="Comma 5 3 2 3 6 4" xfId="27441" xr:uid="{00000000-0005-0000-0000-0000C6150000}"/>
    <cellStyle name="Comma 5 3 2 3 7" xfId="5761" xr:uid="{00000000-0005-0000-0000-0000C7150000}"/>
    <cellStyle name="Comma 5 3 2 3 7 2" xfId="14588" xr:uid="{00000000-0005-0000-0000-0000C8150000}"/>
    <cellStyle name="Comma 5 3 2 3 7 2 2" xfId="40143" xr:uid="{00000000-0005-0000-0000-0000C9150000}"/>
    <cellStyle name="Comma 5 3 2 3 7 3" xfId="24839" xr:uid="{00000000-0005-0000-0000-0000CA150000}"/>
    <cellStyle name="Comma 5 3 2 3 7 3 2" xfId="50392" xr:uid="{00000000-0005-0000-0000-0000CB150000}"/>
    <cellStyle name="Comma 5 3 2 3 7 4" xfId="31322" xr:uid="{00000000-0005-0000-0000-0000CC150000}"/>
    <cellStyle name="Comma 5 3 2 3 8" xfId="7205" xr:uid="{00000000-0005-0000-0000-0000CD150000}"/>
    <cellStyle name="Comma 5 3 2 3 8 2" xfId="19931" xr:uid="{00000000-0005-0000-0000-0000CE150000}"/>
    <cellStyle name="Comma 5 3 2 3 8 2 2" xfId="45484" xr:uid="{00000000-0005-0000-0000-0000CF150000}"/>
    <cellStyle name="Comma 5 3 2 3 8 3" xfId="32762" xr:uid="{00000000-0005-0000-0000-0000D0150000}"/>
    <cellStyle name="Comma 5 3 2 3 9" xfId="15951" xr:uid="{00000000-0005-0000-0000-0000D1150000}"/>
    <cellStyle name="Comma 5 3 2 3 9 2" xfId="41504" xr:uid="{00000000-0005-0000-0000-0000D2150000}"/>
    <cellStyle name="Comma 5 3 2 4" xfId="385" xr:uid="{00000000-0005-0000-0000-0000D3150000}"/>
    <cellStyle name="Comma 5 3 2 4 2" xfId="2871" xr:uid="{00000000-0005-0000-0000-0000D4150000}"/>
    <cellStyle name="Comma 5 3 2 4 2 2" xfId="12159" xr:uid="{00000000-0005-0000-0000-0000D5150000}"/>
    <cellStyle name="Comma 5 3 2 4 2 2 2" xfId="22232" xr:uid="{00000000-0005-0000-0000-0000D6150000}"/>
    <cellStyle name="Comma 5 3 2 4 2 2 2 2" xfId="47785" xr:uid="{00000000-0005-0000-0000-0000D7150000}"/>
    <cellStyle name="Comma 5 3 2 4 2 2 3" xfId="37714" xr:uid="{00000000-0005-0000-0000-0000D8150000}"/>
    <cellStyle name="Comma 5 3 2 4 2 3" xfId="8425" xr:uid="{00000000-0005-0000-0000-0000D9150000}"/>
    <cellStyle name="Comma 5 3 2 4 2 3 2" xfId="33982" xr:uid="{00000000-0005-0000-0000-0000DA150000}"/>
    <cellStyle name="Comma 5 3 2 4 2 4" xfId="17225" xr:uid="{00000000-0005-0000-0000-0000DB150000}"/>
    <cellStyle name="Comma 5 3 2 4 2 4 2" xfId="42778" xr:uid="{00000000-0005-0000-0000-0000DC150000}"/>
    <cellStyle name="Comma 5 3 2 4 2 5" xfId="28715" xr:uid="{00000000-0005-0000-0000-0000DD150000}"/>
    <cellStyle name="Comma 5 3 2 4 3" xfId="4469" xr:uid="{00000000-0005-0000-0000-0000DE150000}"/>
    <cellStyle name="Comma 5 3 2 4 3 2" xfId="13307" xr:uid="{00000000-0005-0000-0000-0000DF150000}"/>
    <cellStyle name="Comma 5 3 2 4 3 2 2" xfId="23558" xr:uid="{00000000-0005-0000-0000-0000E0150000}"/>
    <cellStyle name="Comma 5 3 2 4 3 2 2 2" xfId="49111" xr:uid="{00000000-0005-0000-0000-0000E1150000}"/>
    <cellStyle name="Comma 5 3 2 4 3 2 3" xfId="38862" xr:uid="{00000000-0005-0000-0000-0000E2150000}"/>
    <cellStyle name="Comma 5 3 2 4 3 3" xfId="9728" xr:uid="{00000000-0005-0000-0000-0000E3150000}"/>
    <cellStyle name="Comma 5 3 2 4 3 3 2" xfId="35285" xr:uid="{00000000-0005-0000-0000-0000E4150000}"/>
    <cellStyle name="Comma 5 3 2 4 3 4" xfId="18551" xr:uid="{00000000-0005-0000-0000-0000E5150000}"/>
    <cellStyle name="Comma 5 3 2 4 3 4 2" xfId="44104" xr:uid="{00000000-0005-0000-0000-0000E6150000}"/>
    <cellStyle name="Comma 5 3 2 4 3 5" xfId="30041" xr:uid="{00000000-0005-0000-0000-0000E7150000}"/>
    <cellStyle name="Comma 5 3 2 4 4" xfId="1980" xr:uid="{00000000-0005-0000-0000-0000E8150000}"/>
    <cellStyle name="Comma 5 3 2 4 4 2" xfId="11345" xr:uid="{00000000-0005-0000-0000-0000E9150000}"/>
    <cellStyle name="Comma 5 3 2 4 4 2 2" xfId="36900" xr:uid="{00000000-0005-0000-0000-0000EA150000}"/>
    <cellStyle name="Comma 5 3 2 4 4 3" xfId="21349" xr:uid="{00000000-0005-0000-0000-0000EB150000}"/>
    <cellStyle name="Comma 5 3 2 4 4 3 2" xfId="46902" xr:uid="{00000000-0005-0000-0000-0000EC150000}"/>
    <cellStyle name="Comma 5 3 2 4 4 4" xfId="27832" xr:uid="{00000000-0005-0000-0000-0000ED150000}"/>
    <cellStyle name="Comma 5 3 2 4 5" xfId="5925" xr:uid="{00000000-0005-0000-0000-0000EE150000}"/>
    <cellStyle name="Comma 5 3 2 4 5 2" xfId="14752" xr:uid="{00000000-0005-0000-0000-0000EF150000}"/>
    <cellStyle name="Comma 5 3 2 4 5 2 2" xfId="40307" xr:uid="{00000000-0005-0000-0000-0000F0150000}"/>
    <cellStyle name="Comma 5 3 2 4 5 3" xfId="25003" xr:uid="{00000000-0005-0000-0000-0000F1150000}"/>
    <cellStyle name="Comma 5 3 2 4 5 3 2" xfId="50556" xr:uid="{00000000-0005-0000-0000-0000F2150000}"/>
    <cellStyle name="Comma 5 3 2 4 5 4" xfId="31486" xr:uid="{00000000-0005-0000-0000-0000F3150000}"/>
    <cellStyle name="Comma 5 3 2 4 6" xfId="7369" xr:uid="{00000000-0005-0000-0000-0000F4150000}"/>
    <cellStyle name="Comma 5 3 2 4 6 2" xfId="19831" xr:uid="{00000000-0005-0000-0000-0000F5150000}"/>
    <cellStyle name="Comma 5 3 2 4 6 2 2" xfId="45384" xr:uid="{00000000-0005-0000-0000-0000F6150000}"/>
    <cellStyle name="Comma 5 3 2 4 6 3" xfId="32926" xr:uid="{00000000-0005-0000-0000-0000F7150000}"/>
    <cellStyle name="Comma 5 3 2 4 7" xfId="16342" xr:uid="{00000000-0005-0000-0000-0000F8150000}"/>
    <cellStyle name="Comma 5 3 2 4 7 2" xfId="41895" xr:uid="{00000000-0005-0000-0000-0000F9150000}"/>
    <cellStyle name="Comma 5 3 2 4 8" xfId="26314" xr:uid="{00000000-0005-0000-0000-0000FA150000}"/>
    <cellStyle name="Comma 5 3 2 5" xfId="654" xr:uid="{00000000-0005-0000-0000-0000FB150000}"/>
    <cellStyle name="Comma 5 3 2 5 2" xfId="3140" xr:uid="{00000000-0005-0000-0000-0000FC150000}"/>
    <cellStyle name="Comma 5 3 2 5 2 2" xfId="12283" xr:uid="{00000000-0005-0000-0000-0000FD150000}"/>
    <cellStyle name="Comma 5 3 2 5 2 2 2" xfId="22501" xr:uid="{00000000-0005-0000-0000-0000FE150000}"/>
    <cellStyle name="Comma 5 3 2 5 2 2 2 2" xfId="48054" xr:uid="{00000000-0005-0000-0000-0000FF150000}"/>
    <cellStyle name="Comma 5 3 2 5 2 2 3" xfId="37838" xr:uid="{00000000-0005-0000-0000-000000160000}"/>
    <cellStyle name="Comma 5 3 2 5 2 3" xfId="8705" xr:uid="{00000000-0005-0000-0000-000001160000}"/>
    <cellStyle name="Comma 5 3 2 5 2 3 2" xfId="34262" xr:uid="{00000000-0005-0000-0000-000002160000}"/>
    <cellStyle name="Comma 5 3 2 5 2 4" xfId="17494" xr:uid="{00000000-0005-0000-0000-000003160000}"/>
    <cellStyle name="Comma 5 3 2 5 2 4 2" xfId="43047" xr:uid="{00000000-0005-0000-0000-000004160000}"/>
    <cellStyle name="Comma 5 3 2 5 2 5" xfId="28984" xr:uid="{00000000-0005-0000-0000-000005160000}"/>
    <cellStyle name="Comma 5 3 2 5 3" xfId="4818" xr:uid="{00000000-0005-0000-0000-000006160000}"/>
    <cellStyle name="Comma 5 3 2 5 3 2" xfId="13655" xr:uid="{00000000-0005-0000-0000-000007160000}"/>
    <cellStyle name="Comma 5 3 2 5 3 2 2" xfId="23906" xr:uid="{00000000-0005-0000-0000-000008160000}"/>
    <cellStyle name="Comma 5 3 2 5 3 2 2 2" xfId="49459" xr:uid="{00000000-0005-0000-0000-000009160000}"/>
    <cellStyle name="Comma 5 3 2 5 3 2 3" xfId="39210" xr:uid="{00000000-0005-0000-0000-00000A160000}"/>
    <cellStyle name="Comma 5 3 2 5 3 3" xfId="10076" xr:uid="{00000000-0005-0000-0000-00000B160000}"/>
    <cellStyle name="Comma 5 3 2 5 3 3 2" xfId="35633" xr:uid="{00000000-0005-0000-0000-00000C160000}"/>
    <cellStyle name="Comma 5 3 2 5 3 4" xfId="18899" xr:uid="{00000000-0005-0000-0000-00000D160000}"/>
    <cellStyle name="Comma 5 3 2 5 3 4 2" xfId="44452" xr:uid="{00000000-0005-0000-0000-00000E160000}"/>
    <cellStyle name="Comma 5 3 2 5 3 5" xfId="30389" xr:uid="{00000000-0005-0000-0000-00000F160000}"/>
    <cellStyle name="Comma 5 3 2 5 4" xfId="2249" xr:uid="{00000000-0005-0000-0000-000010160000}"/>
    <cellStyle name="Comma 5 3 2 5 4 2" xfId="11614" xr:uid="{00000000-0005-0000-0000-000011160000}"/>
    <cellStyle name="Comma 5 3 2 5 4 2 2" xfId="37169" xr:uid="{00000000-0005-0000-0000-000012160000}"/>
    <cellStyle name="Comma 5 3 2 5 4 3" xfId="21618" xr:uid="{00000000-0005-0000-0000-000013160000}"/>
    <cellStyle name="Comma 5 3 2 5 4 3 2" xfId="47171" xr:uid="{00000000-0005-0000-0000-000014160000}"/>
    <cellStyle name="Comma 5 3 2 5 4 4" xfId="28101" xr:uid="{00000000-0005-0000-0000-000015160000}"/>
    <cellStyle name="Comma 5 3 2 5 5" xfId="6273" xr:uid="{00000000-0005-0000-0000-000016160000}"/>
    <cellStyle name="Comma 5 3 2 5 5 2" xfId="15100" xr:uid="{00000000-0005-0000-0000-000017160000}"/>
    <cellStyle name="Comma 5 3 2 5 5 2 2" xfId="40655" xr:uid="{00000000-0005-0000-0000-000018160000}"/>
    <cellStyle name="Comma 5 3 2 5 5 3" xfId="25351" xr:uid="{00000000-0005-0000-0000-000019160000}"/>
    <cellStyle name="Comma 5 3 2 5 5 3 2" xfId="50904" xr:uid="{00000000-0005-0000-0000-00001A160000}"/>
    <cellStyle name="Comma 5 3 2 5 5 4" xfId="31834" xr:uid="{00000000-0005-0000-0000-00001B160000}"/>
    <cellStyle name="Comma 5 3 2 5 6" xfId="7719" xr:uid="{00000000-0005-0000-0000-00001C160000}"/>
    <cellStyle name="Comma 5 3 2 5 6 2" xfId="20100" xr:uid="{00000000-0005-0000-0000-00001D160000}"/>
    <cellStyle name="Comma 5 3 2 5 6 2 2" xfId="45653" xr:uid="{00000000-0005-0000-0000-00001E160000}"/>
    <cellStyle name="Comma 5 3 2 5 6 3" xfId="33276" xr:uid="{00000000-0005-0000-0000-00001F160000}"/>
    <cellStyle name="Comma 5 3 2 5 7" xfId="16611" xr:uid="{00000000-0005-0000-0000-000020160000}"/>
    <cellStyle name="Comma 5 3 2 5 7 2" xfId="42164" xr:uid="{00000000-0005-0000-0000-000021160000}"/>
    <cellStyle name="Comma 5 3 2 5 8" xfId="26583" xr:uid="{00000000-0005-0000-0000-000022160000}"/>
    <cellStyle name="Comma 5 3 2 6" xfId="1157" xr:uid="{00000000-0005-0000-0000-000023160000}"/>
    <cellStyle name="Comma 5 3 2 6 2" xfId="3586" xr:uid="{00000000-0005-0000-0000-000024160000}"/>
    <cellStyle name="Comma 5 3 2 6 2 2" xfId="12722" xr:uid="{00000000-0005-0000-0000-000025160000}"/>
    <cellStyle name="Comma 5 3 2 6 2 2 2" xfId="22941" xr:uid="{00000000-0005-0000-0000-000026160000}"/>
    <cellStyle name="Comma 5 3 2 6 2 2 2 2" xfId="48494" xr:uid="{00000000-0005-0000-0000-000027160000}"/>
    <cellStyle name="Comma 5 3 2 6 2 2 3" xfId="38277" xr:uid="{00000000-0005-0000-0000-000028160000}"/>
    <cellStyle name="Comma 5 3 2 6 2 3" xfId="9143" xr:uid="{00000000-0005-0000-0000-000029160000}"/>
    <cellStyle name="Comma 5 3 2 6 2 3 2" xfId="34700" xr:uid="{00000000-0005-0000-0000-00002A160000}"/>
    <cellStyle name="Comma 5 3 2 6 2 4" xfId="17934" xr:uid="{00000000-0005-0000-0000-00002B160000}"/>
    <cellStyle name="Comma 5 3 2 6 2 4 2" xfId="43487" xr:uid="{00000000-0005-0000-0000-00002C160000}"/>
    <cellStyle name="Comma 5 3 2 6 2 5" xfId="29424" xr:uid="{00000000-0005-0000-0000-00002D160000}"/>
    <cellStyle name="Comma 5 3 2 6 3" xfId="5249" xr:uid="{00000000-0005-0000-0000-00002E160000}"/>
    <cellStyle name="Comma 5 3 2 6 3 2" xfId="14086" xr:uid="{00000000-0005-0000-0000-00002F160000}"/>
    <cellStyle name="Comma 5 3 2 6 3 2 2" xfId="24337" xr:uid="{00000000-0005-0000-0000-000030160000}"/>
    <cellStyle name="Comma 5 3 2 6 3 2 2 2" xfId="49890" xr:uid="{00000000-0005-0000-0000-000031160000}"/>
    <cellStyle name="Comma 5 3 2 6 3 2 3" xfId="39641" xr:uid="{00000000-0005-0000-0000-000032160000}"/>
    <cellStyle name="Comma 5 3 2 6 3 3" xfId="10507" xr:uid="{00000000-0005-0000-0000-000033160000}"/>
    <cellStyle name="Comma 5 3 2 6 3 3 2" xfId="36064" xr:uid="{00000000-0005-0000-0000-000034160000}"/>
    <cellStyle name="Comma 5 3 2 6 3 4" xfId="19330" xr:uid="{00000000-0005-0000-0000-000035160000}"/>
    <cellStyle name="Comma 5 3 2 6 3 4 2" xfId="44883" xr:uid="{00000000-0005-0000-0000-000036160000}"/>
    <cellStyle name="Comma 5 3 2 6 3 5" xfId="30820" xr:uid="{00000000-0005-0000-0000-000037160000}"/>
    <cellStyle name="Comma 5 3 2 6 4" xfId="1757" xr:uid="{00000000-0005-0000-0000-000038160000}"/>
    <cellStyle name="Comma 5 3 2 6 4 2" xfId="11128" xr:uid="{00000000-0005-0000-0000-000039160000}"/>
    <cellStyle name="Comma 5 3 2 6 4 2 2" xfId="36683" xr:uid="{00000000-0005-0000-0000-00003A160000}"/>
    <cellStyle name="Comma 5 3 2 6 4 3" xfId="21132" xr:uid="{00000000-0005-0000-0000-00003B160000}"/>
    <cellStyle name="Comma 5 3 2 6 4 3 2" xfId="46685" xr:uid="{00000000-0005-0000-0000-00003C160000}"/>
    <cellStyle name="Comma 5 3 2 6 4 4" xfId="27615" xr:uid="{00000000-0005-0000-0000-00003D160000}"/>
    <cellStyle name="Comma 5 3 2 6 5" xfId="6704" xr:uid="{00000000-0005-0000-0000-00003E160000}"/>
    <cellStyle name="Comma 5 3 2 6 5 2" xfId="15531" xr:uid="{00000000-0005-0000-0000-00003F160000}"/>
    <cellStyle name="Comma 5 3 2 6 5 2 2" xfId="41086" xr:uid="{00000000-0005-0000-0000-000040160000}"/>
    <cellStyle name="Comma 5 3 2 6 5 3" xfId="25782" xr:uid="{00000000-0005-0000-0000-000041160000}"/>
    <cellStyle name="Comma 5 3 2 6 5 3 2" xfId="51335" xr:uid="{00000000-0005-0000-0000-000042160000}"/>
    <cellStyle name="Comma 5 3 2 6 5 4" xfId="32265" xr:uid="{00000000-0005-0000-0000-000043160000}"/>
    <cellStyle name="Comma 5 3 2 6 6" xfId="8150" xr:uid="{00000000-0005-0000-0000-000044160000}"/>
    <cellStyle name="Comma 5 3 2 6 6 2" xfId="20540" xr:uid="{00000000-0005-0000-0000-000045160000}"/>
    <cellStyle name="Comma 5 3 2 6 6 2 2" xfId="46093" xr:uid="{00000000-0005-0000-0000-000046160000}"/>
    <cellStyle name="Comma 5 3 2 6 6 3" xfId="33707" xr:uid="{00000000-0005-0000-0000-000047160000}"/>
    <cellStyle name="Comma 5 3 2 6 7" xfId="16125" xr:uid="{00000000-0005-0000-0000-000048160000}"/>
    <cellStyle name="Comma 5 3 2 6 7 2" xfId="41678" xr:uid="{00000000-0005-0000-0000-000049160000}"/>
    <cellStyle name="Comma 5 3 2 6 8" xfId="27023" xr:uid="{00000000-0005-0000-0000-00004A160000}"/>
    <cellStyle name="Comma 5 3 2 7" xfId="2654" xr:uid="{00000000-0005-0000-0000-00004B160000}"/>
    <cellStyle name="Comma 5 3 2 7 2" xfId="11974" xr:uid="{00000000-0005-0000-0000-00004C160000}"/>
    <cellStyle name="Comma 5 3 2 7 2 2" xfId="22015" xr:uid="{00000000-0005-0000-0000-00004D160000}"/>
    <cellStyle name="Comma 5 3 2 7 2 2 2" xfId="47568" xr:uid="{00000000-0005-0000-0000-00004E160000}"/>
    <cellStyle name="Comma 5 3 2 7 2 3" xfId="37529" xr:uid="{00000000-0005-0000-0000-00004F160000}"/>
    <cellStyle name="Comma 5 3 2 7 3" xfId="8560" xr:uid="{00000000-0005-0000-0000-000050160000}"/>
    <cellStyle name="Comma 5 3 2 7 3 2" xfId="34117" xr:uid="{00000000-0005-0000-0000-000051160000}"/>
    <cellStyle name="Comma 5 3 2 7 4" xfId="17008" xr:uid="{00000000-0005-0000-0000-000052160000}"/>
    <cellStyle name="Comma 5 3 2 7 4 2" xfId="42561" xr:uid="{00000000-0005-0000-0000-000053160000}"/>
    <cellStyle name="Comma 5 3 2 7 5" xfId="28498" xr:uid="{00000000-0005-0000-0000-000054160000}"/>
    <cellStyle name="Comma 5 3 2 8" xfId="4205" xr:uid="{00000000-0005-0000-0000-000055160000}"/>
    <cellStyle name="Comma 5 3 2 8 2" xfId="13043" xr:uid="{00000000-0005-0000-0000-000056160000}"/>
    <cellStyle name="Comma 5 3 2 8 2 2" xfId="23294" xr:uid="{00000000-0005-0000-0000-000057160000}"/>
    <cellStyle name="Comma 5 3 2 8 2 2 2" xfId="48847" xr:uid="{00000000-0005-0000-0000-000058160000}"/>
    <cellStyle name="Comma 5 3 2 8 2 3" xfId="38598" xr:uid="{00000000-0005-0000-0000-000059160000}"/>
    <cellStyle name="Comma 5 3 2 8 3" xfId="9464" xr:uid="{00000000-0005-0000-0000-00005A160000}"/>
    <cellStyle name="Comma 5 3 2 8 3 2" xfId="35021" xr:uid="{00000000-0005-0000-0000-00005B160000}"/>
    <cellStyle name="Comma 5 3 2 8 4" xfId="18287" xr:uid="{00000000-0005-0000-0000-00005C160000}"/>
    <cellStyle name="Comma 5 3 2 8 4 2" xfId="43840" xr:uid="{00000000-0005-0000-0000-00005D160000}"/>
    <cellStyle name="Comma 5 3 2 8 5" xfId="29777" xr:uid="{00000000-0005-0000-0000-00005E160000}"/>
    <cellStyle name="Comma 5 3 2 9" xfId="1477" xr:uid="{00000000-0005-0000-0000-00005F160000}"/>
    <cellStyle name="Comma 5 3 2 9 2" xfId="10854" xr:uid="{00000000-0005-0000-0000-000060160000}"/>
    <cellStyle name="Comma 5 3 2 9 2 2" xfId="36409" xr:uid="{00000000-0005-0000-0000-000061160000}"/>
    <cellStyle name="Comma 5 3 2 9 3" xfId="20858" xr:uid="{00000000-0005-0000-0000-000062160000}"/>
    <cellStyle name="Comma 5 3 2 9 3 2" xfId="46411" xr:uid="{00000000-0005-0000-0000-000063160000}"/>
    <cellStyle name="Comma 5 3 2 9 4" xfId="27341" xr:uid="{00000000-0005-0000-0000-000064160000}"/>
    <cellStyle name="Comma 5 3 3" xfId="202" xr:uid="{00000000-0005-0000-0000-000065160000}"/>
    <cellStyle name="Comma 5 3 3 10" xfId="7148" xr:uid="{00000000-0005-0000-0000-000066160000}"/>
    <cellStyle name="Comma 5 3 3 10 2" xfId="19657" xr:uid="{00000000-0005-0000-0000-000067160000}"/>
    <cellStyle name="Comma 5 3 3 10 2 2" xfId="45210" xr:uid="{00000000-0005-0000-0000-000068160000}"/>
    <cellStyle name="Comma 5 3 3 10 3" xfId="32705" xr:uid="{00000000-0005-0000-0000-000069160000}"/>
    <cellStyle name="Comma 5 3 3 11" xfId="15894" xr:uid="{00000000-0005-0000-0000-00006A160000}"/>
    <cellStyle name="Comma 5 3 3 11 2" xfId="41447" xr:uid="{00000000-0005-0000-0000-00006B160000}"/>
    <cellStyle name="Comma 5 3 3 12" xfId="26140" xr:uid="{00000000-0005-0000-0000-00006C160000}"/>
    <cellStyle name="Comma 5 3 3 2" xfId="528" xr:uid="{00000000-0005-0000-0000-00006D160000}"/>
    <cellStyle name="Comma 5 3 3 2 10" xfId="26457" xr:uid="{00000000-0005-0000-0000-00006E160000}"/>
    <cellStyle name="Comma 5 3 3 2 2" xfId="658" xr:uid="{00000000-0005-0000-0000-00006F160000}"/>
    <cellStyle name="Comma 5 3 3 2 2 2" xfId="3144" xr:uid="{00000000-0005-0000-0000-000070160000}"/>
    <cellStyle name="Comma 5 3 3 2 2 2 2" xfId="12287" xr:uid="{00000000-0005-0000-0000-000071160000}"/>
    <cellStyle name="Comma 5 3 3 2 2 2 2 2" xfId="22505" xr:uid="{00000000-0005-0000-0000-000072160000}"/>
    <cellStyle name="Comma 5 3 3 2 2 2 2 2 2" xfId="48058" xr:uid="{00000000-0005-0000-0000-000073160000}"/>
    <cellStyle name="Comma 5 3 3 2 2 2 2 3" xfId="37842" xr:uid="{00000000-0005-0000-0000-000074160000}"/>
    <cellStyle name="Comma 5 3 3 2 2 2 3" xfId="8709" xr:uid="{00000000-0005-0000-0000-000075160000}"/>
    <cellStyle name="Comma 5 3 3 2 2 2 3 2" xfId="34266" xr:uid="{00000000-0005-0000-0000-000076160000}"/>
    <cellStyle name="Comma 5 3 3 2 2 2 4" xfId="17498" xr:uid="{00000000-0005-0000-0000-000077160000}"/>
    <cellStyle name="Comma 5 3 3 2 2 2 4 2" xfId="43051" xr:uid="{00000000-0005-0000-0000-000078160000}"/>
    <cellStyle name="Comma 5 3 3 2 2 2 5" xfId="28988" xr:uid="{00000000-0005-0000-0000-000079160000}"/>
    <cellStyle name="Comma 5 3 3 2 2 3" xfId="4473" xr:uid="{00000000-0005-0000-0000-00007A160000}"/>
    <cellStyle name="Comma 5 3 3 2 2 3 2" xfId="13311" xr:uid="{00000000-0005-0000-0000-00007B160000}"/>
    <cellStyle name="Comma 5 3 3 2 2 3 2 2" xfId="23562" xr:uid="{00000000-0005-0000-0000-00007C160000}"/>
    <cellStyle name="Comma 5 3 3 2 2 3 2 2 2" xfId="49115" xr:uid="{00000000-0005-0000-0000-00007D160000}"/>
    <cellStyle name="Comma 5 3 3 2 2 3 2 3" xfId="38866" xr:uid="{00000000-0005-0000-0000-00007E160000}"/>
    <cellStyle name="Comma 5 3 3 2 2 3 3" xfId="9732" xr:uid="{00000000-0005-0000-0000-00007F160000}"/>
    <cellStyle name="Comma 5 3 3 2 2 3 3 2" xfId="35289" xr:uid="{00000000-0005-0000-0000-000080160000}"/>
    <cellStyle name="Comma 5 3 3 2 2 3 4" xfId="18555" xr:uid="{00000000-0005-0000-0000-000081160000}"/>
    <cellStyle name="Comma 5 3 3 2 2 3 4 2" xfId="44108" xr:uid="{00000000-0005-0000-0000-000082160000}"/>
    <cellStyle name="Comma 5 3 3 2 2 3 5" xfId="30045" xr:uid="{00000000-0005-0000-0000-000083160000}"/>
    <cellStyle name="Comma 5 3 3 2 2 4" xfId="2253" xr:uid="{00000000-0005-0000-0000-000084160000}"/>
    <cellStyle name="Comma 5 3 3 2 2 4 2" xfId="11618" xr:uid="{00000000-0005-0000-0000-000085160000}"/>
    <cellStyle name="Comma 5 3 3 2 2 4 2 2" xfId="37173" xr:uid="{00000000-0005-0000-0000-000086160000}"/>
    <cellStyle name="Comma 5 3 3 2 2 4 3" xfId="21622" xr:uid="{00000000-0005-0000-0000-000087160000}"/>
    <cellStyle name="Comma 5 3 3 2 2 4 3 2" xfId="47175" xr:uid="{00000000-0005-0000-0000-000088160000}"/>
    <cellStyle name="Comma 5 3 3 2 2 4 4" xfId="28105" xr:uid="{00000000-0005-0000-0000-000089160000}"/>
    <cellStyle name="Comma 5 3 3 2 2 5" xfId="5929" xr:uid="{00000000-0005-0000-0000-00008A160000}"/>
    <cellStyle name="Comma 5 3 3 2 2 5 2" xfId="14756" xr:uid="{00000000-0005-0000-0000-00008B160000}"/>
    <cellStyle name="Comma 5 3 3 2 2 5 2 2" xfId="40311" xr:uid="{00000000-0005-0000-0000-00008C160000}"/>
    <cellStyle name="Comma 5 3 3 2 2 5 3" xfId="25007" xr:uid="{00000000-0005-0000-0000-00008D160000}"/>
    <cellStyle name="Comma 5 3 3 2 2 5 3 2" xfId="50560" xr:uid="{00000000-0005-0000-0000-00008E160000}"/>
    <cellStyle name="Comma 5 3 3 2 2 5 4" xfId="31490" xr:uid="{00000000-0005-0000-0000-00008F160000}"/>
    <cellStyle name="Comma 5 3 3 2 2 6" xfId="7373" xr:uid="{00000000-0005-0000-0000-000090160000}"/>
    <cellStyle name="Comma 5 3 3 2 2 6 2" xfId="20104" xr:uid="{00000000-0005-0000-0000-000091160000}"/>
    <cellStyle name="Comma 5 3 3 2 2 6 2 2" xfId="45657" xr:uid="{00000000-0005-0000-0000-000092160000}"/>
    <cellStyle name="Comma 5 3 3 2 2 6 3" xfId="32930" xr:uid="{00000000-0005-0000-0000-000093160000}"/>
    <cellStyle name="Comma 5 3 3 2 2 7" xfId="16615" xr:uid="{00000000-0005-0000-0000-000094160000}"/>
    <cellStyle name="Comma 5 3 3 2 2 7 2" xfId="42168" xr:uid="{00000000-0005-0000-0000-000095160000}"/>
    <cellStyle name="Comma 5 3 3 2 2 8" xfId="26587" xr:uid="{00000000-0005-0000-0000-000096160000}"/>
    <cellStyle name="Comma 5 3 3 2 3" xfId="1300" xr:uid="{00000000-0005-0000-0000-000097160000}"/>
    <cellStyle name="Comma 5 3 3 2 3 2" xfId="3729" xr:uid="{00000000-0005-0000-0000-000098160000}"/>
    <cellStyle name="Comma 5 3 3 2 3 2 2" xfId="12865" xr:uid="{00000000-0005-0000-0000-000099160000}"/>
    <cellStyle name="Comma 5 3 3 2 3 2 2 2" xfId="23084" xr:uid="{00000000-0005-0000-0000-00009A160000}"/>
    <cellStyle name="Comma 5 3 3 2 3 2 2 2 2" xfId="48637" xr:uid="{00000000-0005-0000-0000-00009B160000}"/>
    <cellStyle name="Comma 5 3 3 2 3 2 2 3" xfId="38420" xr:uid="{00000000-0005-0000-0000-00009C160000}"/>
    <cellStyle name="Comma 5 3 3 2 3 2 3" xfId="9286" xr:uid="{00000000-0005-0000-0000-00009D160000}"/>
    <cellStyle name="Comma 5 3 3 2 3 2 3 2" xfId="34843" xr:uid="{00000000-0005-0000-0000-00009E160000}"/>
    <cellStyle name="Comma 5 3 3 2 3 2 4" xfId="18077" xr:uid="{00000000-0005-0000-0000-00009F160000}"/>
    <cellStyle name="Comma 5 3 3 2 3 2 4 2" xfId="43630" xr:uid="{00000000-0005-0000-0000-0000A0160000}"/>
    <cellStyle name="Comma 5 3 3 2 3 2 5" xfId="29567" xr:uid="{00000000-0005-0000-0000-0000A1160000}"/>
    <cellStyle name="Comma 5 3 3 2 3 3" xfId="4822" xr:uid="{00000000-0005-0000-0000-0000A2160000}"/>
    <cellStyle name="Comma 5 3 3 2 3 3 2" xfId="13659" xr:uid="{00000000-0005-0000-0000-0000A3160000}"/>
    <cellStyle name="Comma 5 3 3 2 3 3 2 2" xfId="23910" xr:uid="{00000000-0005-0000-0000-0000A4160000}"/>
    <cellStyle name="Comma 5 3 3 2 3 3 2 2 2" xfId="49463" xr:uid="{00000000-0005-0000-0000-0000A5160000}"/>
    <cellStyle name="Comma 5 3 3 2 3 3 2 3" xfId="39214" xr:uid="{00000000-0005-0000-0000-0000A6160000}"/>
    <cellStyle name="Comma 5 3 3 2 3 3 3" xfId="10080" xr:uid="{00000000-0005-0000-0000-0000A7160000}"/>
    <cellStyle name="Comma 5 3 3 2 3 3 3 2" xfId="35637" xr:uid="{00000000-0005-0000-0000-0000A8160000}"/>
    <cellStyle name="Comma 5 3 3 2 3 3 4" xfId="18903" xr:uid="{00000000-0005-0000-0000-0000A9160000}"/>
    <cellStyle name="Comma 5 3 3 2 3 3 4 2" xfId="44456" xr:uid="{00000000-0005-0000-0000-0000AA160000}"/>
    <cellStyle name="Comma 5 3 3 2 3 3 5" xfId="30393" xr:uid="{00000000-0005-0000-0000-0000AB160000}"/>
    <cellStyle name="Comma 5 3 3 2 3 4" xfId="2123" xr:uid="{00000000-0005-0000-0000-0000AC160000}"/>
    <cellStyle name="Comma 5 3 3 2 3 4 2" xfId="11488" xr:uid="{00000000-0005-0000-0000-0000AD160000}"/>
    <cellStyle name="Comma 5 3 3 2 3 4 2 2" xfId="37043" xr:uid="{00000000-0005-0000-0000-0000AE160000}"/>
    <cellStyle name="Comma 5 3 3 2 3 4 3" xfId="21492" xr:uid="{00000000-0005-0000-0000-0000AF160000}"/>
    <cellStyle name="Comma 5 3 3 2 3 4 3 2" xfId="47045" xr:uid="{00000000-0005-0000-0000-0000B0160000}"/>
    <cellStyle name="Comma 5 3 3 2 3 4 4" xfId="27975" xr:uid="{00000000-0005-0000-0000-0000B1160000}"/>
    <cellStyle name="Comma 5 3 3 2 3 5" xfId="6277" xr:uid="{00000000-0005-0000-0000-0000B2160000}"/>
    <cellStyle name="Comma 5 3 3 2 3 5 2" xfId="15104" xr:uid="{00000000-0005-0000-0000-0000B3160000}"/>
    <cellStyle name="Comma 5 3 3 2 3 5 2 2" xfId="40659" xr:uid="{00000000-0005-0000-0000-0000B4160000}"/>
    <cellStyle name="Comma 5 3 3 2 3 5 3" xfId="25355" xr:uid="{00000000-0005-0000-0000-0000B5160000}"/>
    <cellStyle name="Comma 5 3 3 2 3 5 3 2" xfId="50908" xr:uid="{00000000-0005-0000-0000-0000B6160000}"/>
    <cellStyle name="Comma 5 3 3 2 3 5 4" xfId="31838" xr:uid="{00000000-0005-0000-0000-0000B7160000}"/>
    <cellStyle name="Comma 5 3 3 2 3 6" xfId="7723" xr:uid="{00000000-0005-0000-0000-0000B8160000}"/>
    <cellStyle name="Comma 5 3 3 2 3 6 2" xfId="20683" xr:uid="{00000000-0005-0000-0000-0000B9160000}"/>
    <cellStyle name="Comma 5 3 3 2 3 6 2 2" xfId="46236" xr:uid="{00000000-0005-0000-0000-0000BA160000}"/>
    <cellStyle name="Comma 5 3 3 2 3 6 3" xfId="33280" xr:uid="{00000000-0005-0000-0000-0000BB160000}"/>
    <cellStyle name="Comma 5 3 3 2 3 7" xfId="16485" xr:uid="{00000000-0005-0000-0000-0000BC160000}"/>
    <cellStyle name="Comma 5 3 3 2 3 7 2" xfId="42038" xr:uid="{00000000-0005-0000-0000-0000BD160000}"/>
    <cellStyle name="Comma 5 3 3 2 3 8" xfId="27166" xr:uid="{00000000-0005-0000-0000-0000BE160000}"/>
    <cellStyle name="Comma 5 3 3 2 4" xfId="3014" xr:uid="{00000000-0005-0000-0000-0000BF160000}"/>
    <cellStyle name="Comma 5 3 3 2 4 2" xfId="5392" xr:uid="{00000000-0005-0000-0000-0000C0160000}"/>
    <cellStyle name="Comma 5 3 3 2 4 2 2" xfId="14229" xr:uid="{00000000-0005-0000-0000-0000C1160000}"/>
    <cellStyle name="Comma 5 3 3 2 4 2 2 2" xfId="24480" xr:uid="{00000000-0005-0000-0000-0000C2160000}"/>
    <cellStyle name="Comma 5 3 3 2 4 2 2 2 2" xfId="50033" xr:uid="{00000000-0005-0000-0000-0000C3160000}"/>
    <cellStyle name="Comma 5 3 3 2 4 2 2 3" xfId="39784" xr:uid="{00000000-0005-0000-0000-0000C4160000}"/>
    <cellStyle name="Comma 5 3 3 2 4 2 3" xfId="10650" xr:uid="{00000000-0005-0000-0000-0000C5160000}"/>
    <cellStyle name="Comma 5 3 3 2 4 2 3 2" xfId="36207" xr:uid="{00000000-0005-0000-0000-0000C6160000}"/>
    <cellStyle name="Comma 5 3 3 2 4 2 4" xfId="19473" xr:uid="{00000000-0005-0000-0000-0000C7160000}"/>
    <cellStyle name="Comma 5 3 3 2 4 2 4 2" xfId="45026" xr:uid="{00000000-0005-0000-0000-0000C8160000}"/>
    <cellStyle name="Comma 5 3 3 2 4 2 5" xfId="30963" xr:uid="{00000000-0005-0000-0000-0000C9160000}"/>
    <cellStyle name="Comma 5 3 3 2 4 3" xfId="6847" xr:uid="{00000000-0005-0000-0000-0000CA160000}"/>
    <cellStyle name="Comma 5 3 3 2 4 3 2" xfId="15674" xr:uid="{00000000-0005-0000-0000-0000CB160000}"/>
    <cellStyle name="Comma 5 3 3 2 4 3 2 2" xfId="41229" xr:uid="{00000000-0005-0000-0000-0000CC160000}"/>
    <cellStyle name="Comma 5 3 3 2 4 3 3" xfId="25925" xr:uid="{00000000-0005-0000-0000-0000CD160000}"/>
    <cellStyle name="Comma 5 3 3 2 4 3 3 2" xfId="51478" xr:uid="{00000000-0005-0000-0000-0000CE160000}"/>
    <cellStyle name="Comma 5 3 3 2 4 3 4" xfId="32408" xr:uid="{00000000-0005-0000-0000-0000CF160000}"/>
    <cellStyle name="Comma 5 3 3 2 4 4" xfId="8293" xr:uid="{00000000-0005-0000-0000-0000D0160000}"/>
    <cellStyle name="Comma 5 3 3 2 4 4 2" xfId="22375" xr:uid="{00000000-0005-0000-0000-0000D1160000}"/>
    <cellStyle name="Comma 5 3 3 2 4 4 2 2" xfId="47928" xr:uid="{00000000-0005-0000-0000-0000D2160000}"/>
    <cellStyle name="Comma 5 3 3 2 4 4 3" xfId="33850" xr:uid="{00000000-0005-0000-0000-0000D3160000}"/>
    <cellStyle name="Comma 5 3 3 2 4 5" xfId="17368" xr:uid="{00000000-0005-0000-0000-0000D4160000}"/>
    <cellStyle name="Comma 5 3 3 2 4 5 2" xfId="42921" xr:uid="{00000000-0005-0000-0000-0000D5160000}"/>
    <cellStyle name="Comma 5 3 3 2 4 6" xfId="28858" xr:uid="{00000000-0005-0000-0000-0000D6160000}"/>
    <cellStyle name="Comma 5 3 3 2 5" xfId="4348" xr:uid="{00000000-0005-0000-0000-0000D7160000}"/>
    <cellStyle name="Comma 5 3 3 2 5 2" xfId="13186" xr:uid="{00000000-0005-0000-0000-0000D8160000}"/>
    <cellStyle name="Comma 5 3 3 2 5 2 2" xfId="23437" xr:uid="{00000000-0005-0000-0000-0000D9160000}"/>
    <cellStyle name="Comma 5 3 3 2 5 2 2 2" xfId="48990" xr:uid="{00000000-0005-0000-0000-0000DA160000}"/>
    <cellStyle name="Comma 5 3 3 2 5 2 3" xfId="38741" xr:uid="{00000000-0005-0000-0000-0000DB160000}"/>
    <cellStyle name="Comma 5 3 3 2 5 3" xfId="9607" xr:uid="{00000000-0005-0000-0000-0000DC160000}"/>
    <cellStyle name="Comma 5 3 3 2 5 3 2" xfId="35164" xr:uid="{00000000-0005-0000-0000-0000DD160000}"/>
    <cellStyle name="Comma 5 3 3 2 5 4" xfId="18430" xr:uid="{00000000-0005-0000-0000-0000DE160000}"/>
    <cellStyle name="Comma 5 3 3 2 5 4 2" xfId="43983" xr:uid="{00000000-0005-0000-0000-0000DF160000}"/>
    <cellStyle name="Comma 5 3 3 2 5 5" xfId="29920" xr:uid="{00000000-0005-0000-0000-0000E0160000}"/>
    <cellStyle name="Comma 5 3 3 2 6" xfId="1620" xr:uid="{00000000-0005-0000-0000-0000E1160000}"/>
    <cellStyle name="Comma 5 3 3 2 6 2" xfId="10997" xr:uid="{00000000-0005-0000-0000-0000E2160000}"/>
    <cellStyle name="Comma 5 3 3 2 6 2 2" xfId="36552" xr:uid="{00000000-0005-0000-0000-0000E3160000}"/>
    <cellStyle name="Comma 5 3 3 2 6 3" xfId="21001" xr:uid="{00000000-0005-0000-0000-0000E4160000}"/>
    <cellStyle name="Comma 5 3 3 2 6 3 2" xfId="46554" xr:uid="{00000000-0005-0000-0000-0000E5160000}"/>
    <cellStyle name="Comma 5 3 3 2 6 4" xfId="27484" xr:uid="{00000000-0005-0000-0000-0000E6160000}"/>
    <cellStyle name="Comma 5 3 3 2 7" xfId="5804" xr:uid="{00000000-0005-0000-0000-0000E7160000}"/>
    <cellStyle name="Comma 5 3 3 2 7 2" xfId="14631" xr:uid="{00000000-0005-0000-0000-0000E8160000}"/>
    <cellStyle name="Comma 5 3 3 2 7 2 2" xfId="40186" xr:uid="{00000000-0005-0000-0000-0000E9160000}"/>
    <cellStyle name="Comma 5 3 3 2 7 3" xfId="24882" xr:uid="{00000000-0005-0000-0000-0000EA160000}"/>
    <cellStyle name="Comma 5 3 3 2 7 3 2" xfId="50435" xr:uid="{00000000-0005-0000-0000-0000EB160000}"/>
    <cellStyle name="Comma 5 3 3 2 7 4" xfId="31365" xr:uid="{00000000-0005-0000-0000-0000EC160000}"/>
    <cellStyle name="Comma 5 3 3 2 8" xfId="7248" xr:uid="{00000000-0005-0000-0000-0000ED160000}"/>
    <cellStyle name="Comma 5 3 3 2 8 2" xfId="19974" xr:uid="{00000000-0005-0000-0000-0000EE160000}"/>
    <cellStyle name="Comma 5 3 3 2 8 2 2" xfId="45527" xr:uid="{00000000-0005-0000-0000-0000EF160000}"/>
    <cellStyle name="Comma 5 3 3 2 8 3" xfId="32805" xr:uid="{00000000-0005-0000-0000-0000F0160000}"/>
    <cellStyle name="Comma 5 3 3 2 9" xfId="15994" xr:uid="{00000000-0005-0000-0000-0000F1160000}"/>
    <cellStyle name="Comma 5 3 3 2 9 2" xfId="41547" xr:uid="{00000000-0005-0000-0000-0000F2160000}"/>
    <cellStyle name="Comma 5 3 3 3" xfId="428" xr:uid="{00000000-0005-0000-0000-0000F3160000}"/>
    <cellStyle name="Comma 5 3 3 3 2" xfId="2914" xr:uid="{00000000-0005-0000-0000-0000F4160000}"/>
    <cellStyle name="Comma 5 3 3 3 2 2" xfId="12202" xr:uid="{00000000-0005-0000-0000-0000F5160000}"/>
    <cellStyle name="Comma 5 3 3 3 2 2 2" xfId="22275" xr:uid="{00000000-0005-0000-0000-0000F6160000}"/>
    <cellStyle name="Comma 5 3 3 3 2 2 2 2" xfId="47828" xr:uid="{00000000-0005-0000-0000-0000F7160000}"/>
    <cellStyle name="Comma 5 3 3 3 2 2 3" xfId="37757" xr:uid="{00000000-0005-0000-0000-0000F8160000}"/>
    <cellStyle name="Comma 5 3 3 3 2 3" xfId="8403" xr:uid="{00000000-0005-0000-0000-0000F9160000}"/>
    <cellStyle name="Comma 5 3 3 3 2 3 2" xfId="33960" xr:uid="{00000000-0005-0000-0000-0000FA160000}"/>
    <cellStyle name="Comma 5 3 3 3 2 4" xfId="17268" xr:uid="{00000000-0005-0000-0000-0000FB160000}"/>
    <cellStyle name="Comma 5 3 3 3 2 4 2" xfId="42821" xr:uid="{00000000-0005-0000-0000-0000FC160000}"/>
    <cellStyle name="Comma 5 3 3 3 2 5" xfId="28758" xr:uid="{00000000-0005-0000-0000-0000FD160000}"/>
    <cellStyle name="Comma 5 3 3 3 3" xfId="4472" xr:uid="{00000000-0005-0000-0000-0000FE160000}"/>
    <cellStyle name="Comma 5 3 3 3 3 2" xfId="13310" xr:uid="{00000000-0005-0000-0000-0000FF160000}"/>
    <cellStyle name="Comma 5 3 3 3 3 2 2" xfId="23561" xr:uid="{00000000-0005-0000-0000-000000170000}"/>
    <cellStyle name="Comma 5 3 3 3 3 2 2 2" xfId="49114" xr:uid="{00000000-0005-0000-0000-000001170000}"/>
    <cellStyle name="Comma 5 3 3 3 3 2 3" xfId="38865" xr:uid="{00000000-0005-0000-0000-000002170000}"/>
    <cellStyle name="Comma 5 3 3 3 3 3" xfId="9731" xr:uid="{00000000-0005-0000-0000-000003170000}"/>
    <cellStyle name="Comma 5 3 3 3 3 3 2" xfId="35288" xr:uid="{00000000-0005-0000-0000-000004170000}"/>
    <cellStyle name="Comma 5 3 3 3 3 4" xfId="18554" xr:uid="{00000000-0005-0000-0000-000005170000}"/>
    <cellStyle name="Comma 5 3 3 3 3 4 2" xfId="44107" xr:uid="{00000000-0005-0000-0000-000006170000}"/>
    <cellStyle name="Comma 5 3 3 3 3 5" xfId="30044" xr:uid="{00000000-0005-0000-0000-000007170000}"/>
    <cellStyle name="Comma 5 3 3 3 4" xfId="2023" xr:uid="{00000000-0005-0000-0000-000008170000}"/>
    <cellStyle name="Comma 5 3 3 3 4 2" xfId="11388" xr:uid="{00000000-0005-0000-0000-000009170000}"/>
    <cellStyle name="Comma 5 3 3 3 4 2 2" xfId="36943" xr:uid="{00000000-0005-0000-0000-00000A170000}"/>
    <cellStyle name="Comma 5 3 3 3 4 3" xfId="21392" xr:uid="{00000000-0005-0000-0000-00000B170000}"/>
    <cellStyle name="Comma 5 3 3 3 4 3 2" xfId="46945" xr:uid="{00000000-0005-0000-0000-00000C170000}"/>
    <cellStyle name="Comma 5 3 3 3 4 4" xfId="27875" xr:uid="{00000000-0005-0000-0000-00000D170000}"/>
    <cellStyle name="Comma 5 3 3 3 5" xfId="5928" xr:uid="{00000000-0005-0000-0000-00000E170000}"/>
    <cellStyle name="Comma 5 3 3 3 5 2" xfId="14755" xr:uid="{00000000-0005-0000-0000-00000F170000}"/>
    <cellStyle name="Comma 5 3 3 3 5 2 2" xfId="40310" xr:uid="{00000000-0005-0000-0000-000010170000}"/>
    <cellStyle name="Comma 5 3 3 3 5 3" xfId="25006" xr:uid="{00000000-0005-0000-0000-000011170000}"/>
    <cellStyle name="Comma 5 3 3 3 5 3 2" xfId="50559" xr:uid="{00000000-0005-0000-0000-000012170000}"/>
    <cellStyle name="Comma 5 3 3 3 5 4" xfId="31489" xr:uid="{00000000-0005-0000-0000-000013170000}"/>
    <cellStyle name="Comma 5 3 3 3 6" xfId="7372" xr:uid="{00000000-0005-0000-0000-000014170000}"/>
    <cellStyle name="Comma 5 3 3 3 6 2" xfId="19874" xr:uid="{00000000-0005-0000-0000-000015170000}"/>
    <cellStyle name="Comma 5 3 3 3 6 2 2" xfId="45427" xr:uid="{00000000-0005-0000-0000-000016170000}"/>
    <cellStyle name="Comma 5 3 3 3 6 3" xfId="32929" xr:uid="{00000000-0005-0000-0000-000017170000}"/>
    <cellStyle name="Comma 5 3 3 3 7" xfId="16385" xr:uid="{00000000-0005-0000-0000-000018170000}"/>
    <cellStyle name="Comma 5 3 3 3 7 2" xfId="41938" xr:uid="{00000000-0005-0000-0000-000019170000}"/>
    <cellStyle name="Comma 5 3 3 3 8" xfId="26357" xr:uid="{00000000-0005-0000-0000-00001A170000}"/>
    <cellStyle name="Comma 5 3 3 4" xfId="657" xr:uid="{00000000-0005-0000-0000-00001B170000}"/>
    <cellStyle name="Comma 5 3 3 4 2" xfId="3143" xr:uid="{00000000-0005-0000-0000-00001C170000}"/>
    <cellStyle name="Comma 5 3 3 4 2 2" xfId="12286" xr:uid="{00000000-0005-0000-0000-00001D170000}"/>
    <cellStyle name="Comma 5 3 3 4 2 2 2" xfId="22504" xr:uid="{00000000-0005-0000-0000-00001E170000}"/>
    <cellStyle name="Comma 5 3 3 4 2 2 2 2" xfId="48057" xr:uid="{00000000-0005-0000-0000-00001F170000}"/>
    <cellStyle name="Comma 5 3 3 4 2 2 3" xfId="37841" xr:uid="{00000000-0005-0000-0000-000020170000}"/>
    <cellStyle name="Comma 5 3 3 4 2 3" xfId="8708" xr:uid="{00000000-0005-0000-0000-000021170000}"/>
    <cellStyle name="Comma 5 3 3 4 2 3 2" xfId="34265" xr:uid="{00000000-0005-0000-0000-000022170000}"/>
    <cellStyle name="Comma 5 3 3 4 2 4" xfId="17497" xr:uid="{00000000-0005-0000-0000-000023170000}"/>
    <cellStyle name="Comma 5 3 3 4 2 4 2" xfId="43050" xr:uid="{00000000-0005-0000-0000-000024170000}"/>
    <cellStyle name="Comma 5 3 3 4 2 5" xfId="28987" xr:uid="{00000000-0005-0000-0000-000025170000}"/>
    <cellStyle name="Comma 5 3 3 4 3" xfId="4821" xr:uid="{00000000-0005-0000-0000-000026170000}"/>
    <cellStyle name="Comma 5 3 3 4 3 2" xfId="13658" xr:uid="{00000000-0005-0000-0000-000027170000}"/>
    <cellStyle name="Comma 5 3 3 4 3 2 2" xfId="23909" xr:uid="{00000000-0005-0000-0000-000028170000}"/>
    <cellStyle name="Comma 5 3 3 4 3 2 2 2" xfId="49462" xr:uid="{00000000-0005-0000-0000-000029170000}"/>
    <cellStyle name="Comma 5 3 3 4 3 2 3" xfId="39213" xr:uid="{00000000-0005-0000-0000-00002A170000}"/>
    <cellStyle name="Comma 5 3 3 4 3 3" xfId="10079" xr:uid="{00000000-0005-0000-0000-00002B170000}"/>
    <cellStyle name="Comma 5 3 3 4 3 3 2" xfId="35636" xr:uid="{00000000-0005-0000-0000-00002C170000}"/>
    <cellStyle name="Comma 5 3 3 4 3 4" xfId="18902" xr:uid="{00000000-0005-0000-0000-00002D170000}"/>
    <cellStyle name="Comma 5 3 3 4 3 4 2" xfId="44455" xr:uid="{00000000-0005-0000-0000-00002E170000}"/>
    <cellStyle name="Comma 5 3 3 4 3 5" xfId="30392" xr:uid="{00000000-0005-0000-0000-00002F170000}"/>
    <cellStyle name="Comma 5 3 3 4 4" xfId="2252" xr:uid="{00000000-0005-0000-0000-000030170000}"/>
    <cellStyle name="Comma 5 3 3 4 4 2" xfId="11617" xr:uid="{00000000-0005-0000-0000-000031170000}"/>
    <cellStyle name="Comma 5 3 3 4 4 2 2" xfId="37172" xr:uid="{00000000-0005-0000-0000-000032170000}"/>
    <cellStyle name="Comma 5 3 3 4 4 3" xfId="21621" xr:uid="{00000000-0005-0000-0000-000033170000}"/>
    <cellStyle name="Comma 5 3 3 4 4 3 2" xfId="47174" xr:uid="{00000000-0005-0000-0000-000034170000}"/>
    <cellStyle name="Comma 5 3 3 4 4 4" xfId="28104" xr:uid="{00000000-0005-0000-0000-000035170000}"/>
    <cellStyle name="Comma 5 3 3 4 5" xfId="6276" xr:uid="{00000000-0005-0000-0000-000036170000}"/>
    <cellStyle name="Comma 5 3 3 4 5 2" xfId="15103" xr:uid="{00000000-0005-0000-0000-000037170000}"/>
    <cellStyle name="Comma 5 3 3 4 5 2 2" xfId="40658" xr:uid="{00000000-0005-0000-0000-000038170000}"/>
    <cellStyle name="Comma 5 3 3 4 5 3" xfId="25354" xr:uid="{00000000-0005-0000-0000-000039170000}"/>
    <cellStyle name="Comma 5 3 3 4 5 3 2" xfId="50907" xr:uid="{00000000-0005-0000-0000-00003A170000}"/>
    <cellStyle name="Comma 5 3 3 4 5 4" xfId="31837" xr:uid="{00000000-0005-0000-0000-00003B170000}"/>
    <cellStyle name="Comma 5 3 3 4 6" xfId="7722" xr:uid="{00000000-0005-0000-0000-00003C170000}"/>
    <cellStyle name="Comma 5 3 3 4 6 2" xfId="20103" xr:uid="{00000000-0005-0000-0000-00003D170000}"/>
    <cellStyle name="Comma 5 3 3 4 6 2 2" xfId="45656" xr:uid="{00000000-0005-0000-0000-00003E170000}"/>
    <cellStyle name="Comma 5 3 3 4 6 3" xfId="33279" xr:uid="{00000000-0005-0000-0000-00003F170000}"/>
    <cellStyle name="Comma 5 3 3 4 7" xfId="16614" xr:uid="{00000000-0005-0000-0000-000040170000}"/>
    <cellStyle name="Comma 5 3 3 4 7 2" xfId="42167" xr:uid="{00000000-0005-0000-0000-000041170000}"/>
    <cellStyle name="Comma 5 3 3 4 8" xfId="26586" xr:uid="{00000000-0005-0000-0000-000042170000}"/>
    <cellStyle name="Comma 5 3 3 5" xfId="1200" xr:uid="{00000000-0005-0000-0000-000043170000}"/>
    <cellStyle name="Comma 5 3 3 5 2" xfId="3629" xr:uid="{00000000-0005-0000-0000-000044170000}"/>
    <cellStyle name="Comma 5 3 3 5 2 2" xfId="12765" xr:uid="{00000000-0005-0000-0000-000045170000}"/>
    <cellStyle name="Comma 5 3 3 5 2 2 2" xfId="22984" xr:uid="{00000000-0005-0000-0000-000046170000}"/>
    <cellStyle name="Comma 5 3 3 5 2 2 2 2" xfId="48537" xr:uid="{00000000-0005-0000-0000-000047170000}"/>
    <cellStyle name="Comma 5 3 3 5 2 2 3" xfId="38320" xr:uid="{00000000-0005-0000-0000-000048170000}"/>
    <cellStyle name="Comma 5 3 3 5 2 3" xfId="9186" xr:uid="{00000000-0005-0000-0000-000049170000}"/>
    <cellStyle name="Comma 5 3 3 5 2 3 2" xfId="34743" xr:uid="{00000000-0005-0000-0000-00004A170000}"/>
    <cellStyle name="Comma 5 3 3 5 2 4" xfId="17977" xr:uid="{00000000-0005-0000-0000-00004B170000}"/>
    <cellStyle name="Comma 5 3 3 5 2 4 2" xfId="43530" xr:uid="{00000000-0005-0000-0000-00004C170000}"/>
    <cellStyle name="Comma 5 3 3 5 2 5" xfId="29467" xr:uid="{00000000-0005-0000-0000-00004D170000}"/>
    <cellStyle name="Comma 5 3 3 5 3" xfId="5292" xr:uid="{00000000-0005-0000-0000-00004E170000}"/>
    <cellStyle name="Comma 5 3 3 5 3 2" xfId="14129" xr:uid="{00000000-0005-0000-0000-00004F170000}"/>
    <cellStyle name="Comma 5 3 3 5 3 2 2" xfId="24380" xr:uid="{00000000-0005-0000-0000-000050170000}"/>
    <cellStyle name="Comma 5 3 3 5 3 2 2 2" xfId="49933" xr:uid="{00000000-0005-0000-0000-000051170000}"/>
    <cellStyle name="Comma 5 3 3 5 3 2 3" xfId="39684" xr:uid="{00000000-0005-0000-0000-000052170000}"/>
    <cellStyle name="Comma 5 3 3 5 3 3" xfId="10550" xr:uid="{00000000-0005-0000-0000-000053170000}"/>
    <cellStyle name="Comma 5 3 3 5 3 3 2" xfId="36107" xr:uid="{00000000-0005-0000-0000-000054170000}"/>
    <cellStyle name="Comma 5 3 3 5 3 4" xfId="19373" xr:uid="{00000000-0005-0000-0000-000055170000}"/>
    <cellStyle name="Comma 5 3 3 5 3 4 2" xfId="44926" xr:uid="{00000000-0005-0000-0000-000056170000}"/>
    <cellStyle name="Comma 5 3 3 5 3 5" xfId="30863" xr:uid="{00000000-0005-0000-0000-000057170000}"/>
    <cellStyle name="Comma 5 3 3 5 4" xfId="1803" xr:uid="{00000000-0005-0000-0000-000058170000}"/>
    <cellStyle name="Comma 5 3 3 5 4 2" xfId="11171" xr:uid="{00000000-0005-0000-0000-000059170000}"/>
    <cellStyle name="Comma 5 3 3 5 4 2 2" xfId="36726" xr:uid="{00000000-0005-0000-0000-00005A170000}"/>
    <cellStyle name="Comma 5 3 3 5 4 3" xfId="21175" xr:uid="{00000000-0005-0000-0000-00005B170000}"/>
    <cellStyle name="Comma 5 3 3 5 4 3 2" xfId="46728" xr:uid="{00000000-0005-0000-0000-00005C170000}"/>
    <cellStyle name="Comma 5 3 3 5 4 4" xfId="27658" xr:uid="{00000000-0005-0000-0000-00005D170000}"/>
    <cellStyle name="Comma 5 3 3 5 5" xfId="6747" xr:uid="{00000000-0005-0000-0000-00005E170000}"/>
    <cellStyle name="Comma 5 3 3 5 5 2" xfId="15574" xr:uid="{00000000-0005-0000-0000-00005F170000}"/>
    <cellStyle name="Comma 5 3 3 5 5 2 2" xfId="41129" xr:uid="{00000000-0005-0000-0000-000060170000}"/>
    <cellStyle name="Comma 5 3 3 5 5 3" xfId="25825" xr:uid="{00000000-0005-0000-0000-000061170000}"/>
    <cellStyle name="Comma 5 3 3 5 5 3 2" xfId="51378" xr:uid="{00000000-0005-0000-0000-000062170000}"/>
    <cellStyle name="Comma 5 3 3 5 5 4" xfId="32308" xr:uid="{00000000-0005-0000-0000-000063170000}"/>
    <cellStyle name="Comma 5 3 3 5 6" xfId="8193" xr:uid="{00000000-0005-0000-0000-000064170000}"/>
    <cellStyle name="Comma 5 3 3 5 6 2" xfId="20583" xr:uid="{00000000-0005-0000-0000-000065170000}"/>
    <cellStyle name="Comma 5 3 3 5 6 2 2" xfId="46136" xr:uid="{00000000-0005-0000-0000-000066170000}"/>
    <cellStyle name="Comma 5 3 3 5 6 3" xfId="33750" xr:uid="{00000000-0005-0000-0000-000067170000}"/>
    <cellStyle name="Comma 5 3 3 5 7" xfId="16168" xr:uid="{00000000-0005-0000-0000-000068170000}"/>
    <cellStyle name="Comma 5 3 3 5 7 2" xfId="41721" xr:uid="{00000000-0005-0000-0000-000069170000}"/>
    <cellStyle name="Comma 5 3 3 5 8" xfId="27066" xr:uid="{00000000-0005-0000-0000-00006A170000}"/>
    <cellStyle name="Comma 5 3 3 6" xfId="2697" xr:uid="{00000000-0005-0000-0000-00006B170000}"/>
    <cellStyle name="Comma 5 3 3 6 2" xfId="12014" xr:uid="{00000000-0005-0000-0000-00006C170000}"/>
    <cellStyle name="Comma 5 3 3 6 2 2" xfId="22058" xr:uid="{00000000-0005-0000-0000-00006D170000}"/>
    <cellStyle name="Comma 5 3 3 6 2 2 2" xfId="47611" xr:uid="{00000000-0005-0000-0000-00006E170000}"/>
    <cellStyle name="Comma 5 3 3 6 2 3" xfId="37569" xr:uid="{00000000-0005-0000-0000-00006F170000}"/>
    <cellStyle name="Comma 5 3 3 6 3" xfId="8626" xr:uid="{00000000-0005-0000-0000-000070170000}"/>
    <cellStyle name="Comma 5 3 3 6 3 2" xfId="34183" xr:uid="{00000000-0005-0000-0000-000071170000}"/>
    <cellStyle name="Comma 5 3 3 6 4" xfId="17051" xr:uid="{00000000-0005-0000-0000-000072170000}"/>
    <cellStyle name="Comma 5 3 3 6 4 2" xfId="42604" xr:uid="{00000000-0005-0000-0000-000073170000}"/>
    <cellStyle name="Comma 5 3 3 6 5" xfId="28541" xr:uid="{00000000-0005-0000-0000-000074170000}"/>
    <cellStyle name="Comma 5 3 3 7" xfId="4248" xr:uid="{00000000-0005-0000-0000-000075170000}"/>
    <cellStyle name="Comma 5 3 3 7 2" xfId="13086" xr:uid="{00000000-0005-0000-0000-000076170000}"/>
    <cellStyle name="Comma 5 3 3 7 2 2" xfId="23337" xr:uid="{00000000-0005-0000-0000-000077170000}"/>
    <cellStyle name="Comma 5 3 3 7 2 2 2" xfId="48890" xr:uid="{00000000-0005-0000-0000-000078170000}"/>
    <cellStyle name="Comma 5 3 3 7 2 3" xfId="38641" xr:uid="{00000000-0005-0000-0000-000079170000}"/>
    <cellStyle name="Comma 5 3 3 7 3" xfId="9507" xr:uid="{00000000-0005-0000-0000-00007A170000}"/>
    <cellStyle name="Comma 5 3 3 7 3 2" xfId="35064" xr:uid="{00000000-0005-0000-0000-00007B170000}"/>
    <cellStyle name="Comma 5 3 3 7 4" xfId="18330" xr:uid="{00000000-0005-0000-0000-00007C170000}"/>
    <cellStyle name="Comma 5 3 3 7 4 2" xfId="43883" xr:uid="{00000000-0005-0000-0000-00007D170000}"/>
    <cellStyle name="Comma 5 3 3 7 5" xfId="29820" xr:uid="{00000000-0005-0000-0000-00007E170000}"/>
    <cellStyle name="Comma 5 3 3 8" xfId="1520" xr:uid="{00000000-0005-0000-0000-00007F170000}"/>
    <cellStyle name="Comma 5 3 3 8 2" xfId="10897" xr:uid="{00000000-0005-0000-0000-000080170000}"/>
    <cellStyle name="Comma 5 3 3 8 2 2" xfId="36452" xr:uid="{00000000-0005-0000-0000-000081170000}"/>
    <cellStyle name="Comma 5 3 3 8 3" xfId="20901" xr:uid="{00000000-0005-0000-0000-000082170000}"/>
    <cellStyle name="Comma 5 3 3 8 3 2" xfId="46454" xr:uid="{00000000-0005-0000-0000-000083170000}"/>
    <cellStyle name="Comma 5 3 3 8 4" xfId="27384" xr:uid="{00000000-0005-0000-0000-000084170000}"/>
    <cellStyle name="Comma 5 3 3 9" xfId="5704" xr:uid="{00000000-0005-0000-0000-000085170000}"/>
    <cellStyle name="Comma 5 3 3 9 2" xfId="14531" xr:uid="{00000000-0005-0000-0000-000086170000}"/>
    <cellStyle name="Comma 5 3 3 9 2 2" xfId="40086" xr:uid="{00000000-0005-0000-0000-000087170000}"/>
    <cellStyle name="Comma 5 3 3 9 3" xfId="24782" xr:uid="{00000000-0005-0000-0000-000088170000}"/>
    <cellStyle name="Comma 5 3 3 9 3 2" xfId="50335" xr:uid="{00000000-0005-0000-0000-000089170000}"/>
    <cellStyle name="Comma 5 3 3 9 4" xfId="31265" xr:uid="{00000000-0005-0000-0000-00008A170000}"/>
    <cellStyle name="Comma 5 3 4" xfId="237" xr:uid="{00000000-0005-0000-0000-00008B170000}"/>
    <cellStyle name="Comma 5 3 4 10" xfId="7075" xr:uid="{00000000-0005-0000-0000-00008C170000}"/>
    <cellStyle name="Comma 5 3 4 10 2" xfId="19689" xr:uid="{00000000-0005-0000-0000-00008D170000}"/>
    <cellStyle name="Comma 5 3 4 10 2 2" xfId="45242" xr:uid="{00000000-0005-0000-0000-00008E170000}"/>
    <cellStyle name="Comma 5 3 4 10 3" xfId="32632" xr:uid="{00000000-0005-0000-0000-00008F170000}"/>
    <cellStyle name="Comma 5 3 4 11" xfId="15821" xr:uid="{00000000-0005-0000-0000-000090170000}"/>
    <cellStyle name="Comma 5 3 4 11 2" xfId="41374" xr:uid="{00000000-0005-0000-0000-000091170000}"/>
    <cellStyle name="Comma 5 3 4 12" xfId="26172" xr:uid="{00000000-0005-0000-0000-000092170000}"/>
    <cellStyle name="Comma 5 3 4 2" xfId="560" xr:uid="{00000000-0005-0000-0000-000093170000}"/>
    <cellStyle name="Comma 5 3 4 2 10" xfId="26489" xr:uid="{00000000-0005-0000-0000-000094170000}"/>
    <cellStyle name="Comma 5 3 4 2 2" xfId="660" xr:uid="{00000000-0005-0000-0000-000095170000}"/>
    <cellStyle name="Comma 5 3 4 2 2 2" xfId="3146" xr:uid="{00000000-0005-0000-0000-000096170000}"/>
    <cellStyle name="Comma 5 3 4 2 2 2 2" xfId="12289" xr:uid="{00000000-0005-0000-0000-000097170000}"/>
    <cellStyle name="Comma 5 3 4 2 2 2 2 2" xfId="22507" xr:uid="{00000000-0005-0000-0000-000098170000}"/>
    <cellStyle name="Comma 5 3 4 2 2 2 2 2 2" xfId="48060" xr:uid="{00000000-0005-0000-0000-000099170000}"/>
    <cellStyle name="Comma 5 3 4 2 2 2 2 3" xfId="37844" xr:uid="{00000000-0005-0000-0000-00009A170000}"/>
    <cellStyle name="Comma 5 3 4 2 2 2 3" xfId="8711" xr:uid="{00000000-0005-0000-0000-00009B170000}"/>
    <cellStyle name="Comma 5 3 4 2 2 2 3 2" xfId="34268" xr:uid="{00000000-0005-0000-0000-00009C170000}"/>
    <cellStyle name="Comma 5 3 4 2 2 2 4" xfId="17500" xr:uid="{00000000-0005-0000-0000-00009D170000}"/>
    <cellStyle name="Comma 5 3 4 2 2 2 4 2" xfId="43053" xr:uid="{00000000-0005-0000-0000-00009E170000}"/>
    <cellStyle name="Comma 5 3 4 2 2 2 5" xfId="28990" xr:uid="{00000000-0005-0000-0000-00009F170000}"/>
    <cellStyle name="Comma 5 3 4 2 2 3" xfId="4475" xr:uid="{00000000-0005-0000-0000-0000A0170000}"/>
    <cellStyle name="Comma 5 3 4 2 2 3 2" xfId="13313" xr:uid="{00000000-0005-0000-0000-0000A1170000}"/>
    <cellStyle name="Comma 5 3 4 2 2 3 2 2" xfId="23564" xr:uid="{00000000-0005-0000-0000-0000A2170000}"/>
    <cellStyle name="Comma 5 3 4 2 2 3 2 2 2" xfId="49117" xr:uid="{00000000-0005-0000-0000-0000A3170000}"/>
    <cellStyle name="Comma 5 3 4 2 2 3 2 3" xfId="38868" xr:uid="{00000000-0005-0000-0000-0000A4170000}"/>
    <cellStyle name="Comma 5 3 4 2 2 3 3" xfId="9734" xr:uid="{00000000-0005-0000-0000-0000A5170000}"/>
    <cellStyle name="Comma 5 3 4 2 2 3 3 2" xfId="35291" xr:uid="{00000000-0005-0000-0000-0000A6170000}"/>
    <cellStyle name="Comma 5 3 4 2 2 3 4" xfId="18557" xr:uid="{00000000-0005-0000-0000-0000A7170000}"/>
    <cellStyle name="Comma 5 3 4 2 2 3 4 2" xfId="44110" xr:uid="{00000000-0005-0000-0000-0000A8170000}"/>
    <cellStyle name="Comma 5 3 4 2 2 3 5" xfId="30047" xr:uid="{00000000-0005-0000-0000-0000A9170000}"/>
    <cellStyle name="Comma 5 3 4 2 2 4" xfId="2255" xr:uid="{00000000-0005-0000-0000-0000AA170000}"/>
    <cellStyle name="Comma 5 3 4 2 2 4 2" xfId="11620" xr:uid="{00000000-0005-0000-0000-0000AB170000}"/>
    <cellStyle name="Comma 5 3 4 2 2 4 2 2" xfId="37175" xr:uid="{00000000-0005-0000-0000-0000AC170000}"/>
    <cellStyle name="Comma 5 3 4 2 2 4 3" xfId="21624" xr:uid="{00000000-0005-0000-0000-0000AD170000}"/>
    <cellStyle name="Comma 5 3 4 2 2 4 3 2" xfId="47177" xr:uid="{00000000-0005-0000-0000-0000AE170000}"/>
    <cellStyle name="Comma 5 3 4 2 2 4 4" xfId="28107" xr:uid="{00000000-0005-0000-0000-0000AF170000}"/>
    <cellStyle name="Comma 5 3 4 2 2 5" xfId="5931" xr:uid="{00000000-0005-0000-0000-0000B0170000}"/>
    <cellStyle name="Comma 5 3 4 2 2 5 2" xfId="14758" xr:uid="{00000000-0005-0000-0000-0000B1170000}"/>
    <cellStyle name="Comma 5 3 4 2 2 5 2 2" xfId="40313" xr:uid="{00000000-0005-0000-0000-0000B2170000}"/>
    <cellStyle name="Comma 5 3 4 2 2 5 3" xfId="25009" xr:uid="{00000000-0005-0000-0000-0000B3170000}"/>
    <cellStyle name="Comma 5 3 4 2 2 5 3 2" xfId="50562" xr:uid="{00000000-0005-0000-0000-0000B4170000}"/>
    <cellStyle name="Comma 5 3 4 2 2 5 4" xfId="31492" xr:uid="{00000000-0005-0000-0000-0000B5170000}"/>
    <cellStyle name="Comma 5 3 4 2 2 6" xfId="7375" xr:uid="{00000000-0005-0000-0000-0000B6170000}"/>
    <cellStyle name="Comma 5 3 4 2 2 6 2" xfId="20106" xr:uid="{00000000-0005-0000-0000-0000B7170000}"/>
    <cellStyle name="Comma 5 3 4 2 2 6 2 2" xfId="45659" xr:uid="{00000000-0005-0000-0000-0000B8170000}"/>
    <cellStyle name="Comma 5 3 4 2 2 6 3" xfId="32932" xr:uid="{00000000-0005-0000-0000-0000B9170000}"/>
    <cellStyle name="Comma 5 3 4 2 2 7" xfId="16617" xr:uid="{00000000-0005-0000-0000-0000BA170000}"/>
    <cellStyle name="Comma 5 3 4 2 2 7 2" xfId="42170" xr:uid="{00000000-0005-0000-0000-0000BB170000}"/>
    <cellStyle name="Comma 5 3 4 2 2 8" xfId="26589" xr:uid="{00000000-0005-0000-0000-0000BC170000}"/>
    <cellStyle name="Comma 5 3 4 2 3" xfId="1332" xr:uid="{00000000-0005-0000-0000-0000BD170000}"/>
    <cellStyle name="Comma 5 3 4 2 3 2" xfId="3761" xr:uid="{00000000-0005-0000-0000-0000BE170000}"/>
    <cellStyle name="Comma 5 3 4 2 3 2 2" xfId="12897" xr:uid="{00000000-0005-0000-0000-0000BF170000}"/>
    <cellStyle name="Comma 5 3 4 2 3 2 2 2" xfId="23116" xr:uid="{00000000-0005-0000-0000-0000C0170000}"/>
    <cellStyle name="Comma 5 3 4 2 3 2 2 2 2" xfId="48669" xr:uid="{00000000-0005-0000-0000-0000C1170000}"/>
    <cellStyle name="Comma 5 3 4 2 3 2 2 3" xfId="38452" xr:uid="{00000000-0005-0000-0000-0000C2170000}"/>
    <cellStyle name="Comma 5 3 4 2 3 2 3" xfId="9318" xr:uid="{00000000-0005-0000-0000-0000C3170000}"/>
    <cellStyle name="Comma 5 3 4 2 3 2 3 2" xfId="34875" xr:uid="{00000000-0005-0000-0000-0000C4170000}"/>
    <cellStyle name="Comma 5 3 4 2 3 2 4" xfId="18109" xr:uid="{00000000-0005-0000-0000-0000C5170000}"/>
    <cellStyle name="Comma 5 3 4 2 3 2 4 2" xfId="43662" xr:uid="{00000000-0005-0000-0000-0000C6170000}"/>
    <cellStyle name="Comma 5 3 4 2 3 2 5" xfId="29599" xr:uid="{00000000-0005-0000-0000-0000C7170000}"/>
    <cellStyle name="Comma 5 3 4 2 3 3" xfId="4824" xr:uid="{00000000-0005-0000-0000-0000C8170000}"/>
    <cellStyle name="Comma 5 3 4 2 3 3 2" xfId="13661" xr:uid="{00000000-0005-0000-0000-0000C9170000}"/>
    <cellStyle name="Comma 5 3 4 2 3 3 2 2" xfId="23912" xr:uid="{00000000-0005-0000-0000-0000CA170000}"/>
    <cellStyle name="Comma 5 3 4 2 3 3 2 2 2" xfId="49465" xr:uid="{00000000-0005-0000-0000-0000CB170000}"/>
    <cellStyle name="Comma 5 3 4 2 3 3 2 3" xfId="39216" xr:uid="{00000000-0005-0000-0000-0000CC170000}"/>
    <cellStyle name="Comma 5 3 4 2 3 3 3" xfId="10082" xr:uid="{00000000-0005-0000-0000-0000CD170000}"/>
    <cellStyle name="Comma 5 3 4 2 3 3 3 2" xfId="35639" xr:uid="{00000000-0005-0000-0000-0000CE170000}"/>
    <cellStyle name="Comma 5 3 4 2 3 3 4" xfId="18905" xr:uid="{00000000-0005-0000-0000-0000CF170000}"/>
    <cellStyle name="Comma 5 3 4 2 3 3 4 2" xfId="44458" xr:uid="{00000000-0005-0000-0000-0000D0170000}"/>
    <cellStyle name="Comma 5 3 4 2 3 3 5" xfId="30395" xr:uid="{00000000-0005-0000-0000-0000D1170000}"/>
    <cellStyle name="Comma 5 3 4 2 3 4" xfId="2155" xr:uid="{00000000-0005-0000-0000-0000D2170000}"/>
    <cellStyle name="Comma 5 3 4 2 3 4 2" xfId="11520" xr:uid="{00000000-0005-0000-0000-0000D3170000}"/>
    <cellStyle name="Comma 5 3 4 2 3 4 2 2" xfId="37075" xr:uid="{00000000-0005-0000-0000-0000D4170000}"/>
    <cellStyle name="Comma 5 3 4 2 3 4 3" xfId="21524" xr:uid="{00000000-0005-0000-0000-0000D5170000}"/>
    <cellStyle name="Comma 5 3 4 2 3 4 3 2" xfId="47077" xr:uid="{00000000-0005-0000-0000-0000D6170000}"/>
    <cellStyle name="Comma 5 3 4 2 3 4 4" xfId="28007" xr:uid="{00000000-0005-0000-0000-0000D7170000}"/>
    <cellStyle name="Comma 5 3 4 2 3 5" xfId="6279" xr:uid="{00000000-0005-0000-0000-0000D8170000}"/>
    <cellStyle name="Comma 5 3 4 2 3 5 2" xfId="15106" xr:uid="{00000000-0005-0000-0000-0000D9170000}"/>
    <cellStyle name="Comma 5 3 4 2 3 5 2 2" xfId="40661" xr:uid="{00000000-0005-0000-0000-0000DA170000}"/>
    <cellStyle name="Comma 5 3 4 2 3 5 3" xfId="25357" xr:uid="{00000000-0005-0000-0000-0000DB170000}"/>
    <cellStyle name="Comma 5 3 4 2 3 5 3 2" xfId="50910" xr:uid="{00000000-0005-0000-0000-0000DC170000}"/>
    <cellStyle name="Comma 5 3 4 2 3 5 4" xfId="31840" xr:uid="{00000000-0005-0000-0000-0000DD170000}"/>
    <cellStyle name="Comma 5 3 4 2 3 6" xfId="7725" xr:uid="{00000000-0005-0000-0000-0000DE170000}"/>
    <cellStyle name="Comma 5 3 4 2 3 6 2" xfId="20715" xr:uid="{00000000-0005-0000-0000-0000DF170000}"/>
    <cellStyle name="Comma 5 3 4 2 3 6 2 2" xfId="46268" xr:uid="{00000000-0005-0000-0000-0000E0170000}"/>
    <cellStyle name="Comma 5 3 4 2 3 6 3" xfId="33282" xr:uid="{00000000-0005-0000-0000-0000E1170000}"/>
    <cellStyle name="Comma 5 3 4 2 3 7" xfId="16517" xr:uid="{00000000-0005-0000-0000-0000E2170000}"/>
    <cellStyle name="Comma 5 3 4 2 3 7 2" xfId="42070" xr:uid="{00000000-0005-0000-0000-0000E3170000}"/>
    <cellStyle name="Comma 5 3 4 2 3 8" xfId="27198" xr:uid="{00000000-0005-0000-0000-0000E4170000}"/>
    <cellStyle name="Comma 5 3 4 2 4" xfId="3046" xr:uid="{00000000-0005-0000-0000-0000E5170000}"/>
    <cellStyle name="Comma 5 3 4 2 4 2" xfId="5424" xr:uid="{00000000-0005-0000-0000-0000E6170000}"/>
    <cellStyle name="Comma 5 3 4 2 4 2 2" xfId="14261" xr:uid="{00000000-0005-0000-0000-0000E7170000}"/>
    <cellStyle name="Comma 5 3 4 2 4 2 2 2" xfId="24512" xr:uid="{00000000-0005-0000-0000-0000E8170000}"/>
    <cellStyle name="Comma 5 3 4 2 4 2 2 2 2" xfId="50065" xr:uid="{00000000-0005-0000-0000-0000E9170000}"/>
    <cellStyle name="Comma 5 3 4 2 4 2 2 3" xfId="39816" xr:uid="{00000000-0005-0000-0000-0000EA170000}"/>
    <cellStyle name="Comma 5 3 4 2 4 2 3" xfId="10682" xr:uid="{00000000-0005-0000-0000-0000EB170000}"/>
    <cellStyle name="Comma 5 3 4 2 4 2 3 2" xfId="36239" xr:uid="{00000000-0005-0000-0000-0000EC170000}"/>
    <cellStyle name="Comma 5 3 4 2 4 2 4" xfId="19505" xr:uid="{00000000-0005-0000-0000-0000ED170000}"/>
    <cellStyle name="Comma 5 3 4 2 4 2 4 2" xfId="45058" xr:uid="{00000000-0005-0000-0000-0000EE170000}"/>
    <cellStyle name="Comma 5 3 4 2 4 2 5" xfId="30995" xr:uid="{00000000-0005-0000-0000-0000EF170000}"/>
    <cellStyle name="Comma 5 3 4 2 4 3" xfId="6879" xr:uid="{00000000-0005-0000-0000-0000F0170000}"/>
    <cellStyle name="Comma 5 3 4 2 4 3 2" xfId="15706" xr:uid="{00000000-0005-0000-0000-0000F1170000}"/>
    <cellStyle name="Comma 5 3 4 2 4 3 2 2" xfId="41261" xr:uid="{00000000-0005-0000-0000-0000F2170000}"/>
    <cellStyle name="Comma 5 3 4 2 4 3 3" xfId="25957" xr:uid="{00000000-0005-0000-0000-0000F3170000}"/>
    <cellStyle name="Comma 5 3 4 2 4 3 3 2" xfId="51510" xr:uid="{00000000-0005-0000-0000-0000F4170000}"/>
    <cellStyle name="Comma 5 3 4 2 4 3 4" xfId="32440" xr:uid="{00000000-0005-0000-0000-0000F5170000}"/>
    <cellStyle name="Comma 5 3 4 2 4 4" xfId="8325" xr:uid="{00000000-0005-0000-0000-0000F6170000}"/>
    <cellStyle name="Comma 5 3 4 2 4 4 2" xfId="22407" xr:uid="{00000000-0005-0000-0000-0000F7170000}"/>
    <cellStyle name="Comma 5 3 4 2 4 4 2 2" xfId="47960" xr:uid="{00000000-0005-0000-0000-0000F8170000}"/>
    <cellStyle name="Comma 5 3 4 2 4 4 3" xfId="33882" xr:uid="{00000000-0005-0000-0000-0000F9170000}"/>
    <cellStyle name="Comma 5 3 4 2 4 5" xfId="17400" xr:uid="{00000000-0005-0000-0000-0000FA170000}"/>
    <cellStyle name="Comma 5 3 4 2 4 5 2" xfId="42953" xr:uid="{00000000-0005-0000-0000-0000FB170000}"/>
    <cellStyle name="Comma 5 3 4 2 4 6" xfId="28890" xr:uid="{00000000-0005-0000-0000-0000FC170000}"/>
    <cellStyle name="Comma 5 3 4 2 5" xfId="4380" xr:uid="{00000000-0005-0000-0000-0000FD170000}"/>
    <cellStyle name="Comma 5 3 4 2 5 2" xfId="13218" xr:uid="{00000000-0005-0000-0000-0000FE170000}"/>
    <cellStyle name="Comma 5 3 4 2 5 2 2" xfId="23469" xr:uid="{00000000-0005-0000-0000-0000FF170000}"/>
    <cellStyle name="Comma 5 3 4 2 5 2 2 2" xfId="49022" xr:uid="{00000000-0005-0000-0000-000000180000}"/>
    <cellStyle name="Comma 5 3 4 2 5 2 3" xfId="38773" xr:uid="{00000000-0005-0000-0000-000001180000}"/>
    <cellStyle name="Comma 5 3 4 2 5 3" xfId="9639" xr:uid="{00000000-0005-0000-0000-000002180000}"/>
    <cellStyle name="Comma 5 3 4 2 5 3 2" xfId="35196" xr:uid="{00000000-0005-0000-0000-000003180000}"/>
    <cellStyle name="Comma 5 3 4 2 5 4" xfId="18462" xr:uid="{00000000-0005-0000-0000-000004180000}"/>
    <cellStyle name="Comma 5 3 4 2 5 4 2" xfId="44015" xr:uid="{00000000-0005-0000-0000-000005180000}"/>
    <cellStyle name="Comma 5 3 4 2 5 5" xfId="29952" xr:uid="{00000000-0005-0000-0000-000006180000}"/>
    <cellStyle name="Comma 5 3 4 2 6" xfId="1652" xr:uid="{00000000-0005-0000-0000-000007180000}"/>
    <cellStyle name="Comma 5 3 4 2 6 2" xfId="11029" xr:uid="{00000000-0005-0000-0000-000008180000}"/>
    <cellStyle name="Comma 5 3 4 2 6 2 2" xfId="36584" xr:uid="{00000000-0005-0000-0000-000009180000}"/>
    <cellStyle name="Comma 5 3 4 2 6 3" xfId="21033" xr:uid="{00000000-0005-0000-0000-00000A180000}"/>
    <cellStyle name="Comma 5 3 4 2 6 3 2" xfId="46586" xr:uid="{00000000-0005-0000-0000-00000B180000}"/>
    <cellStyle name="Comma 5 3 4 2 6 4" xfId="27516" xr:uid="{00000000-0005-0000-0000-00000C180000}"/>
    <cellStyle name="Comma 5 3 4 2 7" xfId="5836" xr:uid="{00000000-0005-0000-0000-00000D180000}"/>
    <cellStyle name="Comma 5 3 4 2 7 2" xfId="14663" xr:uid="{00000000-0005-0000-0000-00000E180000}"/>
    <cellStyle name="Comma 5 3 4 2 7 2 2" xfId="40218" xr:uid="{00000000-0005-0000-0000-00000F180000}"/>
    <cellStyle name="Comma 5 3 4 2 7 3" xfId="24914" xr:uid="{00000000-0005-0000-0000-000010180000}"/>
    <cellStyle name="Comma 5 3 4 2 7 3 2" xfId="50467" xr:uid="{00000000-0005-0000-0000-000011180000}"/>
    <cellStyle name="Comma 5 3 4 2 7 4" xfId="31397" xr:uid="{00000000-0005-0000-0000-000012180000}"/>
    <cellStyle name="Comma 5 3 4 2 8" xfId="7280" xr:uid="{00000000-0005-0000-0000-000013180000}"/>
    <cellStyle name="Comma 5 3 4 2 8 2" xfId="20006" xr:uid="{00000000-0005-0000-0000-000014180000}"/>
    <cellStyle name="Comma 5 3 4 2 8 2 2" xfId="45559" xr:uid="{00000000-0005-0000-0000-000015180000}"/>
    <cellStyle name="Comma 5 3 4 2 8 3" xfId="32837" xr:uid="{00000000-0005-0000-0000-000016180000}"/>
    <cellStyle name="Comma 5 3 4 2 9" xfId="16026" xr:uid="{00000000-0005-0000-0000-000017180000}"/>
    <cellStyle name="Comma 5 3 4 2 9 2" xfId="41579" xr:uid="{00000000-0005-0000-0000-000018180000}"/>
    <cellStyle name="Comma 5 3 4 3" xfId="355" xr:uid="{00000000-0005-0000-0000-000019180000}"/>
    <cellStyle name="Comma 5 3 4 3 2" xfId="2841" xr:uid="{00000000-0005-0000-0000-00001A180000}"/>
    <cellStyle name="Comma 5 3 4 3 2 2" xfId="12129" xr:uid="{00000000-0005-0000-0000-00001B180000}"/>
    <cellStyle name="Comma 5 3 4 3 2 2 2" xfId="22202" xr:uid="{00000000-0005-0000-0000-00001C180000}"/>
    <cellStyle name="Comma 5 3 4 3 2 2 2 2" xfId="47755" xr:uid="{00000000-0005-0000-0000-00001D180000}"/>
    <cellStyle name="Comma 5 3 4 3 2 2 3" xfId="37684" xr:uid="{00000000-0005-0000-0000-00001E180000}"/>
    <cellStyle name="Comma 5 3 4 3 2 3" xfId="8465" xr:uid="{00000000-0005-0000-0000-00001F180000}"/>
    <cellStyle name="Comma 5 3 4 3 2 3 2" xfId="34022" xr:uid="{00000000-0005-0000-0000-000020180000}"/>
    <cellStyle name="Comma 5 3 4 3 2 4" xfId="17195" xr:uid="{00000000-0005-0000-0000-000021180000}"/>
    <cellStyle name="Comma 5 3 4 3 2 4 2" xfId="42748" xr:uid="{00000000-0005-0000-0000-000022180000}"/>
    <cellStyle name="Comma 5 3 4 3 2 5" xfId="28685" xr:uid="{00000000-0005-0000-0000-000023180000}"/>
    <cellStyle name="Comma 5 3 4 3 3" xfId="4474" xr:uid="{00000000-0005-0000-0000-000024180000}"/>
    <cellStyle name="Comma 5 3 4 3 3 2" xfId="13312" xr:uid="{00000000-0005-0000-0000-000025180000}"/>
    <cellStyle name="Comma 5 3 4 3 3 2 2" xfId="23563" xr:uid="{00000000-0005-0000-0000-000026180000}"/>
    <cellStyle name="Comma 5 3 4 3 3 2 2 2" xfId="49116" xr:uid="{00000000-0005-0000-0000-000027180000}"/>
    <cellStyle name="Comma 5 3 4 3 3 2 3" xfId="38867" xr:uid="{00000000-0005-0000-0000-000028180000}"/>
    <cellStyle name="Comma 5 3 4 3 3 3" xfId="9733" xr:uid="{00000000-0005-0000-0000-000029180000}"/>
    <cellStyle name="Comma 5 3 4 3 3 3 2" xfId="35290" xr:uid="{00000000-0005-0000-0000-00002A180000}"/>
    <cellStyle name="Comma 5 3 4 3 3 4" xfId="18556" xr:uid="{00000000-0005-0000-0000-00002B180000}"/>
    <cellStyle name="Comma 5 3 4 3 3 4 2" xfId="44109" xr:uid="{00000000-0005-0000-0000-00002C180000}"/>
    <cellStyle name="Comma 5 3 4 3 3 5" xfId="30046" xr:uid="{00000000-0005-0000-0000-00002D180000}"/>
    <cellStyle name="Comma 5 3 4 3 4" xfId="1950" xr:uid="{00000000-0005-0000-0000-00002E180000}"/>
    <cellStyle name="Comma 5 3 4 3 4 2" xfId="11315" xr:uid="{00000000-0005-0000-0000-00002F180000}"/>
    <cellStyle name="Comma 5 3 4 3 4 2 2" xfId="36870" xr:uid="{00000000-0005-0000-0000-000030180000}"/>
    <cellStyle name="Comma 5 3 4 3 4 3" xfId="21319" xr:uid="{00000000-0005-0000-0000-000031180000}"/>
    <cellStyle name="Comma 5 3 4 3 4 3 2" xfId="46872" xr:uid="{00000000-0005-0000-0000-000032180000}"/>
    <cellStyle name="Comma 5 3 4 3 4 4" xfId="27802" xr:uid="{00000000-0005-0000-0000-000033180000}"/>
    <cellStyle name="Comma 5 3 4 3 5" xfId="5930" xr:uid="{00000000-0005-0000-0000-000034180000}"/>
    <cellStyle name="Comma 5 3 4 3 5 2" xfId="14757" xr:uid="{00000000-0005-0000-0000-000035180000}"/>
    <cellStyle name="Comma 5 3 4 3 5 2 2" xfId="40312" xr:uid="{00000000-0005-0000-0000-000036180000}"/>
    <cellStyle name="Comma 5 3 4 3 5 3" xfId="25008" xr:uid="{00000000-0005-0000-0000-000037180000}"/>
    <cellStyle name="Comma 5 3 4 3 5 3 2" xfId="50561" xr:uid="{00000000-0005-0000-0000-000038180000}"/>
    <cellStyle name="Comma 5 3 4 3 5 4" xfId="31491" xr:uid="{00000000-0005-0000-0000-000039180000}"/>
    <cellStyle name="Comma 5 3 4 3 6" xfId="7374" xr:uid="{00000000-0005-0000-0000-00003A180000}"/>
    <cellStyle name="Comma 5 3 4 3 6 2" xfId="19801" xr:uid="{00000000-0005-0000-0000-00003B180000}"/>
    <cellStyle name="Comma 5 3 4 3 6 2 2" xfId="45354" xr:uid="{00000000-0005-0000-0000-00003C180000}"/>
    <cellStyle name="Comma 5 3 4 3 6 3" xfId="32931" xr:uid="{00000000-0005-0000-0000-00003D180000}"/>
    <cellStyle name="Comma 5 3 4 3 7" xfId="16312" xr:uid="{00000000-0005-0000-0000-00003E180000}"/>
    <cellStyle name="Comma 5 3 4 3 7 2" xfId="41865" xr:uid="{00000000-0005-0000-0000-00003F180000}"/>
    <cellStyle name="Comma 5 3 4 3 8" xfId="26284" xr:uid="{00000000-0005-0000-0000-000040180000}"/>
    <cellStyle name="Comma 5 3 4 4" xfId="659" xr:uid="{00000000-0005-0000-0000-000041180000}"/>
    <cellStyle name="Comma 5 3 4 4 2" xfId="3145" xr:uid="{00000000-0005-0000-0000-000042180000}"/>
    <cellStyle name="Comma 5 3 4 4 2 2" xfId="12288" xr:uid="{00000000-0005-0000-0000-000043180000}"/>
    <cellStyle name="Comma 5 3 4 4 2 2 2" xfId="22506" xr:uid="{00000000-0005-0000-0000-000044180000}"/>
    <cellStyle name="Comma 5 3 4 4 2 2 2 2" xfId="48059" xr:uid="{00000000-0005-0000-0000-000045180000}"/>
    <cellStyle name="Comma 5 3 4 4 2 2 3" xfId="37843" xr:uid="{00000000-0005-0000-0000-000046180000}"/>
    <cellStyle name="Comma 5 3 4 4 2 3" xfId="8710" xr:uid="{00000000-0005-0000-0000-000047180000}"/>
    <cellStyle name="Comma 5 3 4 4 2 3 2" xfId="34267" xr:uid="{00000000-0005-0000-0000-000048180000}"/>
    <cellStyle name="Comma 5 3 4 4 2 4" xfId="17499" xr:uid="{00000000-0005-0000-0000-000049180000}"/>
    <cellStyle name="Comma 5 3 4 4 2 4 2" xfId="43052" xr:uid="{00000000-0005-0000-0000-00004A180000}"/>
    <cellStyle name="Comma 5 3 4 4 2 5" xfId="28989" xr:uid="{00000000-0005-0000-0000-00004B180000}"/>
    <cellStyle name="Comma 5 3 4 4 3" xfId="4823" xr:uid="{00000000-0005-0000-0000-00004C180000}"/>
    <cellStyle name="Comma 5 3 4 4 3 2" xfId="13660" xr:uid="{00000000-0005-0000-0000-00004D180000}"/>
    <cellStyle name="Comma 5 3 4 4 3 2 2" xfId="23911" xr:uid="{00000000-0005-0000-0000-00004E180000}"/>
    <cellStyle name="Comma 5 3 4 4 3 2 2 2" xfId="49464" xr:uid="{00000000-0005-0000-0000-00004F180000}"/>
    <cellStyle name="Comma 5 3 4 4 3 2 3" xfId="39215" xr:uid="{00000000-0005-0000-0000-000050180000}"/>
    <cellStyle name="Comma 5 3 4 4 3 3" xfId="10081" xr:uid="{00000000-0005-0000-0000-000051180000}"/>
    <cellStyle name="Comma 5 3 4 4 3 3 2" xfId="35638" xr:uid="{00000000-0005-0000-0000-000052180000}"/>
    <cellStyle name="Comma 5 3 4 4 3 4" xfId="18904" xr:uid="{00000000-0005-0000-0000-000053180000}"/>
    <cellStyle name="Comma 5 3 4 4 3 4 2" xfId="44457" xr:uid="{00000000-0005-0000-0000-000054180000}"/>
    <cellStyle name="Comma 5 3 4 4 3 5" xfId="30394" xr:uid="{00000000-0005-0000-0000-000055180000}"/>
    <cellStyle name="Comma 5 3 4 4 4" xfId="2254" xr:uid="{00000000-0005-0000-0000-000056180000}"/>
    <cellStyle name="Comma 5 3 4 4 4 2" xfId="11619" xr:uid="{00000000-0005-0000-0000-000057180000}"/>
    <cellStyle name="Comma 5 3 4 4 4 2 2" xfId="37174" xr:uid="{00000000-0005-0000-0000-000058180000}"/>
    <cellStyle name="Comma 5 3 4 4 4 3" xfId="21623" xr:uid="{00000000-0005-0000-0000-000059180000}"/>
    <cellStyle name="Comma 5 3 4 4 4 3 2" xfId="47176" xr:uid="{00000000-0005-0000-0000-00005A180000}"/>
    <cellStyle name="Comma 5 3 4 4 4 4" xfId="28106" xr:uid="{00000000-0005-0000-0000-00005B180000}"/>
    <cellStyle name="Comma 5 3 4 4 5" xfId="6278" xr:uid="{00000000-0005-0000-0000-00005C180000}"/>
    <cellStyle name="Comma 5 3 4 4 5 2" xfId="15105" xr:uid="{00000000-0005-0000-0000-00005D180000}"/>
    <cellStyle name="Comma 5 3 4 4 5 2 2" xfId="40660" xr:uid="{00000000-0005-0000-0000-00005E180000}"/>
    <cellStyle name="Comma 5 3 4 4 5 3" xfId="25356" xr:uid="{00000000-0005-0000-0000-00005F180000}"/>
    <cellStyle name="Comma 5 3 4 4 5 3 2" xfId="50909" xr:uid="{00000000-0005-0000-0000-000060180000}"/>
    <cellStyle name="Comma 5 3 4 4 5 4" xfId="31839" xr:uid="{00000000-0005-0000-0000-000061180000}"/>
    <cellStyle name="Comma 5 3 4 4 6" xfId="7724" xr:uid="{00000000-0005-0000-0000-000062180000}"/>
    <cellStyle name="Comma 5 3 4 4 6 2" xfId="20105" xr:uid="{00000000-0005-0000-0000-000063180000}"/>
    <cellStyle name="Comma 5 3 4 4 6 2 2" xfId="45658" xr:uid="{00000000-0005-0000-0000-000064180000}"/>
    <cellStyle name="Comma 5 3 4 4 6 3" xfId="33281" xr:uid="{00000000-0005-0000-0000-000065180000}"/>
    <cellStyle name="Comma 5 3 4 4 7" xfId="16616" xr:uid="{00000000-0005-0000-0000-000066180000}"/>
    <cellStyle name="Comma 5 3 4 4 7 2" xfId="42169" xr:uid="{00000000-0005-0000-0000-000067180000}"/>
    <cellStyle name="Comma 5 3 4 4 8" xfId="26588" xr:uid="{00000000-0005-0000-0000-000068180000}"/>
    <cellStyle name="Comma 5 3 4 5" xfId="1127" xr:uid="{00000000-0005-0000-0000-000069180000}"/>
    <cellStyle name="Comma 5 3 4 5 2" xfId="3556" xr:uid="{00000000-0005-0000-0000-00006A180000}"/>
    <cellStyle name="Comma 5 3 4 5 2 2" xfId="12692" xr:uid="{00000000-0005-0000-0000-00006B180000}"/>
    <cellStyle name="Comma 5 3 4 5 2 2 2" xfId="22911" xr:uid="{00000000-0005-0000-0000-00006C180000}"/>
    <cellStyle name="Comma 5 3 4 5 2 2 2 2" xfId="48464" xr:uid="{00000000-0005-0000-0000-00006D180000}"/>
    <cellStyle name="Comma 5 3 4 5 2 2 3" xfId="38247" xr:uid="{00000000-0005-0000-0000-00006E180000}"/>
    <cellStyle name="Comma 5 3 4 5 2 3" xfId="9113" xr:uid="{00000000-0005-0000-0000-00006F180000}"/>
    <cellStyle name="Comma 5 3 4 5 2 3 2" xfId="34670" xr:uid="{00000000-0005-0000-0000-000070180000}"/>
    <cellStyle name="Comma 5 3 4 5 2 4" xfId="17904" xr:uid="{00000000-0005-0000-0000-000071180000}"/>
    <cellStyle name="Comma 5 3 4 5 2 4 2" xfId="43457" xr:uid="{00000000-0005-0000-0000-000072180000}"/>
    <cellStyle name="Comma 5 3 4 5 2 5" xfId="29394" xr:uid="{00000000-0005-0000-0000-000073180000}"/>
    <cellStyle name="Comma 5 3 4 5 3" xfId="5219" xr:uid="{00000000-0005-0000-0000-000074180000}"/>
    <cellStyle name="Comma 5 3 4 5 3 2" xfId="14056" xr:uid="{00000000-0005-0000-0000-000075180000}"/>
    <cellStyle name="Comma 5 3 4 5 3 2 2" xfId="24307" xr:uid="{00000000-0005-0000-0000-000076180000}"/>
    <cellStyle name="Comma 5 3 4 5 3 2 2 2" xfId="49860" xr:uid="{00000000-0005-0000-0000-000077180000}"/>
    <cellStyle name="Comma 5 3 4 5 3 2 3" xfId="39611" xr:uid="{00000000-0005-0000-0000-000078180000}"/>
    <cellStyle name="Comma 5 3 4 5 3 3" xfId="10477" xr:uid="{00000000-0005-0000-0000-000079180000}"/>
    <cellStyle name="Comma 5 3 4 5 3 3 2" xfId="36034" xr:uid="{00000000-0005-0000-0000-00007A180000}"/>
    <cellStyle name="Comma 5 3 4 5 3 4" xfId="19300" xr:uid="{00000000-0005-0000-0000-00007B180000}"/>
    <cellStyle name="Comma 5 3 4 5 3 4 2" xfId="44853" xr:uid="{00000000-0005-0000-0000-00007C180000}"/>
    <cellStyle name="Comma 5 3 4 5 3 5" xfId="30790" xr:uid="{00000000-0005-0000-0000-00007D180000}"/>
    <cellStyle name="Comma 5 3 4 5 4" xfId="1835" xr:uid="{00000000-0005-0000-0000-00007E180000}"/>
    <cellStyle name="Comma 5 3 4 5 4 2" xfId="11203" xr:uid="{00000000-0005-0000-0000-00007F180000}"/>
    <cellStyle name="Comma 5 3 4 5 4 2 2" xfId="36758" xr:uid="{00000000-0005-0000-0000-000080180000}"/>
    <cellStyle name="Comma 5 3 4 5 4 3" xfId="21207" xr:uid="{00000000-0005-0000-0000-000081180000}"/>
    <cellStyle name="Comma 5 3 4 5 4 3 2" xfId="46760" xr:uid="{00000000-0005-0000-0000-000082180000}"/>
    <cellStyle name="Comma 5 3 4 5 4 4" xfId="27690" xr:uid="{00000000-0005-0000-0000-000083180000}"/>
    <cellStyle name="Comma 5 3 4 5 5" xfId="6674" xr:uid="{00000000-0005-0000-0000-000084180000}"/>
    <cellStyle name="Comma 5 3 4 5 5 2" xfId="15501" xr:uid="{00000000-0005-0000-0000-000085180000}"/>
    <cellStyle name="Comma 5 3 4 5 5 2 2" xfId="41056" xr:uid="{00000000-0005-0000-0000-000086180000}"/>
    <cellStyle name="Comma 5 3 4 5 5 3" xfId="25752" xr:uid="{00000000-0005-0000-0000-000087180000}"/>
    <cellStyle name="Comma 5 3 4 5 5 3 2" xfId="51305" xr:uid="{00000000-0005-0000-0000-000088180000}"/>
    <cellStyle name="Comma 5 3 4 5 5 4" xfId="32235" xr:uid="{00000000-0005-0000-0000-000089180000}"/>
    <cellStyle name="Comma 5 3 4 5 6" xfId="8120" xr:uid="{00000000-0005-0000-0000-00008A180000}"/>
    <cellStyle name="Comma 5 3 4 5 6 2" xfId="20510" xr:uid="{00000000-0005-0000-0000-00008B180000}"/>
    <cellStyle name="Comma 5 3 4 5 6 2 2" xfId="46063" xr:uid="{00000000-0005-0000-0000-00008C180000}"/>
    <cellStyle name="Comma 5 3 4 5 6 3" xfId="33677" xr:uid="{00000000-0005-0000-0000-00008D180000}"/>
    <cellStyle name="Comma 5 3 4 5 7" xfId="16200" xr:uid="{00000000-0005-0000-0000-00008E180000}"/>
    <cellStyle name="Comma 5 3 4 5 7 2" xfId="41753" xr:uid="{00000000-0005-0000-0000-00008F180000}"/>
    <cellStyle name="Comma 5 3 4 5 8" xfId="26993" xr:uid="{00000000-0005-0000-0000-000090180000}"/>
    <cellStyle name="Comma 5 3 4 6" xfId="2729" xr:uid="{00000000-0005-0000-0000-000091180000}"/>
    <cellStyle name="Comma 5 3 4 6 2" xfId="12046" xr:uid="{00000000-0005-0000-0000-000092180000}"/>
    <cellStyle name="Comma 5 3 4 6 2 2" xfId="22090" xr:uid="{00000000-0005-0000-0000-000093180000}"/>
    <cellStyle name="Comma 5 3 4 6 2 2 2" xfId="47643" xr:uid="{00000000-0005-0000-0000-000094180000}"/>
    <cellStyle name="Comma 5 3 4 6 2 3" xfId="37601" xr:uid="{00000000-0005-0000-0000-000095180000}"/>
    <cellStyle name="Comma 5 3 4 6 3" xfId="8623" xr:uid="{00000000-0005-0000-0000-000096180000}"/>
    <cellStyle name="Comma 5 3 4 6 3 2" xfId="34180" xr:uid="{00000000-0005-0000-0000-000097180000}"/>
    <cellStyle name="Comma 5 3 4 6 4" xfId="17083" xr:uid="{00000000-0005-0000-0000-000098180000}"/>
    <cellStyle name="Comma 5 3 4 6 4 2" xfId="42636" xr:uid="{00000000-0005-0000-0000-000099180000}"/>
    <cellStyle name="Comma 5 3 4 6 5" xfId="28573" xr:uid="{00000000-0005-0000-0000-00009A180000}"/>
    <cellStyle name="Comma 5 3 4 7" xfId="4175" xr:uid="{00000000-0005-0000-0000-00009B180000}"/>
    <cellStyle name="Comma 5 3 4 7 2" xfId="13013" xr:uid="{00000000-0005-0000-0000-00009C180000}"/>
    <cellStyle name="Comma 5 3 4 7 2 2" xfId="23264" xr:uid="{00000000-0005-0000-0000-00009D180000}"/>
    <cellStyle name="Comma 5 3 4 7 2 2 2" xfId="48817" xr:uid="{00000000-0005-0000-0000-00009E180000}"/>
    <cellStyle name="Comma 5 3 4 7 2 3" xfId="38568" xr:uid="{00000000-0005-0000-0000-00009F180000}"/>
    <cellStyle name="Comma 5 3 4 7 3" xfId="9434" xr:uid="{00000000-0005-0000-0000-0000A0180000}"/>
    <cellStyle name="Comma 5 3 4 7 3 2" xfId="34991" xr:uid="{00000000-0005-0000-0000-0000A1180000}"/>
    <cellStyle name="Comma 5 3 4 7 4" xfId="18257" xr:uid="{00000000-0005-0000-0000-0000A2180000}"/>
    <cellStyle name="Comma 5 3 4 7 4 2" xfId="43810" xr:uid="{00000000-0005-0000-0000-0000A3180000}"/>
    <cellStyle name="Comma 5 3 4 7 5" xfId="29747" xr:uid="{00000000-0005-0000-0000-0000A4180000}"/>
    <cellStyle name="Comma 5 3 4 8" xfId="1447" xr:uid="{00000000-0005-0000-0000-0000A5180000}"/>
    <cellStyle name="Comma 5 3 4 8 2" xfId="10824" xr:uid="{00000000-0005-0000-0000-0000A6180000}"/>
    <cellStyle name="Comma 5 3 4 8 2 2" xfId="36379" xr:uid="{00000000-0005-0000-0000-0000A7180000}"/>
    <cellStyle name="Comma 5 3 4 8 3" xfId="20828" xr:uid="{00000000-0005-0000-0000-0000A8180000}"/>
    <cellStyle name="Comma 5 3 4 8 3 2" xfId="46381" xr:uid="{00000000-0005-0000-0000-0000A9180000}"/>
    <cellStyle name="Comma 5 3 4 8 4" xfId="27311" xr:uid="{00000000-0005-0000-0000-0000AA180000}"/>
    <cellStyle name="Comma 5 3 4 9" xfId="5631" xr:uid="{00000000-0005-0000-0000-0000AB180000}"/>
    <cellStyle name="Comma 5 3 4 9 2" xfId="14458" xr:uid="{00000000-0005-0000-0000-0000AC180000}"/>
    <cellStyle name="Comma 5 3 4 9 2 2" xfId="40013" xr:uid="{00000000-0005-0000-0000-0000AD180000}"/>
    <cellStyle name="Comma 5 3 4 9 3" xfId="24709" xr:uid="{00000000-0005-0000-0000-0000AE180000}"/>
    <cellStyle name="Comma 5 3 4 9 3 2" xfId="50262" xr:uid="{00000000-0005-0000-0000-0000AF180000}"/>
    <cellStyle name="Comma 5 3 4 9 4" xfId="31192" xr:uid="{00000000-0005-0000-0000-0000B0180000}"/>
    <cellStyle name="Comma 5 3 5" xfId="455" xr:uid="{00000000-0005-0000-0000-0000B1180000}"/>
    <cellStyle name="Comma 5 3 5 10" xfId="26384" xr:uid="{00000000-0005-0000-0000-0000B2180000}"/>
    <cellStyle name="Comma 5 3 5 2" xfId="661" xr:uid="{00000000-0005-0000-0000-0000B3180000}"/>
    <cellStyle name="Comma 5 3 5 2 2" xfId="3147" xr:uid="{00000000-0005-0000-0000-0000B4180000}"/>
    <cellStyle name="Comma 5 3 5 2 2 2" xfId="12290" xr:uid="{00000000-0005-0000-0000-0000B5180000}"/>
    <cellStyle name="Comma 5 3 5 2 2 2 2" xfId="22508" xr:uid="{00000000-0005-0000-0000-0000B6180000}"/>
    <cellStyle name="Comma 5 3 5 2 2 2 2 2" xfId="48061" xr:uid="{00000000-0005-0000-0000-0000B7180000}"/>
    <cellStyle name="Comma 5 3 5 2 2 2 3" xfId="37845" xr:uid="{00000000-0005-0000-0000-0000B8180000}"/>
    <cellStyle name="Comma 5 3 5 2 2 3" xfId="8712" xr:uid="{00000000-0005-0000-0000-0000B9180000}"/>
    <cellStyle name="Comma 5 3 5 2 2 3 2" xfId="34269" xr:uid="{00000000-0005-0000-0000-0000BA180000}"/>
    <cellStyle name="Comma 5 3 5 2 2 4" xfId="17501" xr:uid="{00000000-0005-0000-0000-0000BB180000}"/>
    <cellStyle name="Comma 5 3 5 2 2 4 2" xfId="43054" xr:uid="{00000000-0005-0000-0000-0000BC180000}"/>
    <cellStyle name="Comma 5 3 5 2 2 5" xfId="28991" xr:uid="{00000000-0005-0000-0000-0000BD180000}"/>
    <cellStyle name="Comma 5 3 5 2 3" xfId="4476" xr:uid="{00000000-0005-0000-0000-0000BE180000}"/>
    <cellStyle name="Comma 5 3 5 2 3 2" xfId="13314" xr:uid="{00000000-0005-0000-0000-0000BF180000}"/>
    <cellStyle name="Comma 5 3 5 2 3 2 2" xfId="23565" xr:uid="{00000000-0005-0000-0000-0000C0180000}"/>
    <cellStyle name="Comma 5 3 5 2 3 2 2 2" xfId="49118" xr:uid="{00000000-0005-0000-0000-0000C1180000}"/>
    <cellStyle name="Comma 5 3 5 2 3 2 3" xfId="38869" xr:uid="{00000000-0005-0000-0000-0000C2180000}"/>
    <cellStyle name="Comma 5 3 5 2 3 3" xfId="9735" xr:uid="{00000000-0005-0000-0000-0000C3180000}"/>
    <cellStyle name="Comma 5 3 5 2 3 3 2" xfId="35292" xr:uid="{00000000-0005-0000-0000-0000C4180000}"/>
    <cellStyle name="Comma 5 3 5 2 3 4" xfId="18558" xr:uid="{00000000-0005-0000-0000-0000C5180000}"/>
    <cellStyle name="Comma 5 3 5 2 3 4 2" xfId="44111" xr:uid="{00000000-0005-0000-0000-0000C6180000}"/>
    <cellStyle name="Comma 5 3 5 2 3 5" xfId="30048" xr:uid="{00000000-0005-0000-0000-0000C7180000}"/>
    <cellStyle name="Comma 5 3 5 2 4" xfId="2256" xr:uid="{00000000-0005-0000-0000-0000C8180000}"/>
    <cellStyle name="Comma 5 3 5 2 4 2" xfId="11621" xr:uid="{00000000-0005-0000-0000-0000C9180000}"/>
    <cellStyle name="Comma 5 3 5 2 4 2 2" xfId="37176" xr:uid="{00000000-0005-0000-0000-0000CA180000}"/>
    <cellStyle name="Comma 5 3 5 2 4 3" xfId="21625" xr:uid="{00000000-0005-0000-0000-0000CB180000}"/>
    <cellStyle name="Comma 5 3 5 2 4 3 2" xfId="47178" xr:uid="{00000000-0005-0000-0000-0000CC180000}"/>
    <cellStyle name="Comma 5 3 5 2 4 4" xfId="28108" xr:uid="{00000000-0005-0000-0000-0000CD180000}"/>
    <cellStyle name="Comma 5 3 5 2 5" xfId="5932" xr:uid="{00000000-0005-0000-0000-0000CE180000}"/>
    <cellStyle name="Comma 5 3 5 2 5 2" xfId="14759" xr:uid="{00000000-0005-0000-0000-0000CF180000}"/>
    <cellStyle name="Comma 5 3 5 2 5 2 2" xfId="40314" xr:uid="{00000000-0005-0000-0000-0000D0180000}"/>
    <cellStyle name="Comma 5 3 5 2 5 3" xfId="25010" xr:uid="{00000000-0005-0000-0000-0000D1180000}"/>
    <cellStyle name="Comma 5 3 5 2 5 3 2" xfId="50563" xr:uid="{00000000-0005-0000-0000-0000D2180000}"/>
    <cellStyle name="Comma 5 3 5 2 5 4" xfId="31493" xr:uid="{00000000-0005-0000-0000-0000D3180000}"/>
    <cellStyle name="Comma 5 3 5 2 6" xfId="7376" xr:uid="{00000000-0005-0000-0000-0000D4180000}"/>
    <cellStyle name="Comma 5 3 5 2 6 2" xfId="20107" xr:uid="{00000000-0005-0000-0000-0000D5180000}"/>
    <cellStyle name="Comma 5 3 5 2 6 2 2" xfId="45660" xr:uid="{00000000-0005-0000-0000-0000D6180000}"/>
    <cellStyle name="Comma 5 3 5 2 6 3" xfId="32933" xr:uid="{00000000-0005-0000-0000-0000D7180000}"/>
    <cellStyle name="Comma 5 3 5 2 7" xfId="16618" xr:uid="{00000000-0005-0000-0000-0000D8180000}"/>
    <cellStyle name="Comma 5 3 5 2 7 2" xfId="42171" xr:uid="{00000000-0005-0000-0000-0000D9180000}"/>
    <cellStyle name="Comma 5 3 5 2 8" xfId="26590" xr:uid="{00000000-0005-0000-0000-0000DA180000}"/>
    <cellStyle name="Comma 5 3 5 3" xfId="1227" xr:uid="{00000000-0005-0000-0000-0000DB180000}"/>
    <cellStyle name="Comma 5 3 5 3 2" xfId="3656" xr:uid="{00000000-0005-0000-0000-0000DC180000}"/>
    <cellStyle name="Comma 5 3 5 3 2 2" xfId="12792" xr:uid="{00000000-0005-0000-0000-0000DD180000}"/>
    <cellStyle name="Comma 5 3 5 3 2 2 2" xfId="23011" xr:uid="{00000000-0005-0000-0000-0000DE180000}"/>
    <cellStyle name="Comma 5 3 5 3 2 2 2 2" xfId="48564" xr:uid="{00000000-0005-0000-0000-0000DF180000}"/>
    <cellStyle name="Comma 5 3 5 3 2 2 3" xfId="38347" xr:uid="{00000000-0005-0000-0000-0000E0180000}"/>
    <cellStyle name="Comma 5 3 5 3 2 3" xfId="9213" xr:uid="{00000000-0005-0000-0000-0000E1180000}"/>
    <cellStyle name="Comma 5 3 5 3 2 3 2" xfId="34770" xr:uid="{00000000-0005-0000-0000-0000E2180000}"/>
    <cellStyle name="Comma 5 3 5 3 2 4" xfId="18004" xr:uid="{00000000-0005-0000-0000-0000E3180000}"/>
    <cellStyle name="Comma 5 3 5 3 2 4 2" xfId="43557" xr:uid="{00000000-0005-0000-0000-0000E4180000}"/>
    <cellStyle name="Comma 5 3 5 3 2 5" xfId="29494" xr:uid="{00000000-0005-0000-0000-0000E5180000}"/>
    <cellStyle name="Comma 5 3 5 3 3" xfId="4825" xr:uid="{00000000-0005-0000-0000-0000E6180000}"/>
    <cellStyle name="Comma 5 3 5 3 3 2" xfId="13662" xr:uid="{00000000-0005-0000-0000-0000E7180000}"/>
    <cellStyle name="Comma 5 3 5 3 3 2 2" xfId="23913" xr:uid="{00000000-0005-0000-0000-0000E8180000}"/>
    <cellStyle name="Comma 5 3 5 3 3 2 2 2" xfId="49466" xr:uid="{00000000-0005-0000-0000-0000E9180000}"/>
    <cellStyle name="Comma 5 3 5 3 3 2 3" xfId="39217" xr:uid="{00000000-0005-0000-0000-0000EA180000}"/>
    <cellStyle name="Comma 5 3 5 3 3 3" xfId="10083" xr:uid="{00000000-0005-0000-0000-0000EB180000}"/>
    <cellStyle name="Comma 5 3 5 3 3 3 2" xfId="35640" xr:uid="{00000000-0005-0000-0000-0000EC180000}"/>
    <cellStyle name="Comma 5 3 5 3 3 4" xfId="18906" xr:uid="{00000000-0005-0000-0000-0000ED180000}"/>
    <cellStyle name="Comma 5 3 5 3 3 4 2" xfId="44459" xr:uid="{00000000-0005-0000-0000-0000EE180000}"/>
    <cellStyle name="Comma 5 3 5 3 3 5" xfId="30396" xr:uid="{00000000-0005-0000-0000-0000EF180000}"/>
    <cellStyle name="Comma 5 3 5 3 4" xfId="2050" xr:uid="{00000000-0005-0000-0000-0000F0180000}"/>
    <cellStyle name="Comma 5 3 5 3 4 2" xfId="11415" xr:uid="{00000000-0005-0000-0000-0000F1180000}"/>
    <cellStyle name="Comma 5 3 5 3 4 2 2" xfId="36970" xr:uid="{00000000-0005-0000-0000-0000F2180000}"/>
    <cellStyle name="Comma 5 3 5 3 4 3" xfId="21419" xr:uid="{00000000-0005-0000-0000-0000F3180000}"/>
    <cellStyle name="Comma 5 3 5 3 4 3 2" xfId="46972" xr:uid="{00000000-0005-0000-0000-0000F4180000}"/>
    <cellStyle name="Comma 5 3 5 3 4 4" xfId="27902" xr:uid="{00000000-0005-0000-0000-0000F5180000}"/>
    <cellStyle name="Comma 5 3 5 3 5" xfId="6280" xr:uid="{00000000-0005-0000-0000-0000F6180000}"/>
    <cellStyle name="Comma 5 3 5 3 5 2" xfId="15107" xr:uid="{00000000-0005-0000-0000-0000F7180000}"/>
    <cellStyle name="Comma 5 3 5 3 5 2 2" xfId="40662" xr:uid="{00000000-0005-0000-0000-0000F8180000}"/>
    <cellStyle name="Comma 5 3 5 3 5 3" xfId="25358" xr:uid="{00000000-0005-0000-0000-0000F9180000}"/>
    <cellStyle name="Comma 5 3 5 3 5 3 2" xfId="50911" xr:uid="{00000000-0005-0000-0000-0000FA180000}"/>
    <cellStyle name="Comma 5 3 5 3 5 4" xfId="31841" xr:uid="{00000000-0005-0000-0000-0000FB180000}"/>
    <cellStyle name="Comma 5 3 5 3 6" xfId="7726" xr:uid="{00000000-0005-0000-0000-0000FC180000}"/>
    <cellStyle name="Comma 5 3 5 3 6 2" xfId="20610" xr:uid="{00000000-0005-0000-0000-0000FD180000}"/>
    <cellStyle name="Comma 5 3 5 3 6 2 2" xfId="46163" xr:uid="{00000000-0005-0000-0000-0000FE180000}"/>
    <cellStyle name="Comma 5 3 5 3 6 3" xfId="33283" xr:uid="{00000000-0005-0000-0000-0000FF180000}"/>
    <cellStyle name="Comma 5 3 5 3 7" xfId="16412" xr:uid="{00000000-0005-0000-0000-000000190000}"/>
    <cellStyle name="Comma 5 3 5 3 7 2" xfId="41965" xr:uid="{00000000-0005-0000-0000-000001190000}"/>
    <cellStyle name="Comma 5 3 5 3 8" xfId="27093" xr:uid="{00000000-0005-0000-0000-000002190000}"/>
    <cellStyle name="Comma 5 3 5 4" xfId="2941" xr:uid="{00000000-0005-0000-0000-000003190000}"/>
    <cellStyle name="Comma 5 3 5 4 2" xfId="5319" xr:uid="{00000000-0005-0000-0000-000004190000}"/>
    <cellStyle name="Comma 5 3 5 4 2 2" xfId="14156" xr:uid="{00000000-0005-0000-0000-000005190000}"/>
    <cellStyle name="Comma 5 3 5 4 2 2 2" xfId="24407" xr:uid="{00000000-0005-0000-0000-000006190000}"/>
    <cellStyle name="Comma 5 3 5 4 2 2 2 2" xfId="49960" xr:uid="{00000000-0005-0000-0000-000007190000}"/>
    <cellStyle name="Comma 5 3 5 4 2 2 3" xfId="39711" xr:uid="{00000000-0005-0000-0000-000008190000}"/>
    <cellStyle name="Comma 5 3 5 4 2 3" xfId="10577" xr:uid="{00000000-0005-0000-0000-000009190000}"/>
    <cellStyle name="Comma 5 3 5 4 2 3 2" xfId="36134" xr:uid="{00000000-0005-0000-0000-00000A190000}"/>
    <cellStyle name="Comma 5 3 5 4 2 4" xfId="19400" xr:uid="{00000000-0005-0000-0000-00000B190000}"/>
    <cellStyle name="Comma 5 3 5 4 2 4 2" xfId="44953" xr:uid="{00000000-0005-0000-0000-00000C190000}"/>
    <cellStyle name="Comma 5 3 5 4 2 5" xfId="30890" xr:uid="{00000000-0005-0000-0000-00000D190000}"/>
    <cellStyle name="Comma 5 3 5 4 3" xfId="6774" xr:uid="{00000000-0005-0000-0000-00000E190000}"/>
    <cellStyle name="Comma 5 3 5 4 3 2" xfId="15601" xr:uid="{00000000-0005-0000-0000-00000F190000}"/>
    <cellStyle name="Comma 5 3 5 4 3 2 2" xfId="41156" xr:uid="{00000000-0005-0000-0000-000010190000}"/>
    <cellStyle name="Comma 5 3 5 4 3 3" xfId="25852" xr:uid="{00000000-0005-0000-0000-000011190000}"/>
    <cellStyle name="Comma 5 3 5 4 3 3 2" xfId="51405" xr:uid="{00000000-0005-0000-0000-000012190000}"/>
    <cellStyle name="Comma 5 3 5 4 3 4" xfId="32335" xr:uid="{00000000-0005-0000-0000-000013190000}"/>
    <cellStyle name="Comma 5 3 5 4 4" xfId="8220" xr:uid="{00000000-0005-0000-0000-000014190000}"/>
    <cellStyle name="Comma 5 3 5 4 4 2" xfId="22302" xr:uid="{00000000-0005-0000-0000-000015190000}"/>
    <cellStyle name="Comma 5 3 5 4 4 2 2" xfId="47855" xr:uid="{00000000-0005-0000-0000-000016190000}"/>
    <cellStyle name="Comma 5 3 5 4 4 3" xfId="33777" xr:uid="{00000000-0005-0000-0000-000017190000}"/>
    <cellStyle name="Comma 5 3 5 4 5" xfId="17295" xr:uid="{00000000-0005-0000-0000-000018190000}"/>
    <cellStyle name="Comma 5 3 5 4 5 2" xfId="42848" xr:uid="{00000000-0005-0000-0000-000019190000}"/>
    <cellStyle name="Comma 5 3 5 4 6" xfId="28785" xr:uid="{00000000-0005-0000-0000-00001A190000}"/>
    <cellStyle name="Comma 5 3 5 5" xfId="4275" xr:uid="{00000000-0005-0000-0000-00001B190000}"/>
    <cellStyle name="Comma 5 3 5 5 2" xfId="13113" xr:uid="{00000000-0005-0000-0000-00001C190000}"/>
    <cellStyle name="Comma 5 3 5 5 2 2" xfId="23364" xr:uid="{00000000-0005-0000-0000-00001D190000}"/>
    <cellStyle name="Comma 5 3 5 5 2 2 2" xfId="48917" xr:uid="{00000000-0005-0000-0000-00001E190000}"/>
    <cellStyle name="Comma 5 3 5 5 2 3" xfId="38668" xr:uid="{00000000-0005-0000-0000-00001F190000}"/>
    <cellStyle name="Comma 5 3 5 5 3" xfId="9534" xr:uid="{00000000-0005-0000-0000-000020190000}"/>
    <cellStyle name="Comma 5 3 5 5 3 2" xfId="35091" xr:uid="{00000000-0005-0000-0000-000021190000}"/>
    <cellStyle name="Comma 5 3 5 5 4" xfId="18357" xr:uid="{00000000-0005-0000-0000-000022190000}"/>
    <cellStyle name="Comma 5 3 5 5 4 2" xfId="43910" xr:uid="{00000000-0005-0000-0000-000023190000}"/>
    <cellStyle name="Comma 5 3 5 5 5" xfId="29847" xr:uid="{00000000-0005-0000-0000-000024190000}"/>
    <cellStyle name="Comma 5 3 5 6" xfId="1547" xr:uid="{00000000-0005-0000-0000-000025190000}"/>
    <cellStyle name="Comma 5 3 5 6 2" xfId="10924" xr:uid="{00000000-0005-0000-0000-000026190000}"/>
    <cellStyle name="Comma 5 3 5 6 2 2" xfId="36479" xr:uid="{00000000-0005-0000-0000-000027190000}"/>
    <cellStyle name="Comma 5 3 5 6 3" xfId="20928" xr:uid="{00000000-0005-0000-0000-000028190000}"/>
    <cellStyle name="Comma 5 3 5 6 3 2" xfId="46481" xr:uid="{00000000-0005-0000-0000-000029190000}"/>
    <cellStyle name="Comma 5 3 5 6 4" xfId="27411" xr:uid="{00000000-0005-0000-0000-00002A190000}"/>
    <cellStyle name="Comma 5 3 5 7" xfId="5731" xr:uid="{00000000-0005-0000-0000-00002B190000}"/>
    <cellStyle name="Comma 5 3 5 7 2" xfId="14558" xr:uid="{00000000-0005-0000-0000-00002C190000}"/>
    <cellStyle name="Comma 5 3 5 7 2 2" xfId="40113" xr:uid="{00000000-0005-0000-0000-00002D190000}"/>
    <cellStyle name="Comma 5 3 5 7 3" xfId="24809" xr:uid="{00000000-0005-0000-0000-00002E190000}"/>
    <cellStyle name="Comma 5 3 5 7 3 2" xfId="50362" xr:uid="{00000000-0005-0000-0000-00002F190000}"/>
    <cellStyle name="Comma 5 3 5 7 4" xfId="31292" xr:uid="{00000000-0005-0000-0000-000030190000}"/>
    <cellStyle name="Comma 5 3 5 8" xfId="7175" xr:uid="{00000000-0005-0000-0000-000031190000}"/>
    <cellStyle name="Comma 5 3 5 8 2" xfId="19901" xr:uid="{00000000-0005-0000-0000-000032190000}"/>
    <cellStyle name="Comma 5 3 5 8 2 2" xfId="45454" xr:uid="{00000000-0005-0000-0000-000033190000}"/>
    <cellStyle name="Comma 5 3 5 8 3" xfId="32732" xr:uid="{00000000-0005-0000-0000-000034190000}"/>
    <cellStyle name="Comma 5 3 5 9" xfId="15921" xr:uid="{00000000-0005-0000-0000-000035190000}"/>
    <cellStyle name="Comma 5 3 5 9 2" xfId="41474" xr:uid="{00000000-0005-0000-0000-000036190000}"/>
    <cellStyle name="Comma 5 3 6" xfId="328" xr:uid="{00000000-0005-0000-0000-000037190000}"/>
    <cellStyle name="Comma 5 3 6 10" xfId="26257" xr:uid="{00000000-0005-0000-0000-000038190000}"/>
    <cellStyle name="Comma 5 3 6 2" xfId="662" xr:uid="{00000000-0005-0000-0000-000039190000}"/>
    <cellStyle name="Comma 5 3 6 2 2" xfId="3148" xr:uid="{00000000-0005-0000-0000-00003A190000}"/>
    <cellStyle name="Comma 5 3 6 2 2 2" xfId="12291" xr:uid="{00000000-0005-0000-0000-00003B190000}"/>
    <cellStyle name="Comma 5 3 6 2 2 2 2" xfId="22509" xr:uid="{00000000-0005-0000-0000-00003C190000}"/>
    <cellStyle name="Comma 5 3 6 2 2 2 2 2" xfId="48062" xr:uid="{00000000-0005-0000-0000-00003D190000}"/>
    <cellStyle name="Comma 5 3 6 2 2 2 3" xfId="37846" xr:uid="{00000000-0005-0000-0000-00003E190000}"/>
    <cellStyle name="Comma 5 3 6 2 2 3" xfId="8713" xr:uid="{00000000-0005-0000-0000-00003F190000}"/>
    <cellStyle name="Comma 5 3 6 2 2 3 2" xfId="34270" xr:uid="{00000000-0005-0000-0000-000040190000}"/>
    <cellStyle name="Comma 5 3 6 2 2 4" xfId="17502" xr:uid="{00000000-0005-0000-0000-000041190000}"/>
    <cellStyle name="Comma 5 3 6 2 2 4 2" xfId="43055" xr:uid="{00000000-0005-0000-0000-000042190000}"/>
    <cellStyle name="Comma 5 3 6 2 2 5" xfId="28992" xr:uid="{00000000-0005-0000-0000-000043190000}"/>
    <cellStyle name="Comma 5 3 6 2 3" xfId="4477" xr:uid="{00000000-0005-0000-0000-000044190000}"/>
    <cellStyle name="Comma 5 3 6 2 3 2" xfId="13315" xr:uid="{00000000-0005-0000-0000-000045190000}"/>
    <cellStyle name="Comma 5 3 6 2 3 2 2" xfId="23566" xr:uid="{00000000-0005-0000-0000-000046190000}"/>
    <cellStyle name="Comma 5 3 6 2 3 2 2 2" xfId="49119" xr:uid="{00000000-0005-0000-0000-000047190000}"/>
    <cellStyle name="Comma 5 3 6 2 3 2 3" xfId="38870" xr:uid="{00000000-0005-0000-0000-000048190000}"/>
    <cellStyle name="Comma 5 3 6 2 3 3" xfId="9736" xr:uid="{00000000-0005-0000-0000-000049190000}"/>
    <cellStyle name="Comma 5 3 6 2 3 3 2" xfId="35293" xr:uid="{00000000-0005-0000-0000-00004A190000}"/>
    <cellStyle name="Comma 5 3 6 2 3 4" xfId="18559" xr:uid="{00000000-0005-0000-0000-00004B190000}"/>
    <cellStyle name="Comma 5 3 6 2 3 4 2" xfId="44112" xr:uid="{00000000-0005-0000-0000-00004C190000}"/>
    <cellStyle name="Comma 5 3 6 2 3 5" xfId="30049" xr:uid="{00000000-0005-0000-0000-00004D190000}"/>
    <cellStyle name="Comma 5 3 6 2 4" xfId="2257" xr:uid="{00000000-0005-0000-0000-00004E190000}"/>
    <cellStyle name="Comma 5 3 6 2 4 2" xfId="11622" xr:uid="{00000000-0005-0000-0000-00004F190000}"/>
    <cellStyle name="Comma 5 3 6 2 4 2 2" xfId="37177" xr:uid="{00000000-0005-0000-0000-000050190000}"/>
    <cellStyle name="Comma 5 3 6 2 4 3" xfId="21626" xr:uid="{00000000-0005-0000-0000-000051190000}"/>
    <cellStyle name="Comma 5 3 6 2 4 3 2" xfId="47179" xr:uid="{00000000-0005-0000-0000-000052190000}"/>
    <cellStyle name="Comma 5 3 6 2 4 4" xfId="28109" xr:uid="{00000000-0005-0000-0000-000053190000}"/>
    <cellStyle name="Comma 5 3 6 2 5" xfId="5933" xr:uid="{00000000-0005-0000-0000-000054190000}"/>
    <cellStyle name="Comma 5 3 6 2 5 2" xfId="14760" xr:uid="{00000000-0005-0000-0000-000055190000}"/>
    <cellStyle name="Comma 5 3 6 2 5 2 2" xfId="40315" xr:uid="{00000000-0005-0000-0000-000056190000}"/>
    <cellStyle name="Comma 5 3 6 2 5 3" xfId="25011" xr:uid="{00000000-0005-0000-0000-000057190000}"/>
    <cellStyle name="Comma 5 3 6 2 5 3 2" xfId="50564" xr:uid="{00000000-0005-0000-0000-000058190000}"/>
    <cellStyle name="Comma 5 3 6 2 5 4" xfId="31494" xr:uid="{00000000-0005-0000-0000-000059190000}"/>
    <cellStyle name="Comma 5 3 6 2 6" xfId="7377" xr:uid="{00000000-0005-0000-0000-00005A190000}"/>
    <cellStyle name="Comma 5 3 6 2 6 2" xfId="20108" xr:uid="{00000000-0005-0000-0000-00005B190000}"/>
    <cellStyle name="Comma 5 3 6 2 6 2 2" xfId="45661" xr:uid="{00000000-0005-0000-0000-00005C190000}"/>
    <cellStyle name="Comma 5 3 6 2 6 3" xfId="32934" xr:uid="{00000000-0005-0000-0000-00005D190000}"/>
    <cellStyle name="Comma 5 3 6 2 7" xfId="16619" xr:uid="{00000000-0005-0000-0000-00005E190000}"/>
    <cellStyle name="Comma 5 3 6 2 7 2" xfId="42172" xr:uid="{00000000-0005-0000-0000-00005F190000}"/>
    <cellStyle name="Comma 5 3 6 2 8" xfId="26591" xr:uid="{00000000-0005-0000-0000-000060190000}"/>
    <cellStyle name="Comma 5 3 6 3" xfId="1100" xr:uid="{00000000-0005-0000-0000-000061190000}"/>
    <cellStyle name="Comma 5 3 6 3 2" xfId="3529" xr:uid="{00000000-0005-0000-0000-000062190000}"/>
    <cellStyle name="Comma 5 3 6 3 2 2" xfId="12665" xr:uid="{00000000-0005-0000-0000-000063190000}"/>
    <cellStyle name="Comma 5 3 6 3 2 2 2" xfId="22884" xr:uid="{00000000-0005-0000-0000-000064190000}"/>
    <cellStyle name="Comma 5 3 6 3 2 2 2 2" xfId="48437" xr:uid="{00000000-0005-0000-0000-000065190000}"/>
    <cellStyle name="Comma 5 3 6 3 2 2 3" xfId="38220" xr:uid="{00000000-0005-0000-0000-000066190000}"/>
    <cellStyle name="Comma 5 3 6 3 2 3" xfId="9086" xr:uid="{00000000-0005-0000-0000-000067190000}"/>
    <cellStyle name="Comma 5 3 6 3 2 3 2" xfId="34643" xr:uid="{00000000-0005-0000-0000-000068190000}"/>
    <cellStyle name="Comma 5 3 6 3 2 4" xfId="17877" xr:uid="{00000000-0005-0000-0000-000069190000}"/>
    <cellStyle name="Comma 5 3 6 3 2 4 2" xfId="43430" xr:uid="{00000000-0005-0000-0000-00006A190000}"/>
    <cellStyle name="Comma 5 3 6 3 2 5" xfId="29367" xr:uid="{00000000-0005-0000-0000-00006B190000}"/>
    <cellStyle name="Comma 5 3 6 3 3" xfId="4826" xr:uid="{00000000-0005-0000-0000-00006C190000}"/>
    <cellStyle name="Comma 5 3 6 3 3 2" xfId="13663" xr:uid="{00000000-0005-0000-0000-00006D190000}"/>
    <cellStyle name="Comma 5 3 6 3 3 2 2" xfId="23914" xr:uid="{00000000-0005-0000-0000-00006E190000}"/>
    <cellStyle name="Comma 5 3 6 3 3 2 2 2" xfId="49467" xr:uid="{00000000-0005-0000-0000-00006F190000}"/>
    <cellStyle name="Comma 5 3 6 3 3 2 3" xfId="39218" xr:uid="{00000000-0005-0000-0000-000070190000}"/>
    <cellStyle name="Comma 5 3 6 3 3 3" xfId="10084" xr:uid="{00000000-0005-0000-0000-000071190000}"/>
    <cellStyle name="Comma 5 3 6 3 3 3 2" xfId="35641" xr:uid="{00000000-0005-0000-0000-000072190000}"/>
    <cellStyle name="Comma 5 3 6 3 3 4" xfId="18907" xr:uid="{00000000-0005-0000-0000-000073190000}"/>
    <cellStyle name="Comma 5 3 6 3 3 4 2" xfId="44460" xr:uid="{00000000-0005-0000-0000-000074190000}"/>
    <cellStyle name="Comma 5 3 6 3 3 5" xfId="30397" xr:uid="{00000000-0005-0000-0000-000075190000}"/>
    <cellStyle name="Comma 5 3 6 3 4" xfId="2587" xr:uid="{00000000-0005-0000-0000-000076190000}"/>
    <cellStyle name="Comma 5 3 6 3 4 2" xfId="11951" xr:uid="{00000000-0005-0000-0000-000077190000}"/>
    <cellStyle name="Comma 5 3 6 3 4 2 2" xfId="37506" xr:uid="{00000000-0005-0000-0000-000078190000}"/>
    <cellStyle name="Comma 5 3 6 3 4 3" xfId="21955" xr:uid="{00000000-0005-0000-0000-000079190000}"/>
    <cellStyle name="Comma 5 3 6 3 4 3 2" xfId="47508" xr:uid="{00000000-0005-0000-0000-00007A190000}"/>
    <cellStyle name="Comma 5 3 6 3 4 4" xfId="28438" xr:uid="{00000000-0005-0000-0000-00007B190000}"/>
    <cellStyle name="Comma 5 3 6 3 5" xfId="6281" xr:uid="{00000000-0005-0000-0000-00007C190000}"/>
    <cellStyle name="Comma 5 3 6 3 5 2" xfId="15108" xr:uid="{00000000-0005-0000-0000-00007D190000}"/>
    <cellStyle name="Comma 5 3 6 3 5 2 2" xfId="40663" xr:uid="{00000000-0005-0000-0000-00007E190000}"/>
    <cellStyle name="Comma 5 3 6 3 5 3" xfId="25359" xr:uid="{00000000-0005-0000-0000-00007F190000}"/>
    <cellStyle name="Comma 5 3 6 3 5 3 2" xfId="50912" xr:uid="{00000000-0005-0000-0000-000080190000}"/>
    <cellStyle name="Comma 5 3 6 3 5 4" xfId="31842" xr:uid="{00000000-0005-0000-0000-000081190000}"/>
    <cellStyle name="Comma 5 3 6 3 6" xfId="7727" xr:uid="{00000000-0005-0000-0000-000082190000}"/>
    <cellStyle name="Comma 5 3 6 3 6 2" xfId="20483" xr:uid="{00000000-0005-0000-0000-000083190000}"/>
    <cellStyle name="Comma 5 3 6 3 6 2 2" xfId="46036" xr:uid="{00000000-0005-0000-0000-000084190000}"/>
    <cellStyle name="Comma 5 3 6 3 6 3" xfId="33284" xr:uid="{00000000-0005-0000-0000-000085190000}"/>
    <cellStyle name="Comma 5 3 6 3 7" xfId="16948" xr:uid="{00000000-0005-0000-0000-000086190000}"/>
    <cellStyle name="Comma 5 3 6 3 7 2" xfId="42501" xr:uid="{00000000-0005-0000-0000-000087190000}"/>
    <cellStyle name="Comma 5 3 6 3 8" xfId="26966" xr:uid="{00000000-0005-0000-0000-000088190000}"/>
    <cellStyle name="Comma 5 3 6 4" xfId="2814" xr:uid="{00000000-0005-0000-0000-000089190000}"/>
    <cellStyle name="Comma 5 3 6 4 2" xfId="5192" xr:uid="{00000000-0005-0000-0000-00008A190000}"/>
    <cellStyle name="Comma 5 3 6 4 2 2" xfId="14029" xr:uid="{00000000-0005-0000-0000-00008B190000}"/>
    <cellStyle name="Comma 5 3 6 4 2 2 2" xfId="24280" xr:uid="{00000000-0005-0000-0000-00008C190000}"/>
    <cellStyle name="Comma 5 3 6 4 2 2 2 2" xfId="49833" xr:uid="{00000000-0005-0000-0000-00008D190000}"/>
    <cellStyle name="Comma 5 3 6 4 2 2 3" xfId="39584" xr:uid="{00000000-0005-0000-0000-00008E190000}"/>
    <cellStyle name="Comma 5 3 6 4 2 3" xfId="10450" xr:uid="{00000000-0005-0000-0000-00008F190000}"/>
    <cellStyle name="Comma 5 3 6 4 2 3 2" xfId="36007" xr:uid="{00000000-0005-0000-0000-000090190000}"/>
    <cellStyle name="Comma 5 3 6 4 2 4" xfId="19273" xr:uid="{00000000-0005-0000-0000-000091190000}"/>
    <cellStyle name="Comma 5 3 6 4 2 4 2" xfId="44826" xr:uid="{00000000-0005-0000-0000-000092190000}"/>
    <cellStyle name="Comma 5 3 6 4 2 5" xfId="30763" xr:uid="{00000000-0005-0000-0000-000093190000}"/>
    <cellStyle name="Comma 5 3 6 4 3" xfId="6647" xr:uid="{00000000-0005-0000-0000-000094190000}"/>
    <cellStyle name="Comma 5 3 6 4 3 2" xfId="15474" xr:uid="{00000000-0005-0000-0000-000095190000}"/>
    <cellStyle name="Comma 5 3 6 4 3 2 2" xfId="41029" xr:uid="{00000000-0005-0000-0000-000096190000}"/>
    <cellStyle name="Comma 5 3 6 4 3 3" xfId="25725" xr:uid="{00000000-0005-0000-0000-000097190000}"/>
    <cellStyle name="Comma 5 3 6 4 3 3 2" xfId="51278" xr:uid="{00000000-0005-0000-0000-000098190000}"/>
    <cellStyle name="Comma 5 3 6 4 3 4" xfId="32208" xr:uid="{00000000-0005-0000-0000-000099190000}"/>
    <cellStyle name="Comma 5 3 6 4 4" xfId="8093" xr:uid="{00000000-0005-0000-0000-00009A190000}"/>
    <cellStyle name="Comma 5 3 6 4 4 2" xfId="22175" xr:uid="{00000000-0005-0000-0000-00009B190000}"/>
    <cellStyle name="Comma 5 3 6 4 4 2 2" xfId="47728" xr:uid="{00000000-0005-0000-0000-00009C190000}"/>
    <cellStyle name="Comma 5 3 6 4 4 3" xfId="33650" xr:uid="{00000000-0005-0000-0000-00009D190000}"/>
    <cellStyle name="Comma 5 3 6 4 5" xfId="17168" xr:uid="{00000000-0005-0000-0000-00009E190000}"/>
    <cellStyle name="Comma 5 3 6 4 5 2" xfId="42721" xr:uid="{00000000-0005-0000-0000-00009F190000}"/>
    <cellStyle name="Comma 5 3 6 4 6" xfId="28658" xr:uid="{00000000-0005-0000-0000-0000A0190000}"/>
    <cellStyle name="Comma 5 3 6 5" xfId="4146" xr:uid="{00000000-0005-0000-0000-0000A1190000}"/>
    <cellStyle name="Comma 5 3 6 5 2" xfId="12984" xr:uid="{00000000-0005-0000-0000-0000A2190000}"/>
    <cellStyle name="Comma 5 3 6 5 2 2" xfId="23235" xr:uid="{00000000-0005-0000-0000-0000A3190000}"/>
    <cellStyle name="Comma 5 3 6 5 2 2 2" xfId="48788" xr:uid="{00000000-0005-0000-0000-0000A4190000}"/>
    <cellStyle name="Comma 5 3 6 5 2 3" xfId="38539" xr:uid="{00000000-0005-0000-0000-0000A5190000}"/>
    <cellStyle name="Comma 5 3 6 5 3" xfId="9405" xr:uid="{00000000-0005-0000-0000-0000A6190000}"/>
    <cellStyle name="Comma 5 3 6 5 3 2" xfId="34962" xr:uid="{00000000-0005-0000-0000-0000A7190000}"/>
    <cellStyle name="Comma 5 3 6 5 4" xfId="18228" xr:uid="{00000000-0005-0000-0000-0000A8190000}"/>
    <cellStyle name="Comma 5 3 6 5 4 2" xfId="43781" xr:uid="{00000000-0005-0000-0000-0000A9190000}"/>
    <cellStyle name="Comma 5 3 6 5 5" xfId="29718" xr:uid="{00000000-0005-0000-0000-0000AA190000}"/>
    <cellStyle name="Comma 5 3 6 6" xfId="1923" xr:uid="{00000000-0005-0000-0000-0000AB190000}"/>
    <cellStyle name="Comma 5 3 6 6 2" xfId="11288" xr:uid="{00000000-0005-0000-0000-0000AC190000}"/>
    <cellStyle name="Comma 5 3 6 6 2 2" xfId="36843" xr:uid="{00000000-0005-0000-0000-0000AD190000}"/>
    <cellStyle name="Comma 5 3 6 6 3" xfId="21292" xr:uid="{00000000-0005-0000-0000-0000AE190000}"/>
    <cellStyle name="Comma 5 3 6 6 3 2" xfId="46845" xr:uid="{00000000-0005-0000-0000-0000AF190000}"/>
    <cellStyle name="Comma 5 3 6 6 4" xfId="27775" xr:uid="{00000000-0005-0000-0000-0000B0190000}"/>
    <cellStyle name="Comma 5 3 6 7" xfId="5604" xr:uid="{00000000-0005-0000-0000-0000B1190000}"/>
    <cellStyle name="Comma 5 3 6 7 2" xfId="14431" xr:uid="{00000000-0005-0000-0000-0000B2190000}"/>
    <cellStyle name="Comma 5 3 6 7 2 2" xfId="39986" xr:uid="{00000000-0005-0000-0000-0000B3190000}"/>
    <cellStyle name="Comma 5 3 6 7 3" xfId="24682" xr:uid="{00000000-0005-0000-0000-0000B4190000}"/>
    <cellStyle name="Comma 5 3 6 7 3 2" xfId="50235" xr:uid="{00000000-0005-0000-0000-0000B5190000}"/>
    <cellStyle name="Comma 5 3 6 7 4" xfId="31165" xr:uid="{00000000-0005-0000-0000-0000B6190000}"/>
    <cellStyle name="Comma 5 3 6 8" xfId="7048" xr:uid="{00000000-0005-0000-0000-0000B7190000}"/>
    <cellStyle name="Comma 5 3 6 8 2" xfId="19774" xr:uid="{00000000-0005-0000-0000-0000B8190000}"/>
    <cellStyle name="Comma 5 3 6 8 2 2" xfId="45327" xr:uid="{00000000-0005-0000-0000-0000B9190000}"/>
    <cellStyle name="Comma 5 3 6 8 3" xfId="32605" xr:uid="{00000000-0005-0000-0000-0000BA190000}"/>
    <cellStyle name="Comma 5 3 6 9" xfId="16285" xr:uid="{00000000-0005-0000-0000-0000BB190000}"/>
    <cellStyle name="Comma 5 3 6 9 2" xfId="41838" xr:uid="{00000000-0005-0000-0000-0000BC190000}"/>
    <cellStyle name="Comma 5 3 7" xfId="653" xr:uid="{00000000-0005-0000-0000-0000BD190000}"/>
    <cellStyle name="Comma 5 3 7 2" xfId="3139" xr:uid="{00000000-0005-0000-0000-0000BE190000}"/>
    <cellStyle name="Comma 5 3 7 2 2" xfId="12282" xr:uid="{00000000-0005-0000-0000-0000BF190000}"/>
    <cellStyle name="Comma 5 3 7 2 2 2" xfId="22500" xr:uid="{00000000-0005-0000-0000-0000C0190000}"/>
    <cellStyle name="Comma 5 3 7 2 2 2 2" xfId="48053" xr:uid="{00000000-0005-0000-0000-0000C1190000}"/>
    <cellStyle name="Comma 5 3 7 2 2 3" xfId="37837" xr:uid="{00000000-0005-0000-0000-0000C2190000}"/>
    <cellStyle name="Comma 5 3 7 2 3" xfId="8704" xr:uid="{00000000-0005-0000-0000-0000C3190000}"/>
    <cellStyle name="Comma 5 3 7 2 3 2" xfId="34261" xr:uid="{00000000-0005-0000-0000-0000C4190000}"/>
    <cellStyle name="Comma 5 3 7 2 4" xfId="17493" xr:uid="{00000000-0005-0000-0000-0000C5190000}"/>
    <cellStyle name="Comma 5 3 7 2 4 2" xfId="43046" xr:uid="{00000000-0005-0000-0000-0000C6190000}"/>
    <cellStyle name="Comma 5 3 7 2 5" xfId="28983" xr:uid="{00000000-0005-0000-0000-0000C7190000}"/>
    <cellStyle name="Comma 5 3 7 3" xfId="4468" xr:uid="{00000000-0005-0000-0000-0000C8190000}"/>
    <cellStyle name="Comma 5 3 7 3 2" xfId="13306" xr:uid="{00000000-0005-0000-0000-0000C9190000}"/>
    <cellStyle name="Comma 5 3 7 3 2 2" xfId="23557" xr:uid="{00000000-0005-0000-0000-0000CA190000}"/>
    <cellStyle name="Comma 5 3 7 3 2 2 2" xfId="49110" xr:uid="{00000000-0005-0000-0000-0000CB190000}"/>
    <cellStyle name="Comma 5 3 7 3 2 3" xfId="38861" xr:uid="{00000000-0005-0000-0000-0000CC190000}"/>
    <cellStyle name="Comma 5 3 7 3 3" xfId="9727" xr:uid="{00000000-0005-0000-0000-0000CD190000}"/>
    <cellStyle name="Comma 5 3 7 3 3 2" xfId="35284" xr:uid="{00000000-0005-0000-0000-0000CE190000}"/>
    <cellStyle name="Comma 5 3 7 3 4" xfId="18550" xr:uid="{00000000-0005-0000-0000-0000CF190000}"/>
    <cellStyle name="Comma 5 3 7 3 4 2" xfId="44103" xr:uid="{00000000-0005-0000-0000-0000D0190000}"/>
    <cellStyle name="Comma 5 3 7 3 5" xfId="30040" xr:uid="{00000000-0005-0000-0000-0000D1190000}"/>
    <cellStyle name="Comma 5 3 7 4" xfId="2248" xr:uid="{00000000-0005-0000-0000-0000D2190000}"/>
    <cellStyle name="Comma 5 3 7 4 2" xfId="11613" xr:uid="{00000000-0005-0000-0000-0000D3190000}"/>
    <cellStyle name="Comma 5 3 7 4 2 2" xfId="37168" xr:uid="{00000000-0005-0000-0000-0000D4190000}"/>
    <cellStyle name="Comma 5 3 7 4 3" xfId="21617" xr:uid="{00000000-0005-0000-0000-0000D5190000}"/>
    <cellStyle name="Comma 5 3 7 4 3 2" xfId="47170" xr:uid="{00000000-0005-0000-0000-0000D6190000}"/>
    <cellStyle name="Comma 5 3 7 4 4" xfId="28100" xr:uid="{00000000-0005-0000-0000-0000D7190000}"/>
    <cellStyle name="Comma 5 3 7 5" xfId="5924" xr:uid="{00000000-0005-0000-0000-0000D8190000}"/>
    <cellStyle name="Comma 5 3 7 5 2" xfId="14751" xr:uid="{00000000-0005-0000-0000-0000D9190000}"/>
    <cellStyle name="Comma 5 3 7 5 2 2" xfId="40306" xr:uid="{00000000-0005-0000-0000-0000DA190000}"/>
    <cellStyle name="Comma 5 3 7 5 3" xfId="25002" xr:uid="{00000000-0005-0000-0000-0000DB190000}"/>
    <cellStyle name="Comma 5 3 7 5 3 2" xfId="50555" xr:uid="{00000000-0005-0000-0000-0000DC190000}"/>
    <cellStyle name="Comma 5 3 7 5 4" xfId="31485" xr:uid="{00000000-0005-0000-0000-0000DD190000}"/>
    <cellStyle name="Comma 5 3 7 6" xfId="7368" xr:uid="{00000000-0005-0000-0000-0000DE190000}"/>
    <cellStyle name="Comma 5 3 7 6 2" xfId="20099" xr:uid="{00000000-0005-0000-0000-0000DF190000}"/>
    <cellStyle name="Comma 5 3 7 6 2 2" xfId="45652" xr:uid="{00000000-0005-0000-0000-0000E0190000}"/>
    <cellStyle name="Comma 5 3 7 6 3" xfId="32925" xr:uid="{00000000-0005-0000-0000-0000E1190000}"/>
    <cellStyle name="Comma 5 3 7 7" xfId="16610" xr:uid="{00000000-0005-0000-0000-0000E2190000}"/>
    <cellStyle name="Comma 5 3 7 7 2" xfId="42163" xr:uid="{00000000-0005-0000-0000-0000E3190000}"/>
    <cellStyle name="Comma 5 3 7 8" xfId="26582" xr:uid="{00000000-0005-0000-0000-0000E4190000}"/>
    <cellStyle name="Comma 5 3 8" xfId="1055" xr:uid="{00000000-0005-0000-0000-0000E5190000}"/>
    <cellStyle name="Comma 5 3 8 2" xfId="3484" xr:uid="{00000000-0005-0000-0000-0000E6190000}"/>
    <cellStyle name="Comma 5 3 8 2 2" xfId="12620" xr:uid="{00000000-0005-0000-0000-0000E7190000}"/>
    <cellStyle name="Comma 5 3 8 2 2 2" xfId="22839" xr:uid="{00000000-0005-0000-0000-0000E8190000}"/>
    <cellStyle name="Comma 5 3 8 2 2 2 2" xfId="48392" xr:uid="{00000000-0005-0000-0000-0000E9190000}"/>
    <cellStyle name="Comma 5 3 8 2 2 3" xfId="38175" xr:uid="{00000000-0005-0000-0000-0000EA190000}"/>
    <cellStyle name="Comma 5 3 8 2 3" xfId="9042" xr:uid="{00000000-0005-0000-0000-0000EB190000}"/>
    <cellStyle name="Comma 5 3 8 2 3 2" xfId="34599" xr:uid="{00000000-0005-0000-0000-0000EC190000}"/>
    <cellStyle name="Comma 5 3 8 2 4" xfId="17832" xr:uid="{00000000-0005-0000-0000-0000ED190000}"/>
    <cellStyle name="Comma 5 3 8 2 4 2" xfId="43385" xr:uid="{00000000-0005-0000-0000-0000EE190000}"/>
    <cellStyle name="Comma 5 3 8 2 5" xfId="29322" xr:uid="{00000000-0005-0000-0000-0000EF190000}"/>
    <cellStyle name="Comma 5 3 8 3" xfId="4817" xr:uid="{00000000-0005-0000-0000-0000F0190000}"/>
    <cellStyle name="Comma 5 3 8 3 2" xfId="13654" xr:uid="{00000000-0005-0000-0000-0000F1190000}"/>
    <cellStyle name="Comma 5 3 8 3 2 2" xfId="23905" xr:uid="{00000000-0005-0000-0000-0000F2190000}"/>
    <cellStyle name="Comma 5 3 8 3 2 2 2" xfId="49458" xr:uid="{00000000-0005-0000-0000-0000F3190000}"/>
    <cellStyle name="Comma 5 3 8 3 2 3" xfId="39209" xr:uid="{00000000-0005-0000-0000-0000F4190000}"/>
    <cellStyle name="Comma 5 3 8 3 3" xfId="10075" xr:uid="{00000000-0005-0000-0000-0000F5190000}"/>
    <cellStyle name="Comma 5 3 8 3 3 2" xfId="35632" xr:uid="{00000000-0005-0000-0000-0000F6190000}"/>
    <cellStyle name="Comma 5 3 8 3 4" xfId="18898" xr:uid="{00000000-0005-0000-0000-0000F7190000}"/>
    <cellStyle name="Comma 5 3 8 3 4 2" xfId="44451" xr:uid="{00000000-0005-0000-0000-0000F8190000}"/>
    <cellStyle name="Comma 5 3 8 3 5" xfId="30388" xr:uid="{00000000-0005-0000-0000-0000F9190000}"/>
    <cellStyle name="Comma 5 3 8 4" xfId="1723" xr:uid="{00000000-0005-0000-0000-0000FA190000}"/>
    <cellStyle name="Comma 5 3 8 4 2" xfId="11097" xr:uid="{00000000-0005-0000-0000-0000FB190000}"/>
    <cellStyle name="Comma 5 3 8 4 2 2" xfId="36652" xr:uid="{00000000-0005-0000-0000-0000FC190000}"/>
    <cellStyle name="Comma 5 3 8 4 3" xfId="21101" xr:uid="{00000000-0005-0000-0000-0000FD190000}"/>
    <cellStyle name="Comma 5 3 8 4 3 2" xfId="46654" xr:uid="{00000000-0005-0000-0000-0000FE190000}"/>
    <cellStyle name="Comma 5 3 8 4 4" xfId="27584" xr:uid="{00000000-0005-0000-0000-0000FF190000}"/>
    <cellStyle name="Comma 5 3 8 5" xfId="6272" xr:uid="{00000000-0005-0000-0000-0000001A0000}"/>
    <cellStyle name="Comma 5 3 8 5 2" xfId="15099" xr:uid="{00000000-0005-0000-0000-0000011A0000}"/>
    <cellStyle name="Comma 5 3 8 5 2 2" xfId="40654" xr:uid="{00000000-0005-0000-0000-0000021A0000}"/>
    <cellStyle name="Comma 5 3 8 5 3" xfId="25350" xr:uid="{00000000-0005-0000-0000-0000031A0000}"/>
    <cellStyle name="Comma 5 3 8 5 3 2" xfId="50903" xr:uid="{00000000-0005-0000-0000-0000041A0000}"/>
    <cellStyle name="Comma 5 3 8 5 4" xfId="31833" xr:uid="{00000000-0005-0000-0000-0000051A0000}"/>
    <cellStyle name="Comma 5 3 8 6" xfId="7718" xr:uid="{00000000-0005-0000-0000-0000061A0000}"/>
    <cellStyle name="Comma 5 3 8 6 2" xfId="20438" xr:uid="{00000000-0005-0000-0000-0000071A0000}"/>
    <cellStyle name="Comma 5 3 8 6 2 2" xfId="45991" xr:uid="{00000000-0005-0000-0000-0000081A0000}"/>
    <cellStyle name="Comma 5 3 8 6 3" xfId="33275" xr:uid="{00000000-0005-0000-0000-0000091A0000}"/>
    <cellStyle name="Comma 5 3 8 7" xfId="16094" xr:uid="{00000000-0005-0000-0000-00000A1A0000}"/>
    <cellStyle name="Comma 5 3 8 7 2" xfId="41647" xr:uid="{00000000-0005-0000-0000-00000B1A0000}"/>
    <cellStyle name="Comma 5 3 8 8" xfId="26921" xr:uid="{00000000-0005-0000-0000-00000C1A0000}"/>
    <cellStyle name="Comma 5 3 9" xfId="2621" xr:uid="{00000000-0005-0000-0000-00000D1A0000}"/>
    <cellStyle name="Comma 5 3 9 2" xfId="5147" xr:uid="{00000000-0005-0000-0000-00000E1A0000}"/>
    <cellStyle name="Comma 5 3 9 2 2" xfId="13984" xr:uid="{00000000-0005-0000-0000-00000F1A0000}"/>
    <cellStyle name="Comma 5 3 9 2 2 2" xfId="24235" xr:uid="{00000000-0005-0000-0000-0000101A0000}"/>
    <cellStyle name="Comma 5 3 9 2 2 2 2" xfId="49788" xr:uid="{00000000-0005-0000-0000-0000111A0000}"/>
    <cellStyle name="Comma 5 3 9 2 2 3" xfId="39539" xr:uid="{00000000-0005-0000-0000-0000121A0000}"/>
    <cellStyle name="Comma 5 3 9 2 3" xfId="10405" xr:uid="{00000000-0005-0000-0000-0000131A0000}"/>
    <cellStyle name="Comma 5 3 9 2 3 2" xfId="35962" xr:uid="{00000000-0005-0000-0000-0000141A0000}"/>
    <cellStyle name="Comma 5 3 9 2 4" xfId="19228" xr:uid="{00000000-0005-0000-0000-0000151A0000}"/>
    <cellStyle name="Comma 5 3 9 2 4 2" xfId="44781" xr:uid="{00000000-0005-0000-0000-0000161A0000}"/>
    <cellStyle name="Comma 5 3 9 2 5" xfId="30718" xr:uid="{00000000-0005-0000-0000-0000171A0000}"/>
    <cellStyle name="Comma 5 3 9 3" xfId="6602" xr:uid="{00000000-0005-0000-0000-0000181A0000}"/>
    <cellStyle name="Comma 5 3 9 3 2" xfId="15429" xr:uid="{00000000-0005-0000-0000-0000191A0000}"/>
    <cellStyle name="Comma 5 3 9 3 2 2" xfId="40984" xr:uid="{00000000-0005-0000-0000-00001A1A0000}"/>
    <cellStyle name="Comma 5 3 9 3 3" xfId="25680" xr:uid="{00000000-0005-0000-0000-00001B1A0000}"/>
    <cellStyle name="Comma 5 3 9 3 3 2" xfId="51233" xr:uid="{00000000-0005-0000-0000-00001C1A0000}"/>
    <cellStyle name="Comma 5 3 9 3 4" xfId="32163" xr:uid="{00000000-0005-0000-0000-00001D1A0000}"/>
    <cellStyle name="Comma 5 3 9 4" xfId="8048" xr:uid="{00000000-0005-0000-0000-00001E1A0000}"/>
    <cellStyle name="Comma 5 3 9 4 2" xfId="21984" xr:uid="{00000000-0005-0000-0000-00001F1A0000}"/>
    <cellStyle name="Comma 5 3 9 4 2 2" xfId="47537" xr:uid="{00000000-0005-0000-0000-0000201A0000}"/>
    <cellStyle name="Comma 5 3 9 4 3" xfId="33605" xr:uid="{00000000-0005-0000-0000-0000211A0000}"/>
    <cellStyle name="Comma 5 3 9 5" xfId="16977" xr:uid="{00000000-0005-0000-0000-0000221A0000}"/>
    <cellStyle name="Comma 5 3 9 5 2" xfId="42530" xr:uid="{00000000-0005-0000-0000-0000231A0000}"/>
    <cellStyle name="Comma 5 3 9 6" xfId="28467" xr:uid="{00000000-0005-0000-0000-0000241A0000}"/>
    <cellStyle name="Comma 5 4" xfId="123" xr:uid="{00000000-0005-0000-0000-0000251A0000}"/>
    <cellStyle name="Comma 5 4 10" xfId="4109" xr:uid="{00000000-0005-0000-0000-0000261A0000}"/>
    <cellStyle name="Comma 5 4 10 2" xfId="5567" xr:uid="{00000000-0005-0000-0000-0000271A0000}"/>
    <cellStyle name="Comma 5 4 10 2 2" xfId="14394" xr:uid="{00000000-0005-0000-0000-0000281A0000}"/>
    <cellStyle name="Comma 5 4 10 2 2 2" xfId="39949" xr:uid="{00000000-0005-0000-0000-0000291A0000}"/>
    <cellStyle name="Comma 5 4 10 2 3" xfId="24645" xr:uid="{00000000-0005-0000-0000-00002A1A0000}"/>
    <cellStyle name="Comma 5 4 10 2 3 2" xfId="50198" xr:uid="{00000000-0005-0000-0000-00002B1A0000}"/>
    <cellStyle name="Comma 5 4 10 2 4" xfId="31128" xr:uid="{00000000-0005-0000-0000-00002C1A0000}"/>
    <cellStyle name="Comma 5 4 10 3" xfId="7011" xr:uid="{00000000-0005-0000-0000-00002D1A0000}"/>
    <cellStyle name="Comma 5 4 10 3 2" xfId="23198" xr:uid="{00000000-0005-0000-0000-00002E1A0000}"/>
    <cellStyle name="Comma 5 4 10 3 2 2" xfId="48751" xr:uid="{00000000-0005-0000-0000-00002F1A0000}"/>
    <cellStyle name="Comma 5 4 10 3 3" xfId="32568" xr:uid="{00000000-0005-0000-0000-0000301A0000}"/>
    <cellStyle name="Comma 5 4 10 4" xfId="18191" xr:uid="{00000000-0005-0000-0000-0000311A0000}"/>
    <cellStyle name="Comma 5 4 10 4 2" xfId="43744" xr:uid="{00000000-0005-0000-0000-0000321A0000}"/>
    <cellStyle name="Comma 5 4 10 5" xfId="29681" xr:uid="{00000000-0005-0000-0000-0000331A0000}"/>
    <cellStyle name="Comma 5 4 11" xfId="1428" xr:uid="{00000000-0005-0000-0000-0000341A0000}"/>
    <cellStyle name="Comma 5 4 11 2" xfId="10805" xr:uid="{00000000-0005-0000-0000-0000351A0000}"/>
    <cellStyle name="Comma 5 4 11 2 2" xfId="36360" xr:uid="{00000000-0005-0000-0000-0000361A0000}"/>
    <cellStyle name="Comma 5 4 11 3" xfId="20809" xr:uid="{00000000-0005-0000-0000-0000371A0000}"/>
    <cellStyle name="Comma 5 4 11 3 2" xfId="46362" xr:uid="{00000000-0005-0000-0000-0000381A0000}"/>
    <cellStyle name="Comma 5 4 11 4" xfId="27292" xr:uid="{00000000-0005-0000-0000-0000391A0000}"/>
    <cellStyle name="Comma 5 4 12" xfId="5537" xr:uid="{00000000-0005-0000-0000-00003A1A0000}"/>
    <cellStyle name="Comma 5 4 12 2" xfId="14364" xr:uid="{00000000-0005-0000-0000-00003B1A0000}"/>
    <cellStyle name="Comma 5 4 12 2 2" xfId="39919" xr:uid="{00000000-0005-0000-0000-00003C1A0000}"/>
    <cellStyle name="Comma 5 4 12 3" xfId="24615" xr:uid="{00000000-0005-0000-0000-00003D1A0000}"/>
    <cellStyle name="Comma 5 4 12 3 2" xfId="50168" xr:uid="{00000000-0005-0000-0000-00003E1A0000}"/>
    <cellStyle name="Comma 5 4 12 4" xfId="31098" xr:uid="{00000000-0005-0000-0000-00003F1A0000}"/>
    <cellStyle name="Comma 5 4 13" xfId="6981" xr:uid="{00000000-0005-0000-0000-0000401A0000}"/>
    <cellStyle name="Comma 5 4 13 2" xfId="19590" xr:uid="{00000000-0005-0000-0000-0000411A0000}"/>
    <cellStyle name="Comma 5 4 13 2 2" xfId="45143" xr:uid="{00000000-0005-0000-0000-0000421A0000}"/>
    <cellStyle name="Comma 5 4 13 3" xfId="32538" xr:uid="{00000000-0005-0000-0000-0000431A0000}"/>
    <cellStyle name="Comma 5 4 14" xfId="15802" xr:uid="{00000000-0005-0000-0000-0000441A0000}"/>
    <cellStyle name="Comma 5 4 14 2" xfId="41355" xr:uid="{00000000-0005-0000-0000-0000451A0000}"/>
    <cellStyle name="Comma 5 4 15" xfId="26073" xr:uid="{00000000-0005-0000-0000-0000461A0000}"/>
    <cellStyle name="Comma 5 4 2" xfId="163" xr:uid="{00000000-0005-0000-0000-0000471A0000}"/>
    <cellStyle name="Comma 5 4 2 10" xfId="5669" xr:uid="{00000000-0005-0000-0000-0000481A0000}"/>
    <cellStyle name="Comma 5 4 2 10 2" xfId="14496" xr:uid="{00000000-0005-0000-0000-0000491A0000}"/>
    <cellStyle name="Comma 5 4 2 10 2 2" xfId="40051" xr:uid="{00000000-0005-0000-0000-00004A1A0000}"/>
    <cellStyle name="Comma 5 4 2 10 3" xfId="24747" xr:uid="{00000000-0005-0000-0000-00004B1A0000}"/>
    <cellStyle name="Comma 5 4 2 10 3 2" xfId="50300" xr:uid="{00000000-0005-0000-0000-00004C1A0000}"/>
    <cellStyle name="Comma 5 4 2 10 4" xfId="31230" xr:uid="{00000000-0005-0000-0000-00004D1A0000}"/>
    <cellStyle name="Comma 5 4 2 11" xfId="7113" xr:uid="{00000000-0005-0000-0000-00004E1A0000}"/>
    <cellStyle name="Comma 5 4 2 11 2" xfId="19622" xr:uid="{00000000-0005-0000-0000-00004F1A0000}"/>
    <cellStyle name="Comma 5 4 2 11 2 2" xfId="45175" xr:uid="{00000000-0005-0000-0000-0000501A0000}"/>
    <cellStyle name="Comma 5 4 2 11 3" xfId="32670" xr:uid="{00000000-0005-0000-0000-0000511A0000}"/>
    <cellStyle name="Comma 5 4 2 12" xfId="15859" xr:uid="{00000000-0005-0000-0000-0000521A0000}"/>
    <cellStyle name="Comma 5 4 2 12 2" xfId="41412" xr:uid="{00000000-0005-0000-0000-0000531A0000}"/>
    <cellStyle name="Comma 5 4 2 13" xfId="26105" xr:uid="{00000000-0005-0000-0000-0000541A0000}"/>
    <cellStyle name="Comma 5 4 2 2" xfId="275" xr:uid="{00000000-0005-0000-0000-0000551A0000}"/>
    <cellStyle name="Comma 5 4 2 2 10" xfId="16063" xr:uid="{00000000-0005-0000-0000-0000561A0000}"/>
    <cellStyle name="Comma 5 4 2 2 10 2" xfId="41616" xr:uid="{00000000-0005-0000-0000-0000571A0000}"/>
    <cellStyle name="Comma 5 4 2 2 11" xfId="26209" xr:uid="{00000000-0005-0000-0000-0000581A0000}"/>
    <cellStyle name="Comma 5 4 2 2 2" xfId="597" xr:uid="{00000000-0005-0000-0000-0000591A0000}"/>
    <cellStyle name="Comma 5 4 2 2 2 2" xfId="3083" xr:uid="{00000000-0005-0000-0000-00005A1A0000}"/>
    <cellStyle name="Comma 5 4 2 2 2 2 2" xfId="12226" xr:uid="{00000000-0005-0000-0000-00005B1A0000}"/>
    <cellStyle name="Comma 5 4 2 2 2 2 2 2" xfId="22444" xr:uid="{00000000-0005-0000-0000-00005C1A0000}"/>
    <cellStyle name="Comma 5 4 2 2 2 2 2 2 2" xfId="47997" xr:uid="{00000000-0005-0000-0000-00005D1A0000}"/>
    <cellStyle name="Comma 5 4 2 2 2 2 2 3" xfId="37781" xr:uid="{00000000-0005-0000-0000-00005E1A0000}"/>
    <cellStyle name="Comma 5 4 2 2 2 2 3" xfId="8648" xr:uid="{00000000-0005-0000-0000-00005F1A0000}"/>
    <cellStyle name="Comma 5 4 2 2 2 2 3 2" xfId="34205" xr:uid="{00000000-0005-0000-0000-0000601A0000}"/>
    <cellStyle name="Comma 5 4 2 2 2 2 4" xfId="17437" xr:uid="{00000000-0005-0000-0000-0000611A0000}"/>
    <cellStyle name="Comma 5 4 2 2 2 2 4 2" xfId="42990" xr:uid="{00000000-0005-0000-0000-0000621A0000}"/>
    <cellStyle name="Comma 5 4 2 2 2 2 5" xfId="28927" xr:uid="{00000000-0005-0000-0000-0000631A0000}"/>
    <cellStyle name="Comma 5 4 2 2 2 3" xfId="4480" xr:uid="{00000000-0005-0000-0000-0000641A0000}"/>
    <cellStyle name="Comma 5 4 2 2 2 3 2" xfId="13318" xr:uid="{00000000-0005-0000-0000-0000651A0000}"/>
    <cellStyle name="Comma 5 4 2 2 2 3 2 2" xfId="23569" xr:uid="{00000000-0005-0000-0000-0000661A0000}"/>
    <cellStyle name="Comma 5 4 2 2 2 3 2 2 2" xfId="49122" xr:uid="{00000000-0005-0000-0000-0000671A0000}"/>
    <cellStyle name="Comma 5 4 2 2 2 3 2 3" xfId="38873" xr:uid="{00000000-0005-0000-0000-0000681A0000}"/>
    <cellStyle name="Comma 5 4 2 2 2 3 3" xfId="9739" xr:uid="{00000000-0005-0000-0000-0000691A0000}"/>
    <cellStyle name="Comma 5 4 2 2 2 3 3 2" xfId="35296" xr:uid="{00000000-0005-0000-0000-00006A1A0000}"/>
    <cellStyle name="Comma 5 4 2 2 2 3 4" xfId="18562" xr:uid="{00000000-0005-0000-0000-00006B1A0000}"/>
    <cellStyle name="Comma 5 4 2 2 2 3 4 2" xfId="44115" xr:uid="{00000000-0005-0000-0000-00006C1A0000}"/>
    <cellStyle name="Comma 5 4 2 2 2 3 5" xfId="30052" xr:uid="{00000000-0005-0000-0000-00006D1A0000}"/>
    <cellStyle name="Comma 5 4 2 2 2 4" xfId="2192" xr:uid="{00000000-0005-0000-0000-00006E1A0000}"/>
    <cellStyle name="Comma 5 4 2 2 2 4 2" xfId="11557" xr:uid="{00000000-0005-0000-0000-00006F1A0000}"/>
    <cellStyle name="Comma 5 4 2 2 2 4 2 2" xfId="37112" xr:uid="{00000000-0005-0000-0000-0000701A0000}"/>
    <cellStyle name="Comma 5 4 2 2 2 4 3" xfId="21561" xr:uid="{00000000-0005-0000-0000-0000711A0000}"/>
    <cellStyle name="Comma 5 4 2 2 2 4 3 2" xfId="47114" xr:uid="{00000000-0005-0000-0000-0000721A0000}"/>
    <cellStyle name="Comma 5 4 2 2 2 4 4" xfId="28044" xr:uid="{00000000-0005-0000-0000-0000731A0000}"/>
    <cellStyle name="Comma 5 4 2 2 2 5" xfId="5936" xr:uid="{00000000-0005-0000-0000-0000741A0000}"/>
    <cellStyle name="Comma 5 4 2 2 2 5 2" xfId="14763" xr:uid="{00000000-0005-0000-0000-0000751A0000}"/>
    <cellStyle name="Comma 5 4 2 2 2 5 2 2" xfId="40318" xr:uid="{00000000-0005-0000-0000-0000761A0000}"/>
    <cellStyle name="Comma 5 4 2 2 2 5 3" xfId="25014" xr:uid="{00000000-0005-0000-0000-0000771A0000}"/>
    <cellStyle name="Comma 5 4 2 2 2 5 3 2" xfId="50567" xr:uid="{00000000-0005-0000-0000-0000781A0000}"/>
    <cellStyle name="Comma 5 4 2 2 2 5 4" xfId="31497" xr:uid="{00000000-0005-0000-0000-0000791A0000}"/>
    <cellStyle name="Comma 5 4 2 2 2 6" xfId="7380" xr:uid="{00000000-0005-0000-0000-00007A1A0000}"/>
    <cellStyle name="Comma 5 4 2 2 2 6 2" xfId="20043" xr:uid="{00000000-0005-0000-0000-00007B1A0000}"/>
    <cellStyle name="Comma 5 4 2 2 2 6 2 2" xfId="45596" xr:uid="{00000000-0005-0000-0000-00007C1A0000}"/>
    <cellStyle name="Comma 5 4 2 2 2 6 3" xfId="32937" xr:uid="{00000000-0005-0000-0000-00007D1A0000}"/>
    <cellStyle name="Comma 5 4 2 2 2 7" xfId="16554" xr:uid="{00000000-0005-0000-0000-00007E1A0000}"/>
    <cellStyle name="Comma 5 4 2 2 2 7 2" xfId="42107" xr:uid="{00000000-0005-0000-0000-00007F1A0000}"/>
    <cellStyle name="Comma 5 4 2 2 2 8" xfId="26526" xr:uid="{00000000-0005-0000-0000-0000801A0000}"/>
    <cellStyle name="Comma 5 4 2 2 3" xfId="665" xr:uid="{00000000-0005-0000-0000-0000811A0000}"/>
    <cellStyle name="Comma 5 4 2 2 3 2" xfId="3151" xr:uid="{00000000-0005-0000-0000-0000821A0000}"/>
    <cellStyle name="Comma 5 4 2 2 3 2 2" xfId="12294" xr:uid="{00000000-0005-0000-0000-0000831A0000}"/>
    <cellStyle name="Comma 5 4 2 2 3 2 2 2" xfId="22512" xr:uid="{00000000-0005-0000-0000-0000841A0000}"/>
    <cellStyle name="Comma 5 4 2 2 3 2 2 2 2" xfId="48065" xr:uid="{00000000-0005-0000-0000-0000851A0000}"/>
    <cellStyle name="Comma 5 4 2 2 3 2 2 3" xfId="37849" xr:uid="{00000000-0005-0000-0000-0000861A0000}"/>
    <cellStyle name="Comma 5 4 2 2 3 2 3" xfId="8716" xr:uid="{00000000-0005-0000-0000-0000871A0000}"/>
    <cellStyle name="Comma 5 4 2 2 3 2 3 2" xfId="34273" xr:uid="{00000000-0005-0000-0000-0000881A0000}"/>
    <cellStyle name="Comma 5 4 2 2 3 2 4" xfId="17505" xr:uid="{00000000-0005-0000-0000-0000891A0000}"/>
    <cellStyle name="Comma 5 4 2 2 3 2 4 2" xfId="43058" xr:uid="{00000000-0005-0000-0000-00008A1A0000}"/>
    <cellStyle name="Comma 5 4 2 2 3 2 5" xfId="28995" xr:uid="{00000000-0005-0000-0000-00008B1A0000}"/>
    <cellStyle name="Comma 5 4 2 2 3 3" xfId="4829" xr:uid="{00000000-0005-0000-0000-00008C1A0000}"/>
    <cellStyle name="Comma 5 4 2 2 3 3 2" xfId="13666" xr:uid="{00000000-0005-0000-0000-00008D1A0000}"/>
    <cellStyle name="Comma 5 4 2 2 3 3 2 2" xfId="23917" xr:uid="{00000000-0005-0000-0000-00008E1A0000}"/>
    <cellStyle name="Comma 5 4 2 2 3 3 2 2 2" xfId="49470" xr:uid="{00000000-0005-0000-0000-00008F1A0000}"/>
    <cellStyle name="Comma 5 4 2 2 3 3 2 3" xfId="39221" xr:uid="{00000000-0005-0000-0000-0000901A0000}"/>
    <cellStyle name="Comma 5 4 2 2 3 3 3" xfId="10087" xr:uid="{00000000-0005-0000-0000-0000911A0000}"/>
    <cellStyle name="Comma 5 4 2 2 3 3 3 2" xfId="35644" xr:uid="{00000000-0005-0000-0000-0000921A0000}"/>
    <cellStyle name="Comma 5 4 2 2 3 3 4" xfId="18910" xr:uid="{00000000-0005-0000-0000-0000931A0000}"/>
    <cellStyle name="Comma 5 4 2 2 3 3 4 2" xfId="44463" xr:uid="{00000000-0005-0000-0000-0000941A0000}"/>
    <cellStyle name="Comma 5 4 2 2 3 3 5" xfId="30400" xr:uid="{00000000-0005-0000-0000-0000951A0000}"/>
    <cellStyle name="Comma 5 4 2 2 3 4" xfId="2260" xr:uid="{00000000-0005-0000-0000-0000961A0000}"/>
    <cellStyle name="Comma 5 4 2 2 3 4 2" xfId="11625" xr:uid="{00000000-0005-0000-0000-0000971A0000}"/>
    <cellStyle name="Comma 5 4 2 2 3 4 2 2" xfId="37180" xr:uid="{00000000-0005-0000-0000-0000981A0000}"/>
    <cellStyle name="Comma 5 4 2 2 3 4 3" xfId="21629" xr:uid="{00000000-0005-0000-0000-0000991A0000}"/>
    <cellStyle name="Comma 5 4 2 2 3 4 3 2" xfId="47182" xr:uid="{00000000-0005-0000-0000-00009A1A0000}"/>
    <cellStyle name="Comma 5 4 2 2 3 4 4" xfId="28112" xr:uid="{00000000-0005-0000-0000-00009B1A0000}"/>
    <cellStyle name="Comma 5 4 2 2 3 5" xfId="6284" xr:uid="{00000000-0005-0000-0000-00009C1A0000}"/>
    <cellStyle name="Comma 5 4 2 2 3 5 2" xfId="15111" xr:uid="{00000000-0005-0000-0000-00009D1A0000}"/>
    <cellStyle name="Comma 5 4 2 2 3 5 2 2" xfId="40666" xr:uid="{00000000-0005-0000-0000-00009E1A0000}"/>
    <cellStyle name="Comma 5 4 2 2 3 5 3" xfId="25362" xr:uid="{00000000-0005-0000-0000-00009F1A0000}"/>
    <cellStyle name="Comma 5 4 2 2 3 5 3 2" xfId="50915" xr:uid="{00000000-0005-0000-0000-0000A01A0000}"/>
    <cellStyle name="Comma 5 4 2 2 3 5 4" xfId="31845" xr:uid="{00000000-0005-0000-0000-0000A11A0000}"/>
    <cellStyle name="Comma 5 4 2 2 3 6" xfId="7730" xr:uid="{00000000-0005-0000-0000-0000A21A0000}"/>
    <cellStyle name="Comma 5 4 2 2 3 6 2" xfId="20111" xr:uid="{00000000-0005-0000-0000-0000A31A0000}"/>
    <cellStyle name="Comma 5 4 2 2 3 6 2 2" xfId="45664" xr:uid="{00000000-0005-0000-0000-0000A41A0000}"/>
    <cellStyle name="Comma 5 4 2 2 3 6 3" xfId="33287" xr:uid="{00000000-0005-0000-0000-0000A51A0000}"/>
    <cellStyle name="Comma 5 4 2 2 3 7" xfId="16622" xr:uid="{00000000-0005-0000-0000-0000A61A0000}"/>
    <cellStyle name="Comma 5 4 2 2 3 7 2" xfId="42175" xr:uid="{00000000-0005-0000-0000-0000A71A0000}"/>
    <cellStyle name="Comma 5 4 2 2 3 8" xfId="26594" xr:uid="{00000000-0005-0000-0000-0000A81A0000}"/>
    <cellStyle name="Comma 5 4 2 2 4" xfId="1369" xr:uid="{00000000-0005-0000-0000-0000A91A0000}"/>
    <cellStyle name="Comma 5 4 2 2 4 2" xfId="3798" xr:uid="{00000000-0005-0000-0000-0000AA1A0000}"/>
    <cellStyle name="Comma 5 4 2 2 4 2 2" xfId="12934" xr:uid="{00000000-0005-0000-0000-0000AB1A0000}"/>
    <cellStyle name="Comma 5 4 2 2 4 2 2 2" xfId="23153" xr:uid="{00000000-0005-0000-0000-0000AC1A0000}"/>
    <cellStyle name="Comma 5 4 2 2 4 2 2 2 2" xfId="48706" xr:uid="{00000000-0005-0000-0000-0000AD1A0000}"/>
    <cellStyle name="Comma 5 4 2 2 4 2 2 3" xfId="38489" xr:uid="{00000000-0005-0000-0000-0000AE1A0000}"/>
    <cellStyle name="Comma 5 4 2 2 4 2 3" xfId="9355" xr:uid="{00000000-0005-0000-0000-0000AF1A0000}"/>
    <cellStyle name="Comma 5 4 2 2 4 2 3 2" xfId="34912" xr:uid="{00000000-0005-0000-0000-0000B01A0000}"/>
    <cellStyle name="Comma 5 4 2 2 4 2 4" xfId="18146" xr:uid="{00000000-0005-0000-0000-0000B11A0000}"/>
    <cellStyle name="Comma 5 4 2 2 4 2 4 2" xfId="43699" xr:uid="{00000000-0005-0000-0000-0000B21A0000}"/>
    <cellStyle name="Comma 5 4 2 2 4 2 5" xfId="29636" xr:uid="{00000000-0005-0000-0000-0000B31A0000}"/>
    <cellStyle name="Comma 5 4 2 2 4 3" xfId="5461" xr:uid="{00000000-0005-0000-0000-0000B41A0000}"/>
    <cellStyle name="Comma 5 4 2 2 4 3 2" xfId="14298" xr:uid="{00000000-0005-0000-0000-0000B51A0000}"/>
    <cellStyle name="Comma 5 4 2 2 4 3 2 2" xfId="24549" xr:uid="{00000000-0005-0000-0000-0000B61A0000}"/>
    <cellStyle name="Comma 5 4 2 2 4 3 2 2 2" xfId="50102" xr:uid="{00000000-0005-0000-0000-0000B71A0000}"/>
    <cellStyle name="Comma 5 4 2 2 4 3 2 3" xfId="39853" xr:uid="{00000000-0005-0000-0000-0000B81A0000}"/>
    <cellStyle name="Comma 5 4 2 2 4 3 3" xfId="10719" xr:uid="{00000000-0005-0000-0000-0000B91A0000}"/>
    <cellStyle name="Comma 5 4 2 2 4 3 3 2" xfId="36276" xr:uid="{00000000-0005-0000-0000-0000BA1A0000}"/>
    <cellStyle name="Comma 5 4 2 2 4 3 4" xfId="19542" xr:uid="{00000000-0005-0000-0000-0000BB1A0000}"/>
    <cellStyle name="Comma 5 4 2 2 4 3 4 2" xfId="45095" xr:uid="{00000000-0005-0000-0000-0000BC1A0000}"/>
    <cellStyle name="Comma 5 4 2 2 4 3 5" xfId="31032" xr:uid="{00000000-0005-0000-0000-0000BD1A0000}"/>
    <cellStyle name="Comma 5 4 2 2 4 4" xfId="1872" xr:uid="{00000000-0005-0000-0000-0000BE1A0000}"/>
    <cellStyle name="Comma 5 4 2 2 4 4 2" xfId="11240" xr:uid="{00000000-0005-0000-0000-0000BF1A0000}"/>
    <cellStyle name="Comma 5 4 2 2 4 4 2 2" xfId="36795" xr:uid="{00000000-0005-0000-0000-0000C01A0000}"/>
    <cellStyle name="Comma 5 4 2 2 4 4 3" xfId="21244" xr:uid="{00000000-0005-0000-0000-0000C11A0000}"/>
    <cellStyle name="Comma 5 4 2 2 4 4 3 2" xfId="46797" xr:uid="{00000000-0005-0000-0000-0000C21A0000}"/>
    <cellStyle name="Comma 5 4 2 2 4 4 4" xfId="27727" xr:uid="{00000000-0005-0000-0000-0000C31A0000}"/>
    <cellStyle name="Comma 5 4 2 2 4 5" xfId="6916" xr:uid="{00000000-0005-0000-0000-0000C41A0000}"/>
    <cellStyle name="Comma 5 4 2 2 4 5 2" xfId="15743" xr:uid="{00000000-0005-0000-0000-0000C51A0000}"/>
    <cellStyle name="Comma 5 4 2 2 4 5 2 2" xfId="41298" xr:uid="{00000000-0005-0000-0000-0000C61A0000}"/>
    <cellStyle name="Comma 5 4 2 2 4 5 3" xfId="25994" xr:uid="{00000000-0005-0000-0000-0000C71A0000}"/>
    <cellStyle name="Comma 5 4 2 2 4 5 3 2" xfId="51547" xr:uid="{00000000-0005-0000-0000-0000C81A0000}"/>
    <cellStyle name="Comma 5 4 2 2 4 5 4" xfId="32477" xr:uid="{00000000-0005-0000-0000-0000C91A0000}"/>
    <cellStyle name="Comma 5 4 2 2 4 6" xfId="8362" xr:uid="{00000000-0005-0000-0000-0000CA1A0000}"/>
    <cellStyle name="Comma 5 4 2 2 4 6 2" xfId="20752" xr:uid="{00000000-0005-0000-0000-0000CB1A0000}"/>
    <cellStyle name="Comma 5 4 2 2 4 6 2 2" xfId="46305" xr:uid="{00000000-0005-0000-0000-0000CC1A0000}"/>
    <cellStyle name="Comma 5 4 2 2 4 6 3" xfId="33919" xr:uid="{00000000-0005-0000-0000-0000CD1A0000}"/>
    <cellStyle name="Comma 5 4 2 2 4 7" xfId="16237" xr:uid="{00000000-0005-0000-0000-0000CE1A0000}"/>
    <cellStyle name="Comma 5 4 2 2 4 7 2" xfId="41790" xr:uid="{00000000-0005-0000-0000-0000CF1A0000}"/>
    <cellStyle name="Comma 5 4 2 2 4 8" xfId="27235" xr:uid="{00000000-0005-0000-0000-0000D01A0000}"/>
    <cellStyle name="Comma 5 4 2 2 5" xfId="2766" xr:uid="{00000000-0005-0000-0000-0000D11A0000}"/>
    <cellStyle name="Comma 5 4 2 2 5 2" xfId="12083" xr:uid="{00000000-0005-0000-0000-0000D21A0000}"/>
    <cellStyle name="Comma 5 4 2 2 5 2 2" xfId="22127" xr:uid="{00000000-0005-0000-0000-0000D31A0000}"/>
    <cellStyle name="Comma 5 4 2 2 5 2 2 2" xfId="47680" xr:uid="{00000000-0005-0000-0000-0000D41A0000}"/>
    <cellStyle name="Comma 5 4 2 2 5 2 3" xfId="37638" xr:uid="{00000000-0005-0000-0000-0000D51A0000}"/>
    <cellStyle name="Comma 5 4 2 2 5 3" xfId="8475" xr:uid="{00000000-0005-0000-0000-0000D61A0000}"/>
    <cellStyle name="Comma 5 4 2 2 5 3 2" xfId="34032" xr:uid="{00000000-0005-0000-0000-0000D71A0000}"/>
    <cellStyle name="Comma 5 4 2 2 5 4" xfId="17120" xr:uid="{00000000-0005-0000-0000-0000D81A0000}"/>
    <cellStyle name="Comma 5 4 2 2 5 4 2" xfId="42673" xr:uid="{00000000-0005-0000-0000-0000D91A0000}"/>
    <cellStyle name="Comma 5 4 2 2 5 5" xfId="28610" xr:uid="{00000000-0005-0000-0000-0000DA1A0000}"/>
    <cellStyle name="Comma 5 4 2 2 6" xfId="4417" xr:uid="{00000000-0005-0000-0000-0000DB1A0000}"/>
    <cellStyle name="Comma 5 4 2 2 6 2" xfId="13255" xr:uid="{00000000-0005-0000-0000-0000DC1A0000}"/>
    <cellStyle name="Comma 5 4 2 2 6 2 2" xfId="23506" xr:uid="{00000000-0005-0000-0000-0000DD1A0000}"/>
    <cellStyle name="Comma 5 4 2 2 6 2 2 2" xfId="49059" xr:uid="{00000000-0005-0000-0000-0000DE1A0000}"/>
    <cellStyle name="Comma 5 4 2 2 6 2 3" xfId="38810" xr:uid="{00000000-0005-0000-0000-0000DF1A0000}"/>
    <cellStyle name="Comma 5 4 2 2 6 3" xfId="9676" xr:uid="{00000000-0005-0000-0000-0000E01A0000}"/>
    <cellStyle name="Comma 5 4 2 2 6 3 2" xfId="35233" xr:uid="{00000000-0005-0000-0000-0000E11A0000}"/>
    <cellStyle name="Comma 5 4 2 2 6 4" xfId="18499" xr:uid="{00000000-0005-0000-0000-0000E21A0000}"/>
    <cellStyle name="Comma 5 4 2 2 6 4 2" xfId="44052" xr:uid="{00000000-0005-0000-0000-0000E31A0000}"/>
    <cellStyle name="Comma 5 4 2 2 6 5" xfId="29989" xr:uid="{00000000-0005-0000-0000-0000E41A0000}"/>
    <cellStyle name="Comma 5 4 2 2 7" xfId="1689" xr:uid="{00000000-0005-0000-0000-0000E51A0000}"/>
    <cellStyle name="Comma 5 4 2 2 7 2" xfId="11066" xr:uid="{00000000-0005-0000-0000-0000E61A0000}"/>
    <cellStyle name="Comma 5 4 2 2 7 2 2" xfId="36621" xr:uid="{00000000-0005-0000-0000-0000E71A0000}"/>
    <cellStyle name="Comma 5 4 2 2 7 3" xfId="21070" xr:uid="{00000000-0005-0000-0000-0000E81A0000}"/>
    <cellStyle name="Comma 5 4 2 2 7 3 2" xfId="46623" xr:uid="{00000000-0005-0000-0000-0000E91A0000}"/>
    <cellStyle name="Comma 5 4 2 2 7 4" xfId="27553" xr:uid="{00000000-0005-0000-0000-0000EA1A0000}"/>
    <cellStyle name="Comma 5 4 2 2 8" xfId="5873" xr:uid="{00000000-0005-0000-0000-0000EB1A0000}"/>
    <cellStyle name="Comma 5 4 2 2 8 2" xfId="14700" xr:uid="{00000000-0005-0000-0000-0000EC1A0000}"/>
    <cellStyle name="Comma 5 4 2 2 8 2 2" xfId="40255" xr:uid="{00000000-0005-0000-0000-0000ED1A0000}"/>
    <cellStyle name="Comma 5 4 2 2 8 3" xfId="24951" xr:uid="{00000000-0005-0000-0000-0000EE1A0000}"/>
    <cellStyle name="Comma 5 4 2 2 8 3 2" xfId="50504" xr:uid="{00000000-0005-0000-0000-0000EF1A0000}"/>
    <cellStyle name="Comma 5 4 2 2 8 4" xfId="31434" xr:uid="{00000000-0005-0000-0000-0000F01A0000}"/>
    <cellStyle name="Comma 5 4 2 2 9" xfId="7317" xr:uid="{00000000-0005-0000-0000-0000F11A0000}"/>
    <cellStyle name="Comma 5 4 2 2 9 2" xfId="19726" xr:uid="{00000000-0005-0000-0000-0000F21A0000}"/>
    <cellStyle name="Comma 5 4 2 2 9 2 2" xfId="45279" xr:uid="{00000000-0005-0000-0000-0000F31A0000}"/>
    <cellStyle name="Comma 5 4 2 2 9 3" xfId="32874" xr:uid="{00000000-0005-0000-0000-0000F41A0000}"/>
    <cellStyle name="Comma 5 4 2 3" xfId="493" xr:uid="{00000000-0005-0000-0000-0000F51A0000}"/>
    <cellStyle name="Comma 5 4 2 3 10" xfId="26422" xr:uid="{00000000-0005-0000-0000-0000F61A0000}"/>
    <cellStyle name="Comma 5 4 2 3 2" xfId="666" xr:uid="{00000000-0005-0000-0000-0000F71A0000}"/>
    <cellStyle name="Comma 5 4 2 3 2 2" xfId="3152" xr:uid="{00000000-0005-0000-0000-0000F81A0000}"/>
    <cellStyle name="Comma 5 4 2 3 2 2 2" xfId="12295" xr:uid="{00000000-0005-0000-0000-0000F91A0000}"/>
    <cellStyle name="Comma 5 4 2 3 2 2 2 2" xfId="22513" xr:uid="{00000000-0005-0000-0000-0000FA1A0000}"/>
    <cellStyle name="Comma 5 4 2 3 2 2 2 2 2" xfId="48066" xr:uid="{00000000-0005-0000-0000-0000FB1A0000}"/>
    <cellStyle name="Comma 5 4 2 3 2 2 2 3" xfId="37850" xr:uid="{00000000-0005-0000-0000-0000FC1A0000}"/>
    <cellStyle name="Comma 5 4 2 3 2 2 3" xfId="8717" xr:uid="{00000000-0005-0000-0000-0000FD1A0000}"/>
    <cellStyle name="Comma 5 4 2 3 2 2 3 2" xfId="34274" xr:uid="{00000000-0005-0000-0000-0000FE1A0000}"/>
    <cellStyle name="Comma 5 4 2 3 2 2 4" xfId="17506" xr:uid="{00000000-0005-0000-0000-0000FF1A0000}"/>
    <cellStyle name="Comma 5 4 2 3 2 2 4 2" xfId="43059" xr:uid="{00000000-0005-0000-0000-0000001B0000}"/>
    <cellStyle name="Comma 5 4 2 3 2 2 5" xfId="28996" xr:uid="{00000000-0005-0000-0000-0000011B0000}"/>
    <cellStyle name="Comma 5 4 2 3 2 3" xfId="4481" xr:uid="{00000000-0005-0000-0000-0000021B0000}"/>
    <cellStyle name="Comma 5 4 2 3 2 3 2" xfId="13319" xr:uid="{00000000-0005-0000-0000-0000031B0000}"/>
    <cellStyle name="Comma 5 4 2 3 2 3 2 2" xfId="23570" xr:uid="{00000000-0005-0000-0000-0000041B0000}"/>
    <cellStyle name="Comma 5 4 2 3 2 3 2 2 2" xfId="49123" xr:uid="{00000000-0005-0000-0000-0000051B0000}"/>
    <cellStyle name="Comma 5 4 2 3 2 3 2 3" xfId="38874" xr:uid="{00000000-0005-0000-0000-0000061B0000}"/>
    <cellStyle name="Comma 5 4 2 3 2 3 3" xfId="9740" xr:uid="{00000000-0005-0000-0000-0000071B0000}"/>
    <cellStyle name="Comma 5 4 2 3 2 3 3 2" xfId="35297" xr:uid="{00000000-0005-0000-0000-0000081B0000}"/>
    <cellStyle name="Comma 5 4 2 3 2 3 4" xfId="18563" xr:uid="{00000000-0005-0000-0000-0000091B0000}"/>
    <cellStyle name="Comma 5 4 2 3 2 3 4 2" xfId="44116" xr:uid="{00000000-0005-0000-0000-00000A1B0000}"/>
    <cellStyle name="Comma 5 4 2 3 2 3 5" xfId="30053" xr:uid="{00000000-0005-0000-0000-00000B1B0000}"/>
    <cellStyle name="Comma 5 4 2 3 2 4" xfId="2261" xr:uid="{00000000-0005-0000-0000-00000C1B0000}"/>
    <cellStyle name="Comma 5 4 2 3 2 4 2" xfId="11626" xr:uid="{00000000-0005-0000-0000-00000D1B0000}"/>
    <cellStyle name="Comma 5 4 2 3 2 4 2 2" xfId="37181" xr:uid="{00000000-0005-0000-0000-00000E1B0000}"/>
    <cellStyle name="Comma 5 4 2 3 2 4 3" xfId="21630" xr:uid="{00000000-0005-0000-0000-00000F1B0000}"/>
    <cellStyle name="Comma 5 4 2 3 2 4 3 2" xfId="47183" xr:uid="{00000000-0005-0000-0000-0000101B0000}"/>
    <cellStyle name="Comma 5 4 2 3 2 4 4" xfId="28113" xr:uid="{00000000-0005-0000-0000-0000111B0000}"/>
    <cellStyle name="Comma 5 4 2 3 2 5" xfId="5937" xr:uid="{00000000-0005-0000-0000-0000121B0000}"/>
    <cellStyle name="Comma 5 4 2 3 2 5 2" xfId="14764" xr:uid="{00000000-0005-0000-0000-0000131B0000}"/>
    <cellStyle name="Comma 5 4 2 3 2 5 2 2" xfId="40319" xr:uid="{00000000-0005-0000-0000-0000141B0000}"/>
    <cellStyle name="Comma 5 4 2 3 2 5 3" xfId="25015" xr:uid="{00000000-0005-0000-0000-0000151B0000}"/>
    <cellStyle name="Comma 5 4 2 3 2 5 3 2" xfId="50568" xr:uid="{00000000-0005-0000-0000-0000161B0000}"/>
    <cellStyle name="Comma 5 4 2 3 2 5 4" xfId="31498" xr:uid="{00000000-0005-0000-0000-0000171B0000}"/>
    <cellStyle name="Comma 5 4 2 3 2 6" xfId="7381" xr:uid="{00000000-0005-0000-0000-0000181B0000}"/>
    <cellStyle name="Comma 5 4 2 3 2 6 2" xfId="20112" xr:uid="{00000000-0005-0000-0000-0000191B0000}"/>
    <cellStyle name="Comma 5 4 2 3 2 6 2 2" xfId="45665" xr:uid="{00000000-0005-0000-0000-00001A1B0000}"/>
    <cellStyle name="Comma 5 4 2 3 2 6 3" xfId="32938" xr:uid="{00000000-0005-0000-0000-00001B1B0000}"/>
    <cellStyle name="Comma 5 4 2 3 2 7" xfId="16623" xr:uid="{00000000-0005-0000-0000-00001C1B0000}"/>
    <cellStyle name="Comma 5 4 2 3 2 7 2" xfId="42176" xr:uid="{00000000-0005-0000-0000-00001D1B0000}"/>
    <cellStyle name="Comma 5 4 2 3 2 8" xfId="26595" xr:uid="{00000000-0005-0000-0000-00001E1B0000}"/>
    <cellStyle name="Comma 5 4 2 3 3" xfId="1265" xr:uid="{00000000-0005-0000-0000-00001F1B0000}"/>
    <cellStyle name="Comma 5 4 2 3 3 2" xfId="3694" xr:uid="{00000000-0005-0000-0000-0000201B0000}"/>
    <cellStyle name="Comma 5 4 2 3 3 2 2" xfId="12830" xr:uid="{00000000-0005-0000-0000-0000211B0000}"/>
    <cellStyle name="Comma 5 4 2 3 3 2 2 2" xfId="23049" xr:uid="{00000000-0005-0000-0000-0000221B0000}"/>
    <cellStyle name="Comma 5 4 2 3 3 2 2 2 2" xfId="48602" xr:uid="{00000000-0005-0000-0000-0000231B0000}"/>
    <cellStyle name="Comma 5 4 2 3 3 2 2 3" xfId="38385" xr:uid="{00000000-0005-0000-0000-0000241B0000}"/>
    <cellStyle name="Comma 5 4 2 3 3 2 3" xfId="9251" xr:uid="{00000000-0005-0000-0000-0000251B0000}"/>
    <cellStyle name="Comma 5 4 2 3 3 2 3 2" xfId="34808" xr:uid="{00000000-0005-0000-0000-0000261B0000}"/>
    <cellStyle name="Comma 5 4 2 3 3 2 4" xfId="18042" xr:uid="{00000000-0005-0000-0000-0000271B0000}"/>
    <cellStyle name="Comma 5 4 2 3 3 2 4 2" xfId="43595" xr:uid="{00000000-0005-0000-0000-0000281B0000}"/>
    <cellStyle name="Comma 5 4 2 3 3 2 5" xfId="29532" xr:uid="{00000000-0005-0000-0000-0000291B0000}"/>
    <cellStyle name="Comma 5 4 2 3 3 3" xfId="4830" xr:uid="{00000000-0005-0000-0000-00002A1B0000}"/>
    <cellStyle name="Comma 5 4 2 3 3 3 2" xfId="13667" xr:uid="{00000000-0005-0000-0000-00002B1B0000}"/>
    <cellStyle name="Comma 5 4 2 3 3 3 2 2" xfId="23918" xr:uid="{00000000-0005-0000-0000-00002C1B0000}"/>
    <cellStyle name="Comma 5 4 2 3 3 3 2 2 2" xfId="49471" xr:uid="{00000000-0005-0000-0000-00002D1B0000}"/>
    <cellStyle name="Comma 5 4 2 3 3 3 2 3" xfId="39222" xr:uid="{00000000-0005-0000-0000-00002E1B0000}"/>
    <cellStyle name="Comma 5 4 2 3 3 3 3" xfId="10088" xr:uid="{00000000-0005-0000-0000-00002F1B0000}"/>
    <cellStyle name="Comma 5 4 2 3 3 3 3 2" xfId="35645" xr:uid="{00000000-0005-0000-0000-0000301B0000}"/>
    <cellStyle name="Comma 5 4 2 3 3 3 4" xfId="18911" xr:uid="{00000000-0005-0000-0000-0000311B0000}"/>
    <cellStyle name="Comma 5 4 2 3 3 3 4 2" xfId="44464" xr:uid="{00000000-0005-0000-0000-0000321B0000}"/>
    <cellStyle name="Comma 5 4 2 3 3 3 5" xfId="30401" xr:uid="{00000000-0005-0000-0000-0000331B0000}"/>
    <cellStyle name="Comma 5 4 2 3 3 4" xfId="2088" xr:uid="{00000000-0005-0000-0000-0000341B0000}"/>
    <cellStyle name="Comma 5 4 2 3 3 4 2" xfId="11453" xr:uid="{00000000-0005-0000-0000-0000351B0000}"/>
    <cellStyle name="Comma 5 4 2 3 3 4 2 2" xfId="37008" xr:uid="{00000000-0005-0000-0000-0000361B0000}"/>
    <cellStyle name="Comma 5 4 2 3 3 4 3" xfId="21457" xr:uid="{00000000-0005-0000-0000-0000371B0000}"/>
    <cellStyle name="Comma 5 4 2 3 3 4 3 2" xfId="47010" xr:uid="{00000000-0005-0000-0000-0000381B0000}"/>
    <cellStyle name="Comma 5 4 2 3 3 4 4" xfId="27940" xr:uid="{00000000-0005-0000-0000-0000391B0000}"/>
    <cellStyle name="Comma 5 4 2 3 3 5" xfId="6285" xr:uid="{00000000-0005-0000-0000-00003A1B0000}"/>
    <cellStyle name="Comma 5 4 2 3 3 5 2" xfId="15112" xr:uid="{00000000-0005-0000-0000-00003B1B0000}"/>
    <cellStyle name="Comma 5 4 2 3 3 5 2 2" xfId="40667" xr:uid="{00000000-0005-0000-0000-00003C1B0000}"/>
    <cellStyle name="Comma 5 4 2 3 3 5 3" xfId="25363" xr:uid="{00000000-0005-0000-0000-00003D1B0000}"/>
    <cellStyle name="Comma 5 4 2 3 3 5 3 2" xfId="50916" xr:uid="{00000000-0005-0000-0000-00003E1B0000}"/>
    <cellStyle name="Comma 5 4 2 3 3 5 4" xfId="31846" xr:uid="{00000000-0005-0000-0000-00003F1B0000}"/>
    <cellStyle name="Comma 5 4 2 3 3 6" xfId="7731" xr:uid="{00000000-0005-0000-0000-0000401B0000}"/>
    <cellStyle name="Comma 5 4 2 3 3 6 2" xfId="20648" xr:uid="{00000000-0005-0000-0000-0000411B0000}"/>
    <cellStyle name="Comma 5 4 2 3 3 6 2 2" xfId="46201" xr:uid="{00000000-0005-0000-0000-0000421B0000}"/>
    <cellStyle name="Comma 5 4 2 3 3 6 3" xfId="33288" xr:uid="{00000000-0005-0000-0000-0000431B0000}"/>
    <cellStyle name="Comma 5 4 2 3 3 7" xfId="16450" xr:uid="{00000000-0005-0000-0000-0000441B0000}"/>
    <cellStyle name="Comma 5 4 2 3 3 7 2" xfId="42003" xr:uid="{00000000-0005-0000-0000-0000451B0000}"/>
    <cellStyle name="Comma 5 4 2 3 3 8" xfId="27131" xr:uid="{00000000-0005-0000-0000-0000461B0000}"/>
    <cellStyle name="Comma 5 4 2 3 4" xfId="2979" xr:uid="{00000000-0005-0000-0000-0000471B0000}"/>
    <cellStyle name="Comma 5 4 2 3 4 2" xfId="5357" xr:uid="{00000000-0005-0000-0000-0000481B0000}"/>
    <cellStyle name="Comma 5 4 2 3 4 2 2" xfId="14194" xr:uid="{00000000-0005-0000-0000-0000491B0000}"/>
    <cellStyle name="Comma 5 4 2 3 4 2 2 2" xfId="24445" xr:uid="{00000000-0005-0000-0000-00004A1B0000}"/>
    <cellStyle name="Comma 5 4 2 3 4 2 2 2 2" xfId="49998" xr:uid="{00000000-0005-0000-0000-00004B1B0000}"/>
    <cellStyle name="Comma 5 4 2 3 4 2 2 3" xfId="39749" xr:uid="{00000000-0005-0000-0000-00004C1B0000}"/>
    <cellStyle name="Comma 5 4 2 3 4 2 3" xfId="10615" xr:uid="{00000000-0005-0000-0000-00004D1B0000}"/>
    <cellStyle name="Comma 5 4 2 3 4 2 3 2" xfId="36172" xr:uid="{00000000-0005-0000-0000-00004E1B0000}"/>
    <cellStyle name="Comma 5 4 2 3 4 2 4" xfId="19438" xr:uid="{00000000-0005-0000-0000-00004F1B0000}"/>
    <cellStyle name="Comma 5 4 2 3 4 2 4 2" xfId="44991" xr:uid="{00000000-0005-0000-0000-0000501B0000}"/>
    <cellStyle name="Comma 5 4 2 3 4 2 5" xfId="30928" xr:uid="{00000000-0005-0000-0000-0000511B0000}"/>
    <cellStyle name="Comma 5 4 2 3 4 3" xfId="6812" xr:uid="{00000000-0005-0000-0000-0000521B0000}"/>
    <cellStyle name="Comma 5 4 2 3 4 3 2" xfId="15639" xr:uid="{00000000-0005-0000-0000-0000531B0000}"/>
    <cellStyle name="Comma 5 4 2 3 4 3 2 2" xfId="41194" xr:uid="{00000000-0005-0000-0000-0000541B0000}"/>
    <cellStyle name="Comma 5 4 2 3 4 3 3" xfId="25890" xr:uid="{00000000-0005-0000-0000-0000551B0000}"/>
    <cellStyle name="Comma 5 4 2 3 4 3 3 2" xfId="51443" xr:uid="{00000000-0005-0000-0000-0000561B0000}"/>
    <cellStyle name="Comma 5 4 2 3 4 3 4" xfId="32373" xr:uid="{00000000-0005-0000-0000-0000571B0000}"/>
    <cellStyle name="Comma 5 4 2 3 4 4" xfId="8258" xr:uid="{00000000-0005-0000-0000-0000581B0000}"/>
    <cellStyle name="Comma 5 4 2 3 4 4 2" xfId="22340" xr:uid="{00000000-0005-0000-0000-0000591B0000}"/>
    <cellStyle name="Comma 5 4 2 3 4 4 2 2" xfId="47893" xr:uid="{00000000-0005-0000-0000-00005A1B0000}"/>
    <cellStyle name="Comma 5 4 2 3 4 4 3" xfId="33815" xr:uid="{00000000-0005-0000-0000-00005B1B0000}"/>
    <cellStyle name="Comma 5 4 2 3 4 5" xfId="17333" xr:uid="{00000000-0005-0000-0000-00005C1B0000}"/>
    <cellStyle name="Comma 5 4 2 3 4 5 2" xfId="42886" xr:uid="{00000000-0005-0000-0000-00005D1B0000}"/>
    <cellStyle name="Comma 5 4 2 3 4 6" xfId="28823" xr:uid="{00000000-0005-0000-0000-00005E1B0000}"/>
    <cellStyle name="Comma 5 4 2 3 5" xfId="4313" xr:uid="{00000000-0005-0000-0000-00005F1B0000}"/>
    <cellStyle name="Comma 5 4 2 3 5 2" xfId="13151" xr:uid="{00000000-0005-0000-0000-0000601B0000}"/>
    <cellStyle name="Comma 5 4 2 3 5 2 2" xfId="23402" xr:uid="{00000000-0005-0000-0000-0000611B0000}"/>
    <cellStyle name="Comma 5 4 2 3 5 2 2 2" xfId="48955" xr:uid="{00000000-0005-0000-0000-0000621B0000}"/>
    <cellStyle name="Comma 5 4 2 3 5 2 3" xfId="38706" xr:uid="{00000000-0005-0000-0000-0000631B0000}"/>
    <cellStyle name="Comma 5 4 2 3 5 3" xfId="9572" xr:uid="{00000000-0005-0000-0000-0000641B0000}"/>
    <cellStyle name="Comma 5 4 2 3 5 3 2" xfId="35129" xr:uid="{00000000-0005-0000-0000-0000651B0000}"/>
    <cellStyle name="Comma 5 4 2 3 5 4" xfId="18395" xr:uid="{00000000-0005-0000-0000-0000661B0000}"/>
    <cellStyle name="Comma 5 4 2 3 5 4 2" xfId="43948" xr:uid="{00000000-0005-0000-0000-0000671B0000}"/>
    <cellStyle name="Comma 5 4 2 3 5 5" xfId="29885" xr:uid="{00000000-0005-0000-0000-0000681B0000}"/>
    <cellStyle name="Comma 5 4 2 3 6" xfId="1585" xr:uid="{00000000-0005-0000-0000-0000691B0000}"/>
    <cellStyle name="Comma 5 4 2 3 6 2" xfId="10962" xr:uid="{00000000-0005-0000-0000-00006A1B0000}"/>
    <cellStyle name="Comma 5 4 2 3 6 2 2" xfId="36517" xr:uid="{00000000-0005-0000-0000-00006B1B0000}"/>
    <cellStyle name="Comma 5 4 2 3 6 3" xfId="20966" xr:uid="{00000000-0005-0000-0000-00006C1B0000}"/>
    <cellStyle name="Comma 5 4 2 3 6 3 2" xfId="46519" xr:uid="{00000000-0005-0000-0000-00006D1B0000}"/>
    <cellStyle name="Comma 5 4 2 3 6 4" xfId="27449" xr:uid="{00000000-0005-0000-0000-00006E1B0000}"/>
    <cellStyle name="Comma 5 4 2 3 7" xfId="5769" xr:uid="{00000000-0005-0000-0000-00006F1B0000}"/>
    <cellStyle name="Comma 5 4 2 3 7 2" xfId="14596" xr:uid="{00000000-0005-0000-0000-0000701B0000}"/>
    <cellStyle name="Comma 5 4 2 3 7 2 2" xfId="40151" xr:uid="{00000000-0005-0000-0000-0000711B0000}"/>
    <cellStyle name="Comma 5 4 2 3 7 3" xfId="24847" xr:uid="{00000000-0005-0000-0000-0000721B0000}"/>
    <cellStyle name="Comma 5 4 2 3 7 3 2" xfId="50400" xr:uid="{00000000-0005-0000-0000-0000731B0000}"/>
    <cellStyle name="Comma 5 4 2 3 7 4" xfId="31330" xr:uid="{00000000-0005-0000-0000-0000741B0000}"/>
    <cellStyle name="Comma 5 4 2 3 8" xfId="7213" xr:uid="{00000000-0005-0000-0000-0000751B0000}"/>
    <cellStyle name="Comma 5 4 2 3 8 2" xfId="19939" xr:uid="{00000000-0005-0000-0000-0000761B0000}"/>
    <cellStyle name="Comma 5 4 2 3 8 2 2" xfId="45492" xr:uid="{00000000-0005-0000-0000-0000771B0000}"/>
    <cellStyle name="Comma 5 4 2 3 8 3" xfId="32770" xr:uid="{00000000-0005-0000-0000-0000781B0000}"/>
    <cellStyle name="Comma 5 4 2 3 9" xfId="15959" xr:uid="{00000000-0005-0000-0000-0000791B0000}"/>
    <cellStyle name="Comma 5 4 2 3 9 2" xfId="41512" xr:uid="{00000000-0005-0000-0000-00007A1B0000}"/>
    <cellStyle name="Comma 5 4 2 4" xfId="393" xr:uid="{00000000-0005-0000-0000-00007B1B0000}"/>
    <cellStyle name="Comma 5 4 2 4 2" xfId="2879" xr:uid="{00000000-0005-0000-0000-00007C1B0000}"/>
    <cellStyle name="Comma 5 4 2 4 2 2" xfId="12167" xr:uid="{00000000-0005-0000-0000-00007D1B0000}"/>
    <cellStyle name="Comma 5 4 2 4 2 2 2" xfId="22240" xr:uid="{00000000-0005-0000-0000-00007E1B0000}"/>
    <cellStyle name="Comma 5 4 2 4 2 2 2 2" xfId="47793" xr:uid="{00000000-0005-0000-0000-00007F1B0000}"/>
    <cellStyle name="Comma 5 4 2 4 2 2 3" xfId="37722" xr:uid="{00000000-0005-0000-0000-0000801B0000}"/>
    <cellStyle name="Comma 5 4 2 4 2 3" xfId="8417" xr:uid="{00000000-0005-0000-0000-0000811B0000}"/>
    <cellStyle name="Comma 5 4 2 4 2 3 2" xfId="33974" xr:uid="{00000000-0005-0000-0000-0000821B0000}"/>
    <cellStyle name="Comma 5 4 2 4 2 4" xfId="17233" xr:uid="{00000000-0005-0000-0000-0000831B0000}"/>
    <cellStyle name="Comma 5 4 2 4 2 4 2" xfId="42786" xr:uid="{00000000-0005-0000-0000-0000841B0000}"/>
    <cellStyle name="Comma 5 4 2 4 2 5" xfId="28723" xr:uid="{00000000-0005-0000-0000-0000851B0000}"/>
    <cellStyle name="Comma 5 4 2 4 3" xfId="4479" xr:uid="{00000000-0005-0000-0000-0000861B0000}"/>
    <cellStyle name="Comma 5 4 2 4 3 2" xfId="13317" xr:uid="{00000000-0005-0000-0000-0000871B0000}"/>
    <cellStyle name="Comma 5 4 2 4 3 2 2" xfId="23568" xr:uid="{00000000-0005-0000-0000-0000881B0000}"/>
    <cellStyle name="Comma 5 4 2 4 3 2 2 2" xfId="49121" xr:uid="{00000000-0005-0000-0000-0000891B0000}"/>
    <cellStyle name="Comma 5 4 2 4 3 2 3" xfId="38872" xr:uid="{00000000-0005-0000-0000-00008A1B0000}"/>
    <cellStyle name="Comma 5 4 2 4 3 3" xfId="9738" xr:uid="{00000000-0005-0000-0000-00008B1B0000}"/>
    <cellStyle name="Comma 5 4 2 4 3 3 2" xfId="35295" xr:uid="{00000000-0005-0000-0000-00008C1B0000}"/>
    <cellStyle name="Comma 5 4 2 4 3 4" xfId="18561" xr:uid="{00000000-0005-0000-0000-00008D1B0000}"/>
    <cellStyle name="Comma 5 4 2 4 3 4 2" xfId="44114" xr:uid="{00000000-0005-0000-0000-00008E1B0000}"/>
    <cellStyle name="Comma 5 4 2 4 3 5" xfId="30051" xr:uid="{00000000-0005-0000-0000-00008F1B0000}"/>
    <cellStyle name="Comma 5 4 2 4 4" xfId="1988" xr:uid="{00000000-0005-0000-0000-0000901B0000}"/>
    <cellStyle name="Comma 5 4 2 4 4 2" xfId="11353" xr:uid="{00000000-0005-0000-0000-0000911B0000}"/>
    <cellStyle name="Comma 5 4 2 4 4 2 2" xfId="36908" xr:uid="{00000000-0005-0000-0000-0000921B0000}"/>
    <cellStyle name="Comma 5 4 2 4 4 3" xfId="21357" xr:uid="{00000000-0005-0000-0000-0000931B0000}"/>
    <cellStyle name="Comma 5 4 2 4 4 3 2" xfId="46910" xr:uid="{00000000-0005-0000-0000-0000941B0000}"/>
    <cellStyle name="Comma 5 4 2 4 4 4" xfId="27840" xr:uid="{00000000-0005-0000-0000-0000951B0000}"/>
    <cellStyle name="Comma 5 4 2 4 5" xfId="5935" xr:uid="{00000000-0005-0000-0000-0000961B0000}"/>
    <cellStyle name="Comma 5 4 2 4 5 2" xfId="14762" xr:uid="{00000000-0005-0000-0000-0000971B0000}"/>
    <cellStyle name="Comma 5 4 2 4 5 2 2" xfId="40317" xr:uid="{00000000-0005-0000-0000-0000981B0000}"/>
    <cellStyle name="Comma 5 4 2 4 5 3" xfId="25013" xr:uid="{00000000-0005-0000-0000-0000991B0000}"/>
    <cellStyle name="Comma 5 4 2 4 5 3 2" xfId="50566" xr:uid="{00000000-0005-0000-0000-00009A1B0000}"/>
    <cellStyle name="Comma 5 4 2 4 5 4" xfId="31496" xr:uid="{00000000-0005-0000-0000-00009B1B0000}"/>
    <cellStyle name="Comma 5 4 2 4 6" xfId="7379" xr:uid="{00000000-0005-0000-0000-00009C1B0000}"/>
    <cellStyle name="Comma 5 4 2 4 6 2" xfId="19839" xr:uid="{00000000-0005-0000-0000-00009D1B0000}"/>
    <cellStyle name="Comma 5 4 2 4 6 2 2" xfId="45392" xr:uid="{00000000-0005-0000-0000-00009E1B0000}"/>
    <cellStyle name="Comma 5 4 2 4 6 3" xfId="32936" xr:uid="{00000000-0005-0000-0000-00009F1B0000}"/>
    <cellStyle name="Comma 5 4 2 4 7" xfId="16350" xr:uid="{00000000-0005-0000-0000-0000A01B0000}"/>
    <cellStyle name="Comma 5 4 2 4 7 2" xfId="41903" xr:uid="{00000000-0005-0000-0000-0000A11B0000}"/>
    <cellStyle name="Comma 5 4 2 4 8" xfId="26322" xr:uid="{00000000-0005-0000-0000-0000A21B0000}"/>
    <cellStyle name="Comma 5 4 2 5" xfId="664" xr:uid="{00000000-0005-0000-0000-0000A31B0000}"/>
    <cellStyle name="Comma 5 4 2 5 2" xfId="3150" xr:uid="{00000000-0005-0000-0000-0000A41B0000}"/>
    <cellStyle name="Comma 5 4 2 5 2 2" xfId="12293" xr:uid="{00000000-0005-0000-0000-0000A51B0000}"/>
    <cellStyle name="Comma 5 4 2 5 2 2 2" xfId="22511" xr:uid="{00000000-0005-0000-0000-0000A61B0000}"/>
    <cellStyle name="Comma 5 4 2 5 2 2 2 2" xfId="48064" xr:uid="{00000000-0005-0000-0000-0000A71B0000}"/>
    <cellStyle name="Comma 5 4 2 5 2 2 3" xfId="37848" xr:uid="{00000000-0005-0000-0000-0000A81B0000}"/>
    <cellStyle name="Comma 5 4 2 5 2 3" xfId="8715" xr:uid="{00000000-0005-0000-0000-0000A91B0000}"/>
    <cellStyle name="Comma 5 4 2 5 2 3 2" xfId="34272" xr:uid="{00000000-0005-0000-0000-0000AA1B0000}"/>
    <cellStyle name="Comma 5 4 2 5 2 4" xfId="17504" xr:uid="{00000000-0005-0000-0000-0000AB1B0000}"/>
    <cellStyle name="Comma 5 4 2 5 2 4 2" xfId="43057" xr:uid="{00000000-0005-0000-0000-0000AC1B0000}"/>
    <cellStyle name="Comma 5 4 2 5 2 5" xfId="28994" xr:uid="{00000000-0005-0000-0000-0000AD1B0000}"/>
    <cellStyle name="Comma 5 4 2 5 3" xfId="4828" xr:uid="{00000000-0005-0000-0000-0000AE1B0000}"/>
    <cellStyle name="Comma 5 4 2 5 3 2" xfId="13665" xr:uid="{00000000-0005-0000-0000-0000AF1B0000}"/>
    <cellStyle name="Comma 5 4 2 5 3 2 2" xfId="23916" xr:uid="{00000000-0005-0000-0000-0000B01B0000}"/>
    <cellStyle name="Comma 5 4 2 5 3 2 2 2" xfId="49469" xr:uid="{00000000-0005-0000-0000-0000B11B0000}"/>
    <cellStyle name="Comma 5 4 2 5 3 2 3" xfId="39220" xr:uid="{00000000-0005-0000-0000-0000B21B0000}"/>
    <cellStyle name="Comma 5 4 2 5 3 3" xfId="10086" xr:uid="{00000000-0005-0000-0000-0000B31B0000}"/>
    <cellStyle name="Comma 5 4 2 5 3 3 2" xfId="35643" xr:uid="{00000000-0005-0000-0000-0000B41B0000}"/>
    <cellStyle name="Comma 5 4 2 5 3 4" xfId="18909" xr:uid="{00000000-0005-0000-0000-0000B51B0000}"/>
    <cellStyle name="Comma 5 4 2 5 3 4 2" xfId="44462" xr:uid="{00000000-0005-0000-0000-0000B61B0000}"/>
    <cellStyle name="Comma 5 4 2 5 3 5" xfId="30399" xr:uid="{00000000-0005-0000-0000-0000B71B0000}"/>
    <cellStyle name="Comma 5 4 2 5 4" xfId="2259" xr:uid="{00000000-0005-0000-0000-0000B81B0000}"/>
    <cellStyle name="Comma 5 4 2 5 4 2" xfId="11624" xr:uid="{00000000-0005-0000-0000-0000B91B0000}"/>
    <cellStyle name="Comma 5 4 2 5 4 2 2" xfId="37179" xr:uid="{00000000-0005-0000-0000-0000BA1B0000}"/>
    <cellStyle name="Comma 5 4 2 5 4 3" xfId="21628" xr:uid="{00000000-0005-0000-0000-0000BB1B0000}"/>
    <cellStyle name="Comma 5 4 2 5 4 3 2" xfId="47181" xr:uid="{00000000-0005-0000-0000-0000BC1B0000}"/>
    <cellStyle name="Comma 5 4 2 5 4 4" xfId="28111" xr:uid="{00000000-0005-0000-0000-0000BD1B0000}"/>
    <cellStyle name="Comma 5 4 2 5 5" xfId="6283" xr:uid="{00000000-0005-0000-0000-0000BE1B0000}"/>
    <cellStyle name="Comma 5 4 2 5 5 2" xfId="15110" xr:uid="{00000000-0005-0000-0000-0000BF1B0000}"/>
    <cellStyle name="Comma 5 4 2 5 5 2 2" xfId="40665" xr:uid="{00000000-0005-0000-0000-0000C01B0000}"/>
    <cellStyle name="Comma 5 4 2 5 5 3" xfId="25361" xr:uid="{00000000-0005-0000-0000-0000C11B0000}"/>
    <cellStyle name="Comma 5 4 2 5 5 3 2" xfId="50914" xr:uid="{00000000-0005-0000-0000-0000C21B0000}"/>
    <cellStyle name="Comma 5 4 2 5 5 4" xfId="31844" xr:uid="{00000000-0005-0000-0000-0000C31B0000}"/>
    <cellStyle name="Comma 5 4 2 5 6" xfId="7729" xr:uid="{00000000-0005-0000-0000-0000C41B0000}"/>
    <cellStyle name="Comma 5 4 2 5 6 2" xfId="20110" xr:uid="{00000000-0005-0000-0000-0000C51B0000}"/>
    <cellStyle name="Comma 5 4 2 5 6 2 2" xfId="45663" xr:uid="{00000000-0005-0000-0000-0000C61B0000}"/>
    <cellStyle name="Comma 5 4 2 5 6 3" xfId="33286" xr:uid="{00000000-0005-0000-0000-0000C71B0000}"/>
    <cellStyle name="Comma 5 4 2 5 7" xfId="16621" xr:uid="{00000000-0005-0000-0000-0000C81B0000}"/>
    <cellStyle name="Comma 5 4 2 5 7 2" xfId="42174" xr:uid="{00000000-0005-0000-0000-0000C91B0000}"/>
    <cellStyle name="Comma 5 4 2 5 8" xfId="26593" xr:uid="{00000000-0005-0000-0000-0000CA1B0000}"/>
    <cellStyle name="Comma 5 4 2 6" xfId="1165" xr:uid="{00000000-0005-0000-0000-0000CB1B0000}"/>
    <cellStyle name="Comma 5 4 2 6 2" xfId="3594" xr:uid="{00000000-0005-0000-0000-0000CC1B0000}"/>
    <cellStyle name="Comma 5 4 2 6 2 2" xfId="12730" xr:uid="{00000000-0005-0000-0000-0000CD1B0000}"/>
    <cellStyle name="Comma 5 4 2 6 2 2 2" xfId="22949" xr:uid="{00000000-0005-0000-0000-0000CE1B0000}"/>
    <cellStyle name="Comma 5 4 2 6 2 2 2 2" xfId="48502" xr:uid="{00000000-0005-0000-0000-0000CF1B0000}"/>
    <cellStyle name="Comma 5 4 2 6 2 2 3" xfId="38285" xr:uid="{00000000-0005-0000-0000-0000D01B0000}"/>
    <cellStyle name="Comma 5 4 2 6 2 3" xfId="9151" xr:uid="{00000000-0005-0000-0000-0000D11B0000}"/>
    <cellStyle name="Comma 5 4 2 6 2 3 2" xfId="34708" xr:uid="{00000000-0005-0000-0000-0000D21B0000}"/>
    <cellStyle name="Comma 5 4 2 6 2 4" xfId="17942" xr:uid="{00000000-0005-0000-0000-0000D31B0000}"/>
    <cellStyle name="Comma 5 4 2 6 2 4 2" xfId="43495" xr:uid="{00000000-0005-0000-0000-0000D41B0000}"/>
    <cellStyle name="Comma 5 4 2 6 2 5" xfId="29432" xr:uid="{00000000-0005-0000-0000-0000D51B0000}"/>
    <cellStyle name="Comma 5 4 2 6 3" xfId="5257" xr:uid="{00000000-0005-0000-0000-0000D61B0000}"/>
    <cellStyle name="Comma 5 4 2 6 3 2" xfId="14094" xr:uid="{00000000-0005-0000-0000-0000D71B0000}"/>
    <cellStyle name="Comma 5 4 2 6 3 2 2" xfId="24345" xr:uid="{00000000-0005-0000-0000-0000D81B0000}"/>
    <cellStyle name="Comma 5 4 2 6 3 2 2 2" xfId="49898" xr:uid="{00000000-0005-0000-0000-0000D91B0000}"/>
    <cellStyle name="Comma 5 4 2 6 3 2 3" xfId="39649" xr:uid="{00000000-0005-0000-0000-0000DA1B0000}"/>
    <cellStyle name="Comma 5 4 2 6 3 3" xfId="10515" xr:uid="{00000000-0005-0000-0000-0000DB1B0000}"/>
    <cellStyle name="Comma 5 4 2 6 3 3 2" xfId="36072" xr:uid="{00000000-0005-0000-0000-0000DC1B0000}"/>
    <cellStyle name="Comma 5 4 2 6 3 4" xfId="19338" xr:uid="{00000000-0005-0000-0000-0000DD1B0000}"/>
    <cellStyle name="Comma 5 4 2 6 3 4 2" xfId="44891" xr:uid="{00000000-0005-0000-0000-0000DE1B0000}"/>
    <cellStyle name="Comma 5 4 2 6 3 5" xfId="30828" xr:uid="{00000000-0005-0000-0000-0000DF1B0000}"/>
    <cellStyle name="Comma 5 4 2 6 4" xfId="1765" xr:uid="{00000000-0005-0000-0000-0000E01B0000}"/>
    <cellStyle name="Comma 5 4 2 6 4 2" xfId="11136" xr:uid="{00000000-0005-0000-0000-0000E11B0000}"/>
    <cellStyle name="Comma 5 4 2 6 4 2 2" xfId="36691" xr:uid="{00000000-0005-0000-0000-0000E21B0000}"/>
    <cellStyle name="Comma 5 4 2 6 4 3" xfId="21140" xr:uid="{00000000-0005-0000-0000-0000E31B0000}"/>
    <cellStyle name="Comma 5 4 2 6 4 3 2" xfId="46693" xr:uid="{00000000-0005-0000-0000-0000E41B0000}"/>
    <cellStyle name="Comma 5 4 2 6 4 4" xfId="27623" xr:uid="{00000000-0005-0000-0000-0000E51B0000}"/>
    <cellStyle name="Comma 5 4 2 6 5" xfId="6712" xr:uid="{00000000-0005-0000-0000-0000E61B0000}"/>
    <cellStyle name="Comma 5 4 2 6 5 2" xfId="15539" xr:uid="{00000000-0005-0000-0000-0000E71B0000}"/>
    <cellStyle name="Comma 5 4 2 6 5 2 2" xfId="41094" xr:uid="{00000000-0005-0000-0000-0000E81B0000}"/>
    <cellStyle name="Comma 5 4 2 6 5 3" xfId="25790" xr:uid="{00000000-0005-0000-0000-0000E91B0000}"/>
    <cellStyle name="Comma 5 4 2 6 5 3 2" xfId="51343" xr:uid="{00000000-0005-0000-0000-0000EA1B0000}"/>
    <cellStyle name="Comma 5 4 2 6 5 4" xfId="32273" xr:uid="{00000000-0005-0000-0000-0000EB1B0000}"/>
    <cellStyle name="Comma 5 4 2 6 6" xfId="8158" xr:uid="{00000000-0005-0000-0000-0000EC1B0000}"/>
    <cellStyle name="Comma 5 4 2 6 6 2" xfId="20548" xr:uid="{00000000-0005-0000-0000-0000ED1B0000}"/>
    <cellStyle name="Comma 5 4 2 6 6 2 2" xfId="46101" xr:uid="{00000000-0005-0000-0000-0000EE1B0000}"/>
    <cellStyle name="Comma 5 4 2 6 6 3" xfId="33715" xr:uid="{00000000-0005-0000-0000-0000EF1B0000}"/>
    <cellStyle name="Comma 5 4 2 6 7" xfId="16133" xr:uid="{00000000-0005-0000-0000-0000F01B0000}"/>
    <cellStyle name="Comma 5 4 2 6 7 2" xfId="41686" xr:uid="{00000000-0005-0000-0000-0000F11B0000}"/>
    <cellStyle name="Comma 5 4 2 6 8" xfId="27031" xr:uid="{00000000-0005-0000-0000-0000F21B0000}"/>
    <cellStyle name="Comma 5 4 2 7" xfId="2662" xr:uid="{00000000-0005-0000-0000-0000F31B0000}"/>
    <cellStyle name="Comma 5 4 2 7 2" xfId="11979" xr:uid="{00000000-0005-0000-0000-0000F41B0000}"/>
    <cellStyle name="Comma 5 4 2 7 2 2" xfId="22023" xr:uid="{00000000-0005-0000-0000-0000F51B0000}"/>
    <cellStyle name="Comma 5 4 2 7 2 2 2" xfId="47576" xr:uid="{00000000-0005-0000-0000-0000F61B0000}"/>
    <cellStyle name="Comma 5 4 2 7 2 3" xfId="37534" xr:uid="{00000000-0005-0000-0000-0000F71B0000}"/>
    <cellStyle name="Comma 5 4 2 7 3" xfId="8576" xr:uid="{00000000-0005-0000-0000-0000F81B0000}"/>
    <cellStyle name="Comma 5 4 2 7 3 2" xfId="34133" xr:uid="{00000000-0005-0000-0000-0000F91B0000}"/>
    <cellStyle name="Comma 5 4 2 7 4" xfId="17016" xr:uid="{00000000-0005-0000-0000-0000FA1B0000}"/>
    <cellStyle name="Comma 5 4 2 7 4 2" xfId="42569" xr:uid="{00000000-0005-0000-0000-0000FB1B0000}"/>
    <cellStyle name="Comma 5 4 2 7 5" xfId="28506" xr:uid="{00000000-0005-0000-0000-0000FC1B0000}"/>
    <cellStyle name="Comma 5 4 2 8" xfId="4213" xr:uid="{00000000-0005-0000-0000-0000FD1B0000}"/>
    <cellStyle name="Comma 5 4 2 8 2" xfId="13051" xr:uid="{00000000-0005-0000-0000-0000FE1B0000}"/>
    <cellStyle name="Comma 5 4 2 8 2 2" xfId="23302" xr:uid="{00000000-0005-0000-0000-0000FF1B0000}"/>
    <cellStyle name="Comma 5 4 2 8 2 2 2" xfId="48855" xr:uid="{00000000-0005-0000-0000-0000001C0000}"/>
    <cellStyle name="Comma 5 4 2 8 2 3" xfId="38606" xr:uid="{00000000-0005-0000-0000-0000011C0000}"/>
    <cellStyle name="Comma 5 4 2 8 3" xfId="9472" xr:uid="{00000000-0005-0000-0000-0000021C0000}"/>
    <cellStyle name="Comma 5 4 2 8 3 2" xfId="35029" xr:uid="{00000000-0005-0000-0000-0000031C0000}"/>
    <cellStyle name="Comma 5 4 2 8 4" xfId="18295" xr:uid="{00000000-0005-0000-0000-0000041C0000}"/>
    <cellStyle name="Comma 5 4 2 8 4 2" xfId="43848" xr:uid="{00000000-0005-0000-0000-0000051C0000}"/>
    <cellStyle name="Comma 5 4 2 8 5" xfId="29785" xr:uid="{00000000-0005-0000-0000-0000061C0000}"/>
    <cellStyle name="Comma 5 4 2 9" xfId="1485" xr:uid="{00000000-0005-0000-0000-0000071C0000}"/>
    <cellStyle name="Comma 5 4 2 9 2" xfId="10862" xr:uid="{00000000-0005-0000-0000-0000081C0000}"/>
    <cellStyle name="Comma 5 4 2 9 2 2" xfId="36417" xr:uid="{00000000-0005-0000-0000-0000091C0000}"/>
    <cellStyle name="Comma 5 4 2 9 3" xfId="20866" xr:uid="{00000000-0005-0000-0000-00000A1C0000}"/>
    <cellStyle name="Comma 5 4 2 9 3 2" xfId="46419" xr:uid="{00000000-0005-0000-0000-00000B1C0000}"/>
    <cellStyle name="Comma 5 4 2 9 4" xfId="27349" xr:uid="{00000000-0005-0000-0000-00000C1C0000}"/>
    <cellStyle name="Comma 5 4 3" xfId="210" xr:uid="{00000000-0005-0000-0000-00000D1C0000}"/>
    <cellStyle name="Comma 5 4 3 10" xfId="7156" xr:uid="{00000000-0005-0000-0000-00000E1C0000}"/>
    <cellStyle name="Comma 5 4 3 10 2" xfId="19665" xr:uid="{00000000-0005-0000-0000-00000F1C0000}"/>
    <cellStyle name="Comma 5 4 3 10 2 2" xfId="45218" xr:uid="{00000000-0005-0000-0000-0000101C0000}"/>
    <cellStyle name="Comma 5 4 3 10 3" xfId="32713" xr:uid="{00000000-0005-0000-0000-0000111C0000}"/>
    <cellStyle name="Comma 5 4 3 11" xfId="15902" xr:uid="{00000000-0005-0000-0000-0000121C0000}"/>
    <cellStyle name="Comma 5 4 3 11 2" xfId="41455" xr:uid="{00000000-0005-0000-0000-0000131C0000}"/>
    <cellStyle name="Comma 5 4 3 12" xfId="26148" xr:uid="{00000000-0005-0000-0000-0000141C0000}"/>
    <cellStyle name="Comma 5 4 3 2" xfId="536" xr:uid="{00000000-0005-0000-0000-0000151C0000}"/>
    <cellStyle name="Comma 5 4 3 2 10" xfId="26465" xr:uid="{00000000-0005-0000-0000-0000161C0000}"/>
    <cellStyle name="Comma 5 4 3 2 2" xfId="668" xr:uid="{00000000-0005-0000-0000-0000171C0000}"/>
    <cellStyle name="Comma 5 4 3 2 2 2" xfId="3154" xr:uid="{00000000-0005-0000-0000-0000181C0000}"/>
    <cellStyle name="Comma 5 4 3 2 2 2 2" xfId="12297" xr:uid="{00000000-0005-0000-0000-0000191C0000}"/>
    <cellStyle name="Comma 5 4 3 2 2 2 2 2" xfId="22515" xr:uid="{00000000-0005-0000-0000-00001A1C0000}"/>
    <cellStyle name="Comma 5 4 3 2 2 2 2 2 2" xfId="48068" xr:uid="{00000000-0005-0000-0000-00001B1C0000}"/>
    <cellStyle name="Comma 5 4 3 2 2 2 2 3" xfId="37852" xr:uid="{00000000-0005-0000-0000-00001C1C0000}"/>
    <cellStyle name="Comma 5 4 3 2 2 2 3" xfId="8719" xr:uid="{00000000-0005-0000-0000-00001D1C0000}"/>
    <cellStyle name="Comma 5 4 3 2 2 2 3 2" xfId="34276" xr:uid="{00000000-0005-0000-0000-00001E1C0000}"/>
    <cellStyle name="Comma 5 4 3 2 2 2 4" xfId="17508" xr:uid="{00000000-0005-0000-0000-00001F1C0000}"/>
    <cellStyle name="Comma 5 4 3 2 2 2 4 2" xfId="43061" xr:uid="{00000000-0005-0000-0000-0000201C0000}"/>
    <cellStyle name="Comma 5 4 3 2 2 2 5" xfId="28998" xr:uid="{00000000-0005-0000-0000-0000211C0000}"/>
    <cellStyle name="Comma 5 4 3 2 2 3" xfId="4483" xr:uid="{00000000-0005-0000-0000-0000221C0000}"/>
    <cellStyle name="Comma 5 4 3 2 2 3 2" xfId="13321" xr:uid="{00000000-0005-0000-0000-0000231C0000}"/>
    <cellStyle name="Comma 5 4 3 2 2 3 2 2" xfId="23572" xr:uid="{00000000-0005-0000-0000-0000241C0000}"/>
    <cellStyle name="Comma 5 4 3 2 2 3 2 2 2" xfId="49125" xr:uid="{00000000-0005-0000-0000-0000251C0000}"/>
    <cellStyle name="Comma 5 4 3 2 2 3 2 3" xfId="38876" xr:uid="{00000000-0005-0000-0000-0000261C0000}"/>
    <cellStyle name="Comma 5 4 3 2 2 3 3" xfId="9742" xr:uid="{00000000-0005-0000-0000-0000271C0000}"/>
    <cellStyle name="Comma 5 4 3 2 2 3 3 2" xfId="35299" xr:uid="{00000000-0005-0000-0000-0000281C0000}"/>
    <cellStyle name="Comma 5 4 3 2 2 3 4" xfId="18565" xr:uid="{00000000-0005-0000-0000-0000291C0000}"/>
    <cellStyle name="Comma 5 4 3 2 2 3 4 2" xfId="44118" xr:uid="{00000000-0005-0000-0000-00002A1C0000}"/>
    <cellStyle name="Comma 5 4 3 2 2 3 5" xfId="30055" xr:uid="{00000000-0005-0000-0000-00002B1C0000}"/>
    <cellStyle name="Comma 5 4 3 2 2 4" xfId="2263" xr:uid="{00000000-0005-0000-0000-00002C1C0000}"/>
    <cellStyle name="Comma 5 4 3 2 2 4 2" xfId="11628" xr:uid="{00000000-0005-0000-0000-00002D1C0000}"/>
    <cellStyle name="Comma 5 4 3 2 2 4 2 2" xfId="37183" xr:uid="{00000000-0005-0000-0000-00002E1C0000}"/>
    <cellStyle name="Comma 5 4 3 2 2 4 3" xfId="21632" xr:uid="{00000000-0005-0000-0000-00002F1C0000}"/>
    <cellStyle name="Comma 5 4 3 2 2 4 3 2" xfId="47185" xr:uid="{00000000-0005-0000-0000-0000301C0000}"/>
    <cellStyle name="Comma 5 4 3 2 2 4 4" xfId="28115" xr:uid="{00000000-0005-0000-0000-0000311C0000}"/>
    <cellStyle name="Comma 5 4 3 2 2 5" xfId="5939" xr:uid="{00000000-0005-0000-0000-0000321C0000}"/>
    <cellStyle name="Comma 5 4 3 2 2 5 2" xfId="14766" xr:uid="{00000000-0005-0000-0000-0000331C0000}"/>
    <cellStyle name="Comma 5 4 3 2 2 5 2 2" xfId="40321" xr:uid="{00000000-0005-0000-0000-0000341C0000}"/>
    <cellStyle name="Comma 5 4 3 2 2 5 3" xfId="25017" xr:uid="{00000000-0005-0000-0000-0000351C0000}"/>
    <cellStyle name="Comma 5 4 3 2 2 5 3 2" xfId="50570" xr:uid="{00000000-0005-0000-0000-0000361C0000}"/>
    <cellStyle name="Comma 5 4 3 2 2 5 4" xfId="31500" xr:uid="{00000000-0005-0000-0000-0000371C0000}"/>
    <cellStyle name="Comma 5 4 3 2 2 6" xfId="7383" xr:uid="{00000000-0005-0000-0000-0000381C0000}"/>
    <cellStyle name="Comma 5 4 3 2 2 6 2" xfId="20114" xr:uid="{00000000-0005-0000-0000-0000391C0000}"/>
    <cellStyle name="Comma 5 4 3 2 2 6 2 2" xfId="45667" xr:uid="{00000000-0005-0000-0000-00003A1C0000}"/>
    <cellStyle name="Comma 5 4 3 2 2 6 3" xfId="32940" xr:uid="{00000000-0005-0000-0000-00003B1C0000}"/>
    <cellStyle name="Comma 5 4 3 2 2 7" xfId="16625" xr:uid="{00000000-0005-0000-0000-00003C1C0000}"/>
    <cellStyle name="Comma 5 4 3 2 2 7 2" xfId="42178" xr:uid="{00000000-0005-0000-0000-00003D1C0000}"/>
    <cellStyle name="Comma 5 4 3 2 2 8" xfId="26597" xr:uid="{00000000-0005-0000-0000-00003E1C0000}"/>
    <cellStyle name="Comma 5 4 3 2 3" xfId="1308" xr:uid="{00000000-0005-0000-0000-00003F1C0000}"/>
    <cellStyle name="Comma 5 4 3 2 3 2" xfId="3737" xr:uid="{00000000-0005-0000-0000-0000401C0000}"/>
    <cellStyle name="Comma 5 4 3 2 3 2 2" xfId="12873" xr:uid="{00000000-0005-0000-0000-0000411C0000}"/>
    <cellStyle name="Comma 5 4 3 2 3 2 2 2" xfId="23092" xr:uid="{00000000-0005-0000-0000-0000421C0000}"/>
    <cellStyle name="Comma 5 4 3 2 3 2 2 2 2" xfId="48645" xr:uid="{00000000-0005-0000-0000-0000431C0000}"/>
    <cellStyle name="Comma 5 4 3 2 3 2 2 3" xfId="38428" xr:uid="{00000000-0005-0000-0000-0000441C0000}"/>
    <cellStyle name="Comma 5 4 3 2 3 2 3" xfId="9294" xr:uid="{00000000-0005-0000-0000-0000451C0000}"/>
    <cellStyle name="Comma 5 4 3 2 3 2 3 2" xfId="34851" xr:uid="{00000000-0005-0000-0000-0000461C0000}"/>
    <cellStyle name="Comma 5 4 3 2 3 2 4" xfId="18085" xr:uid="{00000000-0005-0000-0000-0000471C0000}"/>
    <cellStyle name="Comma 5 4 3 2 3 2 4 2" xfId="43638" xr:uid="{00000000-0005-0000-0000-0000481C0000}"/>
    <cellStyle name="Comma 5 4 3 2 3 2 5" xfId="29575" xr:uid="{00000000-0005-0000-0000-0000491C0000}"/>
    <cellStyle name="Comma 5 4 3 2 3 3" xfId="4832" xr:uid="{00000000-0005-0000-0000-00004A1C0000}"/>
    <cellStyle name="Comma 5 4 3 2 3 3 2" xfId="13669" xr:uid="{00000000-0005-0000-0000-00004B1C0000}"/>
    <cellStyle name="Comma 5 4 3 2 3 3 2 2" xfId="23920" xr:uid="{00000000-0005-0000-0000-00004C1C0000}"/>
    <cellStyle name="Comma 5 4 3 2 3 3 2 2 2" xfId="49473" xr:uid="{00000000-0005-0000-0000-00004D1C0000}"/>
    <cellStyle name="Comma 5 4 3 2 3 3 2 3" xfId="39224" xr:uid="{00000000-0005-0000-0000-00004E1C0000}"/>
    <cellStyle name="Comma 5 4 3 2 3 3 3" xfId="10090" xr:uid="{00000000-0005-0000-0000-00004F1C0000}"/>
    <cellStyle name="Comma 5 4 3 2 3 3 3 2" xfId="35647" xr:uid="{00000000-0005-0000-0000-0000501C0000}"/>
    <cellStyle name="Comma 5 4 3 2 3 3 4" xfId="18913" xr:uid="{00000000-0005-0000-0000-0000511C0000}"/>
    <cellStyle name="Comma 5 4 3 2 3 3 4 2" xfId="44466" xr:uid="{00000000-0005-0000-0000-0000521C0000}"/>
    <cellStyle name="Comma 5 4 3 2 3 3 5" xfId="30403" xr:uid="{00000000-0005-0000-0000-0000531C0000}"/>
    <cellStyle name="Comma 5 4 3 2 3 4" xfId="2131" xr:uid="{00000000-0005-0000-0000-0000541C0000}"/>
    <cellStyle name="Comma 5 4 3 2 3 4 2" xfId="11496" xr:uid="{00000000-0005-0000-0000-0000551C0000}"/>
    <cellStyle name="Comma 5 4 3 2 3 4 2 2" xfId="37051" xr:uid="{00000000-0005-0000-0000-0000561C0000}"/>
    <cellStyle name="Comma 5 4 3 2 3 4 3" xfId="21500" xr:uid="{00000000-0005-0000-0000-0000571C0000}"/>
    <cellStyle name="Comma 5 4 3 2 3 4 3 2" xfId="47053" xr:uid="{00000000-0005-0000-0000-0000581C0000}"/>
    <cellStyle name="Comma 5 4 3 2 3 4 4" xfId="27983" xr:uid="{00000000-0005-0000-0000-0000591C0000}"/>
    <cellStyle name="Comma 5 4 3 2 3 5" xfId="6287" xr:uid="{00000000-0005-0000-0000-00005A1C0000}"/>
    <cellStyle name="Comma 5 4 3 2 3 5 2" xfId="15114" xr:uid="{00000000-0005-0000-0000-00005B1C0000}"/>
    <cellStyle name="Comma 5 4 3 2 3 5 2 2" xfId="40669" xr:uid="{00000000-0005-0000-0000-00005C1C0000}"/>
    <cellStyle name="Comma 5 4 3 2 3 5 3" xfId="25365" xr:uid="{00000000-0005-0000-0000-00005D1C0000}"/>
    <cellStyle name="Comma 5 4 3 2 3 5 3 2" xfId="50918" xr:uid="{00000000-0005-0000-0000-00005E1C0000}"/>
    <cellStyle name="Comma 5 4 3 2 3 5 4" xfId="31848" xr:uid="{00000000-0005-0000-0000-00005F1C0000}"/>
    <cellStyle name="Comma 5 4 3 2 3 6" xfId="7733" xr:uid="{00000000-0005-0000-0000-0000601C0000}"/>
    <cellStyle name="Comma 5 4 3 2 3 6 2" xfId="20691" xr:uid="{00000000-0005-0000-0000-0000611C0000}"/>
    <cellStyle name="Comma 5 4 3 2 3 6 2 2" xfId="46244" xr:uid="{00000000-0005-0000-0000-0000621C0000}"/>
    <cellStyle name="Comma 5 4 3 2 3 6 3" xfId="33290" xr:uid="{00000000-0005-0000-0000-0000631C0000}"/>
    <cellStyle name="Comma 5 4 3 2 3 7" xfId="16493" xr:uid="{00000000-0005-0000-0000-0000641C0000}"/>
    <cellStyle name="Comma 5 4 3 2 3 7 2" xfId="42046" xr:uid="{00000000-0005-0000-0000-0000651C0000}"/>
    <cellStyle name="Comma 5 4 3 2 3 8" xfId="27174" xr:uid="{00000000-0005-0000-0000-0000661C0000}"/>
    <cellStyle name="Comma 5 4 3 2 4" xfId="3022" xr:uid="{00000000-0005-0000-0000-0000671C0000}"/>
    <cellStyle name="Comma 5 4 3 2 4 2" xfId="5400" xr:uid="{00000000-0005-0000-0000-0000681C0000}"/>
    <cellStyle name="Comma 5 4 3 2 4 2 2" xfId="14237" xr:uid="{00000000-0005-0000-0000-0000691C0000}"/>
    <cellStyle name="Comma 5 4 3 2 4 2 2 2" xfId="24488" xr:uid="{00000000-0005-0000-0000-00006A1C0000}"/>
    <cellStyle name="Comma 5 4 3 2 4 2 2 2 2" xfId="50041" xr:uid="{00000000-0005-0000-0000-00006B1C0000}"/>
    <cellStyle name="Comma 5 4 3 2 4 2 2 3" xfId="39792" xr:uid="{00000000-0005-0000-0000-00006C1C0000}"/>
    <cellStyle name="Comma 5 4 3 2 4 2 3" xfId="10658" xr:uid="{00000000-0005-0000-0000-00006D1C0000}"/>
    <cellStyle name="Comma 5 4 3 2 4 2 3 2" xfId="36215" xr:uid="{00000000-0005-0000-0000-00006E1C0000}"/>
    <cellStyle name="Comma 5 4 3 2 4 2 4" xfId="19481" xr:uid="{00000000-0005-0000-0000-00006F1C0000}"/>
    <cellStyle name="Comma 5 4 3 2 4 2 4 2" xfId="45034" xr:uid="{00000000-0005-0000-0000-0000701C0000}"/>
    <cellStyle name="Comma 5 4 3 2 4 2 5" xfId="30971" xr:uid="{00000000-0005-0000-0000-0000711C0000}"/>
    <cellStyle name="Comma 5 4 3 2 4 3" xfId="6855" xr:uid="{00000000-0005-0000-0000-0000721C0000}"/>
    <cellStyle name="Comma 5 4 3 2 4 3 2" xfId="15682" xr:uid="{00000000-0005-0000-0000-0000731C0000}"/>
    <cellStyle name="Comma 5 4 3 2 4 3 2 2" xfId="41237" xr:uid="{00000000-0005-0000-0000-0000741C0000}"/>
    <cellStyle name="Comma 5 4 3 2 4 3 3" xfId="25933" xr:uid="{00000000-0005-0000-0000-0000751C0000}"/>
    <cellStyle name="Comma 5 4 3 2 4 3 3 2" xfId="51486" xr:uid="{00000000-0005-0000-0000-0000761C0000}"/>
    <cellStyle name="Comma 5 4 3 2 4 3 4" xfId="32416" xr:uid="{00000000-0005-0000-0000-0000771C0000}"/>
    <cellStyle name="Comma 5 4 3 2 4 4" xfId="8301" xr:uid="{00000000-0005-0000-0000-0000781C0000}"/>
    <cellStyle name="Comma 5 4 3 2 4 4 2" xfId="22383" xr:uid="{00000000-0005-0000-0000-0000791C0000}"/>
    <cellStyle name="Comma 5 4 3 2 4 4 2 2" xfId="47936" xr:uid="{00000000-0005-0000-0000-00007A1C0000}"/>
    <cellStyle name="Comma 5 4 3 2 4 4 3" xfId="33858" xr:uid="{00000000-0005-0000-0000-00007B1C0000}"/>
    <cellStyle name="Comma 5 4 3 2 4 5" xfId="17376" xr:uid="{00000000-0005-0000-0000-00007C1C0000}"/>
    <cellStyle name="Comma 5 4 3 2 4 5 2" xfId="42929" xr:uid="{00000000-0005-0000-0000-00007D1C0000}"/>
    <cellStyle name="Comma 5 4 3 2 4 6" xfId="28866" xr:uid="{00000000-0005-0000-0000-00007E1C0000}"/>
    <cellStyle name="Comma 5 4 3 2 5" xfId="4356" xr:uid="{00000000-0005-0000-0000-00007F1C0000}"/>
    <cellStyle name="Comma 5 4 3 2 5 2" xfId="13194" xr:uid="{00000000-0005-0000-0000-0000801C0000}"/>
    <cellStyle name="Comma 5 4 3 2 5 2 2" xfId="23445" xr:uid="{00000000-0005-0000-0000-0000811C0000}"/>
    <cellStyle name="Comma 5 4 3 2 5 2 2 2" xfId="48998" xr:uid="{00000000-0005-0000-0000-0000821C0000}"/>
    <cellStyle name="Comma 5 4 3 2 5 2 3" xfId="38749" xr:uid="{00000000-0005-0000-0000-0000831C0000}"/>
    <cellStyle name="Comma 5 4 3 2 5 3" xfId="9615" xr:uid="{00000000-0005-0000-0000-0000841C0000}"/>
    <cellStyle name="Comma 5 4 3 2 5 3 2" xfId="35172" xr:uid="{00000000-0005-0000-0000-0000851C0000}"/>
    <cellStyle name="Comma 5 4 3 2 5 4" xfId="18438" xr:uid="{00000000-0005-0000-0000-0000861C0000}"/>
    <cellStyle name="Comma 5 4 3 2 5 4 2" xfId="43991" xr:uid="{00000000-0005-0000-0000-0000871C0000}"/>
    <cellStyle name="Comma 5 4 3 2 5 5" xfId="29928" xr:uid="{00000000-0005-0000-0000-0000881C0000}"/>
    <cellStyle name="Comma 5 4 3 2 6" xfId="1628" xr:uid="{00000000-0005-0000-0000-0000891C0000}"/>
    <cellStyle name="Comma 5 4 3 2 6 2" xfId="11005" xr:uid="{00000000-0005-0000-0000-00008A1C0000}"/>
    <cellStyle name="Comma 5 4 3 2 6 2 2" xfId="36560" xr:uid="{00000000-0005-0000-0000-00008B1C0000}"/>
    <cellStyle name="Comma 5 4 3 2 6 3" xfId="21009" xr:uid="{00000000-0005-0000-0000-00008C1C0000}"/>
    <cellStyle name="Comma 5 4 3 2 6 3 2" xfId="46562" xr:uid="{00000000-0005-0000-0000-00008D1C0000}"/>
    <cellStyle name="Comma 5 4 3 2 6 4" xfId="27492" xr:uid="{00000000-0005-0000-0000-00008E1C0000}"/>
    <cellStyle name="Comma 5 4 3 2 7" xfId="5812" xr:uid="{00000000-0005-0000-0000-00008F1C0000}"/>
    <cellStyle name="Comma 5 4 3 2 7 2" xfId="14639" xr:uid="{00000000-0005-0000-0000-0000901C0000}"/>
    <cellStyle name="Comma 5 4 3 2 7 2 2" xfId="40194" xr:uid="{00000000-0005-0000-0000-0000911C0000}"/>
    <cellStyle name="Comma 5 4 3 2 7 3" xfId="24890" xr:uid="{00000000-0005-0000-0000-0000921C0000}"/>
    <cellStyle name="Comma 5 4 3 2 7 3 2" xfId="50443" xr:uid="{00000000-0005-0000-0000-0000931C0000}"/>
    <cellStyle name="Comma 5 4 3 2 7 4" xfId="31373" xr:uid="{00000000-0005-0000-0000-0000941C0000}"/>
    <cellStyle name="Comma 5 4 3 2 8" xfId="7256" xr:uid="{00000000-0005-0000-0000-0000951C0000}"/>
    <cellStyle name="Comma 5 4 3 2 8 2" xfId="19982" xr:uid="{00000000-0005-0000-0000-0000961C0000}"/>
    <cellStyle name="Comma 5 4 3 2 8 2 2" xfId="45535" xr:uid="{00000000-0005-0000-0000-0000971C0000}"/>
    <cellStyle name="Comma 5 4 3 2 8 3" xfId="32813" xr:uid="{00000000-0005-0000-0000-0000981C0000}"/>
    <cellStyle name="Comma 5 4 3 2 9" xfId="16002" xr:uid="{00000000-0005-0000-0000-0000991C0000}"/>
    <cellStyle name="Comma 5 4 3 2 9 2" xfId="41555" xr:uid="{00000000-0005-0000-0000-00009A1C0000}"/>
    <cellStyle name="Comma 5 4 3 3" xfId="436" xr:uid="{00000000-0005-0000-0000-00009B1C0000}"/>
    <cellStyle name="Comma 5 4 3 3 2" xfId="2922" xr:uid="{00000000-0005-0000-0000-00009C1C0000}"/>
    <cellStyle name="Comma 5 4 3 3 2 2" xfId="12210" xr:uid="{00000000-0005-0000-0000-00009D1C0000}"/>
    <cellStyle name="Comma 5 4 3 3 2 2 2" xfId="22283" xr:uid="{00000000-0005-0000-0000-00009E1C0000}"/>
    <cellStyle name="Comma 5 4 3 3 2 2 2 2" xfId="47836" xr:uid="{00000000-0005-0000-0000-00009F1C0000}"/>
    <cellStyle name="Comma 5 4 3 3 2 2 3" xfId="37765" xr:uid="{00000000-0005-0000-0000-0000A01C0000}"/>
    <cellStyle name="Comma 5 4 3 3 2 3" xfId="8415" xr:uid="{00000000-0005-0000-0000-0000A11C0000}"/>
    <cellStyle name="Comma 5 4 3 3 2 3 2" xfId="33972" xr:uid="{00000000-0005-0000-0000-0000A21C0000}"/>
    <cellStyle name="Comma 5 4 3 3 2 4" xfId="17276" xr:uid="{00000000-0005-0000-0000-0000A31C0000}"/>
    <cellStyle name="Comma 5 4 3 3 2 4 2" xfId="42829" xr:uid="{00000000-0005-0000-0000-0000A41C0000}"/>
    <cellStyle name="Comma 5 4 3 3 2 5" xfId="28766" xr:uid="{00000000-0005-0000-0000-0000A51C0000}"/>
    <cellStyle name="Comma 5 4 3 3 3" xfId="4482" xr:uid="{00000000-0005-0000-0000-0000A61C0000}"/>
    <cellStyle name="Comma 5 4 3 3 3 2" xfId="13320" xr:uid="{00000000-0005-0000-0000-0000A71C0000}"/>
    <cellStyle name="Comma 5 4 3 3 3 2 2" xfId="23571" xr:uid="{00000000-0005-0000-0000-0000A81C0000}"/>
    <cellStyle name="Comma 5 4 3 3 3 2 2 2" xfId="49124" xr:uid="{00000000-0005-0000-0000-0000A91C0000}"/>
    <cellStyle name="Comma 5 4 3 3 3 2 3" xfId="38875" xr:uid="{00000000-0005-0000-0000-0000AA1C0000}"/>
    <cellStyle name="Comma 5 4 3 3 3 3" xfId="9741" xr:uid="{00000000-0005-0000-0000-0000AB1C0000}"/>
    <cellStyle name="Comma 5 4 3 3 3 3 2" xfId="35298" xr:uid="{00000000-0005-0000-0000-0000AC1C0000}"/>
    <cellStyle name="Comma 5 4 3 3 3 4" xfId="18564" xr:uid="{00000000-0005-0000-0000-0000AD1C0000}"/>
    <cellStyle name="Comma 5 4 3 3 3 4 2" xfId="44117" xr:uid="{00000000-0005-0000-0000-0000AE1C0000}"/>
    <cellStyle name="Comma 5 4 3 3 3 5" xfId="30054" xr:uid="{00000000-0005-0000-0000-0000AF1C0000}"/>
    <cellStyle name="Comma 5 4 3 3 4" xfId="2031" xr:uid="{00000000-0005-0000-0000-0000B01C0000}"/>
    <cellStyle name="Comma 5 4 3 3 4 2" xfId="11396" xr:uid="{00000000-0005-0000-0000-0000B11C0000}"/>
    <cellStyle name="Comma 5 4 3 3 4 2 2" xfId="36951" xr:uid="{00000000-0005-0000-0000-0000B21C0000}"/>
    <cellStyle name="Comma 5 4 3 3 4 3" xfId="21400" xr:uid="{00000000-0005-0000-0000-0000B31C0000}"/>
    <cellStyle name="Comma 5 4 3 3 4 3 2" xfId="46953" xr:uid="{00000000-0005-0000-0000-0000B41C0000}"/>
    <cellStyle name="Comma 5 4 3 3 4 4" xfId="27883" xr:uid="{00000000-0005-0000-0000-0000B51C0000}"/>
    <cellStyle name="Comma 5 4 3 3 5" xfId="5938" xr:uid="{00000000-0005-0000-0000-0000B61C0000}"/>
    <cellStyle name="Comma 5 4 3 3 5 2" xfId="14765" xr:uid="{00000000-0005-0000-0000-0000B71C0000}"/>
    <cellStyle name="Comma 5 4 3 3 5 2 2" xfId="40320" xr:uid="{00000000-0005-0000-0000-0000B81C0000}"/>
    <cellStyle name="Comma 5 4 3 3 5 3" xfId="25016" xr:uid="{00000000-0005-0000-0000-0000B91C0000}"/>
    <cellStyle name="Comma 5 4 3 3 5 3 2" xfId="50569" xr:uid="{00000000-0005-0000-0000-0000BA1C0000}"/>
    <cellStyle name="Comma 5 4 3 3 5 4" xfId="31499" xr:uid="{00000000-0005-0000-0000-0000BB1C0000}"/>
    <cellStyle name="Comma 5 4 3 3 6" xfId="7382" xr:uid="{00000000-0005-0000-0000-0000BC1C0000}"/>
    <cellStyle name="Comma 5 4 3 3 6 2" xfId="19882" xr:uid="{00000000-0005-0000-0000-0000BD1C0000}"/>
    <cellStyle name="Comma 5 4 3 3 6 2 2" xfId="45435" xr:uid="{00000000-0005-0000-0000-0000BE1C0000}"/>
    <cellStyle name="Comma 5 4 3 3 6 3" xfId="32939" xr:uid="{00000000-0005-0000-0000-0000BF1C0000}"/>
    <cellStyle name="Comma 5 4 3 3 7" xfId="16393" xr:uid="{00000000-0005-0000-0000-0000C01C0000}"/>
    <cellStyle name="Comma 5 4 3 3 7 2" xfId="41946" xr:uid="{00000000-0005-0000-0000-0000C11C0000}"/>
    <cellStyle name="Comma 5 4 3 3 8" xfId="26365" xr:uid="{00000000-0005-0000-0000-0000C21C0000}"/>
    <cellStyle name="Comma 5 4 3 4" xfId="667" xr:uid="{00000000-0005-0000-0000-0000C31C0000}"/>
    <cellStyle name="Comma 5 4 3 4 2" xfId="3153" xr:uid="{00000000-0005-0000-0000-0000C41C0000}"/>
    <cellStyle name="Comma 5 4 3 4 2 2" xfId="12296" xr:uid="{00000000-0005-0000-0000-0000C51C0000}"/>
    <cellStyle name="Comma 5 4 3 4 2 2 2" xfId="22514" xr:uid="{00000000-0005-0000-0000-0000C61C0000}"/>
    <cellStyle name="Comma 5 4 3 4 2 2 2 2" xfId="48067" xr:uid="{00000000-0005-0000-0000-0000C71C0000}"/>
    <cellStyle name="Comma 5 4 3 4 2 2 3" xfId="37851" xr:uid="{00000000-0005-0000-0000-0000C81C0000}"/>
    <cellStyle name="Comma 5 4 3 4 2 3" xfId="8718" xr:uid="{00000000-0005-0000-0000-0000C91C0000}"/>
    <cellStyle name="Comma 5 4 3 4 2 3 2" xfId="34275" xr:uid="{00000000-0005-0000-0000-0000CA1C0000}"/>
    <cellStyle name="Comma 5 4 3 4 2 4" xfId="17507" xr:uid="{00000000-0005-0000-0000-0000CB1C0000}"/>
    <cellStyle name="Comma 5 4 3 4 2 4 2" xfId="43060" xr:uid="{00000000-0005-0000-0000-0000CC1C0000}"/>
    <cellStyle name="Comma 5 4 3 4 2 5" xfId="28997" xr:uid="{00000000-0005-0000-0000-0000CD1C0000}"/>
    <cellStyle name="Comma 5 4 3 4 3" xfId="4831" xr:uid="{00000000-0005-0000-0000-0000CE1C0000}"/>
    <cellStyle name="Comma 5 4 3 4 3 2" xfId="13668" xr:uid="{00000000-0005-0000-0000-0000CF1C0000}"/>
    <cellStyle name="Comma 5 4 3 4 3 2 2" xfId="23919" xr:uid="{00000000-0005-0000-0000-0000D01C0000}"/>
    <cellStyle name="Comma 5 4 3 4 3 2 2 2" xfId="49472" xr:uid="{00000000-0005-0000-0000-0000D11C0000}"/>
    <cellStyle name="Comma 5 4 3 4 3 2 3" xfId="39223" xr:uid="{00000000-0005-0000-0000-0000D21C0000}"/>
    <cellStyle name="Comma 5 4 3 4 3 3" xfId="10089" xr:uid="{00000000-0005-0000-0000-0000D31C0000}"/>
    <cellStyle name="Comma 5 4 3 4 3 3 2" xfId="35646" xr:uid="{00000000-0005-0000-0000-0000D41C0000}"/>
    <cellStyle name="Comma 5 4 3 4 3 4" xfId="18912" xr:uid="{00000000-0005-0000-0000-0000D51C0000}"/>
    <cellStyle name="Comma 5 4 3 4 3 4 2" xfId="44465" xr:uid="{00000000-0005-0000-0000-0000D61C0000}"/>
    <cellStyle name="Comma 5 4 3 4 3 5" xfId="30402" xr:uid="{00000000-0005-0000-0000-0000D71C0000}"/>
    <cellStyle name="Comma 5 4 3 4 4" xfId="2262" xr:uid="{00000000-0005-0000-0000-0000D81C0000}"/>
    <cellStyle name="Comma 5 4 3 4 4 2" xfId="11627" xr:uid="{00000000-0005-0000-0000-0000D91C0000}"/>
    <cellStyle name="Comma 5 4 3 4 4 2 2" xfId="37182" xr:uid="{00000000-0005-0000-0000-0000DA1C0000}"/>
    <cellStyle name="Comma 5 4 3 4 4 3" xfId="21631" xr:uid="{00000000-0005-0000-0000-0000DB1C0000}"/>
    <cellStyle name="Comma 5 4 3 4 4 3 2" xfId="47184" xr:uid="{00000000-0005-0000-0000-0000DC1C0000}"/>
    <cellStyle name="Comma 5 4 3 4 4 4" xfId="28114" xr:uid="{00000000-0005-0000-0000-0000DD1C0000}"/>
    <cellStyle name="Comma 5 4 3 4 5" xfId="6286" xr:uid="{00000000-0005-0000-0000-0000DE1C0000}"/>
    <cellStyle name="Comma 5 4 3 4 5 2" xfId="15113" xr:uid="{00000000-0005-0000-0000-0000DF1C0000}"/>
    <cellStyle name="Comma 5 4 3 4 5 2 2" xfId="40668" xr:uid="{00000000-0005-0000-0000-0000E01C0000}"/>
    <cellStyle name="Comma 5 4 3 4 5 3" xfId="25364" xr:uid="{00000000-0005-0000-0000-0000E11C0000}"/>
    <cellStyle name="Comma 5 4 3 4 5 3 2" xfId="50917" xr:uid="{00000000-0005-0000-0000-0000E21C0000}"/>
    <cellStyle name="Comma 5 4 3 4 5 4" xfId="31847" xr:uid="{00000000-0005-0000-0000-0000E31C0000}"/>
    <cellStyle name="Comma 5 4 3 4 6" xfId="7732" xr:uid="{00000000-0005-0000-0000-0000E41C0000}"/>
    <cellStyle name="Comma 5 4 3 4 6 2" xfId="20113" xr:uid="{00000000-0005-0000-0000-0000E51C0000}"/>
    <cellStyle name="Comma 5 4 3 4 6 2 2" xfId="45666" xr:uid="{00000000-0005-0000-0000-0000E61C0000}"/>
    <cellStyle name="Comma 5 4 3 4 6 3" xfId="33289" xr:uid="{00000000-0005-0000-0000-0000E71C0000}"/>
    <cellStyle name="Comma 5 4 3 4 7" xfId="16624" xr:uid="{00000000-0005-0000-0000-0000E81C0000}"/>
    <cellStyle name="Comma 5 4 3 4 7 2" xfId="42177" xr:uid="{00000000-0005-0000-0000-0000E91C0000}"/>
    <cellStyle name="Comma 5 4 3 4 8" xfId="26596" xr:uid="{00000000-0005-0000-0000-0000EA1C0000}"/>
    <cellStyle name="Comma 5 4 3 5" xfId="1208" xr:uid="{00000000-0005-0000-0000-0000EB1C0000}"/>
    <cellStyle name="Comma 5 4 3 5 2" xfId="3637" xr:uid="{00000000-0005-0000-0000-0000EC1C0000}"/>
    <cellStyle name="Comma 5 4 3 5 2 2" xfId="12773" xr:uid="{00000000-0005-0000-0000-0000ED1C0000}"/>
    <cellStyle name="Comma 5 4 3 5 2 2 2" xfId="22992" xr:uid="{00000000-0005-0000-0000-0000EE1C0000}"/>
    <cellStyle name="Comma 5 4 3 5 2 2 2 2" xfId="48545" xr:uid="{00000000-0005-0000-0000-0000EF1C0000}"/>
    <cellStyle name="Comma 5 4 3 5 2 2 3" xfId="38328" xr:uid="{00000000-0005-0000-0000-0000F01C0000}"/>
    <cellStyle name="Comma 5 4 3 5 2 3" xfId="9194" xr:uid="{00000000-0005-0000-0000-0000F11C0000}"/>
    <cellStyle name="Comma 5 4 3 5 2 3 2" xfId="34751" xr:uid="{00000000-0005-0000-0000-0000F21C0000}"/>
    <cellStyle name="Comma 5 4 3 5 2 4" xfId="17985" xr:uid="{00000000-0005-0000-0000-0000F31C0000}"/>
    <cellStyle name="Comma 5 4 3 5 2 4 2" xfId="43538" xr:uid="{00000000-0005-0000-0000-0000F41C0000}"/>
    <cellStyle name="Comma 5 4 3 5 2 5" xfId="29475" xr:uid="{00000000-0005-0000-0000-0000F51C0000}"/>
    <cellStyle name="Comma 5 4 3 5 3" xfId="5300" xr:uid="{00000000-0005-0000-0000-0000F61C0000}"/>
    <cellStyle name="Comma 5 4 3 5 3 2" xfId="14137" xr:uid="{00000000-0005-0000-0000-0000F71C0000}"/>
    <cellStyle name="Comma 5 4 3 5 3 2 2" xfId="24388" xr:uid="{00000000-0005-0000-0000-0000F81C0000}"/>
    <cellStyle name="Comma 5 4 3 5 3 2 2 2" xfId="49941" xr:uid="{00000000-0005-0000-0000-0000F91C0000}"/>
    <cellStyle name="Comma 5 4 3 5 3 2 3" xfId="39692" xr:uid="{00000000-0005-0000-0000-0000FA1C0000}"/>
    <cellStyle name="Comma 5 4 3 5 3 3" xfId="10558" xr:uid="{00000000-0005-0000-0000-0000FB1C0000}"/>
    <cellStyle name="Comma 5 4 3 5 3 3 2" xfId="36115" xr:uid="{00000000-0005-0000-0000-0000FC1C0000}"/>
    <cellStyle name="Comma 5 4 3 5 3 4" xfId="19381" xr:uid="{00000000-0005-0000-0000-0000FD1C0000}"/>
    <cellStyle name="Comma 5 4 3 5 3 4 2" xfId="44934" xr:uid="{00000000-0005-0000-0000-0000FE1C0000}"/>
    <cellStyle name="Comma 5 4 3 5 3 5" xfId="30871" xr:uid="{00000000-0005-0000-0000-0000FF1C0000}"/>
    <cellStyle name="Comma 5 4 3 5 4" xfId="1811" xr:uid="{00000000-0005-0000-0000-0000001D0000}"/>
    <cellStyle name="Comma 5 4 3 5 4 2" xfId="11179" xr:uid="{00000000-0005-0000-0000-0000011D0000}"/>
    <cellStyle name="Comma 5 4 3 5 4 2 2" xfId="36734" xr:uid="{00000000-0005-0000-0000-0000021D0000}"/>
    <cellStyle name="Comma 5 4 3 5 4 3" xfId="21183" xr:uid="{00000000-0005-0000-0000-0000031D0000}"/>
    <cellStyle name="Comma 5 4 3 5 4 3 2" xfId="46736" xr:uid="{00000000-0005-0000-0000-0000041D0000}"/>
    <cellStyle name="Comma 5 4 3 5 4 4" xfId="27666" xr:uid="{00000000-0005-0000-0000-0000051D0000}"/>
    <cellStyle name="Comma 5 4 3 5 5" xfId="6755" xr:uid="{00000000-0005-0000-0000-0000061D0000}"/>
    <cellStyle name="Comma 5 4 3 5 5 2" xfId="15582" xr:uid="{00000000-0005-0000-0000-0000071D0000}"/>
    <cellStyle name="Comma 5 4 3 5 5 2 2" xfId="41137" xr:uid="{00000000-0005-0000-0000-0000081D0000}"/>
    <cellStyle name="Comma 5 4 3 5 5 3" xfId="25833" xr:uid="{00000000-0005-0000-0000-0000091D0000}"/>
    <cellStyle name="Comma 5 4 3 5 5 3 2" xfId="51386" xr:uid="{00000000-0005-0000-0000-00000A1D0000}"/>
    <cellStyle name="Comma 5 4 3 5 5 4" xfId="32316" xr:uid="{00000000-0005-0000-0000-00000B1D0000}"/>
    <cellStyle name="Comma 5 4 3 5 6" xfId="8201" xr:uid="{00000000-0005-0000-0000-00000C1D0000}"/>
    <cellStyle name="Comma 5 4 3 5 6 2" xfId="20591" xr:uid="{00000000-0005-0000-0000-00000D1D0000}"/>
    <cellStyle name="Comma 5 4 3 5 6 2 2" xfId="46144" xr:uid="{00000000-0005-0000-0000-00000E1D0000}"/>
    <cellStyle name="Comma 5 4 3 5 6 3" xfId="33758" xr:uid="{00000000-0005-0000-0000-00000F1D0000}"/>
    <cellStyle name="Comma 5 4 3 5 7" xfId="16176" xr:uid="{00000000-0005-0000-0000-0000101D0000}"/>
    <cellStyle name="Comma 5 4 3 5 7 2" xfId="41729" xr:uid="{00000000-0005-0000-0000-0000111D0000}"/>
    <cellStyle name="Comma 5 4 3 5 8" xfId="27074" xr:uid="{00000000-0005-0000-0000-0000121D0000}"/>
    <cellStyle name="Comma 5 4 3 6" xfId="2705" xr:uid="{00000000-0005-0000-0000-0000131D0000}"/>
    <cellStyle name="Comma 5 4 3 6 2" xfId="12022" xr:uid="{00000000-0005-0000-0000-0000141D0000}"/>
    <cellStyle name="Comma 5 4 3 6 2 2" xfId="22066" xr:uid="{00000000-0005-0000-0000-0000151D0000}"/>
    <cellStyle name="Comma 5 4 3 6 2 2 2" xfId="47619" xr:uid="{00000000-0005-0000-0000-0000161D0000}"/>
    <cellStyle name="Comma 5 4 3 6 2 3" xfId="37577" xr:uid="{00000000-0005-0000-0000-0000171D0000}"/>
    <cellStyle name="Comma 5 4 3 6 3" xfId="7641" xr:uid="{00000000-0005-0000-0000-0000181D0000}"/>
    <cellStyle name="Comma 5 4 3 6 3 2" xfId="33198" xr:uid="{00000000-0005-0000-0000-0000191D0000}"/>
    <cellStyle name="Comma 5 4 3 6 4" xfId="17059" xr:uid="{00000000-0005-0000-0000-00001A1D0000}"/>
    <cellStyle name="Comma 5 4 3 6 4 2" xfId="42612" xr:uid="{00000000-0005-0000-0000-00001B1D0000}"/>
    <cellStyle name="Comma 5 4 3 6 5" xfId="28549" xr:uid="{00000000-0005-0000-0000-00001C1D0000}"/>
    <cellStyle name="Comma 5 4 3 7" xfId="4256" xr:uid="{00000000-0005-0000-0000-00001D1D0000}"/>
    <cellStyle name="Comma 5 4 3 7 2" xfId="13094" xr:uid="{00000000-0005-0000-0000-00001E1D0000}"/>
    <cellStyle name="Comma 5 4 3 7 2 2" xfId="23345" xr:uid="{00000000-0005-0000-0000-00001F1D0000}"/>
    <cellStyle name="Comma 5 4 3 7 2 2 2" xfId="48898" xr:uid="{00000000-0005-0000-0000-0000201D0000}"/>
    <cellStyle name="Comma 5 4 3 7 2 3" xfId="38649" xr:uid="{00000000-0005-0000-0000-0000211D0000}"/>
    <cellStyle name="Comma 5 4 3 7 3" xfId="9515" xr:uid="{00000000-0005-0000-0000-0000221D0000}"/>
    <cellStyle name="Comma 5 4 3 7 3 2" xfId="35072" xr:uid="{00000000-0005-0000-0000-0000231D0000}"/>
    <cellStyle name="Comma 5 4 3 7 4" xfId="18338" xr:uid="{00000000-0005-0000-0000-0000241D0000}"/>
    <cellStyle name="Comma 5 4 3 7 4 2" xfId="43891" xr:uid="{00000000-0005-0000-0000-0000251D0000}"/>
    <cellStyle name="Comma 5 4 3 7 5" xfId="29828" xr:uid="{00000000-0005-0000-0000-0000261D0000}"/>
    <cellStyle name="Comma 5 4 3 8" xfId="1528" xr:uid="{00000000-0005-0000-0000-0000271D0000}"/>
    <cellStyle name="Comma 5 4 3 8 2" xfId="10905" xr:uid="{00000000-0005-0000-0000-0000281D0000}"/>
    <cellStyle name="Comma 5 4 3 8 2 2" xfId="36460" xr:uid="{00000000-0005-0000-0000-0000291D0000}"/>
    <cellStyle name="Comma 5 4 3 8 3" xfId="20909" xr:uid="{00000000-0005-0000-0000-00002A1D0000}"/>
    <cellStyle name="Comma 5 4 3 8 3 2" xfId="46462" xr:uid="{00000000-0005-0000-0000-00002B1D0000}"/>
    <cellStyle name="Comma 5 4 3 8 4" xfId="27392" xr:uid="{00000000-0005-0000-0000-00002C1D0000}"/>
    <cellStyle name="Comma 5 4 3 9" xfId="5712" xr:uid="{00000000-0005-0000-0000-00002D1D0000}"/>
    <cellStyle name="Comma 5 4 3 9 2" xfId="14539" xr:uid="{00000000-0005-0000-0000-00002E1D0000}"/>
    <cellStyle name="Comma 5 4 3 9 2 2" xfId="40094" xr:uid="{00000000-0005-0000-0000-00002F1D0000}"/>
    <cellStyle name="Comma 5 4 3 9 3" xfId="24790" xr:uid="{00000000-0005-0000-0000-0000301D0000}"/>
    <cellStyle name="Comma 5 4 3 9 3 2" xfId="50343" xr:uid="{00000000-0005-0000-0000-0000311D0000}"/>
    <cellStyle name="Comma 5 4 3 9 4" xfId="31273" xr:uid="{00000000-0005-0000-0000-0000321D0000}"/>
    <cellStyle name="Comma 5 4 4" xfId="243" xr:uid="{00000000-0005-0000-0000-0000331D0000}"/>
    <cellStyle name="Comma 5 4 4 10" xfId="7081" xr:uid="{00000000-0005-0000-0000-0000341D0000}"/>
    <cellStyle name="Comma 5 4 4 10 2" xfId="19695" xr:uid="{00000000-0005-0000-0000-0000351D0000}"/>
    <cellStyle name="Comma 5 4 4 10 2 2" xfId="45248" xr:uid="{00000000-0005-0000-0000-0000361D0000}"/>
    <cellStyle name="Comma 5 4 4 10 3" xfId="32638" xr:uid="{00000000-0005-0000-0000-0000371D0000}"/>
    <cellStyle name="Comma 5 4 4 11" xfId="15827" xr:uid="{00000000-0005-0000-0000-0000381D0000}"/>
    <cellStyle name="Comma 5 4 4 11 2" xfId="41380" xr:uid="{00000000-0005-0000-0000-0000391D0000}"/>
    <cellStyle name="Comma 5 4 4 12" xfId="26178" xr:uid="{00000000-0005-0000-0000-00003A1D0000}"/>
    <cellStyle name="Comma 5 4 4 2" xfId="566" xr:uid="{00000000-0005-0000-0000-00003B1D0000}"/>
    <cellStyle name="Comma 5 4 4 2 10" xfId="26495" xr:uid="{00000000-0005-0000-0000-00003C1D0000}"/>
    <cellStyle name="Comma 5 4 4 2 2" xfId="670" xr:uid="{00000000-0005-0000-0000-00003D1D0000}"/>
    <cellStyle name="Comma 5 4 4 2 2 2" xfId="3156" xr:uid="{00000000-0005-0000-0000-00003E1D0000}"/>
    <cellStyle name="Comma 5 4 4 2 2 2 2" xfId="12299" xr:uid="{00000000-0005-0000-0000-00003F1D0000}"/>
    <cellStyle name="Comma 5 4 4 2 2 2 2 2" xfId="22517" xr:uid="{00000000-0005-0000-0000-0000401D0000}"/>
    <cellStyle name="Comma 5 4 4 2 2 2 2 2 2" xfId="48070" xr:uid="{00000000-0005-0000-0000-0000411D0000}"/>
    <cellStyle name="Comma 5 4 4 2 2 2 2 3" xfId="37854" xr:uid="{00000000-0005-0000-0000-0000421D0000}"/>
    <cellStyle name="Comma 5 4 4 2 2 2 3" xfId="8721" xr:uid="{00000000-0005-0000-0000-0000431D0000}"/>
    <cellStyle name="Comma 5 4 4 2 2 2 3 2" xfId="34278" xr:uid="{00000000-0005-0000-0000-0000441D0000}"/>
    <cellStyle name="Comma 5 4 4 2 2 2 4" xfId="17510" xr:uid="{00000000-0005-0000-0000-0000451D0000}"/>
    <cellStyle name="Comma 5 4 4 2 2 2 4 2" xfId="43063" xr:uid="{00000000-0005-0000-0000-0000461D0000}"/>
    <cellStyle name="Comma 5 4 4 2 2 2 5" xfId="29000" xr:uid="{00000000-0005-0000-0000-0000471D0000}"/>
    <cellStyle name="Comma 5 4 4 2 2 3" xfId="4485" xr:uid="{00000000-0005-0000-0000-0000481D0000}"/>
    <cellStyle name="Comma 5 4 4 2 2 3 2" xfId="13323" xr:uid="{00000000-0005-0000-0000-0000491D0000}"/>
    <cellStyle name="Comma 5 4 4 2 2 3 2 2" xfId="23574" xr:uid="{00000000-0005-0000-0000-00004A1D0000}"/>
    <cellStyle name="Comma 5 4 4 2 2 3 2 2 2" xfId="49127" xr:uid="{00000000-0005-0000-0000-00004B1D0000}"/>
    <cellStyle name="Comma 5 4 4 2 2 3 2 3" xfId="38878" xr:uid="{00000000-0005-0000-0000-00004C1D0000}"/>
    <cellStyle name="Comma 5 4 4 2 2 3 3" xfId="9744" xr:uid="{00000000-0005-0000-0000-00004D1D0000}"/>
    <cellStyle name="Comma 5 4 4 2 2 3 3 2" xfId="35301" xr:uid="{00000000-0005-0000-0000-00004E1D0000}"/>
    <cellStyle name="Comma 5 4 4 2 2 3 4" xfId="18567" xr:uid="{00000000-0005-0000-0000-00004F1D0000}"/>
    <cellStyle name="Comma 5 4 4 2 2 3 4 2" xfId="44120" xr:uid="{00000000-0005-0000-0000-0000501D0000}"/>
    <cellStyle name="Comma 5 4 4 2 2 3 5" xfId="30057" xr:uid="{00000000-0005-0000-0000-0000511D0000}"/>
    <cellStyle name="Comma 5 4 4 2 2 4" xfId="2265" xr:uid="{00000000-0005-0000-0000-0000521D0000}"/>
    <cellStyle name="Comma 5 4 4 2 2 4 2" xfId="11630" xr:uid="{00000000-0005-0000-0000-0000531D0000}"/>
    <cellStyle name="Comma 5 4 4 2 2 4 2 2" xfId="37185" xr:uid="{00000000-0005-0000-0000-0000541D0000}"/>
    <cellStyle name="Comma 5 4 4 2 2 4 3" xfId="21634" xr:uid="{00000000-0005-0000-0000-0000551D0000}"/>
    <cellStyle name="Comma 5 4 4 2 2 4 3 2" xfId="47187" xr:uid="{00000000-0005-0000-0000-0000561D0000}"/>
    <cellStyle name="Comma 5 4 4 2 2 4 4" xfId="28117" xr:uid="{00000000-0005-0000-0000-0000571D0000}"/>
    <cellStyle name="Comma 5 4 4 2 2 5" xfId="5941" xr:uid="{00000000-0005-0000-0000-0000581D0000}"/>
    <cellStyle name="Comma 5 4 4 2 2 5 2" xfId="14768" xr:uid="{00000000-0005-0000-0000-0000591D0000}"/>
    <cellStyle name="Comma 5 4 4 2 2 5 2 2" xfId="40323" xr:uid="{00000000-0005-0000-0000-00005A1D0000}"/>
    <cellStyle name="Comma 5 4 4 2 2 5 3" xfId="25019" xr:uid="{00000000-0005-0000-0000-00005B1D0000}"/>
    <cellStyle name="Comma 5 4 4 2 2 5 3 2" xfId="50572" xr:uid="{00000000-0005-0000-0000-00005C1D0000}"/>
    <cellStyle name="Comma 5 4 4 2 2 5 4" xfId="31502" xr:uid="{00000000-0005-0000-0000-00005D1D0000}"/>
    <cellStyle name="Comma 5 4 4 2 2 6" xfId="7385" xr:uid="{00000000-0005-0000-0000-00005E1D0000}"/>
    <cellStyle name="Comma 5 4 4 2 2 6 2" xfId="20116" xr:uid="{00000000-0005-0000-0000-00005F1D0000}"/>
    <cellStyle name="Comma 5 4 4 2 2 6 2 2" xfId="45669" xr:uid="{00000000-0005-0000-0000-0000601D0000}"/>
    <cellStyle name="Comma 5 4 4 2 2 6 3" xfId="32942" xr:uid="{00000000-0005-0000-0000-0000611D0000}"/>
    <cellStyle name="Comma 5 4 4 2 2 7" xfId="16627" xr:uid="{00000000-0005-0000-0000-0000621D0000}"/>
    <cellStyle name="Comma 5 4 4 2 2 7 2" xfId="42180" xr:uid="{00000000-0005-0000-0000-0000631D0000}"/>
    <cellStyle name="Comma 5 4 4 2 2 8" xfId="26599" xr:uid="{00000000-0005-0000-0000-0000641D0000}"/>
    <cellStyle name="Comma 5 4 4 2 3" xfId="1338" xr:uid="{00000000-0005-0000-0000-0000651D0000}"/>
    <cellStyle name="Comma 5 4 4 2 3 2" xfId="3767" xr:uid="{00000000-0005-0000-0000-0000661D0000}"/>
    <cellStyle name="Comma 5 4 4 2 3 2 2" xfId="12903" xr:uid="{00000000-0005-0000-0000-0000671D0000}"/>
    <cellStyle name="Comma 5 4 4 2 3 2 2 2" xfId="23122" xr:uid="{00000000-0005-0000-0000-0000681D0000}"/>
    <cellStyle name="Comma 5 4 4 2 3 2 2 2 2" xfId="48675" xr:uid="{00000000-0005-0000-0000-0000691D0000}"/>
    <cellStyle name="Comma 5 4 4 2 3 2 2 3" xfId="38458" xr:uid="{00000000-0005-0000-0000-00006A1D0000}"/>
    <cellStyle name="Comma 5 4 4 2 3 2 3" xfId="9324" xr:uid="{00000000-0005-0000-0000-00006B1D0000}"/>
    <cellStyle name="Comma 5 4 4 2 3 2 3 2" xfId="34881" xr:uid="{00000000-0005-0000-0000-00006C1D0000}"/>
    <cellStyle name="Comma 5 4 4 2 3 2 4" xfId="18115" xr:uid="{00000000-0005-0000-0000-00006D1D0000}"/>
    <cellStyle name="Comma 5 4 4 2 3 2 4 2" xfId="43668" xr:uid="{00000000-0005-0000-0000-00006E1D0000}"/>
    <cellStyle name="Comma 5 4 4 2 3 2 5" xfId="29605" xr:uid="{00000000-0005-0000-0000-00006F1D0000}"/>
    <cellStyle name="Comma 5 4 4 2 3 3" xfId="4834" xr:uid="{00000000-0005-0000-0000-0000701D0000}"/>
    <cellStyle name="Comma 5 4 4 2 3 3 2" xfId="13671" xr:uid="{00000000-0005-0000-0000-0000711D0000}"/>
    <cellStyle name="Comma 5 4 4 2 3 3 2 2" xfId="23922" xr:uid="{00000000-0005-0000-0000-0000721D0000}"/>
    <cellStyle name="Comma 5 4 4 2 3 3 2 2 2" xfId="49475" xr:uid="{00000000-0005-0000-0000-0000731D0000}"/>
    <cellStyle name="Comma 5 4 4 2 3 3 2 3" xfId="39226" xr:uid="{00000000-0005-0000-0000-0000741D0000}"/>
    <cellStyle name="Comma 5 4 4 2 3 3 3" xfId="10092" xr:uid="{00000000-0005-0000-0000-0000751D0000}"/>
    <cellStyle name="Comma 5 4 4 2 3 3 3 2" xfId="35649" xr:uid="{00000000-0005-0000-0000-0000761D0000}"/>
    <cellStyle name="Comma 5 4 4 2 3 3 4" xfId="18915" xr:uid="{00000000-0005-0000-0000-0000771D0000}"/>
    <cellStyle name="Comma 5 4 4 2 3 3 4 2" xfId="44468" xr:uid="{00000000-0005-0000-0000-0000781D0000}"/>
    <cellStyle name="Comma 5 4 4 2 3 3 5" xfId="30405" xr:uid="{00000000-0005-0000-0000-0000791D0000}"/>
    <cellStyle name="Comma 5 4 4 2 3 4" xfId="2161" xr:uid="{00000000-0005-0000-0000-00007A1D0000}"/>
    <cellStyle name="Comma 5 4 4 2 3 4 2" xfId="11526" xr:uid="{00000000-0005-0000-0000-00007B1D0000}"/>
    <cellStyle name="Comma 5 4 4 2 3 4 2 2" xfId="37081" xr:uid="{00000000-0005-0000-0000-00007C1D0000}"/>
    <cellStyle name="Comma 5 4 4 2 3 4 3" xfId="21530" xr:uid="{00000000-0005-0000-0000-00007D1D0000}"/>
    <cellStyle name="Comma 5 4 4 2 3 4 3 2" xfId="47083" xr:uid="{00000000-0005-0000-0000-00007E1D0000}"/>
    <cellStyle name="Comma 5 4 4 2 3 4 4" xfId="28013" xr:uid="{00000000-0005-0000-0000-00007F1D0000}"/>
    <cellStyle name="Comma 5 4 4 2 3 5" xfId="6289" xr:uid="{00000000-0005-0000-0000-0000801D0000}"/>
    <cellStyle name="Comma 5 4 4 2 3 5 2" xfId="15116" xr:uid="{00000000-0005-0000-0000-0000811D0000}"/>
    <cellStyle name="Comma 5 4 4 2 3 5 2 2" xfId="40671" xr:uid="{00000000-0005-0000-0000-0000821D0000}"/>
    <cellStyle name="Comma 5 4 4 2 3 5 3" xfId="25367" xr:uid="{00000000-0005-0000-0000-0000831D0000}"/>
    <cellStyle name="Comma 5 4 4 2 3 5 3 2" xfId="50920" xr:uid="{00000000-0005-0000-0000-0000841D0000}"/>
    <cellStyle name="Comma 5 4 4 2 3 5 4" xfId="31850" xr:uid="{00000000-0005-0000-0000-0000851D0000}"/>
    <cellStyle name="Comma 5 4 4 2 3 6" xfId="7735" xr:uid="{00000000-0005-0000-0000-0000861D0000}"/>
    <cellStyle name="Comma 5 4 4 2 3 6 2" xfId="20721" xr:uid="{00000000-0005-0000-0000-0000871D0000}"/>
    <cellStyle name="Comma 5 4 4 2 3 6 2 2" xfId="46274" xr:uid="{00000000-0005-0000-0000-0000881D0000}"/>
    <cellStyle name="Comma 5 4 4 2 3 6 3" xfId="33292" xr:uid="{00000000-0005-0000-0000-0000891D0000}"/>
    <cellStyle name="Comma 5 4 4 2 3 7" xfId="16523" xr:uid="{00000000-0005-0000-0000-00008A1D0000}"/>
    <cellStyle name="Comma 5 4 4 2 3 7 2" xfId="42076" xr:uid="{00000000-0005-0000-0000-00008B1D0000}"/>
    <cellStyle name="Comma 5 4 4 2 3 8" xfId="27204" xr:uid="{00000000-0005-0000-0000-00008C1D0000}"/>
    <cellStyle name="Comma 5 4 4 2 4" xfId="3052" xr:uid="{00000000-0005-0000-0000-00008D1D0000}"/>
    <cellStyle name="Comma 5 4 4 2 4 2" xfId="5430" xr:uid="{00000000-0005-0000-0000-00008E1D0000}"/>
    <cellStyle name="Comma 5 4 4 2 4 2 2" xfId="14267" xr:uid="{00000000-0005-0000-0000-00008F1D0000}"/>
    <cellStyle name="Comma 5 4 4 2 4 2 2 2" xfId="24518" xr:uid="{00000000-0005-0000-0000-0000901D0000}"/>
    <cellStyle name="Comma 5 4 4 2 4 2 2 2 2" xfId="50071" xr:uid="{00000000-0005-0000-0000-0000911D0000}"/>
    <cellStyle name="Comma 5 4 4 2 4 2 2 3" xfId="39822" xr:uid="{00000000-0005-0000-0000-0000921D0000}"/>
    <cellStyle name="Comma 5 4 4 2 4 2 3" xfId="10688" xr:uid="{00000000-0005-0000-0000-0000931D0000}"/>
    <cellStyle name="Comma 5 4 4 2 4 2 3 2" xfId="36245" xr:uid="{00000000-0005-0000-0000-0000941D0000}"/>
    <cellStyle name="Comma 5 4 4 2 4 2 4" xfId="19511" xr:uid="{00000000-0005-0000-0000-0000951D0000}"/>
    <cellStyle name="Comma 5 4 4 2 4 2 4 2" xfId="45064" xr:uid="{00000000-0005-0000-0000-0000961D0000}"/>
    <cellStyle name="Comma 5 4 4 2 4 2 5" xfId="31001" xr:uid="{00000000-0005-0000-0000-0000971D0000}"/>
    <cellStyle name="Comma 5 4 4 2 4 3" xfId="6885" xr:uid="{00000000-0005-0000-0000-0000981D0000}"/>
    <cellStyle name="Comma 5 4 4 2 4 3 2" xfId="15712" xr:uid="{00000000-0005-0000-0000-0000991D0000}"/>
    <cellStyle name="Comma 5 4 4 2 4 3 2 2" xfId="41267" xr:uid="{00000000-0005-0000-0000-00009A1D0000}"/>
    <cellStyle name="Comma 5 4 4 2 4 3 3" xfId="25963" xr:uid="{00000000-0005-0000-0000-00009B1D0000}"/>
    <cellStyle name="Comma 5 4 4 2 4 3 3 2" xfId="51516" xr:uid="{00000000-0005-0000-0000-00009C1D0000}"/>
    <cellStyle name="Comma 5 4 4 2 4 3 4" xfId="32446" xr:uid="{00000000-0005-0000-0000-00009D1D0000}"/>
    <cellStyle name="Comma 5 4 4 2 4 4" xfId="8331" xr:uid="{00000000-0005-0000-0000-00009E1D0000}"/>
    <cellStyle name="Comma 5 4 4 2 4 4 2" xfId="22413" xr:uid="{00000000-0005-0000-0000-00009F1D0000}"/>
    <cellStyle name="Comma 5 4 4 2 4 4 2 2" xfId="47966" xr:uid="{00000000-0005-0000-0000-0000A01D0000}"/>
    <cellStyle name="Comma 5 4 4 2 4 4 3" xfId="33888" xr:uid="{00000000-0005-0000-0000-0000A11D0000}"/>
    <cellStyle name="Comma 5 4 4 2 4 5" xfId="17406" xr:uid="{00000000-0005-0000-0000-0000A21D0000}"/>
    <cellStyle name="Comma 5 4 4 2 4 5 2" xfId="42959" xr:uid="{00000000-0005-0000-0000-0000A31D0000}"/>
    <cellStyle name="Comma 5 4 4 2 4 6" xfId="28896" xr:uid="{00000000-0005-0000-0000-0000A41D0000}"/>
    <cellStyle name="Comma 5 4 4 2 5" xfId="4386" xr:uid="{00000000-0005-0000-0000-0000A51D0000}"/>
    <cellStyle name="Comma 5 4 4 2 5 2" xfId="13224" xr:uid="{00000000-0005-0000-0000-0000A61D0000}"/>
    <cellStyle name="Comma 5 4 4 2 5 2 2" xfId="23475" xr:uid="{00000000-0005-0000-0000-0000A71D0000}"/>
    <cellStyle name="Comma 5 4 4 2 5 2 2 2" xfId="49028" xr:uid="{00000000-0005-0000-0000-0000A81D0000}"/>
    <cellStyle name="Comma 5 4 4 2 5 2 3" xfId="38779" xr:uid="{00000000-0005-0000-0000-0000A91D0000}"/>
    <cellStyle name="Comma 5 4 4 2 5 3" xfId="9645" xr:uid="{00000000-0005-0000-0000-0000AA1D0000}"/>
    <cellStyle name="Comma 5 4 4 2 5 3 2" xfId="35202" xr:uid="{00000000-0005-0000-0000-0000AB1D0000}"/>
    <cellStyle name="Comma 5 4 4 2 5 4" xfId="18468" xr:uid="{00000000-0005-0000-0000-0000AC1D0000}"/>
    <cellStyle name="Comma 5 4 4 2 5 4 2" xfId="44021" xr:uid="{00000000-0005-0000-0000-0000AD1D0000}"/>
    <cellStyle name="Comma 5 4 4 2 5 5" xfId="29958" xr:uid="{00000000-0005-0000-0000-0000AE1D0000}"/>
    <cellStyle name="Comma 5 4 4 2 6" xfId="1658" xr:uid="{00000000-0005-0000-0000-0000AF1D0000}"/>
    <cellStyle name="Comma 5 4 4 2 6 2" xfId="11035" xr:uid="{00000000-0005-0000-0000-0000B01D0000}"/>
    <cellStyle name="Comma 5 4 4 2 6 2 2" xfId="36590" xr:uid="{00000000-0005-0000-0000-0000B11D0000}"/>
    <cellStyle name="Comma 5 4 4 2 6 3" xfId="21039" xr:uid="{00000000-0005-0000-0000-0000B21D0000}"/>
    <cellStyle name="Comma 5 4 4 2 6 3 2" xfId="46592" xr:uid="{00000000-0005-0000-0000-0000B31D0000}"/>
    <cellStyle name="Comma 5 4 4 2 6 4" xfId="27522" xr:uid="{00000000-0005-0000-0000-0000B41D0000}"/>
    <cellStyle name="Comma 5 4 4 2 7" xfId="5842" xr:uid="{00000000-0005-0000-0000-0000B51D0000}"/>
    <cellStyle name="Comma 5 4 4 2 7 2" xfId="14669" xr:uid="{00000000-0005-0000-0000-0000B61D0000}"/>
    <cellStyle name="Comma 5 4 4 2 7 2 2" xfId="40224" xr:uid="{00000000-0005-0000-0000-0000B71D0000}"/>
    <cellStyle name="Comma 5 4 4 2 7 3" xfId="24920" xr:uid="{00000000-0005-0000-0000-0000B81D0000}"/>
    <cellStyle name="Comma 5 4 4 2 7 3 2" xfId="50473" xr:uid="{00000000-0005-0000-0000-0000B91D0000}"/>
    <cellStyle name="Comma 5 4 4 2 7 4" xfId="31403" xr:uid="{00000000-0005-0000-0000-0000BA1D0000}"/>
    <cellStyle name="Comma 5 4 4 2 8" xfId="7286" xr:uid="{00000000-0005-0000-0000-0000BB1D0000}"/>
    <cellStyle name="Comma 5 4 4 2 8 2" xfId="20012" xr:uid="{00000000-0005-0000-0000-0000BC1D0000}"/>
    <cellStyle name="Comma 5 4 4 2 8 2 2" xfId="45565" xr:uid="{00000000-0005-0000-0000-0000BD1D0000}"/>
    <cellStyle name="Comma 5 4 4 2 8 3" xfId="32843" xr:uid="{00000000-0005-0000-0000-0000BE1D0000}"/>
    <cellStyle name="Comma 5 4 4 2 9" xfId="16032" xr:uid="{00000000-0005-0000-0000-0000BF1D0000}"/>
    <cellStyle name="Comma 5 4 4 2 9 2" xfId="41585" xr:uid="{00000000-0005-0000-0000-0000C01D0000}"/>
    <cellStyle name="Comma 5 4 4 3" xfId="361" xr:uid="{00000000-0005-0000-0000-0000C11D0000}"/>
    <cellStyle name="Comma 5 4 4 3 2" xfId="2847" xr:uid="{00000000-0005-0000-0000-0000C21D0000}"/>
    <cellStyle name="Comma 5 4 4 3 2 2" xfId="12135" xr:uid="{00000000-0005-0000-0000-0000C31D0000}"/>
    <cellStyle name="Comma 5 4 4 3 2 2 2" xfId="22208" xr:uid="{00000000-0005-0000-0000-0000C41D0000}"/>
    <cellStyle name="Comma 5 4 4 3 2 2 2 2" xfId="47761" xr:uid="{00000000-0005-0000-0000-0000C51D0000}"/>
    <cellStyle name="Comma 5 4 4 3 2 2 3" xfId="37690" xr:uid="{00000000-0005-0000-0000-0000C61D0000}"/>
    <cellStyle name="Comma 5 4 4 3 2 3" xfId="8516" xr:uid="{00000000-0005-0000-0000-0000C71D0000}"/>
    <cellStyle name="Comma 5 4 4 3 2 3 2" xfId="34073" xr:uid="{00000000-0005-0000-0000-0000C81D0000}"/>
    <cellStyle name="Comma 5 4 4 3 2 4" xfId="17201" xr:uid="{00000000-0005-0000-0000-0000C91D0000}"/>
    <cellStyle name="Comma 5 4 4 3 2 4 2" xfId="42754" xr:uid="{00000000-0005-0000-0000-0000CA1D0000}"/>
    <cellStyle name="Comma 5 4 4 3 2 5" xfId="28691" xr:uid="{00000000-0005-0000-0000-0000CB1D0000}"/>
    <cellStyle name="Comma 5 4 4 3 3" xfId="4484" xr:uid="{00000000-0005-0000-0000-0000CC1D0000}"/>
    <cellStyle name="Comma 5 4 4 3 3 2" xfId="13322" xr:uid="{00000000-0005-0000-0000-0000CD1D0000}"/>
    <cellStyle name="Comma 5 4 4 3 3 2 2" xfId="23573" xr:uid="{00000000-0005-0000-0000-0000CE1D0000}"/>
    <cellStyle name="Comma 5 4 4 3 3 2 2 2" xfId="49126" xr:uid="{00000000-0005-0000-0000-0000CF1D0000}"/>
    <cellStyle name="Comma 5 4 4 3 3 2 3" xfId="38877" xr:uid="{00000000-0005-0000-0000-0000D01D0000}"/>
    <cellStyle name="Comma 5 4 4 3 3 3" xfId="9743" xr:uid="{00000000-0005-0000-0000-0000D11D0000}"/>
    <cellStyle name="Comma 5 4 4 3 3 3 2" xfId="35300" xr:uid="{00000000-0005-0000-0000-0000D21D0000}"/>
    <cellStyle name="Comma 5 4 4 3 3 4" xfId="18566" xr:uid="{00000000-0005-0000-0000-0000D31D0000}"/>
    <cellStyle name="Comma 5 4 4 3 3 4 2" xfId="44119" xr:uid="{00000000-0005-0000-0000-0000D41D0000}"/>
    <cellStyle name="Comma 5 4 4 3 3 5" xfId="30056" xr:uid="{00000000-0005-0000-0000-0000D51D0000}"/>
    <cellStyle name="Comma 5 4 4 3 4" xfId="1956" xr:uid="{00000000-0005-0000-0000-0000D61D0000}"/>
    <cellStyle name="Comma 5 4 4 3 4 2" xfId="11321" xr:uid="{00000000-0005-0000-0000-0000D71D0000}"/>
    <cellStyle name="Comma 5 4 4 3 4 2 2" xfId="36876" xr:uid="{00000000-0005-0000-0000-0000D81D0000}"/>
    <cellStyle name="Comma 5 4 4 3 4 3" xfId="21325" xr:uid="{00000000-0005-0000-0000-0000D91D0000}"/>
    <cellStyle name="Comma 5 4 4 3 4 3 2" xfId="46878" xr:uid="{00000000-0005-0000-0000-0000DA1D0000}"/>
    <cellStyle name="Comma 5 4 4 3 4 4" xfId="27808" xr:uid="{00000000-0005-0000-0000-0000DB1D0000}"/>
    <cellStyle name="Comma 5 4 4 3 5" xfId="5940" xr:uid="{00000000-0005-0000-0000-0000DC1D0000}"/>
    <cellStyle name="Comma 5 4 4 3 5 2" xfId="14767" xr:uid="{00000000-0005-0000-0000-0000DD1D0000}"/>
    <cellStyle name="Comma 5 4 4 3 5 2 2" xfId="40322" xr:uid="{00000000-0005-0000-0000-0000DE1D0000}"/>
    <cellStyle name="Comma 5 4 4 3 5 3" xfId="25018" xr:uid="{00000000-0005-0000-0000-0000DF1D0000}"/>
    <cellStyle name="Comma 5 4 4 3 5 3 2" xfId="50571" xr:uid="{00000000-0005-0000-0000-0000E01D0000}"/>
    <cellStyle name="Comma 5 4 4 3 5 4" xfId="31501" xr:uid="{00000000-0005-0000-0000-0000E11D0000}"/>
    <cellStyle name="Comma 5 4 4 3 6" xfId="7384" xr:uid="{00000000-0005-0000-0000-0000E21D0000}"/>
    <cellStyle name="Comma 5 4 4 3 6 2" xfId="19807" xr:uid="{00000000-0005-0000-0000-0000E31D0000}"/>
    <cellStyle name="Comma 5 4 4 3 6 2 2" xfId="45360" xr:uid="{00000000-0005-0000-0000-0000E41D0000}"/>
    <cellStyle name="Comma 5 4 4 3 6 3" xfId="32941" xr:uid="{00000000-0005-0000-0000-0000E51D0000}"/>
    <cellStyle name="Comma 5 4 4 3 7" xfId="16318" xr:uid="{00000000-0005-0000-0000-0000E61D0000}"/>
    <cellStyle name="Comma 5 4 4 3 7 2" xfId="41871" xr:uid="{00000000-0005-0000-0000-0000E71D0000}"/>
    <cellStyle name="Comma 5 4 4 3 8" xfId="26290" xr:uid="{00000000-0005-0000-0000-0000E81D0000}"/>
    <cellStyle name="Comma 5 4 4 4" xfId="669" xr:uid="{00000000-0005-0000-0000-0000E91D0000}"/>
    <cellStyle name="Comma 5 4 4 4 2" xfId="3155" xr:uid="{00000000-0005-0000-0000-0000EA1D0000}"/>
    <cellStyle name="Comma 5 4 4 4 2 2" xfId="12298" xr:uid="{00000000-0005-0000-0000-0000EB1D0000}"/>
    <cellStyle name="Comma 5 4 4 4 2 2 2" xfId="22516" xr:uid="{00000000-0005-0000-0000-0000EC1D0000}"/>
    <cellStyle name="Comma 5 4 4 4 2 2 2 2" xfId="48069" xr:uid="{00000000-0005-0000-0000-0000ED1D0000}"/>
    <cellStyle name="Comma 5 4 4 4 2 2 3" xfId="37853" xr:uid="{00000000-0005-0000-0000-0000EE1D0000}"/>
    <cellStyle name="Comma 5 4 4 4 2 3" xfId="8720" xr:uid="{00000000-0005-0000-0000-0000EF1D0000}"/>
    <cellStyle name="Comma 5 4 4 4 2 3 2" xfId="34277" xr:uid="{00000000-0005-0000-0000-0000F01D0000}"/>
    <cellStyle name="Comma 5 4 4 4 2 4" xfId="17509" xr:uid="{00000000-0005-0000-0000-0000F11D0000}"/>
    <cellStyle name="Comma 5 4 4 4 2 4 2" xfId="43062" xr:uid="{00000000-0005-0000-0000-0000F21D0000}"/>
    <cellStyle name="Comma 5 4 4 4 2 5" xfId="28999" xr:uid="{00000000-0005-0000-0000-0000F31D0000}"/>
    <cellStyle name="Comma 5 4 4 4 3" xfId="4833" xr:uid="{00000000-0005-0000-0000-0000F41D0000}"/>
    <cellStyle name="Comma 5 4 4 4 3 2" xfId="13670" xr:uid="{00000000-0005-0000-0000-0000F51D0000}"/>
    <cellStyle name="Comma 5 4 4 4 3 2 2" xfId="23921" xr:uid="{00000000-0005-0000-0000-0000F61D0000}"/>
    <cellStyle name="Comma 5 4 4 4 3 2 2 2" xfId="49474" xr:uid="{00000000-0005-0000-0000-0000F71D0000}"/>
    <cellStyle name="Comma 5 4 4 4 3 2 3" xfId="39225" xr:uid="{00000000-0005-0000-0000-0000F81D0000}"/>
    <cellStyle name="Comma 5 4 4 4 3 3" xfId="10091" xr:uid="{00000000-0005-0000-0000-0000F91D0000}"/>
    <cellStyle name="Comma 5 4 4 4 3 3 2" xfId="35648" xr:uid="{00000000-0005-0000-0000-0000FA1D0000}"/>
    <cellStyle name="Comma 5 4 4 4 3 4" xfId="18914" xr:uid="{00000000-0005-0000-0000-0000FB1D0000}"/>
    <cellStyle name="Comma 5 4 4 4 3 4 2" xfId="44467" xr:uid="{00000000-0005-0000-0000-0000FC1D0000}"/>
    <cellStyle name="Comma 5 4 4 4 3 5" xfId="30404" xr:uid="{00000000-0005-0000-0000-0000FD1D0000}"/>
    <cellStyle name="Comma 5 4 4 4 4" xfId="2264" xr:uid="{00000000-0005-0000-0000-0000FE1D0000}"/>
    <cellStyle name="Comma 5 4 4 4 4 2" xfId="11629" xr:uid="{00000000-0005-0000-0000-0000FF1D0000}"/>
    <cellStyle name="Comma 5 4 4 4 4 2 2" xfId="37184" xr:uid="{00000000-0005-0000-0000-0000001E0000}"/>
    <cellStyle name="Comma 5 4 4 4 4 3" xfId="21633" xr:uid="{00000000-0005-0000-0000-0000011E0000}"/>
    <cellStyle name="Comma 5 4 4 4 4 3 2" xfId="47186" xr:uid="{00000000-0005-0000-0000-0000021E0000}"/>
    <cellStyle name="Comma 5 4 4 4 4 4" xfId="28116" xr:uid="{00000000-0005-0000-0000-0000031E0000}"/>
    <cellStyle name="Comma 5 4 4 4 5" xfId="6288" xr:uid="{00000000-0005-0000-0000-0000041E0000}"/>
    <cellStyle name="Comma 5 4 4 4 5 2" xfId="15115" xr:uid="{00000000-0005-0000-0000-0000051E0000}"/>
    <cellStyle name="Comma 5 4 4 4 5 2 2" xfId="40670" xr:uid="{00000000-0005-0000-0000-0000061E0000}"/>
    <cellStyle name="Comma 5 4 4 4 5 3" xfId="25366" xr:uid="{00000000-0005-0000-0000-0000071E0000}"/>
    <cellStyle name="Comma 5 4 4 4 5 3 2" xfId="50919" xr:uid="{00000000-0005-0000-0000-0000081E0000}"/>
    <cellStyle name="Comma 5 4 4 4 5 4" xfId="31849" xr:uid="{00000000-0005-0000-0000-0000091E0000}"/>
    <cellStyle name="Comma 5 4 4 4 6" xfId="7734" xr:uid="{00000000-0005-0000-0000-00000A1E0000}"/>
    <cellStyle name="Comma 5 4 4 4 6 2" xfId="20115" xr:uid="{00000000-0005-0000-0000-00000B1E0000}"/>
    <cellStyle name="Comma 5 4 4 4 6 2 2" xfId="45668" xr:uid="{00000000-0005-0000-0000-00000C1E0000}"/>
    <cellStyle name="Comma 5 4 4 4 6 3" xfId="33291" xr:uid="{00000000-0005-0000-0000-00000D1E0000}"/>
    <cellStyle name="Comma 5 4 4 4 7" xfId="16626" xr:uid="{00000000-0005-0000-0000-00000E1E0000}"/>
    <cellStyle name="Comma 5 4 4 4 7 2" xfId="42179" xr:uid="{00000000-0005-0000-0000-00000F1E0000}"/>
    <cellStyle name="Comma 5 4 4 4 8" xfId="26598" xr:uid="{00000000-0005-0000-0000-0000101E0000}"/>
    <cellStyle name="Comma 5 4 4 5" xfId="1133" xr:uid="{00000000-0005-0000-0000-0000111E0000}"/>
    <cellStyle name="Comma 5 4 4 5 2" xfId="3562" xr:uid="{00000000-0005-0000-0000-0000121E0000}"/>
    <cellStyle name="Comma 5 4 4 5 2 2" xfId="12698" xr:uid="{00000000-0005-0000-0000-0000131E0000}"/>
    <cellStyle name="Comma 5 4 4 5 2 2 2" xfId="22917" xr:uid="{00000000-0005-0000-0000-0000141E0000}"/>
    <cellStyle name="Comma 5 4 4 5 2 2 2 2" xfId="48470" xr:uid="{00000000-0005-0000-0000-0000151E0000}"/>
    <cellStyle name="Comma 5 4 4 5 2 2 3" xfId="38253" xr:uid="{00000000-0005-0000-0000-0000161E0000}"/>
    <cellStyle name="Comma 5 4 4 5 2 3" xfId="9119" xr:uid="{00000000-0005-0000-0000-0000171E0000}"/>
    <cellStyle name="Comma 5 4 4 5 2 3 2" xfId="34676" xr:uid="{00000000-0005-0000-0000-0000181E0000}"/>
    <cellStyle name="Comma 5 4 4 5 2 4" xfId="17910" xr:uid="{00000000-0005-0000-0000-0000191E0000}"/>
    <cellStyle name="Comma 5 4 4 5 2 4 2" xfId="43463" xr:uid="{00000000-0005-0000-0000-00001A1E0000}"/>
    <cellStyle name="Comma 5 4 4 5 2 5" xfId="29400" xr:uid="{00000000-0005-0000-0000-00001B1E0000}"/>
    <cellStyle name="Comma 5 4 4 5 3" xfId="5225" xr:uid="{00000000-0005-0000-0000-00001C1E0000}"/>
    <cellStyle name="Comma 5 4 4 5 3 2" xfId="14062" xr:uid="{00000000-0005-0000-0000-00001D1E0000}"/>
    <cellStyle name="Comma 5 4 4 5 3 2 2" xfId="24313" xr:uid="{00000000-0005-0000-0000-00001E1E0000}"/>
    <cellStyle name="Comma 5 4 4 5 3 2 2 2" xfId="49866" xr:uid="{00000000-0005-0000-0000-00001F1E0000}"/>
    <cellStyle name="Comma 5 4 4 5 3 2 3" xfId="39617" xr:uid="{00000000-0005-0000-0000-0000201E0000}"/>
    <cellStyle name="Comma 5 4 4 5 3 3" xfId="10483" xr:uid="{00000000-0005-0000-0000-0000211E0000}"/>
    <cellStyle name="Comma 5 4 4 5 3 3 2" xfId="36040" xr:uid="{00000000-0005-0000-0000-0000221E0000}"/>
    <cellStyle name="Comma 5 4 4 5 3 4" xfId="19306" xr:uid="{00000000-0005-0000-0000-0000231E0000}"/>
    <cellStyle name="Comma 5 4 4 5 3 4 2" xfId="44859" xr:uid="{00000000-0005-0000-0000-0000241E0000}"/>
    <cellStyle name="Comma 5 4 4 5 3 5" xfId="30796" xr:uid="{00000000-0005-0000-0000-0000251E0000}"/>
    <cellStyle name="Comma 5 4 4 5 4" xfId="1841" xr:uid="{00000000-0005-0000-0000-0000261E0000}"/>
    <cellStyle name="Comma 5 4 4 5 4 2" xfId="11209" xr:uid="{00000000-0005-0000-0000-0000271E0000}"/>
    <cellStyle name="Comma 5 4 4 5 4 2 2" xfId="36764" xr:uid="{00000000-0005-0000-0000-0000281E0000}"/>
    <cellStyle name="Comma 5 4 4 5 4 3" xfId="21213" xr:uid="{00000000-0005-0000-0000-0000291E0000}"/>
    <cellStyle name="Comma 5 4 4 5 4 3 2" xfId="46766" xr:uid="{00000000-0005-0000-0000-00002A1E0000}"/>
    <cellStyle name="Comma 5 4 4 5 4 4" xfId="27696" xr:uid="{00000000-0005-0000-0000-00002B1E0000}"/>
    <cellStyle name="Comma 5 4 4 5 5" xfId="6680" xr:uid="{00000000-0005-0000-0000-00002C1E0000}"/>
    <cellStyle name="Comma 5 4 4 5 5 2" xfId="15507" xr:uid="{00000000-0005-0000-0000-00002D1E0000}"/>
    <cellStyle name="Comma 5 4 4 5 5 2 2" xfId="41062" xr:uid="{00000000-0005-0000-0000-00002E1E0000}"/>
    <cellStyle name="Comma 5 4 4 5 5 3" xfId="25758" xr:uid="{00000000-0005-0000-0000-00002F1E0000}"/>
    <cellStyle name="Comma 5 4 4 5 5 3 2" xfId="51311" xr:uid="{00000000-0005-0000-0000-0000301E0000}"/>
    <cellStyle name="Comma 5 4 4 5 5 4" xfId="32241" xr:uid="{00000000-0005-0000-0000-0000311E0000}"/>
    <cellStyle name="Comma 5 4 4 5 6" xfId="8126" xr:uid="{00000000-0005-0000-0000-0000321E0000}"/>
    <cellStyle name="Comma 5 4 4 5 6 2" xfId="20516" xr:uid="{00000000-0005-0000-0000-0000331E0000}"/>
    <cellStyle name="Comma 5 4 4 5 6 2 2" xfId="46069" xr:uid="{00000000-0005-0000-0000-0000341E0000}"/>
    <cellStyle name="Comma 5 4 4 5 6 3" xfId="33683" xr:uid="{00000000-0005-0000-0000-0000351E0000}"/>
    <cellStyle name="Comma 5 4 4 5 7" xfId="16206" xr:uid="{00000000-0005-0000-0000-0000361E0000}"/>
    <cellStyle name="Comma 5 4 4 5 7 2" xfId="41759" xr:uid="{00000000-0005-0000-0000-0000371E0000}"/>
    <cellStyle name="Comma 5 4 4 5 8" xfId="26999" xr:uid="{00000000-0005-0000-0000-0000381E0000}"/>
    <cellStyle name="Comma 5 4 4 6" xfId="2735" xr:uid="{00000000-0005-0000-0000-0000391E0000}"/>
    <cellStyle name="Comma 5 4 4 6 2" xfId="12052" xr:uid="{00000000-0005-0000-0000-00003A1E0000}"/>
    <cellStyle name="Comma 5 4 4 6 2 2" xfId="22096" xr:uid="{00000000-0005-0000-0000-00003B1E0000}"/>
    <cellStyle name="Comma 5 4 4 6 2 2 2" xfId="47649" xr:uid="{00000000-0005-0000-0000-00003C1E0000}"/>
    <cellStyle name="Comma 5 4 4 6 2 3" xfId="37607" xr:uid="{00000000-0005-0000-0000-00003D1E0000}"/>
    <cellStyle name="Comma 5 4 4 6 3" xfId="8541" xr:uid="{00000000-0005-0000-0000-00003E1E0000}"/>
    <cellStyle name="Comma 5 4 4 6 3 2" xfId="34098" xr:uid="{00000000-0005-0000-0000-00003F1E0000}"/>
    <cellStyle name="Comma 5 4 4 6 4" xfId="17089" xr:uid="{00000000-0005-0000-0000-0000401E0000}"/>
    <cellStyle name="Comma 5 4 4 6 4 2" xfId="42642" xr:uid="{00000000-0005-0000-0000-0000411E0000}"/>
    <cellStyle name="Comma 5 4 4 6 5" xfId="28579" xr:uid="{00000000-0005-0000-0000-0000421E0000}"/>
    <cellStyle name="Comma 5 4 4 7" xfId="4181" xr:uid="{00000000-0005-0000-0000-0000431E0000}"/>
    <cellStyle name="Comma 5 4 4 7 2" xfId="13019" xr:uid="{00000000-0005-0000-0000-0000441E0000}"/>
    <cellStyle name="Comma 5 4 4 7 2 2" xfId="23270" xr:uid="{00000000-0005-0000-0000-0000451E0000}"/>
    <cellStyle name="Comma 5 4 4 7 2 2 2" xfId="48823" xr:uid="{00000000-0005-0000-0000-0000461E0000}"/>
    <cellStyle name="Comma 5 4 4 7 2 3" xfId="38574" xr:uid="{00000000-0005-0000-0000-0000471E0000}"/>
    <cellStyle name="Comma 5 4 4 7 3" xfId="9440" xr:uid="{00000000-0005-0000-0000-0000481E0000}"/>
    <cellStyle name="Comma 5 4 4 7 3 2" xfId="34997" xr:uid="{00000000-0005-0000-0000-0000491E0000}"/>
    <cellStyle name="Comma 5 4 4 7 4" xfId="18263" xr:uid="{00000000-0005-0000-0000-00004A1E0000}"/>
    <cellStyle name="Comma 5 4 4 7 4 2" xfId="43816" xr:uid="{00000000-0005-0000-0000-00004B1E0000}"/>
    <cellStyle name="Comma 5 4 4 7 5" xfId="29753" xr:uid="{00000000-0005-0000-0000-00004C1E0000}"/>
    <cellStyle name="Comma 5 4 4 8" xfId="1453" xr:uid="{00000000-0005-0000-0000-00004D1E0000}"/>
    <cellStyle name="Comma 5 4 4 8 2" xfId="10830" xr:uid="{00000000-0005-0000-0000-00004E1E0000}"/>
    <cellStyle name="Comma 5 4 4 8 2 2" xfId="36385" xr:uid="{00000000-0005-0000-0000-00004F1E0000}"/>
    <cellStyle name="Comma 5 4 4 8 3" xfId="20834" xr:uid="{00000000-0005-0000-0000-0000501E0000}"/>
    <cellStyle name="Comma 5 4 4 8 3 2" xfId="46387" xr:uid="{00000000-0005-0000-0000-0000511E0000}"/>
    <cellStyle name="Comma 5 4 4 8 4" xfId="27317" xr:uid="{00000000-0005-0000-0000-0000521E0000}"/>
    <cellStyle name="Comma 5 4 4 9" xfId="5637" xr:uid="{00000000-0005-0000-0000-0000531E0000}"/>
    <cellStyle name="Comma 5 4 4 9 2" xfId="14464" xr:uid="{00000000-0005-0000-0000-0000541E0000}"/>
    <cellStyle name="Comma 5 4 4 9 2 2" xfId="40019" xr:uid="{00000000-0005-0000-0000-0000551E0000}"/>
    <cellStyle name="Comma 5 4 4 9 3" xfId="24715" xr:uid="{00000000-0005-0000-0000-0000561E0000}"/>
    <cellStyle name="Comma 5 4 4 9 3 2" xfId="50268" xr:uid="{00000000-0005-0000-0000-0000571E0000}"/>
    <cellStyle name="Comma 5 4 4 9 4" xfId="31198" xr:uid="{00000000-0005-0000-0000-0000581E0000}"/>
    <cellStyle name="Comma 5 4 5" xfId="461" xr:uid="{00000000-0005-0000-0000-0000591E0000}"/>
    <cellStyle name="Comma 5 4 5 10" xfId="26390" xr:uid="{00000000-0005-0000-0000-00005A1E0000}"/>
    <cellStyle name="Comma 5 4 5 2" xfId="671" xr:uid="{00000000-0005-0000-0000-00005B1E0000}"/>
    <cellStyle name="Comma 5 4 5 2 2" xfId="3157" xr:uid="{00000000-0005-0000-0000-00005C1E0000}"/>
    <cellStyle name="Comma 5 4 5 2 2 2" xfId="12300" xr:uid="{00000000-0005-0000-0000-00005D1E0000}"/>
    <cellStyle name="Comma 5 4 5 2 2 2 2" xfId="22518" xr:uid="{00000000-0005-0000-0000-00005E1E0000}"/>
    <cellStyle name="Comma 5 4 5 2 2 2 2 2" xfId="48071" xr:uid="{00000000-0005-0000-0000-00005F1E0000}"/>
    <cellStyle name="Comma 5 4 5 2 2 2 3" xfId="37855" xr:uid="{00000000-0005-0000-0000-0000601E0000}"/>
    <cellStyle name="Comma 5 4 5 2 2 3" xfId="8722" xr:uid="{00000000-0005-0000-0000-0000611E0000}"/>
    <cellStyle name="Comma 5 4 5 2 2 3 2" xfId="34279" xr:uid="{00000000-0005-0000-0000-0000621E0000}"/>
    <cellStyle name="Comma 5 4 5 2 2 4" xfId="17511" xr:uid="{00000000-0005-0000-0000-0000631E0000}"/>
    <cellStyle name="Comma 5 4 5 2 2 4 2" xfId="43064" xr:uid="{00000000-0005-0000-0000-0000641E0000}"/>
    <cellStyle name="Comma 5 4 5 2 2 5" xfId="29001" xr:uid="{00000000-0005-0000-0000-0000651E0000}"/>
    <cellStyle name="Comma 5 4 5 2 3" xfId="4486" xr:uid="{00000000-0005-0000-0000-0000661E0000}"/>
    <cellStyle name="Comma 5 4 5 2 3 2" xfId="13324" xr:uid="{00000000-0005-0000-0000-0000671E0000}"/>
    <cellStyle name="Comma 5 4 5 2 3 2 2" xfId="23575" xr:uid="{00000000-0005-0000-0000-0000681E0000}"/>
    <cellStyle name="Comma 5 4 5 2 3 2 2 2" xfId="49128" xr:uid="{00000000-0005-0000-0000-0000691E0000}"/>
    <cellStyle name="Comma 5 4 5 2 3 2 3" xfId="38879" xr:uid="{00000000-0005-0000-0000-00006A1E0000}"/>
    <cellStyle name="Comma 5 4 5 2 3 3" xfId="9745" xr:uid="{00000000-0005-0000-0000-00006B1E0000}"/>
    <cellStyle name="Comma 5 4 5 2 3 3 2" xfId="35302" xr:uid="{00000000-0005-0000-0000-00006C1E0000}"/>
    <cellStyle name="Comma 5 4 5 2 3 4" xfId="18568" xr:uid="{00000000-0005-0000-0000-00006D1E0000}"/>
    <cellStyle name="Comma 5 4 5 2 3 4 2" xfId="44121" xr:uid="{00000000-0005-0000-0000-00006E1E0000}"/>
    <cellStyle name="Comma 5 4 5 2 3 5" xfId="30058" xr:uid="{00000000-0005-0000-0000-00006F1E0000}"/>
    <cellStyle name="Comma 5 4 5 2 4" xfId="2266" xr:uid="{00000000-0005-0000-0000-0000701E0000}"/>
    <cellStyle name="Comma 5 4 5 2 4 2" xfId="11631" xr:uid="{00000000-0005-0000-0000-0000711E0000}"/>
    <cellStyle name="Comma 5 4 5 2 4 2 2" xfId="37186" xr:uid="{00000000-0005-0000-0000-0000721E0000}"/>
    <cellStyle name="Comma 5 4 5 2 4 3" xfId="21635" xr:uid="{00000000-0005-0000-0000-0000731E0000}"/>
    <cellStyle name="Comma 5 4 5 2 4 3 2" xfId="47188" xr:uid="{00000000-0005-0000-0000-0000741E0000}"/>
    <cellStyle name="Comma 5 4 5 2 4 4" xfId="28118" xr:uid="{00000000-0005-0000-0000-0000751E0000}"/>
    <cellStyle name="Comma 5 4 5 2 5" xfId="5942" xr:uid="{00000000-0005-0000-0000-0000761E0000}"/>
    <cellStyle name="Comma 5 4 5 2 5 2" xfId="14769" xr:uid="{00000000-0005-0000-0000-0000771E0000}"/>
    <cellStyle name="Comma 5 4 5 2 5 2 2" xfId="40324" xr:uid="{00000000-0005-0000-0000-0000781E0000}"/>
    <cellStyle name="Comma 5 4 5 2 5 3" xfId="25020" xr:uid="{00000000-0005-0000-0000-0000791E0000}"/>
    <cellStyle name="Comma 5 4 5 2 5 3 2" xfId="50573" xr:uid="{00000000-0005-0000-0000-00007A1E0000}"/>
    <cellStyle name="Comma 5 4 5 2 5 4" xfId="31503" xr:uid="{00000000-0005-0000-0000-00007B1E0000}"/>
    <cellStyle name="Comma 5 4 5 2 6" xfId="7386" xr:uid="{00000000-0005-0000-0000-00007C1E0000}"/>
    <cellStyle name="Comma 5 4 5 2 6 2" xfId="20117" xr:uid="{00000000-0005-0000-0000-00007D1E0000}"/>
    <cellStyle name="Comma 5 4 5 2 6 2 2" xfId="45670" xr:uid="{00000000-0005-0000-0000-00007E1E0000}"/>
    <cellStyle name="Comma 5 4 5 2 6 3" xfId="32943" xr:uid="{00000000-0005-0000-0000-00007F1E0000}"/>
    <cellStyle name="Comma 5 4 5 2 7" xfId="16628" xr:uid="{00000000-0005-0000-0000-0000801E0000}"/>
    <cellStyle name="Comma 5 4 5 2 7 2" xfId="42181" xr:uid="{00000000-0005-0000-0000-0000811E0000}"/>
    <cellStyle name="Comma 5 4 5 2 8" xfId="26600" xr:uid="{00000000-0005-0000-0000-0000821E0000}"/>
    <cellStyle name="Comma 5 4 5 3" xfId="1233" xr:uid="{00000000-0005-0000-0000-0000831E0000}"/>
    <cellStyle name="Comma 5 4 5 3 2" xfId="3662" xr:uid="{00000000-0005-0000-0000-0000841E0000}"/>
    <cellStyle name="Comma 5 4 5 3 2 2" xfId="12798" xr:uid="{00000000-0005-0000-0000-0000851E0000}"/>
    <cellStyle name="Comma 5 4 5 3 2 2 2" xfId="23017" xr:uid="{00000000-0005-0000-0000-0000861E0000}"/>
    <cellStyle name="Comma 5 4 5 3 2 2 2 2" xfId="48570" xr:uid="{00000000-0005-0000-0000-0000871E0000}"/>
    <cellStyle name="Comma 5 4 5 3 2 2 3" xfId="38353" xr:uid="{00000000-0005-0000-0000-0000881E0000}"/>
    <cellStyle name="Comma 5 4 5 3 2 3" xfId="9219" xr:uid="{00000000-0005-0000-0000-0000891E0000}"/>
    <cellStyle name="Comma 5 4 5 3 2 3 2" xfId="34776" xr:uid="{00000000-0005-0000-0000-00008A1E0000}"/>
    <cellStyle name="Comma 5 4 5 3 2 4" xfId="18010" xr:uid="{00000000-0005-0000-0000-00008B1E0000}"/>
    <cellStyle name="Comma 5 4 5 3 2 4 2" xfId="43563" xr:uid="{00000000-0005-0000-0000-00008C1E0000}"/>
    <cellStyle name="Comma 5 4 5 3 2 5" xfId="29500" xr:uid="{00000000-0005-0000-0000-00008D1E0000}"/>
    <cellStyle name="Comma 5 4 5 3 3" xfId="4835" xr:uid="{00000000-0005-0000-0000-00008E1E0000}"/>
    <cellStyle name="Comma 5 4 5 3 3 2" xfId="13672" xr:uid="{00000000-0005-0000-0000-00008F1E0000}"/>
    <cellStyle name="Comma 5 4 5 3 3 2 2" xfId="23923" xr:uid="{00000000-0005-0000-0000-0000901E0000}"/>
    <cellStyle name="Comma 5 4 5 3 3 2 2 2" xfId="49476" xr:uid="{00000000-0005-0000-0000-0000911E0000}"/>
    <cellStyle name="Comma 5 4 5 3 3 2 3" xfId="39227" xr:uid="{00000000-0005-0000-0000-0000921E0000}"/>
    <cellStyle name="Comma 5 4 5 3 3 3" xfId="10093" xr:uid="{00000000-0005-0000-0000-0000931E0000}"/>
    <cellStyle name="Comma 5 4 5 3 3 3 2" xfId="35650" xr:uid="{00000000-0005-0000-0000-0000941E0000}"/>
    <cellStyle name="Comma 5 4 5 3 3 4" xfId="18916" xr:uid="{00000000-0005-0000-0000-0000951E0000}"/>
    <cellStyle name="Comma 5 4 5 3 3 4 2" xfId="44469" xr:uid="{00000000-0005-0000-0000-0000961E0000}"/>
    <cellStyle name="Comma 5 4 5 3 3 5" xfId="30406" xr:uid="{00000000-0005-0000-0000-0000971E0000}"/>
    <cellStyle name="Comma 5 4 5 3 4" xfId="2056" xr:uid="{00000000-0005-0000-0000-0000981E0000}"/>
    <cellStyle name="Comma 5 4 5 3 4 2" xfId="11421" xr:uid="{00000000-0005-0000-0000-0000991E0000}"/>
    <cellStyle name="Comma 5 4 5 3 4 2 2" xfId="36976" xr:uid="{00000000-0005-0000-0000-00009A1E0000}"/>
    <cellStyle name="Comma 5 4 5 3 4 3" xfId="21425" xr:uid="{00000000-0005-0000-0000-00009B1E0000}"/>
    <cellStyle name="Comma 5 4 5 3 4 3 2" xfId="46978" xr:uid="{00000000-0005-0000-0000-00009C1E0000}"/>
    <cellStyle name="Comma 5 4 5 3 4 4" xfId="27908" xr:uid="{00000000-0005-0000-0000-00009D1E0000}"/>
    <cellStyle name="Comma 5 4 5 3 5" xfId="6290" xr:uid="{00000000-0005-0000-0000-00009E1E0000}"/>
    <cellStyle name="Comma 5 4 5 3 5 2" xfId="15117" xr:uid="{00000000-0005-0000-0000-00009F1E0000}"/>
    <cellStyle name="Comma 5 4 5 3 5 2 2" xfId="40672" xr:uid="{00000000-0005-0000-0000-0000A01E0000}"/>
    <cellStyle name="Comma 5 4 5 3 5 3" xfId="25368" xr:uid="{00000000-0005-0000-0000-0000A11E0000}"/>
    <cellStyle name="Comma 5 4 5 3 5 3 2" xfId="50921" xr:uid="{00000000-0005-0000-0000-0000A21E0000}"/>
    <cellStyle name="Comma 5 4 5 3 5 4" xfId="31851" xr:uid="{00000000-0005-0000-0000-0000A31E0000}"/>
    <cellStyle name="Comma 5 4 5 3 6" xfId="7736" xr:uid="{00000000-0005-0000-0000-0000A41E0000}"/>
    <cellStyle name="Comma 5 4 5 3 6 2" xfId="20616" xr:uid="{00000000-0005-0000-0000-0000A51E0000}"/>
    <cellStyle name="Comma 5 4 5 3 6 2 2" xfId="46169" xr:uid="{00000000-0005-0000-0000-0000A61E0000}"/>
    <cellStyle name="Comma 5 4 5 3 6 3" xfId="33293" xr:uid="{00000000-0005-0000-0000-0000A71E0000}"/>
    <cellStyle name="Comma 5 4 5 3 7" xfId="16418" xr:uid="{00000000-0005-0000-0000-0000A81E0000}"/>
    <cellStyle name="Comma 5 4 5 3 7 2" xfId="41971" xr:uid="{00000000-0005-0000-0000-0000A91E0000}"/>
    <cellStyle name="Comma 5 4 5 3 8" xfId="27099" xr:uid="{00000000-0005-0000-0000-0000AA1E0000}"/>
    <cellStyle name="Comma 5 4 5 4" xfId="2947" xr:uid="{00000000-0005-0000-0000-0000AB1E0000}"/>
    <cellStyle name="Comma 5 4 5 4 2" xfId="5325" xr:uid="{00000000-0005-0000-0000-0000AC1E0000}"/>
    <cellStyle name="Comma 5 4 5 4 2 2" xfId="14162" xr:uid="{00000000-0005-0000-0000-0000AD1E0000}"/>
    <cellStyle name="Comma 5 4 5 4 2 2 2" xfId="24413" xr:uid="{00000000-0005-0000-0000-0000AE1E0000}"/>
    <cellStyle name="Comma 5 4 5 4 2 2 2 2" xfId="49966" xr:uid="{00000000-0005-0000-0000-0000AF1E0000}"/>
    <cellStyle name="Comma 5 4 5 4 2 2 3" xfId="39717" xr:uid="{00000000-0005-0000-0000-0000B01E0000}"/>
    <cellStyle name="Comma 5 4 5 4 2 3" xfId="10583" xr:uid="{00000000-0005-0000-0000-0000B11E0000}"/>
    <cellStyle name="Comma 5 4 5 4 2 3 2" xfId="36140" xr:uid="{00000000-0005-0000-0000-0000B21E0000}"/>
    <cellStyle name="Comma 5 4 5 4 2 4" xfId="19406" xr:uid="{00000000-0005-0000-0000-0000B31E0000}"/>
    <cellStyle name="Comma 5 4 5 4 2 4 2" xfId="44959" xr:uid="{00000000-0005-0000-0000-0000B41E0000}"/>
    <cellStyle name="Comma 5 4 5 4 2 5" xfId="30896" xr:uid="{00000000-0005-0000-0000-0000B51E0000}"/>
    <cellStyle name="Comma 5 4 5 4 3" xfId="6780" xr:uid="{00000000-0005-0000-0000-0000B61E0000}"/>
    <cellStyle name="Comma 5 4 5 4 3 2" xfId="15607" xr:uid="{00000000-0005-0000-0000-0000B71E0000}"/>
    <cellStyle name="Comma 5 4 5 4 3 2 2" xfId="41162" xr:uid="{00000000-0005-0000-0000-0000B81E0000}"/>
    <cellStyle name="Comma 5 4 5 4 3 3" xfId="25858" xr:uid="{00000000-0005-0000-0000-0000B91E0000}"/>
    <cellStyle name="Comma 5 4 5 4 3 3 2" xfId="51411" xr:uid="{00000000-0005-0000-0000-0000BA1E0000}"/>
    <cellStyle name="Comma 5 4 5 4 3 4" xfId="32341" xr:uid="{00000000-0005-0000-0000-0000BB1E0000}"/>
    <cellStyle name="Comma 5 4 5 4 4" xfId="8226" xr:uid="{00000000-0005-0000-0000-0000BC1E0000}"/>
    <cellStyle name="Comma 5 4 5 4 4 2" xfId="22308" xr:uid="{00000000-0005-0000-0000-0000BD1E0000}"/>
    <cellStyle name="Comma 5 4 5 4 4 2 2" xfId="47861" xr:uid="{00000000-0005-0000-0000-0000BE1E0000}"/>
    <cellStyle name="Comma 5 4 5 4 4 3" xfId="33783" xr:uid="{00000000-0005-0000-0000-0000BF1E0000}"/>
    <cellStyle name="Comma 5 4 5 4 5" xfId="17301" xr:uid="{00000000-0005-0000-0000-0000C01E0000}"/>
    <cellStyle name="Comma 5 4 5 4 5 2" xfId="42854" xr:uid="{00000000-0005-0000-0000-0000C11E0000}"/>
    <cellStyle name="Comma 5 4 5 4 6" xfId="28791" xr:uid="{00000000-0005-0000-0000-0000C21E0000}"/>
    <cellStyle name="Comma 5 4 5 5" xfId="4281" xr:uid="{00000000-0005-0000-0000-0000C31E0000}"/>
    <cellStyle name="Comma 5 4 5 5 2" xfId="13119" xr:uid="{00000000-0005-0000-0000-0000C41E0000}"/>
    <cellStyle name="Comma 5 4 5 5 2 2" xfId="23370" xr:uid="{00000000-0005-0000-0000-0000C51E0000}"/>
    <cellStyle name="Comma 5 4 5 5 2 2 2" xfId="48923" xr:uid="{00000000-0005-0000-0000-0000C61E0000}"/>
    <cellStyle name="Comma 5 4 5 5 2 3" xfId="38674" xr:uid="{00000000-0005-0000-0000-0000C71E0000}"/>
    <cellStyle name="Comma 5 4 5 5 3" xfId="9540" xr:uid="{00000000-0005-0000-0000-0000C81E0000}"/>
    <cellStyle name="Comma 5 4 5 5 3 2" xfId="35097" xr:uid="{00000000-0005-0000-0000-0000C91E0000}"/>
    <cellStyle name="Comma 5 4 5 5 4" xfId="18363" xr:uid="{00000000-0005-0000-0000-0000CA1E0000}"/>
    <cellStyle name="Comma 5 4 5 5 4 2" xfId="43916" xr:uid="{00000000-0005-0000-0000-0000CB1E0000}"/>
    <cellStyle name="Comma 5 4 5 5 5" xfId="29853" xr:uid="{00000000-0005-0000-0000-0000CC1E0000}"/>
    <cellStyle name="Comma 5 4 5 6" xfId="1553" xr:uid="{00000000-0005-0000-0000-0000CD1E0000}"/>
    <cellStyle name="Comma 5 4 5 6 2" xfId="10930" xr:uid="{00000000-0005-0000-0000-0000CE1E0000}"/>
    <cellStyle name="Comma 5 4 5 6 2 2" xfId="36485" xr:uid="{00000000-0005-0000-0000-0000CF1E0000}"/>
    <cellStyle name="Comma 5 4 5 6 3" xfId="20934" xr:uid="{00000000-0005-0000-0000-0000D01E0000}"/>
    <cellStyle name="Comma 5 4 5 6 3 2" xfId="46487" xr:uid="{00000000-0005-0000-0000-0000D11E0000}"/>
    <cellStyle name="Comma 5 4 5 6 4" xfId="27417" xr:uid="{00000000-0005-0000-0000-0000D21E0000}"/>
    <cellStyle name="Comma 5 4 5 7" xfId="5737" xr:uid="{00000000-0005-0000-0000-0000D31E0000}"/>
    <cellStyle name="Comma 5 4 5 7 2" xfId="14564" xr:uid="{00000000-0005-0000-0000-0000D41E0000}"/>
    <cellStyle name="Comma 5 4 5 7 2 2" xfId="40119" xr:uid="{00000000-0005-0000-0000-0000D51E0000}"/>
    <cellStyle name="Comma 5 4 5 7 3" xfId="24815" xr:uid="{00000000-0005-0000-0000-0000D61E0000}"/>
    <cellStyle name="Comma 5 4 5 7 3 2" xfId="50368" xr:uid="{00000000-0005-0000-0000-0000D71E0000}"/>
    <cellStyle name="Comma 5 4 5 7 4" xfId="31298" xr:uid="{00000000-0005-0000-0000-0000D81E0000}"/>
    <cellStyle name="Comma 5 4 5 8" xfId="7181" xr:uid="{00000000-0005-0000-0000-0000D91E0000}"/>
    <cellStyle name="Comma 5 4 5 8 2" xfId="19907" xr:uid="{00000000-0005-0000-0000-0000DA1E0000}"/>
    <cellStyle name="Comma 5 4 5 8 2 2" xfId="45460" xr:uid="{00000000-0005-0000-0000-0000DB1E0000}"/>
    <cellStyle name="Comma 5 4 5 8 3" xfId="32738" xr:uid="{00000000-0005-0000-0000-0000DC1E0000}"/>
    <cellStyle name="Comma 5 4 5 9" xfId="15927" xr:uid="{00000000-0005-0000-0000-0000DD1E0000}"/>
    <cellStyle name="Comma 5 4 5 9 2" xfId="41480" xr:uid="{00000000-0005-0000-0000-0000DE1E0000}"/>
    <cellStyle name="Comma 5 4 6" xfId="336" xr:uid="{00000000-0005-0000-0000-0000DF1E0000}"/>
    <cellStyle name="Comma 5 4 6 10" xfId="26265" xr:uid="{00000000-0005-0000-0000-0000E01E0000}"/>
    <cellStyle name="Comma 5 4 6 2" xfId="672" xr:uid="{00000000-0005-0000-0000-0000E11E0000}"/>
    <cellStyle name="Comma 5 4 6 2 2" xfId="3158" xr:uid="{00000000-0005-0000-0000-0000E21E0000}"/>
    <cellStyle name="Comma 5 4 6 2 2 2" xfId="12301" xr:uid="{00000000-0005-0000-0000-0000E31E0000}"/>
    <cellStyle name="Comma 5 4 6 2 2 2 2" xfId="22519" xr:uid="{00000000-0005-0000-0000-0000E41E0000}"/>
    <cellStyle name="Comma 5 4 6 2 2 2 2 2" xfId="48072" xr:uid="{00000000-0005-0000-0000-0000E51E0000}"/>
    <cellStyle name="Comma 5 4 6 2 2 2 3" xfId="37856" xr:uid="{00000000-0005-0000-0000-0000E61E0000}"/>
    <cellStyle name="Comma 5 4 6 2 2 3" xfId="8723" xr:uid="{00000000-0005-0000-0000-0000E71E0000}"/>
    <cellStyle name="Comma 5 4 6 2 2 3 2" xfId="34280" xr:uid="{00000000-0005-0000-0000-0000E81E0000}"/>
    <cellStyle name="Comma 5 4 6 2 2 4" xfId="17512" xr:uid="{00000000-0005-0000-0000-0000E91E0000}"/>
    <cellStyle name="Comma 5 4 6 2 2 4 2" xfId="43065" xr:uid="{00000000-0005-0000-0000-0000EA1E0000}"/>
    <cellStyle name="Comma 5 4 6 2 2 5" xfId="29002" xr:uid="{00000000-0005-0000-0000-0000EB1E0000}"/>
    <cellStyle name="Comma 5 4 6 2 3" xfId="4487" xr:uid="{00000000-0005-0000-0000-0000EC1E0000}"/>
    <cellStyle name="Comma 5 4 6 2 3 2" xfId="13325" xr:uid="{00000000-0005-0000-0000-0000ED1E0000}"/>
    <cellStyle name="Comma 5 4 6 2 3 2 2" xfId="23576" xr:uid="{00000000-0005-0000-0000-0000EE1E0000}"/>
    <cellStyle name="Comma 5 4 6 2 3 2 2 2" xfId="49129" xr:uid="{00000000-0005-0000-0000-0000EF1E0000}"/>
    <cellStyle name="Comma 5 4 6 2 3 2 3" xfId="38880" xr:uid="{00000000-0005-0000-0000-0000F01E0000}"/>
    <cellStyle name="Comma 5 4 6 2 3 3" xfId="9746" xr:uid="{00000000-0005-0000-0000-0000F11E0000}"/>
    <cellStyle name="Comma 5 4 6 2 3 3 2" xfId="35303" xr:uid="{00000000-0005-0000-0000-0000F21E0000}"/>
    <cellStyle name="Comma 5 4 6 2 3 4" xfId="18569" xr:uid="{00000000-0005-0000-0000-0000F31E0000}"/>
    <cellStyle name="Comma 5 4 6 2 3 4 2" xfId="44122" xr:uid="{00000000-0005-0000-0000-0000F41E0000}"/>
    <cellStyle name="Comma 5 4 6 2 3 5" xfId="30059" xr:uid="{00000000-0005-0000-0000-0000F51E0000}"/>
    <cellStyle name="Comma 5 4 6 2 4" xfId="2267" xr:uid="{00000000-0005-0000-0000-0000F61E0000}"/>
    <cellStyle name="Comma 5 4 6 2 4 2" xfId="11632" xr:uid="{00000000-0005-0000-0000-0000F71E0000}"/>
    <cellStyle name="Comma 5 4 6 2 4 2 2" xfId="37187" xr:uid="{00000000-0005-0000-0000-0000F81E0000}"/>
    <cellStyle name="Comma 5 4 6 2 4 3" xfId="21636" xr:uid="{00000000-0005-0000-0000-0000F91E0000}"/>
    <cellStyle name="Comma 5 4 6 2 4 3 2" xfId="47189" xr:uid="{00000000-0005-0000-0000-0000FA1E0000}"/>
    <cellStyle name="Comma 5 4 6 2 4 4" xfId="28119" xr:uid="{00000000-0005-0000-0000-0000FB1E0000}"/>
    <cellStyle name="Comma 5 4 6 2 5" xfId="5943" xr:uid="{00000000-0005-0000-0000-0000FC1E0000}"/>
    <cellStyle name="Comma 5 4 6 2 5 2" xfId="14770" xr:uid="{00000000-0005-0000-0000-0000FD1E0000}"/>
    <cellStyle name="Comma 5 4 6 2 5 2 2" xfId="40325" xr:uid="{00000000-0005-0000-0000-0000FE1E0000}"/>
    <cellStyle name="Comma 5 4 6 2 5 3" xfId="25021" xr:uid="{00000000-0005-0000-0000-0000FF1E0000}"/>
    <cellStyle name="Comma 5 4 6 2 5 3 2" xfId="50574" xr:uid="{00000000-0005-0000-0000-0000001F0000}"/>
    <cellStyle name="Comma 5 4 6 2 5 4" xfId="31504" xr:uid="{00000000-0005-0000-0000-0000011F0000}"/>
    <cellStyle name="Comma 5 4 6 2 6" xfId="7387" xr:uid="{00000000-0005-0000-0000-0000021F0000}"/>
    <cellStyle name="Comma 5 4 6 2 6 2" xfId="20118" xr:uid="{00000000-0005-0000-0000-0000031F0000}"/>
    <cellStyle name="Comma 5 4 6 2 6 2 2" xfId="45671" xr:uid="{00000000-0005-0000-0000-0000041F0000}"/>
    <cellStyle name="Comma 5 4 6 2 6 3" xfId="32944" xr:uid="{00000000-0005-0000-0000-0000051F0000}"/>
    <cellStyle name="Comma 5 4 6 2 7" xfId="16629" xr:uid="{00000000-0005-0000-0000-0000061F0000}"/>
    <cellStyle name="Comma 5 4 6 2 7 2" xfId="42182" xr:uid="{00000000-0005-0000-0000-0000071F0000}"/>
    <cellStyle name="Comma 5 4 6 2 8" xfId="26601" xr:uid="{00000000-0005-0000-0000-0000081F0000}"/>
    <cellStyle name="Comma 5 4 6 3" xfId="1108" xr:uid="{00000000-0005-0000-0000-0000091F0000}"/>
    <cellStyle name="Comma 5 4 6 3 2" xfId="3537" xr:uid="{00000000-0005-0000-0000-00000A1F0000}"/>
    <cellStyle name="Comma 5 4 6 3 2 2" xfId="12673" xr:uid="{00000000-0005-0000-0000-00000B1F0000}"/>
    <cellStyle name="Comma 5 4 6 3 2 2 2" xfId="22892" xr:uid="{00000000-0005-0000-0000-00000C1F0000}"/>
    <cellStyle name="Comma 5 4 6 3 2 2 2 2" xfId="48445" xr:uid="{00000000-0005-0000-0000-00000D1F0000}"/>
    <cellStyle name="Comma 5 4 6 3 2 2 3" xfId="38228" xr:uid="{00000000-0005-0000-0000-00000E1F0000}"/>
    <cellStyle name="Comma 5 4 6 3 2 3" xfId="9094" xr:uid="{00000000-0005-0000-0000-00000F1F0000}"/>
    <cellStyle name="Comma 5 4 6 3 2 3 2" xfId="34651" xr:uid="{00000000-0005-0000-0000-0000101F0000}"/>
    <cellStyle name="Comma 5 4 6 3 2 4" xfId="17885" xr:uid="{00000000-0005-0000-0000-0000111F0000}"/>
    <cellStyle name="Comma 5 4 6 3 2 4 2" xfId="43438" xr:uid="{00000000-0005-0000-0000-0000121F0000}"/>
    <cellStyle name="Comma 5 4 6 3 2 5" xfId="29375" xr:uid="{00000000-0005-0000-0000-0000131F0000}"/>
    <cellStyle name="Comma 5 4 6 3 3" xfId="4836" xr:uid="{00000000-0005-0000-0000-0000141F0000}"/>
    <cellStyle name="Comma 5 4 6 3 3 2" xfId="13673" xr:uid="{00000000-0005-0000-0000-0000151F0000}"/>
    <cellStyle name="Comma 5 4 6 3 3 2 2" xfId="23924" xr:uid="{00000000-0005-0000-0000-0000161F0000}"/>
    <cellStyle name="Comma 5 4 6 3 3 2 2 2" xfId="49477" xr:uid="{00000000-0005-0000-0000-0000171F0000}"/>
    <cellStyle name="Comma 5 4 6 3 3 2 3" xfId="39228" xr:uid="{00000000-0005-0000-0000-0000181F0000}"/>
    <cellStyle name="Comma 5 4 6 3 3 3" xfId="10094" xr:uid="{00000000-0005-0000-0000-0000191F0000}"/>
    <cellStyle name="Comma 5 4 6 3 3 3 2" xfId="35651" xr:uid="{00000000-0005-0000-0000-00001A1F0000}"/>
    <cellStyle name="Comma 5 4 6 3 3 4" xfId="18917" xr:uid="{00000000-0005-0000-0000-00001B1F0000}"/>
    <cellStyle name="Comma 5 4 6 3 3 4 2" xfId="44470" xr:uid="{00000000-0005-0000-0000-00001C1F0000}"/>
    <cellStyle name="Comma 5 4 6 3 3 5" xfId="30407" xr:uid="{00000000-0005-0000-0000-00001D1F0000}"/>
    <cellStyle name="Comma 5 4 6 3 4" xfId="2571" xr:uid="{00000000-0005-0000-0000-00001E1F0000}"/>
    <cellStyle name="Comma 5 4 6 3 4 2" xfId="11935" xr:uid="{00000000-0005-0000-0000-00001F1F0000}"/>
    <cellStyle name="Comma 5 4 6 3 4 2 2" xfId="37490" xr:uid="{00000000-0005-0000-0000-0000201F0000}"/>
    <cellStyle name="Comma 5 4 6 3 4 3" xfId="21939" xr:uid="{00000000-0005-0000-0000-0000211F0000}"/>
    <cellStyle name="Comma 5 4 6 3 4 3 2" xfId="47492" xr:uid="{00000000-0005-0000-0000-0000221F0000}"/>
    <cellStyle name="Comma 5 4 6 3 4 4" xfId="28422" xr:uid="{00000000-0005-0000-0000-0000231F0000}"/>
    <cellStyle name="Comma 5 4 6 3 5" xfId="6291" xr:uid="{00000000-0005-0000-0000-0000241F0000}"/>
    <cellStyle name="Comma 5 4 6 3 5 2" xfId="15118" xr:uid="{00000000-0005-0000-0000-0000251F0000}"/>
    <cellStyle name="Comma 5 4 6 3 5 2 2" xfId="40673" xr:uid="{00000000-0005-0000-0000-0000261F0000}"/>
    <cellStyle name="Comma 5 4 6 3 5 3" xfId="25369" xr:uid="{00000000-0005-0000-0000-0000271F0000}"/>
    <cellStyle name="Comma 5 4 6 3 5 3 2" xfId="50922" xr:uid="{00000000-0005-0000-0000-0000281F0000}"/>
    <cellStyle name="Comma 5 4 6 3 5 4" xfId="31852" xr:uid="{00000000-0005-0000-0000-0000291F0000}"/>
    <cellStyle name="Comma 5 4 6 3 6" xfId="7737" xr:uid="{00000000-0005-0000-0000-00002A1F0000}"/>
    <cellStyle name="Comma 5 4 6 3 6 2" xfId="20491" xr:uid="{00000000-0005-0000-0000-00002B1F0000}"/>
    <cellStyle name="Comma 5 4 6 3 6 2 2" xfId="46044" xr:uid="{00000000-0005-0000-0000-00002C1F0000}"/>
    <cellStyle name="Comma 5 4 6 3 6 3" xfId="33294" xr:uid="{00000000-0005-0000-0000-00002D1F0000}"/>
    <cellStyle name="Comma 5 4 6 3 7" xfId="16932" xr:uid="{00000000-0005-0000-0000-00002E1F0000}"/>
    <cellStyle name="Comma 5 4 6 3 7 2" xfId="42485" xr:uid="{00000000-0005-0000-0000-00002F1F0000}"/>
    <cellStyle name="Comma 5 4 6 3 8" xfId="26974" xr:uid="{00000000-0005-0000-0000-0000301F0000}"/>
    <cellStyle name="Comma 5 4 6 4" xfId="2822" xr:uid="{00000000-0005-0000-0000-0000311F0000}"/>
    <cellStyle name="Comma 5 4 6 4 2" xfId="5200" xr:uid="{00000000-0005-0000-0000-0000321F0000}"/>
    <cellStyle name="Comma 5 4 6 4 2 2" xfId="14037" xr:uid="{00000000-0005-0000-0000-0000331F0000}"/>
    <cellStyle name="Comma 5 4 6 4 2 2 2" xfId="24288" xr:uid="{00000000-0005-0000-0000-0000341F0000}"/>
    <cellStyle name="Comma 5 4 6 4 2 2 2 2" xfId="49841" xr:uid="{00000000-0005-0000-0000-0000351F0000}"/>
    <cellStyle name="Comma 5 4 6 4 2 2 3" xfId="39592" xr:uid="{00000000-0005-0000-0000-0000361F0000}"/>
    <cellStyle name="Comma 5 4 6 4 2 3" xfId="10458" xr:uid="{00000000-0005-0000-0000-0000371F0000}"/>
    <cellStyle name="Comma 5 4 6 4 2 3 2" xfId="36015" xr:uid="{00000000-0005-0000-0000-0000381F0000}"/>
    <cellStyle name="Comma 5 4 6 4 2 4" xfId="19281" xr:uid="{00000000-0005-0000-0000-0000391F0000}"/>
    <cellStyle name="Comma 5 4 6 4 2 4 2" xfId="44834" xr:uid="{00000000-0005-0000-0000-00003A1F0000}"/>
    <cellStyle name="Comma 5 4 6 4 2 5" xfId="30771" xr:uid="{00000000-0005-0000-0000-00003B1F0000}"/>
    <cellStyle name="Comma 5 4 6 4 3" xfId="6655" xr:uid="{00000000-0005-0000-0000-00003C1F0000}"/>
    <cellStyle name="Comma 5 4 6 4 3 2" xfId="15482" xr:uid="{00000000-0005-0000-0000-00003D1F0000}"/>
    <cellStyle name="Comma 5 4 6 4 3 2 2" xfId="41037" xr:uid="{00000000-0005-0000-0000-00003E1F0000}"/>
    <cellStyle name="Comma 5 4 6 4 3 3" xfId="25733" xr:uid="{00000000-0005-0000-0000-00003F1F0000}"/>
    <cellStyle name="Comma 5 4 6 4 3 3 2" xfId="51286" xr:uid="{00000000-0005-0000-0000-0000401F0000}"/>
    <cellStyle name="Comma 5 4 6 4 3 4" xfId="32216" xr:uid="{00000000-0005-0000-0000-0000411F0000}"/>
    <cellStyle name="Comma 5 4 6 4 4" xfId="8101" xr:uid="{00000000-0005-0000-0000-0000421F0000}"/>
    <cellStyle name="Comma 5 4 6 4 4 2" xfId="22183" xr:uid="{00000000-0005-0000-0000-0000431F0000}"/>
    <cellStyle name="Comma 5 4 6 4 4 2 2" xfId="47736" xr:uid="{00000000-0005-0000-0000-0000441F0000}"/>
    <cellStyle name="Comma 5 4 6 4 4 3" xfId="33658" xr:uid="{00000000-0005-0000-0000-0000451F0000}"/>
    <cellStyle name="Comma 5 4 6 4 5" xfId="17176" xr:uid="{00000000-0005-0000-0000-0000461F0000}"/>
    <cellStyle name="Comma 5 4 6 4 5 2" xfId="42729" xr:uid="{00000000-0005-0000-0000-0000471F0000}"/>
    <cellStyle name="Comma 5 4 6 4 6" xfId="28666" xr:uid="{00000000-0005-0000-0000-0000481F0000}"/>
    <cellStyle name="Comma 5 4 6 5" xfId="4154" xr:uid="{00000000-0005-0000-0000-0000491F0000}"/>
    <cellStyle name="Comma 5 4 6 5 2" xfId="12992" xr:uid="{00000000-0005-0000-0000-00004A1F0000}"/>
    <cellStyle name="Comma 5 4 6 5 2 2" xfId="23243" xr:uid="{00000000-0005-0000-0000-00004B1F0000}"/>
    <cellStyle name="Comma 5 4 6 5 2 2 2" xfId="48796" xr:uid="{00000000-0005-0000-0000-00004C1F0000}"/>
    <cellStyle name="Comma 5 4 6 5 2 3" xfId="38547" xr:uid="{00000000-0005-0000-0000-00004D1F0000}"/>
    <cellStyle name="Comma 5 4 6 5 3" xfId="9413" xr:uid="{00000000-0005-0000-0000-00004E1F0000}"/>
    <cellStyle name="Comma 5 4 6 5 3 2" xfId="34970" xr:uid="{00000000-0005-0000-0000-00004F1F0000}"/>
    <cellStyle name="Comma 5 4 6 5 4" xfId="18236" xr:uid="{00000000-0005-0000-0000-0000501F0000}"/>
    <cellStyle name="Comma 5 4 6 5 4 2" xfId="43789" xr:uid="{00000000-0005-0000-0000-0000511F0000}"/>
    <cellStyle name="Comma 5 4 6 5 5" xfId="29726" xr:uid="{00000000-0005-0000-0000-0000521F0000}"/>
    <cellStyle name="Comma 5 4 6 6" xfId="1931" xr:uid="{00000000-0005-0000-0000-0000531F0000}"/>
    <cellStyle name="Comma 5 4 6 6 2" xfId="11296" xr:uid="{00000000-0005-0000-0000-0000541F0000}"/>
    <cellStyle name="Comma 5 4 6 6 2 2" xfId="36851" xr:uid="{00000000-0005-0000-0000-0000551F0000}"/>
    <cellStyle name="Comma 5 4 6 6 3" xfId="21300" xr:uid="{00000000-0005-0000-0000-0000561F0000}"/>
    <cellStyle name="Comma 5 4 6 6 3 2" xfId="46853" xr:uid="{00000000-0005-0000-0000-0000571F0000}"/>
    <cellStyle name="Comma 5 4 6 6 4" xfId="27783" xr:uid="{00000000-0005-0000-0000-0000581F0000}"/>
    <cellStyle name="Comma 5 4 6 7" xfId="5612" xr:uid="{00000000-0005-0000-0000-0000591F0000}"/>
    <cellStyle name="Comma 5 4 6 7 2" xfId="14439" xr:uid="{00000000-0005-0000-0000-00005A1F0000}"/>
    <cellStyle name="Comma 5 4 6 7 2 2" xfId="39994" xr:uid="{00000000-0005-0000-0000-00005B1F0000}"/>
    <cellStyle name="Comma 5 4 6 7 3" xfId="24690" xr:uid="{00000000-0005-0000-0000-00005C1F0000}"/>
    <cellStyle name="Comma 5 4 6 7 3 2" xfId="50243" xr:uid="{00000000-0005-0000-0000-00005D1F0000}"/>
    <cellStyle name="Comma 5 4 6 7 4" xfId="31173" xr:uid="{00000000-0005-0000-0000-00005E1F0000}"/>
    <cellStyle name="Comma 5 4 6 8" xfId="7056" xr:uid="{00000000-0005-0000-0000-00005F1F0000}"/>
    <cellStyle name="Comma 5 4 6 8 2" xfId="19782" xr:uid="{00000000-0005-0000-0000-0000601F0000}"/>
    <cellStyle name="Comma 5 4 6 8 2 2" xfId="45335" xr:uid="{00000000-0005-0000-0000-0000611F0000}"/>
    <cellStyle name="Comma 5 4 6 8 3" xfId="32613" xr:uid="{00000000-0005-0000-0000-0000621F0000}"/>
    <cellStyle name="Comma 5 4 6 9" xfId="16293" xr:uid="{00000000-0005-0000-0000-0000631F0000}"/>
    <cellStyle name="Comma 5 4 6 9 2" xfId="41846" xr:uid="{00000000-0005-0000-0000-0000641F0000}"/>
    <cellStyle name="Comma 5 4 7" xfId="663" xr:uid="{00000000-0005-0000-0000-0000651F0000}"/>
    <cellStyle name="Comma 5 4 7 2" xfId="3149" xr:uid="{00000000-0005-0000-0000-0000661F0000}"/>
    <cellStyle name="Comma 5 4 7 2 2" xfId="12292" xr:uid="{00000000-0005-0000-0000-0000671F0000}"/>
    <cellStyle name="Comma 5 4 7 2 2 2" xfId="22510" xr:uid="{00000000-0005-0000-0000-0000681F0000}"/>
    <cellStyle name="Comma 5 4 7 2 2 2 2" xfId="48063" xr:uid="{00000000-0005-0000-0000-0000691F0000}"/>
    <cellStyle name="Comma 5 4 7 2 2 3" xfId="37847" xr:uid="{00000000-0005-0000-0000-00006A1F0000}"/>
    <cellStyle name="Comma 5 4 7 2 3" xfId="8714" xr:uid="{00000000-0005-0000-0000-00006B1F0000}"/>
    <cellStyle name="Comma 5 4 7 2 3 2" xfId="34271" xr:uid="{00000000-0005-0000-0000-00006C1F0000}"/>
    <cellStyle name="Comma 5 4 7 2 4" xfId="17503" xr:uid="{00000000-0005-0000-0000-00006D1F0000}"/>
    <cellStyle name="Comma 5 4 7 2 4 2" xfId="43056" xr:uid="{00000000-0005-0000-0000-00006E1F0000}"/>
    <cellStyle name="Comma 5 4 7 2 5" xfId="28993" xr:uid="{00000000-0005-0000-0000-00006F1F0000}"/>
    <cellStyle name="Comma 5 4 7 3" xfId="4478" xr:uid="{00000000-0005-0000-0000-0000701F0000}"/>
    <cellStyle name="Comma 5 4 7 3 2" xfId="13316" xr:uid="{00000000-0005-0000-0000-0000711F0000}"/>
    <cellStyle name="Comma 5 4 7 3 2 2" xfId="23567" xr:uid="{00000000-0005-0000-0000-0000721F0000}"/>
    <cellStyle name="Comma 5 4 7 3 2 2 2" xfId="49120" xr:uid="{00000000-0005-0000-0000-0000731F0000}"/>
    <cellStyle name="Comma 5 4 7 3 2 3" xfId="38871" xr:uid="{00000000-0005-0000-0000-0000741F0000}"/>
    <cellStyle name="Comma 5 4 7 3 3" xfId="9737" xr:uid="{00000000-0005-0000-0000-0000751F0000}"/>
    <cellStyle name="Comma 5 4 7 3 3 2" xfId="35294" xr:uid="{00000000-0005-0000-0000-0000761F0000}"/>
    <cellStyle name="Comma 5 4 7 3 4" xfId="18560" xr:uid="{00000000-0005-0000-0000-0000771F0000}"/>
    <cellStyle name="Comma 5 4 7 3 4 2" xfId="44113" xr:uid="{00000000-0005-0000-0000-0000781F0000}"/>
    <cellStyle name="Comma 5 4 7 3 5" xfId="30050" xr:uid="{00000000-0005-0000-0000-0000791F0000}"/>
    <cellStyle name="Comma 5 4 7 4" xfId="2258" xr:uid="{00000000-0005-0000-0000-00007A1F0000}"/>
    <cellStyle name="Comma 5 4 7 4 2" xfId="11623" xr:uid="{00000000-0005-0000-0000-00007B1F0000}"/>
    <cellStyle name="Comma 5 4 7 4 2 2" xfId="37178" xr:uid="{00000000-0005-0000-0000-00007C1F0000}"/>
    <cellStyle name="Comma 5 4 7 4 3" xfId="21627" xr:uid="{00000000-0005-0000-0000-00007D1F0000}"/>
    <cellStyle name="Comma 5 4 7 4 3 2" xfId="47180" xr:uid="{00000000-0005-0000-0000-00007E1F0000}"/>
    <cellStyle name="Comma 5 4 7 4 4" xfId="28110" xr:uid="{00000000-0005-0000-0000-00007F1F0000}"/>
    <cellStyle name="Comma 5 4 7 5" xfId="5934" xr:uid="{00000000-0005-0000-0000-0000801F0000}"/>
    <cellStyle name="Comma 5 4 7 5 2" xfId="14761" xr:uid="{00000000-0005-0000-0000-0000811F0000}"/>
    <cellStyle name="Comma 5 4 7 5 2 2" xfId="40316" xr:uid="{00000000-0005-0000-0000-0000821F0000}"/>
    <cellStyle name="Comma 5 4 7 5 3" xfId="25012" xr:uid="{00000000-0005-0000-0000-0000831F0000}"/>
    <cellStyle name="Comma 5 4 7 5 3 2" xfId="50565" xr:uid="{00000000-0005-0000-0000-0000841F0000}"/>
    <cellStyle name="Comma 5 4 7 5 4" xfId="31495" xr:uid="{00000000-0005-0000-0000-0000851F0000}"/>
    <cellStyle name="Comma 5 4 7 6" xfId="7378" xr:uid="{00000000-0005-0000-0000-0000861F0000}"/>
    <cellStyle name="Comma 5 4 7 6 2" xfId="20109" xr:uid="{00000000-0005-0000-0000-0000871F0000}"/>
    <cellStyle name="Comma 5 4 7 6 2 2" xfId="45662" xr:uid="{00000000-0005-0000-0000-0000881F0000}"/>
    <cellStyle name="Comma 5 4 7 6 3" xfId="32935" xr:uid="{00000000-0005-0000-0000-0000891F0000}"/>
    <cellStyle name="Comma 5 4 7 7" xfId="16620" xr:uid="{00000000-0005-0000-0000-00008A1F0000}"/>
    <cellStyle name="Comma 5 4 7 7 2" xfId="42173" xr:uid="{00000000-0005-0000-0000-00008B1F0000}"/>
    <cellStyle name="Comma 5 4 7 8" xfId="26592" xr:uid="{00000000-0005-0000-0000-00008C1F0000}"/>
    <cellStyle name="Comma 5 4 8" xfId="1063" xr:uid="{00000000-0005-0000-0000-00008D1F0000}"/>
    <cellStyle name="Comma 5 4 8 2" xfId="3492" xr:uid="{00000000-0005-0000-0000-00008E1F0000}"/>
    <cellStyle name="Comma 5 4 8 2 2" xfId="12628" xr:uid="{00000000-0005-0000-0000-00008F1F0000}"/>
    <cellStyle name="Comma 5 4 8 2 2 2" xfId="22847" xr:uid="{00000000-0005-0000-0000-0000901F0000}"/>
    <cellStyle name="Comma 5 4 8 2 2 2 2" xfId="48400" xr:uid="{00000000-0005-0000-0000-0000911F0000}"/>
    <cellStyle name="Comma 5 4 8 2 2 3" xfId="38183" xr:uid="{00000000-0005-0000-0000-0000921F0000}"/>
    <cellStyle name="Comma 5 4 8 2 3" xfId="9050" xr:uid="{00000000-0005-0000-0000-0000931F0000}"/>
    <cellStyle name="Comma 5 4 8 2 3 2" xfId="34607" xr:uid="{00000000-0005-0000-0000-0000941F0000}"/>
    <cellStyle name="Comma 5 4 8 2 4" xfId="17840" xr:uid="{00000000-0005-0000-0000-0000951F0000}"/>
    <cellStyle name="Comma 5 4 8 2 4 2" xfId="43393" xr:uid="{00000000-0005-0000-0000-0000961F0000}"/>
    <cellStyle name="Comma 5 4 8 2 5" xfId="29330" xr:uid="{00000000-0005-0000-0000-0000971F0000}"/>
    <cellStyle name="Comma 5 4 8 3" xfId="4827" xr:uid="{00000000-0005-0000-0000-0000981F0000}"/>
    <cellStyle name="Comma 5 4 8 3 2" xfId="13664" xr:uid="{00000000-0005-0000-0000-0000991F0000}"/>
    <cellStyle name="Comma 5 4 8 3 2 2" xfId="23915" xr:uid="{00000000-0005-0000-0000-00009A1F0000}"/>
    <cellStyle name="Comma 5 4 8 3 2 2 2" xfId="49468" xr:uid="{00000000-0005-0000-0000-00009B1F0000}"/>
    <cellStyle name="Comma 5 4 8 3 2 3" xfId="39219" xr:uid="{00000000-0005-0000-0000-00009C1F0000}"/>
    <cellStyle name="Comma 5 4 8 3 3" xfId="10085" xr:uid="{00000000-0005-0000-0000-00009D1F0000}"/>
    <cellStyle name="Comma 5 4 8 3 3 2" xfId="35642" xr:uid="{00000000-0005-0000-0000-00009E1F0000}"/>
    <cellStyle name="Comma 5 4 8 3 4" xfId="18908" xr:uid="{00000000-0005-0000-0000-00009F1F0000}"/>
    <cellStyle name="Comma 5 4 8 3 4 2" xfId="44461" xr:uid="{00000000-0005-0000-0000-0000A01F0000}"/>
    <cellStyle name="Comma 5 4 8 3 5" xfId="30398" xr:uid="{00000000-0005-0000-0000-0000A11F0000}"/>
    <cellStyle name="Comma 5 4 8 4" xfId="1729" xr:uid="{00000000-0005-0000-0000-0000A21F0000}"/>
    <cellStyle name="Comma 5 4 8 4 2" xfId="11103" xr:uid="{00000000-0005-0000-0000-0000A31F0000}"/>
    <cellStyle name="Comma 5 4 8 4 2 2" xfId="36658" xr:uid="{00000000-0005-0000-0000-0000A41F0000}"/>
    <cellStyle name="Comma 5 4 8 4 3" xfId="21107" xr:uid="{00000000-0005-0000-0000-0000A51F0000}"/>
    <cellStyle name="Comma 5 4 8 4 3 2" xfId="46660" xr:uid="{00000000-0005-0000-0000-0000A61F0000}"/>
    <cellStyle name="Comma 5 4 8 4 4" xfId="27590" xr:uid="{00000000-0005-0000-0000-0000A71F0000}"/>
    <cellStyle name="Comma 5 4 8 5" xfId="6282" xr:uid="{00000000-0005-0000-0000-0000A81F0000}"/>
    <cellStyle name="Comma 5 4 8 5 2" xfId="15109" xr:uid="{00000000-0005-0000-0000-0000A91F0000}"/>
    <cellStyle name="Comma 5 4 8 5 2 2" xfId="40664" xr:uid="{00000000-0005-0000-0000-0000AA1F0000}"/>
    <cellStyle name="Comma 5 4 8 5 3" xfId="25360" xr:uid="{00000000-0005-0000-0000-0000AB1F0000}"/>
    <cellStyle name="Comma 5 4 8 5 3 2" xfId="50913" xr:uid="{00000000-0005-0000-0000-0000AC1F0000}"/>
    <cellStyle name="Comma 5 4 8 5 4" xfId="31843" xr:uid="{00000000-0005-0000-0000-0000AD1F0000}"/>
    <cellStyle name="Comma 5 4 8 6" xfId="7728" xr:uid="{00000000-0005-0000-0000-0000AE1F0000}"/>
    <cellStyle name="Comma 5 4 8 6 2" xfId="20446" xr:uid="{00000000-0005-0000-0000-0000AF1F0000}"/>
    <cellStyle name="Comma 5 4 8 6 2 2" xfId="45999" xr:uid="{00000000-0005-0000-0000-0000B01F0000}"/>
    <cellStyle name="Comma 5 4 8 6 3" xfId="33285" xr:uid="{00000000-0005-0000-0000-0000B11F0000}"/>
    <cellStyle name="Comma 5 4 8 7" xfId="16100" xr:uid="{00000000-0005-0000-0000-0000B21F0000}"/>
    <cellStyle name="Comma 5 4 8 7 2" xfId="41653" xr:uid="{00000000-0005-0000-0000-0000B31F0000}"/>
    <cellStyle name="Comma 5 4 8 8" xfId="26929" xr:uid="{00000000-0005-0000-0000-0000B41F0000}"/>
    <cellStyle name="Comma 5 4 9" xfId="2629" xr:uid="{00000000-0005-0000-0000-0000B51F0000}"/>
    <cellStyle name="Comma 5 4 9 2" xfId="5155" xr:uid="{00000000-0005-0000-0000-0000B61F0000}"/>
    <cellStyle name="Comma 5 4 9 2 2" xfId="13992" xr:uid="{00000000-0005-0000-0000-0000B71F0000}"/>
    <cellStyle name="Comma 5 4 9 2 2 2" xfId="24243" xr:uid="{00000000-0005-0000-0000-0000B81F0000}"/>
    <cellStyle name="Comma 5 4 9 2 2 2 2" xfId="49796" xr:uid="{00000000-0005-0000-0000-0000B91F0000}"/>
    <cellStyle name="Comma 5 4 9 2 2 3" xfId="39547" xr:uid="{00000000-0005-0000-0000-0000BA1F0000}"/>
    <cellStyle name="Comma 5 4 9 2 3" xfId="10413" xr:uid="{00000000-0005-0000-0000-0000BB1F0000}"/>
    <cellStyle name="Comma 5 4 9 2 3 2" xfId="35970" xr:uid="{00000000-0005-0000-0000-0000BC1F0000}"/>
    <cellStyle name="Comma 5 4 9 2 4" xfId="19236" xr:uid="{00000000-0005-0000-0000-0000BD1F0000}"/>
    <cellStyle name="Comma 5 4 9 2 4 2" xfId="44789" xr:uid="{00000000-0005-0000-0000-0000BE1F0000}"/>
    <cellStyle name="Comma 5 4 9 2 5" xfId="30726" xr:uid="{00000000-0005-0000-0000-0000BF1F0000}"/>
    <cellStyle name="Comma 5 4 9 3" xfId="6610" xr:uid="{00000000-0005-0000-0000-0000C01F0000}"/>
    <cellStyle name="Comma 5 4 9 3 2" xfId="15437" xr:uid="{00000000-0005-0000-0000-0000C11F0000}"/>
    <cellStyle name="Comma 5 4 9 3 2 2" xfId="40992" xr:uid="{00000000-0005-0000-0000-0000C21F0000}"/>
    <cellStyle name="Comma 5 4 9 3 3" xfId="25688" xr:uid="{00000000-0005-0000-0000-0000C31F0000}"/>
    <cellStyle name="Comma 5 4 9 3 3 2" xfId="51241" xr:uid="{00000000-0005-0000-0000-0000C41F0000}"/>
    <cellStyle name="Comma 5 4 9 3 4" xfId="32171" xr:uid="{00000000-0005-0000-0000-0000C51F0000}"/>
    <cellStyle name="Comma 5 4 9 4" xfId="8056" xr:uid="{00000000-0005-0000-0000-0000C61F0000}"/>
    <cellStyle name="Comma 5 4 9 4 2" xfId="21991" xr:uid="{00000000-0005-0000-0000-0000C71F0000}"/>
    <cellStyle name="Comma 5 4 9 4 2 2" xfId="47544" xr:uid="{00000000-0005-0000-0000-0000C81F0000}"/>
    <cellStyle name="Comma 5 4 9 4 3" xfId="33613" xr:uid="{00000000-0005-0000-0000-0000C91F0000}"/>
    <cellStyle name="Comma 5 4 9 5" xfId="16984" xr:uid="{00000000-0005-0000-0000-0000CA1F0000}"/>
    <cellStyle name="Comma 5 4 9 5 2" xfId="42537" xr:uid="{00000000-0005-0000-0000-0000CB1F0000}"/>
    <cellStyle name="Comma 5 4 9 6" xfId="28474" xr:uid="{00000000-0005-0000-0000-0000CC1F0000}"/>
    <cellStyle name="Comma 5 5" xfId="138" xr:uid="{00000000-0005-0000-0000-0000CD1F0000}"/>
    <cellStyle name="Comma 5 5 10" xfId="1406" xr:uid="{00000000-0005-0000-0000-0000CE1F0000}"/>
    <cellStyle name="Comma 5 5 10 2" xfId="10783" xr:uid="{00000000-0005-0000-0000-0000CF1F0000}"/>
    <cellStyle name="Comma 5 5 10 2 2" xfId="36338" xr:uid="{00000000-0005-0000-0000-0000D01F0000}"/>
    <cellStyle name="Comma 5 5 10 3" xfId="20787" xr:uid="{00000000-0005-0000-0000-0000D11F0000}"/>
    <cellStyle name="Comma 5 5 10 3 2" xfId="46340" xr:uid="{00000000-0005-0000-0000-0000D21F0000}"/>
    <cellStyle name="Comma 5 5 10 4" xfId="27270" xr:uid="{00000000-0005-0000-0000-0000D31F0000}"/>
    <cellStyle name="Comma 5 5 11" xfId="5517" xr:uid="{00000000-0005-0000-0000-0000D41F0000}"/>
    <cellStyle name="Comma 5 5 11 2" xfId="14344" xr:uid="{00000000-0005-0000-0000-0000D51F0000}"/>
    <cellStyle name="Comma 5 5 11 2 2" xfId="39899" xr:uid="{00000000-0005-0000-0000-0000D61F0000}"/>
    <cellStyle name="Comma 5 5 11 3" xfId="24595" xr:uid="{00000000-0005-0000-0000-0000D71F0000}"/>
    <cellStyle name="Comma 5 5 11 3 2" xfId="50148" xr:uid="{00000000-0005-0000-0000-0000D81F0000}"/>
    <cellStyle name="Comma 5 5 11 4" xfId="31078" xr:uid="{00000000-0005-0000-0000-0000D91F0000}"/>
    <cellStyle name="Comma 5 5 12" xfId="6957" xr:uid="{00000000-0005-0000-0000-0000DA1F0000}"/>
    <cellStyle name="Comma 5 5 12 2" xfId="19602" xr:uid="{00000000-0005-0000-0000-0000DB1F0000}"/>
    <cellStyle name="Comma 5 5 12 2 2" xfId="45155" xr:uid="{00000000-0005-0000-0000-0000DC1F0000}"/>
    <cellStyle name="Comma 5 5 12 3" xfId="32515" xr:uid="{00000000-0005-0000-0000-0000DD1F0000}"/>
    <cellStyle name="Comma 5 5 13" xfId="15780" xr:uid="{00000000-0005-0000-0000-0000DE1F0000}"/>
    <cellStyle name="Comma 5 5 13 2" xfId="41333" xr:uid="{00000000-0005-0000-0000-0000DF1F0000}"/>
    <cellStyle name="Comma 5 5 14" xfId="26085" xr:uid="{00000000-0005-0000-0000-0000E01F0000}"/>
    <cellStyle name="Comma 5 5 2" xfId="188" xr:uid="{00000000-0005-0000-0000-0000E11F0000}"/>
    <cellStyle name="Comma 5 5 2 10" xfId="7136" xr:uid="{00000000-0005-0000-0000-0000E21F0000}"/>
    <cellStyle name="Comma 5 5 2 10 2" xfId="19645" xr:uid="{00000000-0005-0000-0000-0000E31F0000}"/>
    <cellStyle name="Comma 5 5 2 10 2 2" xfId="45198" xr:uid="{00000000-0005-0000-0000-0000E41F0000}"/>
    <cellStyle name="Comma 5 5 2 10 3" xfId="32693" xr:uid="{00000000-0005-0000-0000-0000E51F0000}"/>
    <cellStyle name="Comma 5 5 2 11" xfId="15882" xr:uid="{00000000-0005-0000-0000-0000E61F0000}"/>
    <cellStyle name="Comma 5 5 2 11 2" xfId="41435" xr:uid="{00000000-0005-0000-0000-0000E71F0000}"/>
    <cellStyle name="Comma 5 5 2 12" xfId="26128" xr:uid="{00000000-0005-0000-0000-0000E81F0000}"/>
    <cellStyle name="Comma 5 5 2 2" xfId="516" xr:uid="{00000000-0005-0000-0000-0000E91F0000}"/>
    <cellStyle name="Comma 5 5 2 2 10" xfId="26445" xr:uid="{00000000-0005-0000-0000-0000EA1F0000}"/>
    <cellStyle name="Comma 5 5 2 2 2" xfId="675" xr:uid="{00000000-0005-0000-0000-0000EB1F0000}"/>
    <cellStyle name="Comma 5 5 2 2 2 2" xfId="3161" xr:uid="{00000000-0005-0000-0000-0000EC1F0000}"/>
    <cellStyle name="Comma 5 5 2 2 2 2 2" xfId="12304" xr:uid="{00000000-0005-0000-0000-0000ED1F0000}"/>
    <cellStyle name="Comma 5 5 2 2 2 2 2 2" xfId="22522" xr:uid="{00000000-0005-0000-0000-0000EE1F0000}"/>
    <cellStyle name="Comma 5 5 2 2 2 2 2 2 2" xfId="48075" xr:uid="{00000000-0005-0000-0000-0000EF1F0000}"/>
    <cellStyle name="Comma 5 5 2 2 2 2 2 3" xfId="37859" xr:uid="{00000000-0005-0000-0000-0000F01F0000}"/>
    <cellStyle name="Comma 5 5 2 2 2 2 3" xfId="8726" xr:uid="{00000000-0005-0000-0000-0000F11F0000}"/>
    <cellStyle name="Comma 5 5 2 2 2 2 3 2" xfId="34283" xr:uid="{00000000-0005-0000-0000-0000F21F0000}"/>
    <cellStyle name="Comma 5 5 2 2 2 2 4" xfId="17515" xr:uid="{00000000-0005-0000-0000-0000F31F0000}"/>
    <cellStyle name="Comma 5 5 2 2 2 2 4 2" xfId="43068" xr:uid="{00000000-0005-0000-0000-0000F41F0000}"/>
    <cellStyle name="Comma 5 5 2 2 2 2 5" xfId="29005" xr:uid="{00000000-0005-0000-0000-0000F51F0000}"/>
    <cellStyle name="Comma 5 5 2 2 2 3" xfId="4490" xr:uid="{00000000-0005-0000-0000-0000F61F0000}"/>
    <cellStyle name="Comma 5 5 2 2 2 3 2" xfId="13328" xr:uid="{00000000-0005-0000-0000-0000F71F0000}"/>
    <cellStyle name="Comma 5 5 2 2 2 3 2 2" xfId="23579" xr:uid="{00000000-0005-0000-0000-0000F81F0000}"/>
    <cellStyle name="Comma 5 5 2 2 2 3 2 2 2" xfId="49132" xr:uid="{00000000-0005-0000-0000-0000F91F0000}"/>
    <cellStyle name="Comma 5 5 2 2 2 3 2 3" xfId="38883" xr:uid="{00000000-0005-0000-0000-0000FA1F0000}"/>
    <cellStyle name="Comma 5 5 2 2 2 3 3" xfId="9749" xr:uid="{00000000-0005-0000-0000-0000FB1F0000}"/>
    <cellStyle name="Comma 5 5 2 2 2 3 3 2" xfId="35306" xr:uid="{00000000-0005-0000-0000-0000FC1F0000}"/>
    <cellStyle name="Comma 5 5 2 2 2 3 4" xfId="18572" xr:uid="{00000000-0005-0000-0000-0000FD1F0000}"/>
    <cellStyle name="Comma 5 5 2 2 2 3 4 2" xfId="44125" xr:uid="{00000000-0005-0000-0000-0000FE1F0000}"/>
    <cellStyle name="Comma 5 5 2 2 2 3 5" xfId="30062" xr:uid="{00000000-0005-0000-0000-0000FF1F0000}"/>
    <cellStyle name="Comma 5 5 2 2 2 4" xfId="2270" xr:uid="{00000000-0005-0000-0000-000000200000}"/>
    <cellStyle name="Comma 5 5 2 2 2 4 2" xfId="11635" xr:uid="{00000000-0005-0000-0000-000001200000}"/>
    <cellStyle name="Comma 5 5 2 2 2 4 2 2" xfId="37190" xr:uid="{00000000-0005-0000-0000-000002200000}"/>
    <cellStyle name="Comma 5 5 2 2 2 4 3" xfId="21639" xr:uid="{00000000-0005-0000-0000-000003200000}"/>
    <cellStyle name="Comma 5 5 2 2 2 4 3 2" xfId="47192" xr:uid="{00000000-0005-0000-0000-000004200000}"/>
    <cellStyle name="Comma 5 5 2 2 2 4 4" xfId="28122" xr:uid="{00000000-0005-0000-0000-000005200000}"/>
    <cellStyle name="Comma 5 5 2 2 2 5" xfId="5946" xr:uid="{00000000-0005-0000-0000-000006200000}"/>
    <cellStyle name="Comma 5 5 2 2 2 5 2" xfId="14773" xr:uid="{00000000-0005-0000-0000-000007200000}"/>
    <cellStyle name="Comma 5 5 2 2 2 5 2 2" xfId="40328" xr:uid="{00000000-0005-0000-0000-000008200000}"/>
    <cellStyle name="Comma 5 5 2 2 2 5 3" xfId="25024" xr:uid="{00000000-0005-0000-0000-000009200000}"/>
    <cellStyle name="Comma 5 5 2 2 2 5 3 2" xfId="50577" xr:uid="{00000000-0005-0000-0000-00000A200000}"/>
    <cellStyle name="Comma 5 5 2 2 2 5 4" xfId="31507" xr:uid="{00000000-0005-0000-0000-00000B200000}"/>
    <cellStyle name="Comma 5 5 2 2 2 6" xfId="7390" xr:uid="{00000000-0005-0000-0000-00000C200000}"/>
    <cellStyle name="Comma 5 5 2 2 2 6 2" xfId="20121" xr:uid="{00000000-0005-0000-0000-00000D200000}"/>
    <cellStyle name="Comma 5 5 2 2 2 6 2 2" xfId="45674" xr:uid="{00000000-0005-0000-0000-00000E200000}"/>
    <cellStyle name="Comma 5 5 2 2 2 6 3" xfId="32947" xr:uid="{00000000-0005-0000-0000-00000F200000}"/>
    <cellStyle name="Comma 5 5 2 2 2 7" xfId="16632" xr:uid="{00000000-0005-0000-0000-000010200000}"/>
    <cellStyle name="Comma 5 5 2 2 2 7 2" xfId="42185" xr:uid="{00000000-0005-0000-0000-000011200000}"/>
    <cellStyle name="Comma 5 5 2 2 2 8" xfId="26604" xr:uid="{00000000-0005-0000-0000-000012200000}"/>
    <cellStyle name="Comma 5 5 2 2 3" xfId="1288" xr:uid="{00000000-0005-0000-0000-000013200000}"/>
    <cellStyle name="Comma 5 5 2 2 3 2" xfId="3717" xr:uid="{00000000-0005-0000-0000-000014200000}"/>
    <cellStyle name="Comma 5 5 2 2 3 2 2" xfId="12853" xr:uid="{00000000-0005-0000-0000-000015200000}"/>
    <cellStyle name="Comma 5 5 2 2 3 2 2 2" xfId="23072" xr:uid="{00000000-0005-0000-0000-000016200000}"/>
    <cellStyle name="Comma 5 5 2 2 3 2 2 2 2" xfId="48625" xr:uid="{00000000-0005-0000-0000-000017200000}"/>
    <cellStyle name="Comma 5 5 2 2 3 2 2 3" xfId="38408" xr:uid="{00000000-0005-0000-0000-000018200000}"/>
    <cellStyle name="Comma 5 5 2 2 3 2 3" xfId="9274" xr:uid="{00000000-0005-0000-0000-000019200000}"/>
    <cellStyle name="Comma 5 5 2 2 3 2 3 2" xfId="34831" xr:uid="{00000000-0005-0000-0000-00001A200000}"/>
    <cellStyle name="Comma 5 5 2 2 3 2 4" xfId="18065" xr:uid="{00000000-0005-0000-0000-00001B200000}"/>
    <cellStyle name="Comma 5 5 2 2 3 2 4 2" xfId="43618" xr:uid="{00000000-0005-0000-0000-00001C200000}"/>
    <cellStyle name="Comma 5 5 2 2 3 2 5" xfId="29555" xr:uid="{00000000-0005-0000-0000-00001D200000}"/>
    <cellStyle name="Comma 5 5 2 2 3 3" xfId="4839" xr:uid="{00000000-0005-0000-0000-00001E200000}"/>
    <cellStyle name="Comma 5 5 2 2 3 3 2" xfId="13676" xr:uid="{00000000-0005-0000-0000-00001F200000}"/>
    <cellStyle name="Comma 5 5 2 2 3 3 2 2" xfId="23927" xr:uid="{00000000-0005-0000-0000-000020200000}"/>
    <cellStyle name="Comma 5 5 2 2 3 3 2 2 2" xfId="49480" xr:uid="{00000000-0005-0000-0000-000021200000}"/>
    <cellStyle name="Comma 5 5 2 2 3 3 2 3" xfId="39231" xr:uid="{00000000-0005-0000-0000-000022200000}"/>
    <cellStyle name="Comma 5 5 2 2 3 3 3" xfId="10097" xr:uid="{00000000-0005-0000-0000-000023200000}"/>
    <cellStyle name="Comma 5 5 2 2 3 3 3 2" xfId="35654" xr:uid="{00000000-0005-0000-0000-000024200000}"/>
    <cellStyle name="Comma 5 5 2 2 3 3 4" xfId="18920" xr:uid="{00000000-0005-0000-0000-000025200000}"/>
    <cellStyle name="Comma 5 5 2 2 3 3 4 2" xfId="44473" xr:uid="{00000000-0005-0000-0000-000026200000}"/>
    <cellStyle name="Comma 5 5 2 2 3 3 5" xfId="30410" xr:uid="{00000000-0005-0000-0000-000027200000}"/>
    <cellStyle name="Comma 5 5 2 2 3 4" xfId="2111" xr:uid="{00000000-0005-0000-0000-000028200000}"/>
    <cellStyle name="Comma 5 5 2 2 3 4 2" xfId="11476" xr:uid="{00000000-0005-0000-0000-000029200000}"/>
    <cellStyle name="Comma 5 5 2 2 3 4 2 2" xfId="37031" xr:uid="{00000000-0005-0000-0000-00002A200000}"/>
    <cellStyle name="Comma 5 5 2 2 3 4 3" xfId="21480" xr:uid="{00000000-0005-0000-0000-00002B200000}"/>
    <cellStyle name="Comma 5 5 2 2 3 4 3 2" xfId="47033" xr:uid="{00000000-0005-0000-0000-00002C200000}"/>
    <cellStyle name="Comma 5 5 2 2 3 4 4" xfId="27963" xr:uid="{00000000-0005-0000-0000-00002D200000}"/>
    <cellStyle name="Comma 5 5 2 2 3 5" xfId="6294" xr:uid="{00000000-0005-0000-0000-00002E200000}"/>
    <cellStyle name="Comma 5 5 2 2 3 5 2" xfId="15121" xr:uid="{00000000-0005-0000-0000-00002F200000}"/>
    <cellStyle name="Comma 5 5 2 2 3 5 2 2" xfId="40676" xr:uid="{00000000-0005-0000-0000-000030200000}"/>
    <cellStyle name="Comma 5 5 2 2 3 5 3" xfId="25372" xr:uid="{00000000-0005-0000-0000-000031200000}"/>
    <cellStyle name="Comma 5 5 2 2 3 5 3 2" xfId="50925" xr:uid="{00000000-0005-0000-0000-000032200000}"/>
    <cellStyle name="Comma 5 5 2 2 3 5 4" xfId="31855" xr:uid="{00000000-0005-0000-0000-000033200000}"/>
    <cellStyle name="Comma 5 5 2 2 3 6" xfId="7740" xr:uid="{00000000-0005-0000-0000-000034200000}"/>
    <cellStyle name="Comma 5 5 2 2 3 6 2" xfId="20671" xr:uid="{00000000-0005-0000-0000-000035200000}"/>
    <cellStyle name="Comma 5 5 2 2 3 6 2 2" xfId="46224" xr:uid="{00000000-0005-0000-0000-000036200000}"/>
    <cellStyle name="Comma 5 5 2 2 3 6 3" xfId="33297" xr:uid="{00000000-0005-0000-0000-000037200000}"/>
    <cellStyle name="Comma 5 5 2 2 3 7" xfId="16473" xr:uid="{00000000-0005-0000-0000-000038200000}"/>
    <cellStyle name="Comma 5 5 2 2 3 7 2" xfId="42026" xr:uid="{00000000-0005-0000-0000-000039200000}"/>
    <cellStyle name="Comma 5 5 2 2 3 8" xfId="27154" xr:uid="{00000000-0005-0000-0000-00003A200000}"/>
    <cellStyle name="Comma 5 5 2 2 4" xfId="3002" xr:uid="{00000000-0005-0000-0000-00003B200000}"/>
    <cellStyle name="Comma 5 5 2 2 4 2" xfId="5380" xr:uid="{00000000-0005-0000-0000-00003C200000}"/>
    <cellStyle name="Comma 5 5 2 2 4 2 2" xfId="14217" xr:uid="{00000000-0005-0000-0000-00003D200000}"/>
    <cellStyle name="Comma 5 5 2 2 4 2 2 2" xfId="24468" xr:uid="{00000000-0005-0000-0000-00003E200000}"/>
    <cellStyle name="Comma 5 5 2 2 4 2 2 2 2" xfId="50021" xr:uid="{00000000-0005-0000-0000-00003F200000}"/>
    <cellStyle name="Comma 5 5 2 2 4 2 2 3" xfId="39772" xr:uid="{00000000-0005-0000-0000-000040200000}"/>
    <cellStyle name="Comma 5 5 2 2 4 2 3" xfId="10638" xr:uid="{00000000-0005-0000-0000-000041200000}"/>
    <cellStyle name="Comma 5 5 2 2 4 2 3 2" xfId="36195" xr:uid="{00000000-0005-0000-0000-000042200000}"/>
    <cellStyle name="Comma 5 5 2 2 4 2 4" xfId="19461" xr:uid="{00000000-0005-0000-0000-000043200000}"/>
    <cellStyle name="Comma 5 5 2 2 4 2 4 2" xfId="45014" xr:uid="{00000000-0005-0000-0000-000044200000}"/>
    <cellStyle name="Comma 5 5 2 2 4 2 5" xfId="30951" xr:uid="{00000000-0005-0000-0000-000045200000}"/>
    <cellStyle name="Comma 5 5 2 2 4 3" xfId="6835" xr:uid="{00000000-0005-0000-0000-000046200000}"/>
    <cellStyle name="Comma 5 5 2 2 4 3 2" xfId="15662" xr:uid="{00000000-0005-0000-0000-000047200000}"/>
    <cellStyle name="Comma 5 5 2 2 4 3 2 2" xfId="41217" xr:uid="{00000000-0005-0000-0000-000048200000}"/>
    <cellStyle name="Comma 5 5 2 2 4 3 3" xfId="25913" xr:uid="{00000000-0005-0000-0000-000049200000}"/>
    <cellStyle name="Comma 5 5 2 2 4 3 3 2" xfId="51466" xr:uid="{00000000-0005-0000-0000-00004A200000}"/>
    <cellStyle name="Comma 5 5 2 2 4 3 4" xfId="32396" xr:uid="{00000000-0005-0000-0000-00004B200000}"/>
    <cellStyle name="Comma 5 5 2 2 4 4" xfId="8281" xr:uid="{00000000-0005-0000-0000-00004C200000}"/>
    <cellStyle name="Comma 5 5 2 2 4 4 2" xfId="22363" xr:uid="{00000000-0005-0000-0000-00004D200000}"/>
    <cellStyle name="Comma 5 5 2 2 4 4 2 2" xfId="47916" xr:uid="{00000000-0005-0000-0000-00004E200000}"/>
    <cellStyle name="Comma 5 5 2 2 4 4 3" xfId="33838" xr:uid="{00000000-0005-0000-0000-00004F200000}"/>
    <cellStyle name="Comma 5 5 2 2 4 5" xfId="17356" xr:uid="{00000000-0005-0000-0000-000050200000}"/>
    <cellStyle name="Comma 5 5 2 2 4 5 2" xfId="42909" xr:uid="{00000000-0005-0000-0000-000051200000}"/>
    <cellStyle name="Comma 5 5 2 2 4 6" xfId="28846" xr:uid="{00000000-0005-0000-0000-000052200000}"/>
    <cellStyle name="Comma 5 5 2 2 5" xfId="4336" xr:uid="{00000000-0005-0000-0000-000053200000}"/>
    <cellStyle name="Comma 5 5 2 2 5 2" xfId="13174" xr:uid="{00000000-0005-0000-0000-000054200000}"/>
    <cellStyle name="Comma 5 5 2 2 5 2 2" xfId="23425" xr:uid="{00000000-0005-0000-0000-000055200000}"/>
    <cellStyle name="Comma 5 5 2 2 5 2 2 2" xfId="48978" xr:uid="{00000000-0005-0000-0000-000056200000}"/>
    <cellStyle name="Comma 5 5 2 2 5 2 3" xfId="38729" xr:uid="{00000000-0005-0000-0000-000057200000}"/>
    <cellStyle name="Comma 5 5 2 2 5 3" xfId="9595" xr:uid="{00000000-0005-0000-0000-000058200000}"/>
    <cellStyle name="Comma 5 5 2 2 5 3 2" xfId="35152" xr:uid="{00000000-0005-0000-0000-000059200000}"/>
    <cellStyle name="Comma 5 5 2 2 5 4" xfId="18418" xr:uid="{00000000-0005-0000-0000-00005A200000}"/>
    <cellStyle name="Comma 5 5 2 2 5 4 2" xfId="43971" xr:uid="{00000000-0005-0000-0000-00005B200000}"/>
    <cellStyle name="Comma 5 5 2 2 5 5" xfId="29908" xr:uid="{00000000-0005-0000-0000-00005C200000}"/>
    <cellStyle name="Comma 5 5 2 2 6" xfId="1608" xr:uid="{00000000-0005-0000-0000-00005D200000}"/>
    <cellStyle name="Comma 5 5 2 2 6 2" xfId="10985" xr:uid="{00000000-0005-0000-0000-00005E200000}"/>
    <cellStyle name="Comma 5 5 2 2 6 2 2" xfId="36540" xr:uid="{00000000-0005-0000-0000-00005F200000}"/>
    <cellStyle name="Comma 5 5 2 2 6 3" xfId="20989" xr:uid="{00000000-0005-0000-0000-000060200000}"/>
    <cellStyle name="Comma 5 5 2 2 6 3 2" xfId="46542" xr:uid="{00000000-0005-0000-0000-000061200000}"/>
    <cellStyle name="Comma 5 5 2 2 6 4" xfId="27472" xr:uid="{00000000-0005-0000-0000-000062200000}"/>
    <cellStyle name="Comma 5 5 2 2 7" xfId="5792" xr:uid="{00000000-0005-0000-0000-000063200000}"/>
    <cellStyle name="Comma 5 5 2 2 7 2" xfId="14619" xr:uid="{00000000-0005-0000-0000-000064200000}"/>
    <cellStyle name="Comma 5 5 2 2 7 2 2" xfId="40174" xr:uid="{00000000-0005-0000-0000-000065200000}"/>
    <cellStyle name="Comma 5 5 2 2 7 3" xfId="24870" xr:uid="{00000000-0005-0000-0000-000066200000}"/>
    <cellStyle name="Comma 5 5 2 2 7 3 2" xfId="50423" xr:uid="{00000000-0005-0000-0000-000067200000}"/>
    <cellStyle name="Comma 5 5 2 2 7 4" xfId="31353" xr:uid="{00000000-0005-0000-0000-000068200000}"/>
    <cellStyle name="Comma 5 5 2 2 8" xfId="7236" xr:uid="{00000000-0005-0000-0000-000069200000}"/>
    <cellStyle name="Comma 5 5 2 2 8 2" xfId="19962" xr:uid="{00000000-0005-0000-0000-00006A200000}"/>
    <cellStyle name="Comma 5 5 2 2 8 2 2" xfId="45515" xr:uid="{00000000-0005-0000-0000-00006B200000}"/>
    <cellStyle name="Comma 5 5 2 2 8 3" xfId="32793" xr:uid="{00000000-0005-0000-0000-00006C200000}"/>
    <cellStyle name="Comma 5 5 2 2 9" xfId="15982" xr:uid="{00000000-0005-0000-0000-00006D200000}"/>
    <cellStyle name="Comma 5 5 2 2 9 2" xfId="41535" xr:uid="{00000000-0005-0000-0000-00006E200000}"/>
    <cellStyle name="Comma 5 5 2 3" xfId="416" xr:uid="{00000000-0005-0000-0000-00006F200000}"/>
    <cellStyle name="Comma 5 5 2 3 2" xfId="2902" xr:uid="{00000000-0005-0000-0000-000070200000}"/>
    <cellStyle name="Comma 5 5 2 3 2 2" xfId="12190" xr:uid="{00000000-0005-0000-0000-000071200000}"/>
    <cellStyle name="Comma 5 5 2 3 2 2 2" xfId="22263" xr:uid="{00000000-0005-0000-0000-000072200000}"/>
    <cellStyle name="Comma 5 5 2 3 2 2 2 2" xfId="47816" xr:uid="{00000000-0005-0000-0000-000073200000}"/>
    <cellStyle name="Comma 5 5 2 3 2 2 3" xfId="37745" xr:uid="{00000000-0005-0000-0000-000074200000}"/>
    <cellStyle name="Comma 5 5 2 3 2 3" xfId="8630" xr:uid="{00000000-0005-0000-0000-000075200000}"/>
    <cellStyle name="Comma 5 5 2 3 2 3 2" xfId="34187" xr:uid="{00000000-0005-0000-0000-000076200000}"/>
    <cellStyle name="Comma 5 5 2 3 2 4" xfId="17256" xr:uid="{00000000-0005-0000-0000-000077200000}"/>
    <cellStyle name="Comma 5 5 2 3 2 4 2" xfId="42809" xr:uid="{00000000-0005-0000-0000-000078200000}"/>
    <cellStyle name="Comma 5 5 2 3 2 5" xfId="28746" xr:uid="{00000000-0005-0000-0000-000079200000}"/>
    <cellStyle name="Comma 5 5 2 3 3" xfId="4489" xr:uid="{00000000-0005-0000-0000-00007A200000}"/>
    <cellStyle name="Comma 5 5 2 3 3 2" xfId="13327" xr:uid="{00000000-0005-0000-0000-00007B200000}"/>
    <cellStyle name="Comma 5 5 2 3 3 2 2" xfId="23578" xr:uid="{00000000-0005-0000-0000-00007C200000}"/>
    <cellStyle name="Comma 5 5 2 3 3 2 2 2" xfId="49131" xr:uid="{00000000-0005-0000-0000-00007D200000}"/>
    <cellStyle name="Comma 5 5 2 3 3 2 3" xfId="38882" xr:uid="{00000000-0005-0000-0000-00007E200000}"/>
    <cellStyle name="Comma 5 5 2 3 3 3" xfId="9748" xr:uid="{00000000-0005-0000-0000-00007F200000}"/>
    <cellStyle name="Comma 5 5 2 3 3 3 2" xfId="35305" xr:uid="{00000000-0005-0000-0000-000080200000}"/>
    <cellStyle name="Comma 5 5 2 3 3 4" xfId="18571" xr:uid="{00000000-0005-0000-0000-000081200000}"/>
    <cellStyle name="Comma 5 5 2 3 3 4 2" xfId="44124" xr:uid="{00000000-0005-0000-0000-000082200000}"/>
    <cellStyle name="Comma 5 5 2 3 3 5" xfId="30061" xr:uid="{00000000-0005-0000-0000-000083200000}"/>
    <cellStyle name="Comma 5 5 2 3 4" xfId="2011" xr:uid="{00000000-0005-0000-0000-000084200000}"/>
    <cellStyle name="Comma 5 5 2 3 4 2" xfId="11376" xr:uid="{00000000-0005-0000-0000-000085200000}"/>
    <cellStyle name="Comma 5 5 2 3 4 2 2" xfId="36931" xr:uid="{00000000-0005-0000-0000-000086200000}"/>
    <cellStyle name="Comma 5 5 2 3 4 3" xfId="21380" xr:uid="{00000000-0005-0000-0000-000087200000}"/>
    <cellStyle name="Comma 5 5 2 3 4 3 2" xfId="46933" xr:uid="{00000000-0005-0000-0000-000088200000}"/>
    <cellStyle name="Comma 5 5 2 3 4 4" xfId="27863" xr:uid="{00000000-0005-0000-0000-000089200000}"/>
    <cellStyle name="Comma 5 5 2 3 5" xfId="5945" xr:uid="{00000000-0005-0000-0000-00008A200000}"/>
    <cellStyle name="Comma 5 5 2 3 5 2" xfId="14772" xr:uid="{00000000-0005-0000-0000-00008B200000}"/>
    <cellStyle name="Comma 5 5 2 3 5 2 2" xfId="40327" xr:uid="{00000000-0005-0000-0000-00008C200000}"/>
    <cellStyle name="Comma 5 5 2 3 5 3" xfId="25023" xr:uid="{00000000-0005-0000-0000-00008D200000}"/>
    <cellStyle name="Comma 5 5 2 3 5 3 2" xfId="50576" xr:uid="{00000000-0005-0000-0000-00008E200000}"/>
    <cellStyle name="Comma 5 5 2 3 5 4" xfId="31506" xr:uid="{00000000-0005-0000-0000-00008F200000}"/>
    <cellStyle name="Comma 5 5 2 3 6" xfId="7389" xr:uid="{00000000-0005-0000-0000-000090200000}"/>
    <cellStyle name="Comma 5 5 2 3 6 2" xfId="19862" xr:uid="{00000000-0005-0000-0000-000091200000}"/>
    <cellStyle name="Comma 5 5 2 3 6 2 2" xfId="45415" xr:uid="{00000000-0005-0000-0000-000092200000}"/>
    <cellStyle name="Comma 5 5 2 3 6 3" xfId="32946" xr:uid="{00000000-0005-0000-0000-000093200000}"/>
    <cellStyle name="Comma 5 5 2 3 7" xfId="16373" xr:uid="{00000000-0005-0000-0000-000094200000}"/>
    <cellStyle name="Comma 5 5 2 3 7 2" xfId="41926" xr:uid="{00000000-0005-0000-0000-000095200000}"/>
    <cellStyle name="Comma 5 5 2 3 8" xfId="26345" xr:uid="{00000000-0005-0000-0000-000096200000}"/>
    <cellStyle name="Comma 5 5 2 4" xfId="674" xr:uid="{00000000-0005-0000-0000-000097200000}"/>
    <cellStyle name="Comma 5 5 2 4 2" xfId="3160" xr:uid="{00000000-0005-0000-0000-000098200000}"/>
    <cellStyle name="Comma 5 5 2 4 2 2" xfId="12303" xr:uid="{00000000-0005-0000-0000-000099200000}"/>
    <cellStyle name="Comma 5 5 2 4 2 2 2" xfId="22521" xr:uid="{00000000-0005-0000-0000-00009A200000}"/>
    <cellStyle name="Comma 5 5 2 4 2 2 2 2" xfId="48074" xr:uid="{00000000-0005-0000-0000-00009B200000}"/>
    <cellStyle name="Comma 5 5 2 4 2 2 3" xfId="37858" xr:uid="{00000000-0005-0000-0000-00009C200000}"/>
    <cellStyle name="Comma 5 5 2 4 2 3" xfId="8725" xr:uid="{00000000-0005-0000-0000-00009D200000}"/>
    <cellStyle name="Comma 5 5 2 4 2 3 2" xfId="34282" xr:uid="{00000000-0005-0000-0000-00009E200000}"/>
    <cellStyle name="Comma 5 5 2 4 2 4" xfId="17514" xr:uid="{00000000-0005-0000-0000-00009F200000}"/>
    <cellStyle name="Comma 5 5 2 4 2 4 2" xfId="43067" xr:uid="{00000000-0005-0000-0000-0000A0200000}"/>
    <cellStyle name="Comma 5 5 2 4 2 5" xfId="29004" xr:uid="{00000000-0005-0000-0000-0000A1200000}"/>
    <cellStyle name="Comma 5 5 2 4 3" xfId="4838" xr:uid="{00000000-0005-0000-0000-0000A2200000}"/>
    <cellStyle name="Comma 5 5 2 4 3 2" xfId="13675" xr:uid="{00000000-0005-0000-0000-0000A3200000}"/>
    <cellStyle name="Comma 5 5 2 4 3 2 2" xfId="23926" xr:uid="{00000000-0005-0000-0000-0000A4200000}"/>
    <cellStyle name="Comma 5 5 2 4 3 2 2 2" xfId="49479" xr:uid="{00000000-0005-0000-0000-0000A5200000}"/>
    <cellStyle name="Comma 5 5 2 4 3 2 3" xfId="39230" xr:uid="{00000000-0005-0000-0000-0000A6200000}"/>
    <cellStyle name="Comma 5 5 2 4 3 3" xfId="10096" xr:uid="{00000000-0005-0000-0000-0000A7200000}"/>
    <cellStyle name="Comma 5 5 2 4 3 3 2" xfId="35653" xr:uid="{00000000-0005-0000-0000-0000A8200000}"/>
    <cellStyle name="Comma 5 5 2 4 3 4" xfId="18919" xr:uid="{00000000-0005-0000-0000-0000A9200000}"/>
    <cellStyle name="Comma 5 5 2 4 3 4 2" xfId="44472" xr:uid="{00000000-0005-0000-0000-0000AA200000}"/>
    <cellStyle name="Comma 5 5 2 4 3 5" xfId="30409" xr:uid="{00000000-0005-0000-0000-0000AB200000}"/>
    <cellStyle name="Comma 5 5 2 4 4" xfId="2269" xr:uid="{00000000-0005-0000-0000-0000AC200000}"/>
    <cellStyle name="Comma 5 5 2 4 4 2" xfId="11634" xr:uid="{00000000-0005-0000-0000-0000AD200000}"/>
    <cellStyle name="Comma 5 5 2 4 4 2 2" xfId="37189" xr:uid="{00000000-0005-0000-0000-0000AE200000}"/>
    <cellStyle name="Comma 5 5 2 4 4 3" xfId="21638" xr:uid="{00000000-0005-0000-0000-0000AF200000}"/>
    <cellStyle name="Comma 5 5 2 4 4 3 2" xfId="47191" xr:uid="{00000000-0005-0000-0000-0000B0200000}"/>
    <cellStyle name="Comma 5 5 2 4 4 4" xfId="28121" xr:uid="{00000000-0005-0000-0000-0000B1200000}"/>
    <cellStyle name="Comma 5 5 2 4 5" xfId="6293" xr:uid="{00000000-0005-0000-0000-0000B2200000}"/>
    <cellStyle name="Comma 5 5 2 4 5 2" xfId="15120" xr:uid="{00000000-0005-0000-0000-0000B3200000}"/>
    <cellStyle name="Comma 5 5 2 4 5 2 2" xfId="40675" xr:uid="{00000000-0005-0000-0000-0000B4200000}"/>
    <cellStyle name="Comma 5 5 2 4 5 3" xfId="25371" xr:uid="{00000000-0005-0000-0000-0000B5200000}"/>
    <cellStyle name="Comma 5 5 2 4 5 3 2" xfId="50924" xr:uid="{00000000-0005-0000-0000-0000B6200000}"/>
    <cellStyle name="Comma 5 5 2 4 5 4" xfId="31854" xr:uid="{00000000-0005-0000-0000-0000B7200000}"/>
    <cellStyle name="Comma 5 5 2 4 6" xfId="7739" xr:uid="{00000000-0005-0000-0000-0000B8200000}"/>
    <cellStyle name="Comma 5 5 2 4 6 2" xfId="20120" xr:uid="{00000000-0005-0000-0000-0000B9200000}"/>
    <cellStyle name="Comma 5 5 2 4 6 2 2" xfId="45673" xr:uid="{00000000-0005-0000-0000-0000BA200000}"/>
    <cellStyle name="Comma 5 5 2 4 6 3" xfId="33296" xr:uid="{00000000-0005-0000-0000-0000BB200000}"/>
    <cellStyle name="Comma 5 5 2 4 7" xfId="16631" xr:uid="{00000000-0005-0000-0000-0000BC200000}"/>
    <cellStyle name="Comma 5 5 2 4 7 2" xfId="42184" xr:uid="{00000000-0005-0000-0000-0000BD200000}"/>
    <cellStyle name="Comma 5 5 2 4 8" xfId="26603" xr:uid="{00000000-0005-0000-0000-0000BE200000}"/>
    <cellStyle name="Comma 5 5 2 5" xfId="1188" xr:uid="{00000000-0005-0000-0000-0000BF200000}"/>
    <cellStyle name="Comma 5 5 2 5 2" xfId="3617" xr:uid="{00000000-0005-0000-0000-0000C0200000}"/>
    <cellStyle name="Comma 5 5 2 5 2 2" xfId="12753" xr:uid="{00000000-0005-0000-0000-0000C1200000}"/>
    <cellStyle name="Comma 5 5 2 5 2 2 2" xfId="22972" xr:uid="{00000000-0005-0000-0000-0000C2200000}"/>
    <cellStyle name="Comma 5 5 2 5 2 2 2 2" xfId="48525" xr:uid="{00000000-0005-0000-0000-0000C3200000}"/>
    <cellStyle name="Comma 5 5 2 5 2 2 3" xfId="38308" xr:uid="{00000000-0005-0000-0000-0000C4200000}"/>
    <cellStyle name="Comma 5 5 2 5 2 3" xfId="9174" xr:uid="{00000000-0005-0000-0000-0000C5200000}"/>
    <cellStyle name="Comma 5 5 2 5 2 3 2" xfId="34731" xr:uid="{00000000-0005-0000-0000-0000C6200000}"/>
    <cellStyle name="Comma 5 5 2 5 2 4" xfId="17965" xr:uid="{00000000-0005-0000-0000-0000C7200000}"/>
    <cellStyle name="Comma 5 5 2 5 2 4 2" xfId="43518" xr:uid="{00000000-0005-0000-0000-0000C8200000}"/>
    <cellStyle name="Comma 5 5 2 5 2 5" xfId="29455" xr:uid="{00000000-0005-0000-0000-0000C9200000}"/>
    <cellStyle name="Comma 5 5 2 5 3" xfId="5280" xr:uid="{00000000-0005-0000-0000-0000CA200000}"/>
    <cellStyle name="Comma 5 5 2 5 3 2" xfId="14117" xr:uid="{00000000-0005-0000-0000-0000CB200000}"/>
    <cellStyle name="Comma 5 5 2 5 3 2 2" xfId="24368" xr:uid="{00000000-0005-0000-0000-0000CC200000}"/>
    <cellStyle name="Comma 5 5 2 5 3 2 2 2" xfId="49921" xr:uid="{00000000-0005-0000-0000-0000CD200000}"/>
    <cellStyle name="Comma 5 5 2 5 3 2 3" xfId="39672" xr:uid="{00000000-0005-0000-0000-0000CE200000}"/>
    <cellStyle name="Comma 5 5 2 5 3 3" xfId="10538" xr:uid="{00000000-0005-0000-0000-0000CF200000}"/>
    <cellStyle name="Comma 5 5 2 5 3 3 2" xfId="36095" xr:uid="{00000000-0005-0000-0000-0000D0200000}"/>
    <cellStyle name="Comma 5 5 2 5 3 4" xfId="19361" xr:uid="{00000000-0005-0000-0000-0000D1200000}"/>
    <cellStyle name="Comma 5 5 2 5 3 4 2" xfId="44914" xr:uid="{00000000-0005-0000-0000-0000D2200000}"/>
    <cellStyle name="Comma 5 5 2 5 3 5" xfId="30851" xr:uid="{00000000-0005-0000-0000-0000D3200000}"/>
    <cellStyle name="Comma 5 5 2 5 4" xfId="1790" xr:uid="{00000000-0005-0000-0000-0000D4200000}"/>
    <cellStyle name="Comma 5 5 2 5 4 2" xfId="11159" xr:uid="{00000000-0005-0000-0000-0000D5200000}"/>
    <cellStyle name="Comma 5 5 2 5 4 2 2" xfId="36714" xr:uid="{00000000-0005-0000-0000-0000D6200000}"/>
    <cellStyle name="Comma 5 5 2 5 4 3" xfId="21163" xr:uid="{00000000-0005-0000-0000-0000D7200000}"/>
    <cellStyle name="Comma 5 5 2 5 4 3 2" xfId="46716" xr:uid="{00000000-0005-0000-0000-0000D8200000}"/>
    <cellStyle name="Comma 5 5 2 5 4 4" xfId="27646" xr:uid="{00000000-0005-0000-0000-0000D9200000}"/>
    <cellStyle name="Comma 5 5 2 5 5" xfId="6735" xr:uid="{00000000-0005-0000-0000-0000DA200000}"/>
    <cellStyle name="Comma 5 5 2 5 5 2" xfId="15562" xr:uid="{00000000-0005-0000-0000-0000DB200000}"/>
    <cellStyle name="Comma 5 5 2 5 5 2 2" xfId="41117" xr:uid="{00000000-0005-0000-0000-0000DC200000}"/>
    <cellStyle name="Comma 5 5 2 5 5 3" xfId="25813" xr:uid="{00000000-0005-0000-0000-0000DD200000}"/>
    <cellStyle name="Comma 5 5 2 5 5 3 2" xfId="51366" xr:uid="{00000000-0005-0000-0000-0000DE200000}"/>
    <cellStyle name="Comma 5 5 2 5 5 4" xfId="32296" xr:uid="{00000000-0005-0000-0000-0000DF200000}"/>
    <cellStyle name="Comma 5 5 2 5 6" xfId="8181" xr:uid="{00000000-0005-0000-0000-0000E0200000}"/>
    <cellStyle name="Comma 5 5 2 5 6 2" xfId="20571" xr:uid="{00000000-0005-0000-0000-0000E1200000}"/>
    <cellStyle name="Comma 5 5 2 5 6 2 2" xfId="46124" xr:uid="{00000000-0005-0000-0000-0000E2200000}"/>
    <cellStyle name="Comma 5 5 2 5 6 3" xfId="33738" xr:uid="{00000000-0005-0000-0000-0000E3200000}"/>
    <cellStyle name="Comma 5 5 2 5 7" xfId="16156" xr:uid="{00000000-0005-0000-0000-0000E4200000}"/>
    <cellStyle name="Comma 5 5 2 5 7 2" xfId="41709" xr:uid="{00000000-0005-0000-0000-0000E5200000}"/>
    <cellStyle name="Comma 5 5 2 5 8" xfId="27054" xr:uid="{00000000-0005-0000-0000-0000E6200000}"/>
    <cellStyle name="Comma 5 5 2 6" xfId="2685" xr:uid="{00000000-0005-0000-0000-0000E7200000}"/>
    <cellStyle name="Comma 5 5 2 6 2" xfId="12002" xr:uid="{00000000-0005-0000-0000-0000E8200000}"/>
    <cellStyle name="Comma 5 5 2 6 2 2" xfId="22046" xr:uid="{00000000-0005-0000-0000-0000E9200000}"/>
    <cellStyle name="Comma 5 5 2 6 2 2 2" xfId="47599" xr:uid="{00000000-0005-0000-0000-0000EA200000}"/>
    <cellStyle name="Comma 5 5 2 6 2 3" xfId="37557" xr:uid="{00000000-0005-0000-0000-0000EB200000}"/>
    <cellStyle name="Comma 5 5 2 6 3" xfId="8494" xr:uid="{00000000-0005-0000-0000-0000EC200000}"/>
    <cellStyle name="Comma 5 5 2 6 3 2" xfId="34051" xr:uid="{00000000-0005-0000-0000-0000ED200000}"/>
    <cellStyle name="Comma 5 5 2 6 4" xfId="17039" xr:uid="{00000000-0005-0000-0000-0000EE200000}"/>
    <cellStyle name="Comma 5 5 2 6 4 2" xfId="42592" xr:uid="{00000000-0005-0000-0000-0000EF200000}"/>
    <cellStyle name="Comma 5 5 2 6 5" xfId="28529" xr:uid="{00000000-0005-0000-0000-0000F0200000}"/>
    <cellStyle name="Comma 5 5 2 7" xfId="4236" xr:uid="{00000000-0005-0000-0000-0000F1200000}"/>
    <cellStyle name="Comma 5 5 2 7 2" xfId="13074" xr:uid="{00000000-0005-0000-0000-0000F2200000}"/>
    <cellStyle name="Comma 5 5 2 7 2 2" xfId="23325" xr:uid="{00000000-0005-0000-0000-0000F3200000}"/>
    <cellStyle name="Comma 5 5 2 7 2 2 2" xfId="48878" xr:uid="{00000000-0005-0000-0000-0000F4200000}"/>
    <cellStyle name="Comma 5 5 2 7 2 3" xfId="38629" xr:uid="{00000000-0005-0000-0000-0000F5200000}"/>
    <cellStyle name="Comma 5 5 2 7 3" xfId="9495" xr:uid="{00000000-0005-0000-0000-0000F6200000}"/>
    <cellStyle name="Comma 5 5 2 7 3 2" xfId="35052" xr:uid="{00000000-0005-0000-0000-0000F7200000}"/>
    <cellStyle name="Comma 5 5 2 7 4" xfId="18318" xr:uid="{00000000-0005-0000-0000-0000F8200000}"/>
    <cellStyle name="Comma 5 5 2 7 4 2" xfId="43871" xr:uid="{00000000-0005-0000-0000-0000F9200000}"/>
    <cellStyle name="Comma 5 5 2 7 5" xfId="29808" xr:uid="{00000000-0005-0000-0000-0000FA200000}"/>
    <cellStyle name="Comma 5 5 2 8" xfId="1508" xr:uid="{00000000-0005-0000-0000-0000FB200000}"/>
    <cellStyle name="Comma 5 5 2 8 2" xfId="10885" xr:uid="{00000000-0005-0000-0000-0000FC200000}"/>
    <cellStyle name="Comma 5 5 2 8 2 2" xfId="36440" xr:uid="{00000000-0005-0000-0000-0000FD200000}"/>
    <cellStyle name="Comma 5 5 2 8 3" xfId="20889" xr:uid="{00000000-0005-0000-0000-0000FE200000}"/>
    <cellStyle name="Comma 5 5 2 8 3 2" xfId="46442" xr:uid="{00000000-0005-0000-0000-0000FF200000}"/>
    <cellStyle name="Comma 5 5 2 8 4" xfId="27372" xr:uid="{00000000-0005-0000-0000-000000210000}"/>
    <cellStyle name="Comma 5 5 2 9" xfId="5692" xr:uid="{00000000-0005-0000-0000-000001210000}"/>
    <cellStyle name="Comma 5 5 2 9 2" xfId="14519" xr:uid="{00000000-0005-0000-0000-000002210000}"/>
    <cellStyle name="Comma 5 5 2 9 2 2" xfId="40074" xr:uid="{00000000-0005-0000-0000-000003210000}"/>
    <cellStyle name="Comma 5 5 2 9 3" xfId="24770" xr:uid="{00000000-0005-0000-0000-000004210000}"/>
    <cellStyle name="Comma 5 5 2 9 3 2" xfId="50323" xr:uid="{00000000-0005-0000-0000-000005210000}"/>
    <cellStyle name="Comma 5 5 2 9 4" xfId="31253" xr:uid="{00000000-0005-0000-0000-000006210000}"/>
    <cellStyle name="Comma 5 5 3" xfId="255" xr:uid="{00000000-0005-0000-0000-000007210000}"/>
    <cellStyle name="Comma 5 5 3 10" xfId="7093" xr:uid="{00000000-0005-0000-0000-000008210000}"/>
    <cellStyle name="Comma 5 5 3 10 2" xfId="19707" xr:uid="{00000000-0005-0000-0000-000009210000}"/>
    <cellStyle name="Comma 5 5 3 10 2 2" xfId="45260" xr:uid="{00000000-0005-0000-0000-00000A210000}"/>
    <cellStyle name="Comma 5 5 3 10 3" xfId="32650" xr:uid="{00000000-0005-0000-0000-00000B210000}"/>
    <cellStyle name="Comma 5 5 3 11" xfId="15839" xr:uid="{00000000-0005-0000-0000-00000C210000}"/>
    <cellStyle name="Comma 5 5 3 11 2" xfId="41392" xr:uid="{00000000-0005-0000-0000-00000D210000}"/>
    <cellStyle name="Comma 5 5 3 12" xfId="26190" xr:uid="{00000000-0005-0000-0000-00000E210000}"/>
    <cellStyle name="Comma 5 5 3 2" xfId="578" xr:uid="{00000000-0005-0000-0000-00000F210000}"/>
    <cellStyle name="Comma 5 5 3 2 10" xfId="26507" xr:uid="{00000000-0005-0000-0000-000010210000}"/>
    <cellStyle name="Comma 5 5 3 2 2" xfId="677" xr:uid="{00000000-0005-0000-0000-000011210000}"/>
    <cellStyle name="Comma 5 5 3 2 2 2" xfId="3163" xr:uid="{00000000-0005-0000-0000-000012210000}"/>
    <cellStyle name="Comma 5 5 3 2 2 2 2" xfId="12306" xr:uid="{00000000-0005-0000-0000-000013210000}"/>
    <cellStyle name="Comma 5 5 3 2 2 2 2 2" xfId="22524" xr:uid="{00000000-0005-0000-0000-000014210000}"/>
    <cellStyle name="Comma 5 5 3 2 2 2 2 2 2" xfId="48077" xr:uid="{00000000-0005-0000-0000-000015210000}"/>
    <cellStyle name="Comma 5 5 3 2 2 2 2 3" xfId="37861" xr:uid="{00000000-0005-0000-0000-000016210000}"/>
    <cellStyle name="Comma 5 5 3 2 2 2 3" xfId="8728" xr:uid="{00000000-0005-0000-0000-000017210000}"/>
    <cellStyle name="Comma 5 5 3 2 2 2 3 2" xfId="34285" xr:uid="{00000000-0005-0000-0000-000018210000}"/>
    <cellStyle name="Comma 5 5 3 2 2 2 4" xfId="17517" xr:uid="{00000000-0005-0000-0000-000019210000}"/>
    <cellStyle name="Comma 5 5 3 2 2 2 4 2" xfId="43070" xr:uid="{00000000-0005-0000-0000-00001A210000}"/>
    <cellStyle name="Comma 5 5 3 2 2 2 5" xfId="29007" xr:uid="{00000000-0005-0000-0000-00001B210000}"/>
    <cellStyle name="Comma 5 5 3 2 2 3" xfId="4492" xr:uid="{00000000-0005-0000-0000-00001C210000}"/>
    <cellStyle name="Comma 5 5 3 2 2 3 2" xfId="13330" xr:uid="{00000000-0005-0000-0000-00001D210000}"/>
    <cellStyle name="Comma 5 5 3 2 2 3 2 2" xfId="23581" xr:uid="{00000000-0005-0000-0000-00001E210000}"/>
    <cellStyle name="Comma 5 5 3 2 2 3 2 2 2" xfId="49134" xr:uid="{00000000-0005-0000-0000-00001F210000}"/>
    <cellStyle name="Comma 5 5 3 2 2 3 2 3" xfId="38885" xr:uid="{00000000-0005-0000-0000-000020210000}"/>
    <cellStyle name="Comma 5 5 3 2 2 3 3" xfId="9751" xr:uid="{00000000-0005-0000-0000-000021210000}"/>
    <cellStyle name="Comma 5 5 3 2 2 3 3 2" xfId="35308" xr:uid="{00000000-0005-0000-0000-000022210000}"/>
    <cellStyle name="Comma 5 5 3 2 2 3 4" xfId="18574" xr:uid="{00000000-0005-0000-0000-000023210000}"/>
    <cellStyle name="Comma 5 5 3 2 2 3 4 2" xfId="44127" xr:uid="{00000000-0005-0000-0000-000024210000}"/>
    <cellStyle name="Comma 5 5 3 2 2 3 5" xfId="30064" xr:uid="{00000000-0005-0000-0000-000025210000}"/>
    <cellStyle name="Comma 5 5 3 2 2 4" xfId="2272" xr:uid="{00000000-0005-0000-0000-000026210000}"/>
    <cellStyle name="Comma 5 5 3 2 2 4 2" xfId="11637" xr:uid="{00000000-0005-0000-0000-000027210000}"/>
    <cellStyle name="Comma 5 5 3 2 2 4 2 2" xfId="37192" xr:uid="{00000000-0005-0000-0000-000028210000}"/>
    <cellStyle name="Comma 5 5 3 2 2 4 3" xfId="21641" xr:uid="{00000000-0005-0000-0000-000029210000}"/>
    <cellStyle name="Comma 5 5 3 2 2 4 3 2" xfId="47194" xr:uid="{00000000-0005-0000-0000-00002A210000}"/>
    <cellStyle name="Comma 5 5 3 2 2 4 4" xfId="28124" xr:uid="{00000000-0005-0000-0000-00002B210000}"/>
    <cellStyle name="Comma 5 5 3 2 2 5" xfId="5948" xr:uid="{00000000-0005-0000-0000-00002C210000}"/>
    <cellStyle name="Comma 5 5 3 2 2 5 2" xfId="14775" xr:uid="{00000000-0005-0000-0000-00002D210000}"/>
    <cellStyle name="Comma 5 5 3 2 2 5 2 2" xfId="40330" xr:uid="{00000000-0005-0000-0000-00002E210000}"/>
    <cellStyle name="Comma 5 5 3 2 2 5 3" xfId="25026" xr:uid="{00000000-0005-0000-0000-00002F210000}"/>
    <cellStyle name="Comma 5 5 3 2 2 5 3 2" xfId="50579" xr:uid="{00000000-0005-0000-0000-000030210000}"/>
    <cellStyle name="Comma 5 5 3 2 2 5 4" xfId="31509" xr:uid="{00000000-0005-0000-0000-000031210000}"/>
    <cellStyle name="Comma 5 5 3 2 2 6" xfId="7392" xr:uid="{00000000-0005-0000-0000-000032210000}"/>
    <cellStyle name="Comma 5 5 3 2 2 6 2" xfId="20123" xr:uid="{00000000-0005-0000-0000-000033210000}"/>
    <cellStyle name="Comma 5 5 3 2 2 6 2 2" xfId="45676" xr:uid="{00000000-0005-0000-0000-000034210000}"/>
    <cellStyle name="Comma 5 5 3 2 2 6 3" xfId="32949" xr:uid="{00000000-0005-0000-0000-000035210000}"/>
    <cellStyle name="Comma 5 5 3 2 2 7" xfId="16634" xr:uid="{00000000-0005-0000-0000-000036210000}"/>
    <cellStyle name="Comma 5 5 3 2 2 7 2" xfId="42187" xr:uid="{00000000-0005-0000-0000-000037210000}"/>
    <cellStyle name="Comma 5 5 3 2 2 8" xfId="26606" xr:uid="{00000000-0005-0000-0000-000038210000}"/>
    <cellStyle name="Comma 5 5 3 2 3" xfId="1350" xr:uid="{00000000-0005-0000-0000-000039210000}"/>
    <cellStyle name="Comma 5 5 3 2 3 2" xfId="3779" xr:uid="{00000000-0005-0000-0000-00003A210000}"/>
    <cellStyle name="Comma 5 5 3 2 3 2 2" xfId="12915" xr:uid="{00000000-0005-0000-0000-00003B210000}"/>
    <cellStyle name="Comma 5 5 3 2 3 2 2 2" xfId="23134" xr:uid="{00000000-0005-0000-0000-00003C210000}"/>
    <cellStyle name="Comma 5 5 3 2 3 2 2 2 2" xfId="48687" xr:uid="{00000000-0005-0000-0000-00003D210000}"/>
    <cellStyle name="Comma 5 5 3 2 3 2 2 3" xfId="38470" xr:uid="{00000000-0005-0000-0000-00003E210000}"/>
    <cellStyle name="Comma 5 5 3 2 3 2 3" xfId="9336" xr:uid="{00000000-0005-0000-0000-00003F210000}"/>
    <cellStyle name="Comma 5 5 3 2 3 2 3 2" xfId="34893" xr:uid="{00000000-0005-0000-0000-000040210000}"/>
    <cellStyle name="Comma 5 5 3 2 3 2 4" xfId="18127" xr:uid="{00000000-0005-0000-0000-000041210000}"/>
    <cellStyle name="Comma 5 5 3 2 3 2 4 2" xfId="43680" xr:uid="{00000000-0005-0000-0000-000042210000}"/>
    <cellStyle name="Comma 5 5 3 2 3 2 5" xfId="29617" xr:uid="{00000000-0005-0000-0000-000043210000}"/>
    <cellStyle name="Comma 5 5 3 2 3 3" xfId="4841" xr:uid="{00000000-0005-0000-0000-000044210000}"/>
    <cellStyle name="Comma 5 5 3 2 3 3 2" xfId="13678" xr:uid="{00000000-0005-0000-0000-000045210000}"/>
    <cellStyle name="Comma 5 5 3 2 3 3 2 2" xfId="23929" xr:uid="{00000000-0005-0000-0000-000046210000}"/>
    <cellStyle name="Comma 5 5 3 2 3 3 2 2 2" xfId="49482" xr:uid="{00000000-0005-0000-0000-000047210000}"/>
    <cellStyle name="Comma 5 5 3 2 3 3 2 3" xfId="39233" xr:uid="{00000000-0005-0000-0000-000048210000}"/>
    <cellStyle name="Comma 5 5 3 2 3 3 3" xfId="10099" xr:uid="{00000000-0005-0000-0000-000049210000}"/>
    <cellStyle name="Comma 5 5 3 2 3 3 3 2" xfId="35656" xr:uid="{00000000-0005-0000-0000-00004A210000}"/>
    <cellStyle name="Comma 5 5 3 2 3 3 4" xfId="18922" xr:uid="{00000000-0005-0000-0000-00004B210000}"/>
    <cellStyle name="Comma 5 5 3 2 3 3 4 2" xfId="44475" xr:uid="{00000000-0005-0000-0000-00004C210000}"/>
    <cellStyle name="Comma 5 5 3 2 3 3 5" xfId="30412" xr:uid="{00000000-0005-0000-0000-00004D210000}"/>
    <cellStyle name="Comma 5 5 3 2 3 4" xfId="2173" xr:uid="{00000000-0005-0000-0000-00004E210000}"/>
    <cellStyle name="Comma 5 5 3 2 3 4 2" xfId="11538" xr:uid="{00000000-0005-0000-0000-00004F210000}"/>
    <cellStyle name="Comma 5 5 3 2 3 4 2 2" xfId="37093" xr:uid="{00000000-0005-0000-0000-000050210000}"/>
    <cellStyle name="Comma 5 5 3 2 3 4 3" xfId="21542" xr:uid="{00000000-0005-0000-0000-000051210000}"/>
    <cellStyle name="Comma 5 5 3 2 3 4 3 2" xfId="47095" xr:uid="{00000000-0005-0000-0000-000052210000}"/>
    <cellStyle name="Comma 5 5 3 2 3 4 4" xfId="28025" xr:uid="{00000000-0005-0000-0000-000053210000}"/>
    <cellStyle name="Comma 5 5 3 2 3 5" xfId="6296" xr:uid="{00000000-0005-0000-0000-000054210000}"/>
    <cellStyle name="Comma 5 5 3 2 3 5 2" xfId="15123" xr:uid="{00000000-0005-0000-0000-000055210000}"/>
    <cellStyle name="Comma 5 5 3 2 3 5 2 2" xfId="40678" xr:uid="{00000000-0005-0000-0000-000056210000}"/>
    <cellStyle name="Comma 5 5 3 2 3 5 3" xfId="25374" xr:uid="{00000000-0005-0000-0000-000057210000}"/>
    <cellStyle name="Comma 5 5 3 2 3 5 3 2" xfId="50927" xr:uid="{00000000-0005-0000-0000-000058210000}"/>
    <cellStyle name="Comma 5 5 3 2 3 5 4" xfId="31857" xr:uid="{00000000-0005-0000-0000-000059210000}"/>
    <cellStyle name="Comma 5 5 3 2 3 6" xfId="7742" xr:uid="{00000000-0005-0000-0000-00005A210000}"/>
    <cellStyle name="Comma 5 5 3 2 3 6 2" xfId="20733" xr:uid="{00000000-0005-0000-0000-00005B210000}"/>
    <cellStyle name="Comma 5 5 3 2 3 6 2 2" xfId="46286" xr:uid="{00000000-0005-0000-0000-00005C210000}"/>
    <cellStyle name="Comma 5 5 3 2 3 6 3" xfId="33299" xr:uid="{00000000-0005-0000-0000-00005D210000}"/>
    <cellStyle name="Comma 5 5 3 2 3 7" xfId="16535" xr:uid="{00000000-0005-0000-0000-00005E210000}"/>
    <cellStyle name="Comma 5 5 3 2 3 7 2" xfId="42088" xr:uid="{00000000-0005-0000-0000-00005F210000}"/>
    <cellStyle name="Comma 5 5 3 2 3 8" xfId="27216" xr:uid="{00000000-0005-0000-0000-000060210000}"/>
    <cellStyle name="Comma 5 5 3 2 4" xfId="3064" xr:uid="{00000000-0005-0000-0000-000061210000}"/>
    <cellStyle name="Comma 5 5 3 2 4 2" xfId="5442" xr:uid="{00000000-0005-0000-0000-000062210000}"/>
    <cellStyle name="Comma 5 5 3 2 4 2 2" xfId="14279" xr:uid="{00000000-0005-0000-0000-000063210000}"/>
    <cellStyle name="Comma 5 5 3 2 4 2 2 2" xfId="24530" xr:uid="{00000000-0005-0000-0000-000064210000}"/>
    <cellStyle name="Comma 5 5 3 2 4 2 2 2 2" xfId="50083" xr:uid="{00000000-0005-0000-0000-000065210000}"/>
    <cellStyle name="Comma 5 5 3 2 4 2 2 3" xfId="39834" xr:uid="{00000000-0005-0000-0000-000066210000}"/>
    <cellStyle name="Comma 5 5 3 2 4 2 3" xfId="10700" xr:uid="{00000000-0005-0000-0000-000067210000}"/>
    <cellStyle name="Comma 5 5 3 2 4 2 3 2" xfId="36257" xr:uid="{00000000-0005-0000-0000-000068210000}"/>
    <cellStyle name="Comma 5 5 3 2 4 2 4" xfId="19523" xr:uid="{00000000-0005-0000-0000-000069210000}"/>
    <cellStyle name="Comma 5 5 3 2 4 2 4 2" xfId="45076" xr:uid="{00000000-0005-0000-0000-00006A210000}"/>
    <cellStyle name="Comma 5 5 3 2 4 2 5" xfId="31013" xr:uid="{00000000-0005-0000-0000-00006B210000}"/>
    <cellStyle name="Comma 5 5 3 2 4 3" xfId="6897" xr:uid="{00000000-0005-0000-0000-00006C210000}"/>
    <cellStyle name="Comma 5 5 3 2 4 3 2" xfId="15724" xr:uid="{00000000-0005-0000-0000-00006D210000}"/>
    <cellStyle name="Comma 5 5 3 2 4 3 2 2" xfId="41279" xr:uid="{00000000-0005-0000-0000-00006E210000}"/>
    <cellStyle name="Comma 5 5 3 2 4 3 3" xfId="25975" xr:uid="{00000000-0005-0000-0000-00006F210000}"/>
    <cellStyle name="Comma 5 5 3 2 4 3 3 2" xfId="51528" xr:uid="{00000000-0005-0000-0000-000070210000}"/>
    <cellStyle name="Comma 5 5 3 2 4 3 4" xfId="32458" xr:uid="{00000000-0005-0000-0000-000071210000}"/>
    <cellStyle name="Comma 5 5 3 2 4 4" xfId="8343" xr:uid="{00000000-0005-0000-0000-000072210000}"/>
    <cellStyle name="Comma 5 5 3 2 4 4 2" xfId="22425" xr:uid="{00000000-0005-0000-0000-000073210000}"/>
    <cellStyle name="Comma 5 5 3 2 4 4 2 2" xfId="47978" xr:uid="{00000000-0005-0000-0000-000074210000}"/>
    <cellStyle name="Comma 5 5 3 2 4 4 3" xfId="33900" xr:uid="{00000000-0005-0000-0000-000075210000}"/>
    <cellStyle name="Comma 5 5 3 2 4 5" xfId="17418" xr:uid="{00000000-0005-0000-0000-000076210000}"/>
    <cellStyle name="Comma 5 5 3 2 4 5 2" xfId="42971" xr:uid="{00000000-0005-0000-0000-000077210000}"/>
    <cellStyle name="Comma 5 5 3 2 4 6" xfId="28908" xr:uid="{00000000-0005-0000-0000-000078210000}"/>
    <cellStyle name="Comma 5 5 3 2 5" xfId="4398" xr:uid="{00000000-0005-0000-0000-000079210000}"/>
    <cellStyle name="Comma 5 5 3 2 5 2" xfId="13236" xr:uid="{00000000-0005-0000-0000-00007A210000}"/>
    <cellStyle name="Comma 5 5 3 2 5 2 2" xfId="23487" xr:uid="{00000000-0005-0000-0000-00007B210000}"/>
    <cellStyle name="Comma 5 5 3 2 5 2 2 2" xfId="49040" xr:uid="{00000000-0005-0000-0000-00007C210000}"/>
    <cellStyle name="Comma 5 5 3 2 5 2 3" xfId="38791" xr:uid="{00000000-0005-0000-0000-00007D210000}"/>
    <cellStyle name="Comma 5 5 3 2 5 3" xfId="9657" xr:uid="{00000000-0005-0000-0000-00007E210000}"/>
    <cellStyle name="Comma 5 5 3 2 5 3 2" xfId="35214" xr:uid="{00000000-0005-0000-0000-00007F210000}"/>
    <cellStyle name="Comma 5 5 3 2 5 4" xfId="18480" xr:uid="{00000000-0005-0000-0000-000080210000}"/>
    <cellStyle name="Comma 5 5 3 2 5 4 2" xfId="44033" xr:uid="{00000000-0005-0000-0000-000081210000}"/>
    <cellStyle name="Comma 5 5 3 2 5 5" xfId="29970" xr:uid="{00000000-0005-0000-0000-000082210000}"/>
    <cellStyle name="Comma 5 5 3 2 6" xfId="1670" xr:uid="{00000000-0005-0000-0000-000083210000}"/>
    <cellStyle name="Comma 5 5 3 2 6 2" xfId="11047" xr:uid="{00000000-0005-0000-0000-000084210000}"/>
    <cellStyle name="Comma 5 5 3 2 6 2 2" xfId="36602" xr:uid="{00000000-0005-0000-0000-000085210000}"/>
    <cellStyle name="Comma 5 5 3 2 6 3" xfId="21051" xr:uid="{00000000-0005-0000-0000-000086210000}"/>
    <cellStyle name="Comma 5 5 3 2 6 3 2" xfId="46604" xr:uid="{00000000-0005-0000-0000-000087210000}"/>
    <cellStyle name="Comma 5 5 3 2 6 4" xfId="27534" xr:uid="{00000000-0005-0000-0000-000088210000}"/>
    <cellStyle name="Comma 5 5 3 2 7" xfId="5854" xr:uid="{00000000-0005-0000-0000-000089210000}"/>
    <cellStyle name="Comma 5 5 3 2 7 2" xfId="14681" xr:uid="{00000000-0005-0000-0000-00008A210000}"/>
    <cellStyle name="Comma 5 5 3 2 7 2 2" xfId="40236" xr:uid="{00000000-0005-0000-0000-00008B210000}"/>
    <cellStyle name="Comma 5 5 3 2 7 3" xfId="24932" xr:uid="{00000000-0005-0000-0000-00008C210000}"/>
    <cellStyle name="Comma 5 5 3 2 7 3 2" xfId="50485" xr:uid="{00000000-0005-0000-0000-00008D210000}"/>
    <cellStyle name="Comma 5 5 3 2 7 4" xfId="31415" xr:uid="{00000000-0005-0000-0000-00008E210000}"/>
    <cellStyle name="Comma 5 5 3 2 8" xfId="7298" xr:uid="{00000000-0005-0000-0000-00008F210000}"/>
    <cellStyle name="Comma 5 5 3 2 8 2" xfId="20024" xr:uid="{00000000-0005-0000-0000-000090210000}"/>
    <cellStyle name="Comma 5 5 3 2 8 2 2" xfId="45577" xr:uid="{00000000-0005-0000-0000-000091210000}"/>
    <cellStyle name="Comma 5 5 3 2 8 3" xfId="32855" xr:uid="{00000000-0005-0000-0000-000092210000}"/>
    <cellStyle name="Comma 5 5 3 2 9" xfId="16044" xr:uid="{00000000-0005-0000-0000-000093210000}"/>
    <cellStyle name="Comma 5 5 3 2 9 2" xfId="41597" xr:uid="{00000000-0005-0000-0000-000094210000}"/>
    <cellStyle name="Comma 5 5 3 3" xfId="373" xr:uid="{00000000-0005-0000-0000-000095210000}"/>
    <cellStyle name="Comma 5 5 3 3 2" xfId="2859" xr:uid="{00000000-0005-0000-0000-000096210000}"/>
    <cellStyle name="Comma 5 5 3 3 2 2" xfId="12147" xr:uid="{00000000-0005-0000-0000-000097210000}"/>
    <cellStyle name="Comma 5 5 3 3 2 2 2" xfId="22220" xr:uid="{00000000-0005-0000-0000-000098210000}"/>
    <cellStyle name="Comma 5 5 3 3 2 2 2 2" xfId="47773" xr:uid="{00000000-0005-0000-0000-000099210000}"/>
    <cellStyle name="Comma 5 5 3 3 2 2 3" xfId="37702" xr:uid="{00000000-0005-0000-0000-00009A210000}"/>
    <cellStyle name="Comma 5 5 3 3 2 3" xfId="8460" xr:uid="{00000000-0005-0000-0000-00009B210000}"/>
    <cellStyle name="Comma 5 5 3 3 2 3 2" xfId="34017" xr:uid="{00000000-0005-0000-0000-00009C210000}"/>
    <cellStyle name="Comma 5 5 3 3 2 4" xfId="17213" xr:uid="{00000000-0005-0000-0000-00009D210000}"/>
    <cellStyle name="Comma 5 5 3 3 2 4 2" xfId="42766" xr:uid="{00000000-0005-0000-0000-00009E210000}"/>
    <cellStyle name="Comma 5 5 3 3 2 5" xfId="28703" xr:uid="{00000000-0005-0000-0000-00009F210000}"/>
    <cellStyle name="Comma 5 5 3 3 3" xfId="4491" xr:uid="{00000000-0005-0000-0000-0000A0210000}"/>
    <cellStyle name="Comma 5 5 3 3 3 2" xfId="13329" xr:uid="{00000000-0005-0000-0000-0000A1210000}"/>
    <cellStyle name="Comma 5 5 3 3 3 2 2" xfId="23580" xr:uid="{00000000-0005-0000-0000-0000A2210000}"/>
    <cellStyle name="Comma 5 5 3 3 3 2 2 2" xfId="49133" xr:uid="{00000000-0005-0000-0000-0000A3210000}"/>
    <cellStyle name="Comma 5 5 3 3 3 2 3" xfId="38884" xr:uid="{00000000-0005-0000-0000-0000A4210000}"/>
    <cellStyle name="Comma 5 5 3 3 3 3" xfId="9750" xr:uid="{00000000-0005-0000-0000-0000A5210000}"/>
    <cellStyle name="Comma 5 5 3 3 3 3 2" xfId="35307" xr:uid="{00000000-0005-0000-0000-0000A6210000}"/>
    <cellStyle name="Comma 5 5 3 3 3 4" xfId="18573" xr:uid="{00000000-0005-0000-0000-0000A7210000}"/>
    <cellStyle name="Comma 5 5 3 3 3 4 2" xfId="44126" xr:uid="{00000000-0005-0000-0000-0000A8210000}"/>
    <cellStyle name="Comma 5 5 3 3 3 5" xfId="30063" xr:uid="{00000000-0005-0000-0000-0000A9210000}"/>
    <cellStyle name="Comma 5 5 3 3 4" xfId="1968" xr:uid="{00000000-0005-0000-0000-0000AA210000}"/>
    <cellStyle name="Comma 5 5 3 3 4 2" xfId="11333" xr:uid="{00000000-0005-0000-0000-0000AB210000}"/>
    <cellStyle name="Comma 5 5 3 3 4 2 2" xfId="36888" xr:uid="{00000000-0005-0000-0000-0000AC210000}"/>
    <cellStyle name="Comma 5 5 3 3 4 3" xfId="21337" xr:uid="{00000000-0005-0000-0000-0000AD210000}"/>
    <cellStyle name="Comma 5 5 3 3 4 3 2" xfId="46890" xr:uid="{00000000-0005-0000-0000-0000AE210000}"/>
    <cellStyle name="Comma 5 5 3 3 4 4" xfId="27820" xr:uid="{00000000-0005-0000-0000-0000AF210000}"/>
    <cellStyle name="Comma 5 5 3 3 5" xfId="5947" xr:uid="{00000000-0005-0000-0000-0000B0210000}"/>
    <cellStyle name="Comma 5 5 3 3 5 2" xfId="14774" xr:uid="{00000000-0005-0000-0000-0000B1210000}"/>
    <cellStyle name="Comma 5 5 3 3 5 2 2" xfId="40329" xr:uid="{00000000-0005-0000-0000-0000B2210000}"/>
    <cellStyle name="Comma 5 5 3 3 5 3" xfId="25025" xr:uid="{00000000-0005-0000-0000-0000B3210000}"/>
    <cellStyle name="Comma 5 5 3 3 5 3 2" xfId="50578" xr:uid="{00000000-0005-0000-0000-0000B4210000}"/>
    <cellStyle name="Comma 5 5 3 3 5 4" xfId="31508" xr:uid="{00000000-0005-0000-0000-0000B5210000}"/>
    <cellStyle name="Comma 5 5 3 3 6" xfId="7391" xr:uid="{00000000-0005-0000-0000-0000B6210000}"/>
    <cellStyle name="Comma 5 5 3 3 6 2" xfId="19819" xr:uid="{00000000-0005-0000-0000-0000B7210000}"/>
    <cellStyle name="Comma 5 5 3 3 6 2 2" xfId="45372" xr:uid="{00000000-0005-0000-0000-0000B8210000}"/>
    <cellStyle name="Comma 5 5 3 3 6 3" xfId="32948" xr:uid="{00000000-0005-0000-0000-0000B9210000}"/>
    <cellStyle name="Comma 5 5 3 3 7" xfId="16330" xr:uid="{00000000-0005-0000-0000-0000BA210000}"/>
    <cellStyle name="Comma 5 5 3 3 7 2" xfId="41883" xr:uid="{00000000-0005-0000-0000-0000BB210000}"/>
    <cellStyle name="Comma 5 5 3 3 8" xfId="26302" xr:uid="{00000000-0005-0000-0000-0000BC210000}"/>
    <cellStyle name="Comma 5 5 3 4" xfId="676" xr:uid="{00000000-0005-0000-0000-0000BD210000}"/>
    <cellStyle name="Comma 5 5 3 4 2" xfId="3162" xr:uid="{00000000-0005-0000-0000-0000BE210000}"/>
    <cellStyle name="Comma 5 5 3 4 2 2" xfId="12305" xr:uid="{00000000-0005-0000-0000-0000BF210000}"/>
    <cellStyle name="Comma 5 5 3 4 2 2 2" xfId="22523" xr:uid="{00000000-0005-0000-0000-0000C0210000}"/>
    <cellStyle name="Comma 5 5 3 4 2 2 2 2" xfId="48076" xr:uid="{00000000-0005-0000-0000-0000C1210000}"/>
    <cellStyle name="Comma 5 5 3 4 2 2 3" xfId="37860" xr:uid="{00000000-0005-0000-0000-0000C2210000}"/>
    <cellStyle name="Comma 5 5 3 4 2 3" xfId="8727" xr:uid="{00000000-0005-0000-0000-0000C3210000}"/>
    <cellStyle name="Comma 5 5 3 4 2 3 2" xfId="34284" xr:uid="{00000000-0005-0000-0000-0000C4210000}"/>
    <cellStyle name="Comma 5 5 3 4 2 4" xfId="17516" xr:uid="{00000000-0005-0000-0000-0000C5210000}"/>
    <cellStyle name="Comma 5 5 3 4 2 4 2" xfId="43069" xr:uid="{00000000-0005-0000-0000-0000C6210000}"/>
    <cellStyle name="Comma 5 5 3 4 2 5" xfId="29006" xr:uid="{00000000-0005-0000-0000-0000C7210000}"/>
    <cellStyle name="Comma 5 5 3 4 3" xfId="4840" xr:uid="{00000000-0005-0000-0000-0000C8210000}"/>
    <cellStyle name="Comma 5 5 3 4 3 2" xfId="13677" xr:uid="{00000000-0005-0000-0000-0000C9210000}"/>
    <cellStyle name="Comma 5 5 3 4 3 2 2" xfId="23928" xr:uid="{00000000-0005-0000-0000-0000CA210000}"/>
    <cellStyle name="Comma 5 5 3 4 3 2 2 2" xfId="49481" xr:uid="{00000000-0005-0000-0000-0000CB210000}"/>
    <cellStyle name="Comma 5 5 3 4 3 2 3" xfId="39232" xr:uid="{00000000-0005-0000-0000-0000CC210000}"/>
    <cellStyle name="Comma 5 5 3 4 3 3" xfId="10098" xr:uid="{00000000-0005-0000-0000-0000CD210000}"/>
    <cellStyle name="Comma 5 5 3 4 3 3 2" xfId="35655" xr:uid="{00000000-0005-0000-0000-0000CE210000}"/>
    <cellStyle name="Comma 5 5 3 4 3 4" xfId="18921" xr:uid="{00000000-0005-0000-0000-0000CF210000}"/>
    <cellStyle name="Comma 5 5 3 4 3 4 2" xfId="44474" xr:uid="{00000000-0005-0000-0000-0000D0210000}"/>
    <cellStyle name="Comma 5 5 3 4 3 5" xfId="30411" xr:uid="{00000000-0005-0000-0000-0000D1210000}"/>
    <cellStyle name="Comma 5 5 3 4 4" xfId="2271" xr:uid="{00000000-0005-0000-0000-0000D2210000}"/>
    <cellStyle name="Comma 5 5 3 4 4 2" xfId="11636" xr:uid="{00000000-0005-0000-0000-0000D3210000}"/>
    <cellStyle name="Comma 5 5 3 4 4 2 2" xfId="37191" xr:uid="{00000000-0005-0000-0000-0000D4210000}"/>
    <cellStyle name="Comma 5 5 3 4 4 3" xfId="21640" xr:uid="{00000000-0005-0000-0000-0000D5210000}"/>
    <cellStyle name="Comma 5 5 3 4 4 3 2" xfId="47193" xr:uid="{00000000-0005-0000-0000-0000D6210000}"/>
    <cellStyle name="Comma 5 5 3 4 4 4" xfId="28123" xr:uid="{00000000-0005-0000-0000-0000D7210000}"/>
    <cellStyle name="Comma 5 5 3 4 5" xfId="6295" xr:uid="{00000000-0005-0000-0000-0000D8210000}"/>
    <cellStyle name="Comma 5 5 3 4 5 2" xfId="15122" xr:uid="{00000000-0005-0000-0000-0000D9210000}"/>
    <cellStyle name="Comma 5 5 3 4 5 2 2" xfId="40677" xr:uid="{00000000-0005-0000-0000-0000DA210000}"/>
    <cellStyle name="Comma 5 5 3 4 5 3" xfId="25373" xr:uid="{00000000-0005-0000-0000-0000DB210000}"/>
    <cellStyle name="Comma 5 5 3 4 5 3 2" xfId="50926" xr:uid="{00000000-0005-0000-0000-0000DC210000}"/>
    <cellStyle name="Comma 5 5 3 4 5 4" xfId="31856" xr:uid="{00000000-0005-0000-0000-0000DD210000}"/>
    <cellStyle name="Comma 5 5 3 4 6" xfId="7741" xr:uid="{00000000-0005-0000-0000-0000DE210000}"/>
    <cellStyle name="Comma 5 5 3 4 6 2" xfId="20122" xr:uid="{00000000-0005-0000-0000-0000DF210000}"/>
    <cellStyle name="Comma 5 5 3 4 6 2 2" xfId="45675" xr:uid="{00000000-0005-0000-0000-0000E0210000}"/>
    <cellStyle name="Comma 5 5 3 4 6 3" xfId="33298" xr:uid="{00000000-0005-0000-0000-0000E1210000}"/>
    <cellStyle name="Comma 5 5 3 4 7" xfId="16633" xr:uid="{00000000-0005-0000-0000-0000E2210000}"/>
    <cellStyle name="Comma 5 5 3 4 7 2" xfId="42186" xr:uid="{00000000-0005-0000-0000-0000E3210000}"/>
    <cellStyle name="Comma 5 5 3 4 8" xfId="26605" xr:uid="{00000000-0005-0000-0000-0000E4210000}"/>
    <cellStyle name="Comma 5 5 3 5" xfId="1145" xr:uid="{00000000-0005-0000-0000-0000E5210000}"/>
    <cellStyle name="Comma 5 5 3 5 2" xfId="3574" xr:uid="{00000000-0005-0000-0000-0000E6210000}"/>
    <cellStyle name="Comma 5 5 3 5 2 2" xfId="12710" xr:uid="{00000000-0005-0000-0000-0000E7210000}"/>
    <cellStyle name="Comma 5 5 3 5 2 2 2" xfId="22929" xr:uid="{00000000-0005-0000-0000-0000E8210000}"/>
    <cellStyle name="Comma 5 5 3 5 2 2 2 2" xfId="48482" xr:uid="{00000000-0005-0000-0000-0000E9210000}"/>
    <cellStyle name="Comma 5 5 3 5 2 2 3" xfId="38265" xr:uid="{00000000-0005-0000-0000-0000EA210000}"/>
    <cellStyle name="Comma 5 5 3 5 2 3" xfId="9131" xr:uid="{00000000-0005-0000-0000-0000EB210000}"/>
    <cellStyle name="Comma 5 5 3 5 2 3 2" xfId="34688" xr:uid="{00000000-0005-0000-0000-0000EC210000}"/>
    <cellStyle name="Comma 5 5 3 5 2 4" xfId="17922" xr:uid="{00000000-0005-0000-0000-0000ED210000}"/>
    <cellStyle name="Comma 5 5 3 5 2 4 2" xfId="43475" xr:uid="{00000000-0005-0000-0000-0000EE210000}"/>
    <cellStyle name="Comma 5 5 3 5 2 5" xfId="29412" xr:uid="{00000000-0005-0000-0000-0000EF210000}"/>
    <cellStyle name="Comma 5 5 3 5 3" xfId="5237" xr:uid="{00000000-0005-0000-0000-0000F0210000}"/>
    <cellStyle name="Comma 5 5 3 5 3 2" xfId="14074" xr:uid="{00000000-0005-0000-0000-0000F1210000}"/>
    <cellStyle name="Comma 5 5 3 5 3 2 2" xfId="24325" xr:uid="{00000000-0005-0000-0000-0000F2210000}"/>
    <cellStyle name="Comma 5 5 3 5 3 2 2 2" xfId="49878" xr:uid="{00000000-0005-0000-0000-0000F3210000}"/>
    <cellStyle name="Comma 5 5 3 5 3 2 3" xfId="39629" xr:uid="{00000000-0005-0000-0000-0000F4210000}"/>
    <cellStyle name="Comma 5 5 3 5 3 3" xfId="10495" xr:uid="{00000000-0005-0000-0000-0000F5210000}"/>
    <cellStyle name="Comma 5 5 3 5 3 3 2" xfId="36052" xr:uid="{00000000-0005-0000-0000-0000F6210000}"/>
    <cellStyle name="Comma 5 5 3 5 3 4" xfId="19318" xr:uid="{00000000-0005-0000-0000-0000F7210000}"/>
    <cellStyle name="Comma 5 5 3 5 3 4 2" xfId="44871" xr:uid="{00000000-0005-0000-0000-0000F8210000}"/>
    <cellStyle name="Comma 5 5 3 5 3 5" xfId="30808" xr:uid="{00000000-0005-0000-0000-0000F9210000}"/>
    <cellStyle name="Comma 5 5 3 5 4" xfId="1853" xr:uid="{00000000-0005-0000-0000-0000FA210000}"/>
    <cellStyle name="Comma 5 5 3 5 4 2" xfId="11221" xr:uid="{00000000-0005-0000-0000-0000FB210000}"/>
    <cellStyle name="Comma 5 5 3 5 4 2 2" xfId="36776" xr:uid="{00000000-0005-0000-0000-0000FC210000}"/>
    <cellStyle name="Comma 5 5 3 5 4 3" xfId="21225" xr:uid="{00000000-0005-0000-0000-0000FD210000}"/>
    <cellStyle name="Comma 5 5 3 5 4 3 2" xfId="46778" xr:uid="{00000000-0005-0000-0000-0000FE210000}"/>
    <cellStyle name="Comma 5 5 3 5 4 4" xfId="27708" xr:uid="{00000000-0005-0000-0000-0000FF210000}"/>
    <cellStyle name="Comma 5 5 3 5 5" xfId="6692" xr:uid="{00000000-0005-0000-0000-000000220000}"/>
    <cellStyle name="Comma 5 5 3 5 5 2" xfId="15519" xr:uid="{00000000-0005-0000-0000-000001220000}"/>
    <cellStyle name="Comma 5 5 3 5 5 2 2" xfId="41074" xr:uid="{00000000-0005-0000-0000-000002220000}"/>
    <cellStyle name="Comma 5 5 3 5 5 3" xfId="25770" xr:uid="{00000000-0005-0000-0000-000003220000}"/>
    <cellStyle name="Comma 5 5 3 5 5 3 2" xfId="51323" xr:uid="{00000000-0005-0000-0000-000004220000}"/>
    <cellStyle name="Comma 5 5 3 5 5 4" xfId="32253" xr:uid="{00000000-0005-0000-0000-000005220000}"/>
    <cellStyle name="Comma 5 5 3 5 6" xfId="8138" xr:uid="{00000000-0005-0000-0000-000006220000}"/>
    <cellStyle name="Comma 5 5 3 5 6 2" xfId="20528" xr:uid="{00000000-0005-0000-0000-000007220000}"/>
    <cellStyle name="Comma 5 5 3 5 6 2 2" xfId="46081" xr:uid="{00000000-0005-0000-0000-000008220000}"/>
    <cellStyle name="Comma 5 5 3 5 6 3" xfId="33695" xr:uid="{00000000-0005-0000-0000-000009220000}"/>
    <cellStyle name="Comma 5 5 3 5 7" xfId="16218" xr:uid="{00000000-0005-0000-0000-00000A220000}"/>
    <cellStyle name="Comma 5 5 3 5 7 2" xfId="41771" xr:uid="{00000000-0005-0000-0000-00000B220000}"/>
    <cellStyle name="Comma 5 5 3 5 8" xfId="27011" xr:uid="{00000000-0005-0000-0000-00000C220000}"/>
    <cellStyle name="Comma 5 5 3 6" xfId="2747" xr:uid="{00000000-0005-0000-0000-00000D220000}"/>
    <cellStyle name="Comma 5 5 3 6 2" xfId="12064" xr:uid="{00000000-0005-0000-0000-00000E220000}"/>
    <cellStyle name="Comma 5 5 3 6 2 2" xfId="22108" xr:uid="{00000000-0005-0000-0000-00000F220000}"/>
    <cellStyle name="Comma 5 5 3 6 2 2 2" xfId="47661" xr:uid="{00000000-0005-0000-0000-000010220000}"/>
    <cellStyle name="Comma 5 5 3 6 2 3" xfId="37619" xr:uid="{00000000-0005-0000-0000-000011220000}"/>
    <cellStyle name="Comma 5 5 3 6 3" xfId="8481" xr:uid="{00000000-0005-0000-0000-000012220000}"/>
    <cellStyle name="Comma 5 5 3 6 3 2" xfId="34038" xr:uid="{00000000-0005-0000-0000-000013220000}"/>
    <cellStyle name="Comma 5 5 3 6 4" xfId="17101" xr:uid="{00000000-0005-0000-0000-000014220000}"/>
    <cellStyle name="Comma 5 5 3 6 4 2" xfId="42654" xr:uid="{00000000-0005-0000-0000-000015220000}"/>
    <cellStyle name="Comma 5 5 3 6 5" xfId="28591" xr:uid="{00000000-0005-0000-0000-000016220000}"/>
    <cellStyle name="Comma 5 5 3 7" xfId="4193" xr:uid="{00000000-0005-0000-0000-000017220000}"/>
    <cellStyle name="Comma 5 5 3 7 2" xfId="13031" xr:uid="{00000000-0005-0000-0000-000018220000}"/>
    <cellStyle name="Comma 5 5 3 7 2 2" xfId="23282" xr:uid="{00000000-0005-0000-0000-000019220000}"/>
    <cellStyle name="Comma 5 5 3 7 2 2 2" xfId="48835" xr:uid="{00000000-0005-0000-0000-00001A220000}"/>
    <cellStyle name="Comma 5 5 3 7 2 3" xfId="38586" xr:uid="{00000000-0005-0000-0000-00001B220000}"/>
    <cellStyle name="Comma 5 5 3 7 3" xfId="9452" xr:uid="{00000000-0005-0000-0000-00001C220000}"/>
    <cellStyle name="Comma 5 5 3 7 3 2" xfId="35009" xr:uid="{00000000-0005-0000-0000-00001D220000}"/>
    <cellStyle name="Comma 5 5 3 7 4" xfId="18275" xr:uid="{00000000-0005-0000-0000-00001E220000}"/>
    <cellStyle name="Comma 5 5 3 7 4 2" xfId="43828" xr:uid="{00000000-0005-0000-0000-00001F220000}"/>
    <cellStyle name="Comma 5 5 3 7 5" xfId="29765" xr:uid="{00000000-0005-0000-0000-000020220000}"/>
    <cellStyle name="Comma 5 5 3 8" xfId="1465" xr:uid="{00000000-0005-0000-0000-000021220000}"/>
    <cellStyle name="Comma 5 5 3 8 2" xfId="10842" xr:uid="{00000000-0005-0000-0000-000022220000}"/>
    <cellStyle name="Comma 5 5 3 8 2 2" xfId="36397" xr:uid="{00000000-0005-0000-0000-000023220000}"/>
    <cellStyle name="Comma 5 5 3 8 3" xfId="20846" xr:uid="{00000000-0005-0000-0000-000024220000}"/>
    <cellStyle name="Comma 5 5 3 8 3 2" xfId="46399" xr:uid="{00000000-0005-0000-0000-000025220000}"/>
    <cellStyle name="Comma 5 5 3 8 4" xfId="27329" xr:uid="{00000000-0005-0000-0000-000026220000}"/>
    <cellStyle name="Comma 5 5 3 9" xfId="5649" xr:uid="{00000000-0005-0000-0000-000027220000}"/>
    <cellStyle name="Comma 5 5 3 9 2" xfId="14476" xr:uid="{00000000-0005-0000-0000-000028220000}"/>
    <cellStyle name="Comma 5 5 3 9 2 2" xfId="40031" xr:uid="{00000000-0005-0000-0000-000029220000}"/>
    <cellStyle name="Comma 5 5 3 9 3" xfId="24727" xr:uid="{00000000-0005-0000-0000-00002A220000}"/>
    <cellStyle name="Comma 5 5 3 9 3 2" xfId="50280" xr:uid="{00000000-0005-0000-0000-00002B220000}"/>
    <cellStyle name="Comma 5 5 3 9 4" xfId="31210" xr:uid="{00000000-0005-0000-0000-00002C220000}"/>
    <cellStyle name="Comma 5 5 4" xfId="473" xr:uid="{00000000-0005-0000-0000-00002D220000}"/>
    <cellStyle name="Comma 5 5 4 10" xfId="26402" xr:uid="{00000000-0005-0000-0000-00002E220000}"/>
    <cellStyle name="Comma 5 5 4 2" xfId="678" xr:uid="{00000000-0005-0000-0000-00002F220000}"/>
    <cellStyle name="Comma 5 5 4 2 2" xfId="3164" xr:uid="{00000000-0005-0000-0000-000030220000}"/>
    <cellStyle name="Comma 5 5 4 2 2 2" xfId="12307" xr:uid="{00000000-0005-0000-0000-000031220000}"/>
    <cellStyle name="Comma 5 5 4 2 2 2 2" xfId="22525" xr:uid="{00000000-0005-0000-0000-000032220000}"/>
    <cellStyle name="Comma 5 5 4 2 2 2 2 2" xfId="48078" xr:uid="{00000000-0005-0000-0000-000033220000}"/>
    <cellStyle name="Comma 5 5 4 2 2 2 3" xfId="37862" xr:uid="{00000000-0005-0000-0000-000034220000}"/>
    <cellStyle name="Comma 5 5 4 2 2 3" xfId="8729" xr:uid="{00000000-0005-0000-0000-000035220000}"/>
    <cellStyle name="Comma 5 5 4 2 2 3 2" xfId="34286" xr:uid="{00000000-0005-0000-0000-000036220000}"/>
    <cellStyle name="Comma 5 5 4 2 2 4" xfId="17518" xr:uid="{00000000-0005-0000-0000-000037220000}"/>
    <cellStyle name="Comma 5 5 4 2 2 4 2" xfId="43071" xr:uid="{00000000-0005-0000-0000-000038220000}"/>
    <cellStyle name="Comma 5 5 4 2 2 5" xfId="29008" xr:uid="{00000000-0005-0000-0000-000039220000}"/>
    <cellStyle name="Comma 5 5 4 2 3" xfId="4493" xr:uid="{00000000-0005-0000-0000-00003A220000}"/>
    <cellStyle name="Comma 5 5 4 2 3 2" xfId="13331" xr:uid="{00000000-0005-0000-0000-00003B220000}"/>
    <cellStyle name="Comma 5 5 4 2 3 2 2" xfId="23582" xr:uid="{00000000-0005-0000-0000-00003C220000}"/>
    <cellStyle name="Comma 5 5 4 2 3 2 2 2" xfId="49135" xr:uid="{00000000-0005-0000-0000-00003D220000}"/>
    <cellStyle name="Comma 5 5 4 2 3 2 3" xfId="38886" xr:uid="{00000000-0005-0000-0000-00003E220000}"/>
    <cellStyle name="Comma 5 5 4 2 3 3" xfId="9752" xr:uid="{00000000-0005-0000-0000-00003F220000}"/>
    <cellStyle name="Comma 5 5 4 2 3 3 2" xfId="35309" xr:uid="{00000000-0005-0000-0000-000040220000}"/>
    <cellStyle name="Comma 5 5 4 2 3 4" xfId="18575" xr:uid="{00000000-0005-0000-0000-000041220000}"/>
    <cellStyle name="Comma 5 5 4 2 3 4 2" xfId="44128" xr:uid="{00000000-0005-0000-0000-000042220000}"/>
    <cellStyle name="Comma 5 5 4 2 3 5" xfId="30065" xr:uid="{00000000-0005-0000-0000-000043220000}"/>
    <cellStyle name="Comma 5 5 4 2 4" xfId="2273" xr:uid="{00000000-0005-0000-0000-000044220000}"/>
    <cellStyle name="Comma 5 5 4 2 4 2" xfId="11638" xr:uid="{00000000-0005-0000-0000-000045220000}"/>
    <cellStyle name="Comma 5 5 4 2 4 2 2" xfId="37193" xr:uid="{00000000-0005-0000-0000-000046220000}"/>
    <cellStyle name="Comma 5 5 4 2 4 3" xfId="21642" xr:uid="{00000000-0005-0000-0000-000047220000}"/>
    <cellStyle name="Comma 5 5 4 2 4 3 2" xfId="47195" xr:uid="{00000000-0005-0000-0000-000048220000}"/>
    <cellStyle name="Comma 5 5 4 2 4 4" xfId="28125" xr:uid="{00000000-0005-0000-0000-000049220000}"/>
    <cellStyle name="Comma 5 5 4 2 5" xfId="5949" xr:uid="{00000000-0005-0000-0000-00004A220000}"/>
    <cellStyle name="Comma 5 5 4 2 5 2" xfId="14776" xr:uid="{00000000-0005-0000-0000-00004B220000}"/>
    <cellStyle name="Comma 5 5 4 2 5 2 2" xfId="40331" xr:uid="{00000000-0005-0000-0000-00004C220000}"/>
    <cellStyle name="Comma 5 5 4 2 5 3" xfId="25027" xr:uid="{00000000-0005-0000-0000-00004D220000}"/>
    <cellStyle name="Comma 5 5 4 2 5 3 2" xfId="50580" xr:uid="{00000000-0005-0000-0000-00004E220000}"/>
    <cellStyle name="Comma 5 5 4 2 5 4" xfId="31510" xr:uid="{00000000-0005-0000-0000-00004F220000}"/>
    <cellStyle name="Comma 5 5 4 2 6" xfId="7393" xr:uid="{00000000-0005-0000-0000-000050220000}"/>
    <cellStyle name="Comma 5 5 4 2 6 2" xfId="20124" xr:uid="{00000000-0005-0000-0000-000051220000}"/>
    <cellStyle name="Comma 5 5 4 2 6 2 2" xfId="45677" xr:uid="{00000000-0005-0000-0000-000052220000}"/>
    <cellStyle name="Comma 5 5 4 2 6 3" xfId="32950" xr:uid="{00000000-0005-0000-0000-000053220000}"/>
    <cellStyle name="Comma 5 5 4 2 7" xfId="16635" xr:uid="{00000000-0005-0000-0000-000054220000}"/>
    <cellStyle name="Comma 5 5 4 2 7 2" xfId="42188" xr:uid="{00000000-0005-0000-0000-000055220000}"/>
    <cellStyle name="Comma 5 5 4 2 8" xfId="26607" xr:uid="{00000000-0005-0000-0000-000056220000}"/>
    <cellStyle name="Comma 5 5 4 3" xfId="1245" xr:uid="{00000000-0005-0000-0000-000057220000}"/>
    <cellStyle name="Comma 5 5 4 3 2" xfId="3674" xr:uid="{00000000-0005-0000-0000-000058220000}"/>
    <cellStyle name="Comma 5 5 4 3 2 2" xfId="12810" xr:uid="{00000000-0005-0000-0000-000059220000}"/>
    <cellStyle name="Comma 5 5 4 3 2 2 2" xfId="23029" xr:uid="{00000000-0005-0000-0000-00005A220000}"/>
    <cellStyle name="Comma 5 5 4 3 2 2 2 2" xfId="48582" xr:uid="{00000000-0005-0000-0000-00005B220000}"/>
    <cellStyle name="Comma 5 5 4 3 2 2 3" xfId="38365" xr:uid="{00000000-0005-0000-0000-00005C220000}"/>
    <cellStyle name="Comma 5 5 4 3 2 3" xfId="9231" xr:uid="{00000000-0005-0000-0000-00005D220000}"/>
    <cellStyle name="Comma 5 5 4 3 2 3 2" xfId="34788" xr:uid="{00000000-0005-0000-0000-00005E220000}"/>
    <cellStyle name="Comma 5 5 4 3 2 4" xfId="18022" xr:uid="{00000000-0005-0000-0000-00005F220000}"/>
    <cellStyle name="Comma 5 5 4 3 2 4 2" xfId="43575" xr:uid="{00000000-0005-0000-0000-000060220000}"/>
    <cellStyle name="Comma 5 5 4 3 2 5" xfId="29512" xr:uid="{00000000-0005-0000-0000-000061220000}"/>
    <cellStyle name="Comma 5 5 4 3 3" xfId="4842" xr:uid="{00000000-0005-0000-0000-000062220000}"/>
    <cellStyle name="Comma 5 5 4 3 3 2" xfId="13679" xr:uid="{00000000-0005-0000-0000-000063220000}"/>
    <cellStyle name="Comma 5 5 4 3 3 2 2" xfId="23930" xr:uid="{00000000-0005-0000-0000-000064220000}"/>
    <cellStyle name="Comma 5 5 4 3 3 2 2 2" xfId="49483" xr:uid="{00000000-0005-0000-0000-000065220000}"/>
    <cellStyle name="Comma 5 5 4 3 3 2 3" xfId="39234" xr:uid="{00000000-0005-0000-0000-000066220000}"/>
    <cellStyle name="Comma 5 5 4 3 3 3" xfId="10100" xr:uid="{00000000-0005-0000-0000-000067220000}"/>
    <cellStyle name="Comma 5 5 4 3 3 3 2" xfId="35657" xr:uid="{00000000-0005-0000-0000-000068220000}"/>
    <cellStyle name="Comma 5 5 4 3 3 4" xfId="18923" xr:uid="{00000000-0005-0000-0000-000069220000}"/>
    <cellStyle name="Comma 5 5 4 3 3 4 2" xfId="44476" xr:uid="{00000000-0005-0000-0000-00006A220000}"/>
    <cellStyle name="Comma 5 5 4 3 3 5" xfId="30413" xr:uid="{00000000-0005-0000-0000-00006B220000}"/>
    <cellStyle name="Comma 5 5 4 3 4" xfId="2068" xr:uid="{00000000-0005-0000-0000-00006C220000}"/>
    <cellStyle name="Comma 5 5 4 3 4 2" xfId="11433" xr:uid="{00000000-0005-0000-0000-00006D220000}"/>
    <cellStyle name="Comma 5 5 4 3 4 2 2" xfId="36988" xr:uid="{00000000-0005-0000-0000-00006E220000}"/>
    <cellStyle name="Comma 5 5 4 3 4 3" xfId="21437" xr:uid="{00000000-0005-0000-0000-00006F220000}"/>
    <cellStyle name="Comma 5 5 4 3 4 3 2" xfId="46990" xr:uid="{00000000-0005-0000-0000-000070220000}"/>
    <cellStyle name="Comma 5 5 4 3 4 4" xfId="27920" xr:uid="{00000000-0005-0000-0000-000071220000}"/>
    <cellStyle name="Comma 5 5 4 3 5" xfId="6297" xr:uid="{00000000-0005-0000-0000-000072220000}"/>
    <cellStyle name="Comma 5 5 4 3 5 2" xfId="15124" xr:uid="{00000000-0005-0000-0000-000073220000}"/>
    <cellStyle name="Comma 5 5 4 3 5 2 2" xfId="40679" xr:uid="{00000000-0005-0000-0000-000074220000}"/>
    <cellStyle name="Comma 5 5 4 3 5 3" xfId="25375" xr:uid="{00000000-0005-0000-0000-000075220000}"/>
    <cellStyle name="Comma 5 5 4 3 5 3 2" xfId="50928" xr:uid="{00000000-0005-0000-0000-000076220000}"/>
    <cellStyle name="Comma 5 5 4 3 5 4" xfId="31858" xr:uid="{00000000-0005-0000-0000-000077220000}"/>
    <cellStyle name="Comma 5 5 4 3 6" xfId="7743" xr:uid="{00000000-0005-0000-0000-000078220000}"/>
    <cellStyle name="Comma 5 5 4 3 6 2" xfId="20628" xr:uid="{00000000-0005-0000-0000-000079220000}"/>
    <cellStyle name="Comma 5 5 4 3 6 2 2" xfId="46181" xr:uid="{00000000-0005-0000-0000-00007A220000}"/>
    <cellStyle name="Comma 5 5 4 3 6 3" xfId="33300" xr:uid="{00000000-0005-0000-0000-00007B220000}"/>
    <cellStyle name="Comma 5 5 4 3 7" xfId="16430" xr:uid="{00000000-0005-0000-0000-00007C220000}"/>
    <cellStyle name="Comma 5 5 4 3 7 2" xfId="41983" xr:uid="{00000000-0005-0000-0000-00007D220000}"/>
    <cellStyle name="Comma 5 5 4 3 8" xfId="27111" xr:uid="{00000000-0005-0000-0000-00007E220000}"/>
    <cellStyle name="Comma 5 5 4 4" xfId="2959" xr:uid="{00000000-0005-0000-0000-00007F220000}"/>
    <cellStyle name="Comma 5 5 4 4 2" xfId="5337" xr:uid="{00000000-0005-0000-0000-000080220000}"/>
    <cellStyle name="Comma 5 5 4 4 2 2" xfId="14174" xr:uid="{00000000-0005-0000-0000-000081220000}"/>
    <cellStyle name="Comma 5 5 4 4 2 2 2" xfId="24425" xr:uid="{00000000-0005-0000-0000-000082220000}"/>
    <cellStyle name="Comma 5 5 4 4 2 2 2 2" xfId="49978" xr:uid="{00000000-0005-0000-0000-000083220000}"/>
    <cellStyle name="Comma 5 5 4 4 2 2 3" xfId="39729" xr:uid="{00000000-0005-0000-0000-000084220000}"/>
    <cellStyle name="Comma 5 5 4 4 2 3" xfId="10595" xr:uid="{00000000-0005-0000-0000-000085220000}"/>
    <cellStyle name="Comma 5 5 4 4 2 3 2" xfId="36152" xr:uid="{00000000-0005-0000-0000-000086220000}"/>
    <cellStyle name="Comma 5 5 4 4 2 4" xfId="19418" xr:uid="{00000000-0005-0000-0000-000087220000}"/>
    <cellStyle name="Comma 5 5 4 4 2 4 2" xfId="44971" xr:uid="{00000000-0005-0000-0000-000088220000}"/>
    <cellStyle name="Comma 5 5 4 4 2 5" xfId="30908" xr:uid="{00000000-0005-0000-0000-000089220000}"/>
    <cellStyle name="Comma 5 5 4 4 3" xfId="6792" xr:uid="{00000000-0005-0000-0000-00008A220000}"/>
    <cellStyle name="Comma 5 5 4 4 3 2" xfId="15619" xr:uid="{00000000-0005-0000-0000-00008B220000}"/>
    <cellStyle name="Comma 5 5 4 4 3 2 2" xfId="41174" xr:uid="{00000000-0005-0000-0000-00008C220000}"/>
    <cellStyle name="Comma 5 5 4 4 3 3" xfId="25870" xr:uid="{00000000-0005-0000-0000-00008D220000}"/>
    <cellStyle name="Comma 5 5 4 4 3 3 2" xfId="51423" xr:uid="{00000000-0005-0000-0000-00008E220000}"/>
    <cellStyle name="Comma 5 5 4 4 3 4" xfId="32353" xr:uid="{00000000-0005-0000-0000-00008F220000}"/>
    <cellStyle name="Comma 5 5 4 4 4" xfId="8238" xr:uid="{00000000-0005-0000-0000-000090220000}"/>
    <cellStyle name="Comma 5 5 4 4 4 2" xfId="22320" xr:uid="{00000000-0005-0000-0000-000091220000}"/>
    <cellStyle name="Comma 5 5 4 4 4 2 2" xfId="47873" xr:uid="{00000000-0005-0000-0000-000092220000}"/>
    <cellStyle name="Comma 5 5 4 4 4 3" xfId="33795" xr:uid="{00000000-0005-0000-0000-000093220000}"/>
    <cellStyle name="Comma 5 5 4 4 5" xfId="17313" xr:uid="{00000000-0005-0000-0000-000094220000}"/>
    <cellStyle name="Comma 5 5 4 4 5 2" xfId="42866" xr:uid="{00000000-0005-0000-0000-000095220000}"/>
    <cellStyle name="Comma 5 5 4 4 6" xfId="28803" xr:uid="{00000000-0005-0000-0000-000096220000}"/>
    <cellStyle name="Comma 5 5 4 5" xfId="4293" xr:uid="{00000000-0005-0000-0000-000097220000}"/>
    <cellStyle name="Comma 5 5 4 5 2" xfId="13131" xr:uid="{00000000-0005-0000-0000-000098220000}"/>
    <cellStyle name="Comma 5 5 4 5 2 2" xfId="23382" xr:uid="{00000000-0005-0000-0000-000099220000}"/>
    <cellStyle name="Comma 5 5 4 5 2 2 2" xfId="48935" xr:uid="{00000000-0005-0000-0000-00009A220000}"/>
    <cellStyle name="Comma 5 5 4 5 2 3" xfId="38686" xr:uid="{00000000-0005-0000-0000-00009B220000}"/>
    <cellStyle name="Comma 5 5 4 5 3" xfId="9552" xr:uid="{00000000-0005-0000-0000-00009C220000}"/>
    <cellStyle name="Comma 5 5 4 5 3 2" xfId="35109" xr:uid="{00000000-0005-0000-0000-00009D220000}"/>
    <cellStyle name="Comma 5 5 4 5 4" xfId="18375" xr:uid="{00000000-0005-0000-0000-00009E220000}"/>
    <cellStyle name="Comma 5 5 4 5 4 2" xfId="43928" xr:uid="{00000000-0005-0000-0000-00009F220000}"/>
    <cellStyle name="Comma 5 5 4 5 5" xfId="29865" xr:uid="{00000000-0005-0000-0000-0000A0220000}"/>
    <cellStyle name="Comma 5 5 4 6" xfId="1565" xr:uid="{00000000-0005-0000-0000-0000A1220000}"/>
    <cellStyle name="Comma 5 5 4 6 2" xfId="10942" xr:uid="{00000000-0005-0000-0000-0000A2220000}"/>
    <cellStyle name="Comma 5 5 4 6 2 2" xfId="36497" xr:uid="{00000000-0005-0000-0000-0000A3220000}"/>
    <cellStyle name="Comma 5 5 4 6 3" xfId="20946" xr:uid="{00000000-0005-0000-0000-0000A4220000}"/>
    <cellStyle name="Comma 5 5 4 6 3 2" xfId="46499" xr:uid="{00000000-0005-0000-0000-0000A5220000}"/>
    <cellStyle name="Comma 5 5 4 6 4" xfId="27429" xr:uid="{00000000-0005-0000-0000-0000A6220000}"/>
    <cellStyle name="Comma 5 5 4 7" xfId="5749" xr:uid="{00000000-0005-0000-0000-0000A7220000}"/>
    <cellStyle name="Comma 5 5 4 7 2" xfId="14576" xr:uid="{00000000-0005-0000-0000-0000A8220000}"/>
    <cellStyle name="Comma 5 5 4 7 2 2" xfId="40131" xr:uid="{00000000-0005-0000-0000-0000A9220000}"/>
    <cellStyle name="Comma 5 5 4 7 3" xfId="24827" xr:uid="{00000000-0005-0000-0000-0000AA220000}"/>
    <cellStyle name="Comma 5 5 4 7 3 2" xfId="50380" xr:uid="{00000000-0005-0000-0000-0000AB220000}"/>
    <cellStyle name="Comma 5 5 4 7 4" xfId="31310" xr:uid="{00000000-0005-0000-0000-0000AC220000}"/>
    <cellStyle name="Comma 5 5 4 8" xfId="7193" xr:uid="{00000000-0005-0000-0000-0000AD220000}"/>
    <cellStyle name="Comma 5 5 4 8 2" xfId="19919" xr:uid="{00000000-0005-0000-0000-0000AE220000}"/>
    <cellStyle name="Comma 5 5 4 8 2 2" xfId="45472" xr:uid="{00000000-0005-0000-0000-0000AF220000}"/>
    <cellStyle name="Comma 5 5 4 8 3" xfId="32750" xr:uid="{00000000-0005-0000-0000-0000B0220000}"/>
    <cellStyle name="Comma 5 5 4 9" xfId="15939" xr:uid="{00000000-0005-0000-0000-0000B1220000}"/>
    <cellStyle name="Comma 5 5 4 9 2" xfId="41492" xr:uid="{00000000-0005-0000-0000-0000B2220000}"/>
    <cellStyle name="Comma 5 5 5" xfId="314" xr:uid="{00000000-0005-0000-0000-0000B3220000}"/>
    <cellStyle name="Comma 5 5 5 2" xfId="2800" xr:uid="{00000000-0005-0000-0000-0000B4220000}"/>
    <cellStyle name="Comma 5 5 5 2 2" xfId="12104" xr:uid="{00000000-0005-0000-0000-0000B5220000}"/>
    <cellStyle name="Comma 5 5 5 2 2 2" xfId="22161" xr:uid="{00000000-0005-0000-0000-0000B6220000}"/>
    <cellStyle name="Comma 5 5 5 2 2 2 2" xfId="47714" xr:uid="{00000000-0005-0000-0000-0000B7220000}"/>
    <cellStyle name="Comma 5 5 5 2 2 3" xfId="37659" xr:uid="{00000000-0005-0000-0000-0000B8220000}"/>
    <cellStyle name="Comma 5 5 5 2 3" xfId="8533" xr:uid="{00000000-0005-0000-0000-0000B9220000}"/>
    <cellStyle name="Comma 5 5 5 2 3 2" xfId="34090" xr:uid="{00000000-0005-0000-0000-0000BA220000}"/>
    <cellStyle name="Comma 5 5 5 2 4" xfId="17154" xr:uid="{00000000-0005-0000-0000-0000BB220000}"/>
    <cellStyle name="Comma 5 5 5 2 4 2" xfId="42707" xr:uid="{00000000-0005-0000-0000-0000BC220000}"/>
    <cellStyle name="Comma 5 5 5 2 5" xfId="28644" xr:uid="{00000000-0005-0000-0000-0000BD220000}"/>
    <cellStyle name="Comma 5 5 5 3" xfId="4488" xr:uid="{00000000-0005-0000-0000-0000BE220000}"/>
    <cellStyle name="Comma 5 5 5 3 2" xfId="13326" xr:uid="{00000000-0005-0000-0000-0000BF220000}"/>
    <cellStyle name="Comma 5 5 5 3 2 2" xfId="23577" xr:uid="{00000000-0005-0000-0000-0000C0220000}"/>
    <cellStyle name="Comma 5 5 5 3 2 2 2" xfId="49130" xr:uid="{00000000-0005-0000-0000-0000C1220000}"/>
    <cellStyle name="Comma 5 5 5 3 2 3" xfId="38881" xr:uid="{00000000-0005-0000-0000-0000C2220000}"/>
    <cellStyle name="Comma 5 5 5 3 3" xfId="9747" xr:uid="{00000000-0005-0000-0000-0000C3220000}"/>
    <cellStyle name="Comma 5 5 5 3 3 2" xfId="35304" xr:uid="{00000000-0005-0000-0000-0000C4220000}"/>
    <cellStyle name="Comma 5 5 5 3 4" xfId="18570" xr:uid="{00000000-0005-0000-0000-0000C5220000}"/>
    <cellStyle name="Comma 5 5 5 3 4 2" xfId="44123" xr:uid="{00000000-0005-0000-0000-0000C6220000}"/>
    <cellStyle name="Comma 5 5 5 3 5" xfId="30060" xr:uid="{00000000-0005-0000-0000-0000C7220000}"/>
    <cellStyle name="Comma 5 5 5 4" xfId="1909" xr:uid="{00000000-0005-0000-0000-0000C8220000}"/>
    <cellStyle name="Comma 5 5 5 4 2" xfId="11274" xr:uid="{00000000-0005-0000-0000-0000C9220000}"/>
    <cellStyle name="Comma 5 5 5 4 2 2" xfId="36829" xr:uid="{00000000-0005-0000-0000-0000CA220000}"/>
    <cellStyle name="Comma 5 5 5 4 3" xfId="21278" xr:uid="{00000000-0005-0000-0000-0000CB220000}"/>
    <cellStyle name="Comma 5 5 5 4 3 2" xfId="46831" xr:uid="{00000000-0005-0000-0000-0000CC220000}"/>
    <cellStyle name="Comma 5 5 5 4 4" xfId="27761" xr:uid="{00000000-0005-0000-0000-0000CD220000}"/>
    <cellStyle name="Comma 5 5 5 5" xfId="5944" xr:uid="{00000000-0005-0000-0000-0000CE220000}"/>
    <cellStyle name="Comma 5 5 5 5 2" xfId="14771" xr:uid="{00000000-0005-0000-0000-0000CF220000}"/>
    <cellStyle name="Comma 5 5 5 5 2 2" xfId="40326" xr:uid="{00000000-0005-0000-0000-0000D0220000}"/>
    <cellStyle name="Comma 5 5 5 5 3" xfId="25022" xr:uid="{00000000-0005-0000-0000-0000D1220000}"/>
    <cellStyle name="Comma 5 5 5 5 3 2" xfId="50575" xr:uid="{00000000-0005-0000-0000-0000D2220000}"/>
    <cellStyle name="Comma 5 5 5 5 4" xfId="31505" xr:uid="{00000000-0005-0000-0000-0000D3220000}"/>
    <cellStyle name="Comma 5 5 5 6" xfId="7388" xr:uid="{00000000-0005-0000-0000-0000D4220000}"/>
    <cellStyle name="Comma 5 5 5 6 2" xfId="19760" xr:uid="{00000000-0005-0000-0000-0000D5220000}"/>
    <cellStyle name="Comma 5 5 5 6 2 2" xfId="45313" xr:uid="{00000000-0005-0000-0000-0000D6220000}"/>
    <cellStyle name="Comma 5 5 5 6 3" xfId="32945" xr:uid="{00000000-0005-0000-0000-0000D7220000}"/>
    <cellStyle name="Comma 5 5 5 7" xfId="16271" xr:uid="{00000000-0005-0000-0000-0000D8220000}"/>
    <cellStyle name="Comma 5 5 5 7 2" xfId="41824" xr:uid="{00000000-0005-0000-0000-0000D9220000}"/>
    <cellStyle name="Comma 5 5 5 8" xfId="26243" xr:uid="{00000000-0005-0000-0000-0000DA220000}"/>
    <cellStyle name="Comma 5 5 6" xfId="673" xr:uid="{00000000-0005-0000-0000-0000DB220000}"/>
    <cellStyle name="Comma 5 5 6 2" xfId="3159" xr:uid="{00000000-0005-0000-0000-0000DC220000}"/>
    <cellStyle name="Comma 5 5 6 2 2" xfId="12302" xr:uid="{00000000-0005-0000-0000-0000DD220000}"/>
    <cellStyle name="Comma 5 5 6 2 2 2" xfId="22520" xr:uid="{00000000-0005-0000-0000-0000DE220000}"/>
    <cellStyle name="Comma 5 5 6 2 2 2 2" xfId="48073" xr:uid="{00000000-0005-0000-0000-0000DF220000}"/>
    <cellStyle name="Comma 5 5 6 2 2 3" xfId="37857" xr:uid="{00000000-0005-0000-0000-0000E0220000}"/>
    <cellStyle name="Comma 5 5 6 2 3" xfId="8724" xr:uid="{00000000-0005-0000-0000-0000E1220000}"/>
    <cellStyle name="Comma 5 5 6 2 3 2" xfId="34281" xr:uid="{00000000-0005-0000-0000-0000E2220000}"/>
    <cellStyle name="Comma 5 5 6 2 4" xfId="17513" xr:uid="{00000000-0005-0000-0000-0000E3220000}"/>
    <cellStyle name="Comma 5 5 6 2 4 2" xfId="43066" xr:uid="{00000000-0005-0000-0000-0000E4220000}"/>
    <cellStyle name="Comma 5 5 6 2 5" xfId="29003" xr:uid="{00000000-0005-0000-0000-0000E5220000}"/>
    <cellStyle name="Comma 5 5 6 3" xfId="4837" xr:uid="{00000000-0005-0000-0000-0000E6220000}"/>
    <cellStyle name="Comma 5 5 6 3 2" xfId="13674" xr:uid="{00000000-0005-0000-0000-0000E7220000}"/>
    <cellStyle name="Comma 5 5 6 3 2 2" xfId="23925" xr:uid="{00000000-0005-0000-0000-0000E8220000}"/>
    <cellStyle name="Comma 5 5 6 3 2 2 2" xfId="49478" xr:uid="{00000000-0005-0000-0000-0000E9220000}"/>
    <cellStyle name="Comma 5 5 6 3 2 3" xfId="39229" xr:uid="{00000000-0005-0000-0000-0000EA220000}"/>
    <cellStyle name="Comma 5 5 6 3 3" xfId="10095" xr:uid="{00000000-0005-0000-0000-0000EB220000}"/>
    <cellStyle name="Comma 5 5 6 3 3 2" xfId="35652" xr:uid="{00000000-0005-0000-0000-0000EC220000}"/>
    <cellStyle name="Comma 5 5 6 3 4" xfId="18918" xr:uid="{00000000-0005-0000-0000-0000ED220000}"/>
    <cellStyle name="Comma 5 5 6 3 4 2" xfId="44471" xr:uid="{00000000-0005-0000-0000-0000EE220000}"/>
    <cellStyle name="Comma 5 5 6 3 5" xfId="30408" xr:uid="{00000000-0005-0000-0000-0000EF220000}"/>
    <cellStyle name="Comma 5 5 6 4" xfId="2268" xr:uid="{00000000-0005-0000-0000-0000F0220000}"/>
    <cellStyle name="Comma 5 5 6 4 2" xfId="11633" xr:uid="{00000000-0005-0000-0000-0000F1220000}"/>
    <cellStyle name="Comma 5 5 6 4 2 2" xfId="37188" xr:uid="{00000000-0005-0000-0000-0000F2220000}"/>
    <cellStyle name="Comma 5 5 6 4 3" xfId="21637" xr:uid="{00000000-0005-0000-0000-0000F3220000}"/>
    <cellStyle name="Comma 5 5 6 4 3 2" xfId="47190" xr:uid="{00000000-0005-0000-0000-0000F4220000}"/>
    <cellStyle name="Comma 5 5 6 4 4" xfId="28120" xr:uid="{00000000-0005-0000-0000-0000F5220000}"/>
    <cellStyle name="Comma 5 5 6 5" xfId="6292" xr:uid="{00000000-0005-0000-0000-0000F6220000}"/>
    <cellStyle name="Comma 5 5 6 5 2" xfId="15119" xr:uid="{00000000-0005-0000-0000-0000F7220000}"/>
    <cellStyle name="Comma 5 5 6 5 2 2" xfId="40674" xr:uid="{00000000-0005-0000-0000-0000F8220000}"/>
    <cellStyle name="Comma 5 5 6 5 3" xfId="25370" xr:uid="{00000000-0005-0000-0000-0000F9220000}"/>
    <cellStyle name="Comma 5 5 6 5 3 2" xfId="50923" xr:uid="{00000000-0005-0000-0000-0000FA220000}"/>
    <cellStyle name="Comma 5 5 6 5 4" xfId="31853" xr:uid="{00000000-0005-0000-0000-0000FB220000}"/>
    <cellStyle name="Comma 5 5 6 6" xfId="7738" xr:uid="{00000000-0005-0000-0000-0000FC220000}"/>
    <cellStyle name="Comma 5 5 6 6 2" xfId="20119" xr:uid="{00000000-0005-0000-0000-0000FD220000}"/>
    <cellStyle name="Comma 5 5 6 6 2 2" xfId="45672" xr:uid="{00000000-0005-0000-0000-0000FE220000}"/>
    <cellStyle name="Comma 5 5 6 6 3" xfId="33295" xr:uid="{00000000-0005-0000-0000-0000FF220000}"/>
    <cellStyle name="Comma 5 5 6 7" xfId="16630" xr:uid="{00000000-0005-0000-0000-000000230000}"/>
    <cellStyle name="Comma 5 5 6 7 2" xfId="42183" xr:uid="{00000000-0005-0000-0000-000001230000}"/>
    <cellStyle name="Comma 5 5 6 8" xfId="26602" xr:uid="{00000000-0005-0000-0000-000002230000}"/>
    <cellStyle name="Comma 5 5 7" xfId="1086" xr:uid="{00000000-0005-0000-0000-000003230000}"/>
    <cellStyle name="Comma 5 5 7 2" xfId="3515" xr:uid="{00000000-0005-0000-0000-000004230000}"/>
    <cellStyle name="Comma 5 5 7 2 2" xfId="12651" xr:uid="{00000000-0005-0000-0000-000005230000}"/>
    <cellStyle name="Comma 5 5 7 2 2 2" xfId="22870" xr:uid="{00000000-0005-0000-0000-000006230000}"/>
    <cellStyle name="Comma 5 5 7 2 2 2 2" xfId="48423" xr:uid="{00000000-0005-0000-0000-000007230000}"/>
    <cellStyle name="Comma 5 5 7 2 2 3" xfId="38206" xr:uid="{00000000-0005-0000-0000-000008230000}"/>
    <cellStyle name="Comma 5 5 7 2 3" xfId="9073" xr:uid="{00000000-0005-0000-0000-000009230000}"/>
    <cellStyle name="Comma 5 5 7 2 3 2" xfId="34630" xr:uid="{00000000-0005-0000-0000-00000A230000}"/>
    <cellStyle name="Comma 5 5 7 2 4" xfId="17863" xr:uid="{00000000-0005-0000-0000-00000B230000}"/>
    <cellStyle name="Comma 5 5 7 2 4 2" xfId="43416" xr:uid="{00000000-0005-0000-0000-00000C230000}"/>
    <cellStyle name="Comma 5 5 7 2 5" xfId="29353" xr:uid="{00000000-0005-0000-0000-00000D230000}"/>
    <cellStyle name="Comma 5 5 7 3" xfId="5178" xr:uid="{00000000-0005-0000-0000-00000E230000}"/>
    <cellStyle name="Comma 5 5 7 3 2" xfId="14015" xr:uid="{00000000-0005-0000-0000-00000F230000}"/>
    <cellStyle name="Comma 5 5 7 3 2 2" xfId="24266" xr:uid="{00000000-0005-0000-0000-000010230000}"/>
    <cellStyle name="Comma 5 5 7 3 2 2 2" xfId="49819" xr:uid="{00000000-0005-0000-0000-000011230000}"/>
    <cellStyle name="Comma 5 5 7 3 2 3" xfId="39570" xr:uid="{00000000-0005-0000-0000-000012230000}"/>
    <cellStyle name="Comma 5 5 7 3 3" xfId="10436" xr:uid="{00000000-0005-0000-0000-000013230000}"/>
    <cellStyle name="Comma 5 5 7 3 3 2" xfId="35993" xr:uid="{00000000-0005-0000-0000-000014230000}"/>
    <cellStyle name="Comma 5 5 7 3 4" xfId="19259" xr:uid="{00000000-0005-0000-0000-000015230000}"/>
    <cellStyle name="Comma 5 5 7 3 4 2" xfId="44812" xr:uid="{00000000-0005-0000-0000-000016230000}"/>
    <cellStyle name="Comma 5 5 7 3 5" xfId="30749" xr:uid="{00000000-0005-0000-0000-000017230000}"/>
    <cellStyle name="Comma 5 5 7 4" xfId="1744" xr:uid="{00000000-0005-0000-0000-000018230000}"/>
    <cellStyle name="Comma 5 5 7 4 2" xfId="11115" xr:uid="{00000000-0005-0000-0000-000019230000}"/>
    <cellStyle name="Comma 5 5 7 4 2 2" xfId="36670" xr:uid="{00000000-0005-0000-0000-00001A230000}"/>
    <cellStyle name="Comma 5 5 7 4 3" xfId="21119" xr:uid="{00000000-0005-0000-0000-00001B230000}"/>
    <cellStyle name="Comma 5 5 7 4 3 2" xfId="46672" xr:uid="{00000000-0005-0000-0000-00001C230000}"/>
    <cellStyle name="Comma 5 5 7 4 4" xfId="27602" xr:uid="{00000000-0005-0000-0000-00001D230000}"/>
    <cellStyle name="Comma 5 5 7 5" xfId="6633" xr:uid="{00000000-0005-0000-0000-00001E230000}"/>
    <cellStyle name="Comma 5 5 7 5 2" xfId="15460" xr:uid="{00000000-0005-0000-0000-00001F230000}"/>
    <cellStyle name="Comma 5 5 7 5 2 2" xfId="41015" xr:uid="{00000000-0005-0000-0000-000020230000}"/>
    <cellStyle name="Comma 5 5 7 5 3" xfId="25711" xr:uid="{00000000-0005-0000-0000-000021230000}"/>
    <cellStyle name="Comma 5 5 7 5 3 2" xfId="51264" xr:uid="{00000000-0005-0000-0000-000022230000}"/>
    <cellStyle name="Comma 5 5 7 5 4" xfId="32194" xr:uid="{00000000-0005-0000-0000-000023230000}"/>
    <cellStyle name="Comma 5 5 7 6" xfId="8079" xr:uid="{00000000-0005-0000-0000-000024230000}"/>
    <cellStyle name="Comma 5 5 7 6 2" xfId="20469" xr:uid="{00000000-0005-0000-0000-000025230000}"/>
    <cellStyle name="Comma 5 5 7 6 2 2" xfId="46022" xr:uid="{00000000-0005-0000-0000-000026230000}"/>
    <cellStyle name="Comma 5 5 7 6 3" xfId="33636" xr:uid="{00000000-0005-0000-0000-000027230000}"/>
    <cellStyle name="Comma 5 5 7 7" xfId="16112" xr:uid="{00000000-0005-0000-0000-000028230000}"/>
    <cellStyle name="Comma 5 5 7 7 2" xfId="41665" xr:uid="{00000000-0005-0000-0000-000029230000}"/>
    <cellStyle name="Comma 5 5 7 8" xfId="26952" xr:uid="{00000000-0005-0000-0000-00002A230000}"/>
    <cellStyle name="Comma 5 5 8" xfId="2642" xr:uid="{00000000-0005-0000-0000-00002B230000}"/>
    <cellStyle name="Comma 5 5 8 2" xfId="5590" xr:uid="{00000000-0005-0000-0000-00002C230000}"/>
    <cellStyle name="Comma 5 5 8 2 2" xfId="14417" xr:uid="{00000000-0005-0000-0000-00002D230000}"/>
    <cellStyle name="Comma 5 5 8 2 2 2" xfId="39972" xr:uid="{00000000-0005-0000-0000-00002E230000}"/>
    <cellStyle name="Comma 5 5 8 2 3" xfId="24668" xr:uid="{00000000-0005-0000-0000-00002F230000}"/>
    <cellStyle name="Comma 5 5 8 2 3 2" xfId="50221" xr:uid="{00000000-0005-0000-0000-000030230000}"/>
    <cellStyle name="Comma 5 5 8 2 4" xfId="31151" xr:uid="{00000000-0005-0000-0000-000031230000}"/>
    <cellStyle name="Comma 5 5 8 3" xfId="7034" xr:uid="{00000000-0005-0000-0000-000032230000}"/>
    <cellStyle name="Comma 5 5 8 3 2" xfId="22003" xr:uid="{00000000-0005-0000-0000-000033230000}"/>
    <cellStyle name="Comma 5 5 8 3 2 2" xfId="47556" xr:uid="{00000000-0005-0000-0000-000034230000}"/>
    <cellStyle name="Comma 5 5 8 3 3" xfId="32591" xr:uid="{00000000-0005-0000-0000-000035230000}"/>
    <cellStyle name="Comma 5 5 8 4" xfId="16996" xr:uid="{00000000-0005-0000-0000-000036230000}"/>
    <cellStyle name="Comma 5 5 8 4 2" xfId="42549" xr:uid="{00000000-0005-0000-0000-000037230000}"/>
    <cellStyle name="Comma 5 5 8 5" xfId="28486" xr:uid="{00000000-0005-0000-0000-000038230000}"/>
    <cellStyle name="Comma 5 5 9" xfId="4132" xr:uid="{00000000-0005-0000-0000-000039230000}"/>
    <cellStyle name="Comma 5 5 9 2" xfId="12970" xr:uid="{00000000-0005-0000-0000-00003A230000}"/>
    <cellStyle name="Comma 5 5 9 2 2" xfId="23221" xr:uid="{00000000-0005-0000-0000-00003B230000}"/>
    <cellStyle name="Comma 5 5 9 2 2 2" xfId="48774" xr:uid="{00000000-0005-0000-0000-00003C230000}"/>
    <cellStyle name="Comma 5 5 9 2 3" xfId="38525" xr:uid="{00000000-0005-0000-0000-00003D230000}"/>
    <cellStyle name="Comma 5 5 9 3" xfId="9391" xr:uid="{00000000-0005-0000-0000-00003E230000}"/>
    <cellStyle name="Comma 5 5 9 3 2" xfId="34948" xr:uid="{00000000-0005-0000-0000-00003F230000}"/>
    <cellStyle name="Comma 5 5 9 4" xfId="18214" xr:uid="{00000000-0005-0000-0000-000040230000}"/>
    <cellStyle name="Comma 5 5 9 4 2" xfId="43767" xr:uid="{00000000-0005-0000-0000-000041230000}"/>
    <cellStyle name="Comma 5 5 9 5" xfId="29704" xr:uid="{00000000-0005-0000-0000-000042230000}"/>
    <cellStyle name="Comma 5 6" xfId="171" xr:uid="{00000000-0005-0000-0000-000043230000}"/>
    <cellStyle name="Comma 5 6 10" xfId="7119" xr:uid="{00000000-0005-0000-0000-000044230000}"/>
    <cellStyle name="Comma 5 6 10 2" xfId="19628" xr:uid="{00000000-0005-0000-0000-000045230000}"/>
    <cellStyle name="Comma 5 6 10 2 2" xfId="45181" xr:uid="{00000000-0005-0000-0000-000046230000}"/>
    <cellStyle name="Comma 5 6 10 3" xfId="32676" xr:uid="{00000000-0005-0000-0000-000047230000}"/>
    <cellStyle name="Comma 5 6 11" xfId="15865" xr:uid="{00000000-0005-0000-0000-000048230000}"/>
    <cellStyle name="Comma 5 6 11 2" xfId="41418" xr:uid="{00000000-0005-0000-0000-000049230000}"/>
    <cellStyle name="Comma 5 6 12" xfId="26111" xr:uid="{00000000-0005-0000-0000-00004A230000}"/>
    <cellStyle name="Comma 5 6 2" xfId="499" xr:uid="{00000000-0005-0000-0000-00004B230000}"/>
    <cellStyle name="Comma 5 6 2 10" xfId="26428" xr:uid="{00000000-0005-0000-0000-00004C230000}"/>
    <cellStyle name="Comma 5 6 2 2" xfId="680" xr:uid="{00000000-0005-0000-0000-00004D230000}"/>
    <cellStyle name="Comma 5 6 2 2 2" xfId="3166" xr:uid="{00000000-0005-0000-0000-00004E230000}"/>
    <cellStyle name="Comma 5 6 2 2 2 2" xfId="12309" xr:uid="{00000000-0005-0000-0000-00004F230000}"/>
    <cellStyle name="Comma 5 6 2 2 2 2 2" xfId="22527" xr:uid="{00000000-0005-0000-0000-000050230000}"/>
    <cellStyle name="Comma 5 6 2 2 2 2 2 2" xfId="48080" xr:uid="{00000000-0005-0000-0000-000051230000}"/>
    <cellStyle name="Comma 5 6 2 2 2 2 3" xfId="37864" xr:uid="{00000000-0005-0000-0000-000052230000}"/>
    <cellStyle name="Comma 5 6 2 2 2 3" xfId="8731" xr:uid="{00000000-0005-0000-0000-000053230000}"/>
    <cellStyle name="Comma 5 6 2 2 2 3 2" xfId="34288" xr:uid="{00000000-0005-0000-0000-000054230000}"/>
    <cellStyle name="Comma 5 6 2 2 2 4" xfId="17520" xr:uid="{00000000-0005-0000-0000-000055230000}"/>
    <cellStyle name="Comma 5 6 2 2 2 4 2" xfId="43073" xr:uid="{00000000-0005-0000-0000-000056230000}"/>
    <cellStyle name="Comma 5 6 2 2 2 5" xfId="29010" xr:uid="{00000000-0005-0000-0000-000057230000}"/>
    <cellStyle name="Comma 5 6 2 2 3" xfId="4495" xr:uid="{00000000-0005-0000-0000-000058230000}"/>
    <cellStyle name="Comma 5 6 2 2 3 2" xfId="13333" xr:uid="{00000000-0005-0000-0000-000059230000}"/>
    <cellStyle name="Comma 5 6 2 2 3 2 2" xfId="23584" xr:uid="{00000000-0005-0000-0000-00005A230000}"/>
    <cellStyle name="Comma 5 6 2 2 3 2 2 2" xfId="49137" xr:uid="{00000000-0005-0000-0000-00005B230000}"/>
    <cellStyle name="Comma 5 6 2 2 3 2 3" xfId="38888" xr:uid="{00000000-0005-0000-0000-00005C230000}"/>
    <cellStyle name="Comma 5 6 2 2 3 3" xfId="9754" xr:uid="{00000000-0005-0000-0000-00005D230000}"/>
    <cellStyle name="Comma 5 6 2 2 3 3 2" xfId="35311" xr:uid="{00000000-0005-0000-0000-00005E230000}"/>
    <cellStyle name="Comma 5 6 2 2 3 4" xfId="18577" xr:uid="{00000000-0005-0000-0000-00005F230000}"/>
    <cellStyle name="Comma 5 6 2 2 3 4 2" xfId="44130" xr:uid="{00000000-0005-0000-0000-000060230000}"/>
    <cellStyle name="Comma 5 6 2 2 3 5" xfId="30067" xr:uid="{00000000-0005-0000-0000-000061230000}"/>
    <cellStyle name="Comma 5 6 2 2 4" xfId="2275" xr:uid="{00000000-0005-0000-0000-000062230000}"/>
    <cellStyle name="Comma 5 6 2 2 4 2" xfId="11640" xr:uid="{00000000-0005-0000-0000-000063230000}"/>
    <cellStyle name="Comma 5 6 2 2 4 2 2" xfId="37195" xr:uid="{00000000-0005-0000-0000-000064230000}"/>
    <cellStyle name="Comma 5 6 2 2 4 3" xfId="21644" xr:uid="{00000000-0005-0000-0000-000065230000}"/>
    <cellStyle name="Comma 5 6 2 2 4 3 2" xfId="47197" xr:uid="{00000000-0005-0000-0000-000066230000}"/>
    <cellStyle name="Comma 5 6 2 2 4 4" xfId="28127" xr:uid="{00000000-0005-0000-0000-000067230000}"/>
    <cellStyle name="Comma 5 6 2 2 5" xfId="5951" xr:uid="{00000000-0005-0000-0000-000068230000}"/>
    <cellStyle name="Comma 5 6 2 2 5 2" xfId="14778" xr:uid="{00000000-0005-0000-0000-000069230000}"/>
    <cellStyle name="Comma 5 6 2 2 5 2 2" xfId="40333" xr:uid="{00000000-0005-0000-0000-00006A230000}"/>
    <cellStyle name="Comma 5 6 2 2 5 3" xfId="25029" xr:uid="{00000000-0005-0000-0000-00006B230000}"/>
    <cellStyle name="Comma 5 6 2 2 5 3 2" xfId="50582" xr:uid="{00000000-0005-0000-0000-00006C230000}"/>
    <cellStyle name="Comma 5 6 2 2 5 4" xfId="31512" xr:uid="{00000000-0005-0000-0000-00006D230000}"/>
    <cellStyle name="Comma 5 6 2 2 6" xfId="7395" xr:uid="{00000000-0005-0000-0000-00006E230000}"/>
    <cellStyle name="Comma 5 6 2 2 6 2" xfId="20126" xr:uid="{00000000-0005-0000-0000-00006F230000}"/>
    <cellStyle name="Comma 5 6 2 2 6 2 2" xfId="45679" xr:uid="{00000000-0005-0000-0000-000070230000}"/>
    <cellStyle name="Comma 5 6 2 2 6 3" xfId="32952" xr:uid="{00000000-0005-0000-0000-000071230000}"/>
    <cellStyle name="Comma 5 6 2 2 7" xfId="16637" xr:uid="{00000000-0005-0000-0000-000072230000}"/>
    <cellStyle name="Comma 5 6 2 2 7 2" xfId="42190" xr:uid="{00000000-0005-0000-0000-000073230000}"/>
    <cellStyle name="Comma 5 6 2 2 8" xfId="26609" xr:uid="{00000000-0005-0000-0000-000074230000}"/>
    <cellStyle name="Comma 5 6 2 3" xfId="1271" xr:uid="{00000000-0005-0000-0000-000075230000}"/>
    <cellStyle name="Comma 5 6 2 3 2" xfId="3700" xr:uid="{00000000-0005-0000-0000-000076230000}"/>
    <cellStyle name="Comma 5 6 2 3 2 2" xfId="12836" xr:uid="{00000000-0005-0000-0000-000077230000}"/>
    <cellStyle name="Comma 5 6 2 3 2 2 2" xfId="23055" xr:uid="{00000000-0005-0000-0000-000078230000}"/>
    <cellStyle name="Comma 5 6 2 3 2 2 2 2" xfId="48608" xr:uid="{00000000-0005-0000-0000-000079230000}"/>
    <cellStyle name="Comma 5 6 2 3 2 2 3" xfId="38391" xr:uid="{00000000-0005-0000-0000-00007A230000}"/>
    <cellStyle name="Comma 5 6 2 3 2 3" xfId="9257" xr:uid="{00000000-0005-0000-0000-00007B230000}"/>
    <cellStyle name="Comma 5 6 2 3 2 3 2" xfId="34814" xr:uid="{00000000-0005-0000-0000-00007C230000}"/>
    <cellStyle name="Comma 5 6 2 3 2 4" xfId="18048" xr:uid="{00000000-0005-0000-0000-00007D230000}"/>
    <cellStyle name="Comma 5 6 2 3 2 4 2" xfId="43601" xr:uid="{00000000-0005-0000-0000-00007E230000}"/>
    <cellStyle name="Comma 5 6 2 3 2 5" xfId="29538" xr:uid="{00000000-0005-0000-0000-00007F230000}"/>
    <cellStyle name="Comma 5 6 2 3 3" xfId="4844" xr:uid="{00000000-0005-0000-0000-000080230000}"/>
    <cellStyle name="Comma 5 6 2 3 3 2" xfId="13681" xr:uid="{00000000-0005-0000-0000-000081230000}"/>
    <cellStyle name="Comma 5 6 2 3 3 2 2" xfId="23932" xr:uid="{00000000-0005-0000-0000-000082230000}"/>
    <cellStyle name="Comma 5 6 2 3 3 2 2 2" xfId="49485" xr:uid="{00000000-0005-0000-0000-000083230000}"/>
    <cellStyle name="Comma 5 6 2 3 3 2 3" xfId="39236" xr:uid="{00000000-0005-0000-0000-000084230000}"/>
    <cellStyle name="Comma 5 6 2 3 3 3" xfId="10102" xr:uid="{00000000-0005-0000-0000-000085230000}"/>
    <cellStyle name="Comma 5 6 2 3 3 3 2" xfId="35659" xr:uid="{00000000-0005-0000-0000-000086230000}"/>
    <cellStyle name="Comma 5 6 2 3 3 4" xfId="18925" xr:uid="{00000000-0005-0000-0000-000087230000}"/>
    <cellStyle name="Comma 5 6 2 3 3 4 2" xfId="44478" xr:uid="{00000000-0005-0000-0000-000088230000}"/>
    <cellStyle name="Comma 5 6 2 3 3 5" xfId="30415" xr:uid="{00000000-0005-0000-0000-000089230000}"/>
    <cellStyle name="Comma 5 6 2 3 4" xfId="2094" xr:uid="{00000000-0005-0000-0000-00008A230000}"/>
    <cellStyle name="Comma 5 6 2 3 4 2" xfId="11459" xr:uid="{00000000-0005-0000-0000-00008B230000}"/>
    <cellStyle name="Comma 5 6 2 3 4 2 2" xfId="37014" xr:uid="{00000000-0005-0000-0000-00008C230000}"/>
    <cellStyle name="Comma 5 6 2 3 4 3" xfId="21463" xr:uid="{00000000-0005-0000-0000-00008D230000}"/>
    <cellStyle name="Comma 5 6 2 3 4 3 2" xfId="47016" xr:uid="{00000000-0005-0000-0000-00008E230000}"/>
    <cellStyle name="Comma 5 6 2 3 4 4" xfId="27946" xr:uid="{00000000-0005-0000-0000-00008F230000}"/>
    <cellStyle name="Comma 5 6 2 3 5" xfId="6299" xr:uid="{00000000-0005-0000-0000-000090230000}"/>
    <cellStyle name="Comma 5 6 2 3 5 2" xfId="15126" xr:uid="{00000000-0005-0000-0000-000091230000}"/>
    <cellStyle name="Comma 5 6 2 3 5 2 2" xfId="40681" xr:uid="{00000000-0005-0000-0000-000092230000}"/>
    <cellStyle name="Comma 5 6 2 3 5 3" xfId="25377" xr:uid="{00000000-0005-0000-0000-000093230000}"/>
    <cellStyle name="Comma 5 6 2 3 5 3 2" xfId="50930" xr:uid="{00000000-0005-0000-0000-000094230000}"/>
    <cellStyle name="Comma 5 6 2 3 5 4" xfId="31860" xr:uid="{00000000-0005-0000-0000-000095230000}"/>
    <cellStyle name="Comma 5 6 2 3 6" xfId="7745" xr:uid="{00000000-0005-0000-0000-000096230000}"/>
    <cellStyle name="Comma 5 6 2 3 6 2" xfId="20654" xr:uid="{00000000-0005-0000-0000-000097230000}"/>
    <cellStyle name="Comma 5 6 2 3 6 2 2" xfId="46207" xr:uid="{00000000-0005-0000-0000-000098230000}"/>
    <cellStyle name="Comma 5 6 2 3 6 3" xfId="33302" xr:uid="{00000000-0005-0000-0000-000099230000}"/>
    <cellStyle name="Comma 5 6 2 3 7" xfId="16456" xr:uid="{00000000-0005-0000-0000-00009A230000}"/>
    <cellStyle name="Comma 5 6 2 3 7 2" xfId="42009" xr:uid="{00000000-0005-0000-0000-00009B230000}"/>
    <cellStyle name="Comma 5 6 2 3 8" xfId="27137" xr:uid="{00000000-0005-0000-0000-00009C230000}"/>
    <cellStyle name="Comma 5 6 2 4" xfId="2985" xr:uid="{00000000-0005-0000-0000-00009D230000}"/>
    <cellStyle name="Comma 5 6 2 4 2" xfId="5363" xr:uid="{00000000-0005-0000-0000-00009E230000}"/>
    <cellStyle name="Comma 5 6 2 4 2 2" xfId="14200" xr:uid="{00000000-0005-0000-0000-00009F230000}"/>
    <cellStyle name="Comma 5 6 2 4 2 2 2" xfId="24451" xr:uid="{00000000-0005-0000-0000-0000A0230000}"/>
    <cellStyle name="Comma 5 6 2 4 2 2 2 2" xfId="50004" xr:uid="{00000000-0005-0000-0000-0000A1230000}"/>
    <cellStyle name="Comma 5 6 2 4 2 2 3" xfId="39755" xr:uid="{00000000-0005-0000-0000-0000A2230000}"/>
    <cellStyle name="Comma 5 6 2 4 2 3" xfId="10621" xr:uid="{00000000-0005-0000-0000-0000A3230000}"/>
    <cellStyle name="Comma 5 6 2 4 2 3 2" xfId="36178" xr:uid="{00000000-0005-0000-0000-0000A4230000}"/>
    <cellStyle name="Comma 5 6 2 4 2 4" xfId="19444" xr:uid="{00000000-0005-0000-0000-0000A5230000}"/>
    <cellStyle name="Comma 5 6 2 4 2 4 2" xfId="44997" xr:uid="{00000000-0005-0000-0000-0000A6230000}"/>
    <cellStyle name="Comma 5 6 2 4 2 5" xfId="30934" xr:uid="{00000000-0005-0000-0000-0000A7230000}"/>
    <cellStyle name="Comma 5 6 2 4 3" xfId="6818" xr:uid="{00000000-0005-0000-0000-0000A8230000}"/>
    <cellStyle name="Comma 5 6 2 4 3 2" xfId="15645" xr:uid="{00000000-0005-0000-0000-0000A9230000}"/>
    <cellStyle name="Comma 5 6 2 4 3 2 2" xfId="41200" xr:uid="{00000000-0005-0000-0000-0000AA230000}"/>
    <cellStyle name="Comma 5 6 2 4 3 3" xfId="25896" xr:uid="{00000000-0005-0000-0000-0000AB230000}"/>
    <cellStyle name="Comma 5 6 2 4 3 3 2" xfId="51449" xr:uid="{00000000-0005-0000-0000-0000AC230000}"/>
    <cellStyle name="Comma 5 6 2 4 3 4" xfId="32379" xr:uid="{00000000-0005-0000-0000-0000AD230000}"/>
    <cellStyle name="Comma 5 6 2 4 4" xfId="8264" xr:uid="{00000000-0005-0000-0000-0000AE230000}"/>
    <cellStyle name="Comma 5 6 2 4 4 2" xfId="22346" xr:uid="{00000000-0005-0000-0000-0000AF230000}"/>
    <cellStyle name="Comma 5 6 2 4 4 2 2" xfId="47899" xr:uid="{00000000-0005-0000-0000-0000B0230000}"/>
    <cellStyle name="Comma 5 6 2 4 4 3" xfId="33821" xr:uid="{00000000-0005-0000-0000-0000B1230000}"/>
    <cellStyle name="Comma 5 6 2 4 5" xfId="17339" xr:uid="{00000000-0005-0000-0000-0000B2230000}"/>
    <cellStyle name="Comma 5 6 2 4 5 2" xfId="42892" xr:uid="{00000000-0005-0000-0000-0000B3230000}"/>
    <cellStyle name="Comma 5 6 2 4 6" xfId="28829" xr:uid="{00000000-0005-0000-0000-0000B4230000}"/>
    <cellStyle name="Comma 5 6 2 5" xfId="4319" xr:uid="{00000000-0005-0000-0000-0000B5230000}"/>
    <cellStyle name="Comma 5 6 2 5 2" xfId="13157" xr:uid="{00000000-0005-0000-0000-0000B6230000}"/>
    <cellStyle name="Comma 5 6 2 5 2 2" xfId="23408" xr:uid="{00000000-0005-0000-0000-0000B7230000}"/>
    <cellStyle name="Comma 5 6 2 5 2 2 2" xfId="48961" xr:uid="{00000000-0005-0000-0000-0000B8230000}"/>
    <cellStyle name="Comma 5 6 2 5 2 3" xfId="38712" xr:uid="{00000000-0005-0000-0000-0000B9230000}"/>
    <cellStyle name="Comma 5 6 2 5 3" xfId="9578" xr:uid="{00000000-0005-0000-0000-0000BA230000}"/>
    <cellStyle name="Comma 5 6 2 5 3 2" xfId="35135" xr:uid="{00000000-0005-0000-0000-0000BB230000}"/>
    <cellStyle name="Comma 5 6 2 5 4" xfId="18401" xr:uid="{00000000-0005-0000-0000-0000BC230000}"/>
    <cellStyle name="Comma 5 6 2 5 4 2" xfId="43954" xr:uid="{00000000-0005-0000-0000-0000BD230000}"/>
    <cellStyle name="Comma 5 6 2 5 5" xfId="29891" xr:uid="{00000000-0005-0000-0000-0000BE230000}"/>
    <cellStyle name="Comma 5 6 2 6" xfId="1591" xr:uid="{00000000-0005-0000-0000-0000BF230000}"/>
    <cellStyle name="Comma 5 6 2 6 2" xfId="10968" xr:uid="{00000000-0005-0000-0000-0000C0230000}"/>
    <cellStyle name="Comma 5 6 2 6 2 2" xfId="36523" xr:uid="{00000000-0005-0000-0000-0000C1230000}"/>
    <cellStyle name="Comma 5 6 2 6 3" xfId="20972" xr:uid="{00000000-0005-0000-0000-0000C2230000}"/>
    <cellStyle name="Comma 5 6 2 6 3 2" xfId="46525" xr:uid="{00000000-0005-0000-0000-0000C3230000}"/>
    <cellStyle name="Comma 5 6 2 6 4" xfId="27455" xr:uid="{00000000-0005-0000-0000-0000C4230000}"/>
    <cellStyle name="Comma 5 6 2 7" xfId="5775" xr:uid="{00000000-0005-0000-0000-0000C5230000}"/>
    <cellStyle name="Comma 5 6 2 7 2" xfId="14602" xr:uid="{00000000-0005-0000-0000-0000C6230000}"/>
    <cellStyle name="Comma 5 6 2 7 2 2" xfId="40157" xr:uid="{00000000-0005-0000-0000-0000C7230000}"/>
    <cellStyle name="Comma 5 6 2 7 3" xfId="24853" xr:uid="{00000000-0005-0000-0000-0000C8230000}"/>
    <cellStyle name="Comma 5 6 2 7 3 2" xfId="50406" xr:uid="{00000000-0005-0000-0000-0000C9230000}"/>
    <cellStyle name="Comma 5 6 2 7 4" xfId="31336" xr:uid="{00000000-0005-0000-0000-0000CA230000}"/>
    <cellStyle name="Comma 5 6 2 8" xfId="7219" xr:uid="{00000000-0005-0000-0000-0000CB230000}"/>
    <cellStyle name="Comma 5 6 2 8 2" xfId="19945" xr:uid="{00000000-0005-0000-0000-0000CC230000}"/>
    <cellStyle name="Comma 5 6 2 8 2 2" xfId="45498" xr:uid="{00000000-0005-0000-0000-0000CD230000}"/>
    <cellStyle name="Comma 5 6 2 8 3" xfId="32776" xr:uid="{00000000-0005-0000-0000-0000CE230000}"/>
    <cellStyle name="Comma 5 6 2 9" xfId="15965" xr:uid="{00000000-0005-0000-0000-0000CF230000}"/>
    <cellStyle name="Comma 5 6 2 9 2" xfId="41518" xr:uid="{00000000-0005-0000-0000-0000D0230000}"/>
    <cellStyle name="Comma 5 6 3" xfId="399" xr:uid="{00000000-0005-0000-0000-0000D1230000}"/>
    <cellStyle name="Comma 5 6 3 2" xfId="2885" xr:uid="{00000000-0005-0000-0000-0000D2230000}"/>
    <cellStyle name="Comma 5 6 3 2 2" xfId="12173" xr:uid="{00000000-0005-0000-0000-0000D3230000}"/>
    <cellStyle name="Comma 5 6 3 2 2 2" xfId="22246" xr:uid="{00000000-0005-0000-0000-0000D4230000}"/>
    <cellStyle name="Comma 5 6 3 2 2 2 2" xfId="47799" xr:uid="{00000000-0005-0000-0000-0000D5230000}"/>
    <cellStyle name="Comma 5 6 3 2 2 3" xfId="37728" xr:uid="{00000000-0005-0000-0000-0000D6230000}"/>
    <cellStyle name="Comma 5 6 3 2 3" xfId="8380" xr:uid="{00000000-0005-0000-0000-0000D7230000}"/>
    <cellStyle name="Comma 5 6 3 2 3 2" xfId="33937" xr:uid="{00000000-0005-0000-0000-0000D8230000}"/>
    <cellStyle name="Comma 5 6 3 2 4" xfId="17239" xr:uid="{00000000-0005-0000-0000-0000D9230000}"/>
    <cellStyle name="Comma 5 6 3 2 4 2" xfId="42792" xr:uid="{00000000-0005-0000-0000-0000DA230000}"/>
    <cellStyle name="Comma 5 6 3 2 5" xfId="28729" xr:uid="{00000000-0005-0000-0000-0000DB230000}"/>
    <cellStyle name="Comma 5 6 3 3" xfId="4494" xr:uid="{00000000-0005-0000-0000-0000DC230000}"/>
    <cellStyle name="Comma 5 6 3 3 2" xfId="13332" xr:uid="{00000000-0005-0000-0000-0000DD230000}"/>
    <cellStyle name="Comma 5 6 3 3 2 2" xfId="23583" xr:uid="{00000000-0005-0000-0000-0000DE230000}"/>
    <cellStyle name="Comma 5 6 3 3 2 2 2" xfId="49136" xr:uid="{00000000-0005-0000-0000-0000DF230000}"/>
    <cellStyle name="Comma 5 6 3 3 2 3" xfId="38887" xr:uid="{00000000-0005-0000-0000-0000E0230000}"/>
    <cellStyle name="Comma 5 6 3 3 3" xfId="9753" xr:uid="{00000000-0005-0000-0000-0000E1230000}"/>
    <cellStyle name="Comma 5 6 3 3 3 2" xfId="35310" xr:uid="{00000000-0005-0000-0000-0000E2230000}"/>
    <cellStyle name="Comma 5 6 3 3 4" xfId="18576" xr:uid="{00000000-0005-0000-0000-0000E3230000}"/>
    <cellStyle name="Comma 5 6 3 3 4 2" xfId="44129" xr:uid="{00000000-0005-0000-0000-0000E4230000}"/>
    <cellStyle name="Comma 5 6 3 3 5" xfId="30066" xr:uid="{00000000-0005-0000-0000-0000E5230000}"/>
    <cellStyle name="Comma 5 6 3 4" xfId="1994" xr:uid="{00000000-0005-0000-0000-0000E6230000}"/>
    <cellStyle name="Comma 5 6 3 4 2" xfId="11359" xr:uid="{00000000-0005-0000-0000-0000E7230000}"/>
    <cellStyle name="Comma 5 6 3 4 2 2" xfId="36914" xr:uid="{00000000-0005-0000-0000-0000E8230000}"/>
    <cellStyle name="Comma 5 6 3 4 3" xfId="21363" xr:uid="{00000000-0005-0000-0000-0000E9230000}"/>
    <cellStyle name="Comma 5 6 3 4 3 2" xfId="46916" xr:uid="{00000000-0005-0000-0000-0000EA230000}"/>
    <cellStyle name="Comma 5 6 3 4 4" xfId="27846" xr:uid="{00000000-0005-0000-0000-0000EB230000}"/>
    <cellStyle name="Comma 5 6 3 5" xfId="5950" xr:uid="{00000000-0005-0000-0000-0000EC230000}"/>
    <cellStyle name="Comma 5 6 3 5 2" xfId="14777" xr:uid="{00000000-0005-0000-0000-0000ED230000}"/>
    <cellStyle name="Comma 5 6 3 5 2 2" xfId="40332" xr:uid="{00000000-0005-0000-0000-0000EE230000}"/>
    <cellStyle name="Comma 5 6 3 5 3" xfId="25028" xr:uid="{00000000-0005-0000-0000-0000EF230000}"/>
    <cellStyle name="Comma 5 6 3 5 3 2" xfId="50581" xr:uid="{00000000-0005-0000-0000-0000F0230000}"/>
    <cellStyle name="Comma 5 6 3 5 4" xfId="31511" xr:uid="{00000000-0005-0000-0000-0000F1230000}"/>
    <cellStyle name="Comma 5 6 3 6" xfId="7394" xr:uid="{00000000-0005-0000-0000-0000F2230000}"/>
    <cellStyle name="Comma 5 6 3 6 2" xfId="19845" xr:uid="{00000000-0005-0000-0000-0000F3230000}"/>
    <cellStyle name="Comma 5 6 3 6 2 2" xfId="45398" xr:uid="{00000000-0005-0000-0000-0000F4230000}"/>
    <cellStyle name="Comma 5 6 3 6 3" xfId="32951" xr:uid="{00000000-0005-0000-0000-0000F5230000}"/>
    <cellStyle name="Comma 5 6 3 7" xfId="16356" xr:uid="{00000000-0005-0000-0000-0000F6230000}"/>
    <cellStyle name="Comma 5 6 3 7 2" xfId="41909" xr:uid="{00000000-0005-0000-0000-0000F7230000}"/>
    <cellStyle name="Comma 5 6 3 8" xfId="26328" xr:uid="{00000000-0005-0000-0000-0000F8230000}"/>
    <cellStyle name="Comma 5 6 4" xfId="679" xr:uid="{00000000-0005-0000-0000-0000F9230000}"/>
    <cellStyle name="Comma 5 6 4 2" xfId="3165" xr:uid="{00000000-0005-0000-0000-0000FA230000}"/>
    <cellStyle name="Comma 5 6 4 2 2" xfId="12308" xr:uid="{00000000-0005-0000-0000-0000FB230000}"/>
    <cellStyle name="Comma 5 6 4 2 2 2" xfId="22526" xr:uid="{00000000-0005-0000-0000-0000FC230000}"/>
    <cellStyle name="Comma 5 6 4 2 2 2 2" xfId="48079" xr:uid="{00000000-0005-0000-0000-0000FD230000}"/>
    <cellStyle name="Comma 5 6 4 2 2 3" xfId="37863" xr:uid="{00000000-0005-0000-0000-0000FE230000}"/>
    <cellStyle name="Comma 5 6 4 2 3" xfId="8730" xr:uid="{00000000-0005-0000-0000-0000FF230000}"/>
    <cellStyle name="Comma 5 6 4 2 3 2" xfId="34287" xr:uid="{00000000-0005-0000-0000-000000240000}"/>
    <cellStyle name="Comma 5 6 4 2 4" xfId="17519" xr:uid="{00000000-0005-0000-0000-000001240000}"/>
    <cellStyle name="Comma 5 6 4 2 4 2" xfId="43072" xr:uid="{00000000-0005-0000-0000-000002240000}"/>
    <cellStyle name="Comma 5 6 4 2 5" xfId="29009" xr:uid="{00000000-0005-0000-0000-000003240000}"/>
    <cellStyle name="Comma 5 6 4 3" xfId="4843" xr:uid="{00000000-0005-0000-0000-000004240000}"/>
    <cellStyle name="Comma 5 6 4 3 2" xfId="13680" xr:uid="{00000000-0005-0000-0000-000005240000}"/>
    <cellStyle name="Comma 5 6 4 3 2 2" xfId="23931" xr:uid="{00000000-0005-0000-0000-000006240000}"/>
    <cellStyle name="Comma 5 6 4 3 2 2 2" xfId="49484" xr:uid="{00000000-0005-0000-0000-000007240000}"/>
    <cellStyle name="Comma 5 6 4 3 2 3" xfId="39235" xr:uid="{00000000-0005-0000-0000-000008240000}"/>
    <cellStyle name="Comma 5 6 4 3 3" xfId="10101" xr:uid="{00000000-0005-0000-0000-000009240000}"/>
    <cellStyle name="Comma 5 6 4 3 3 2" xfId="35658" xr:uid="{00000000-0005-0000-0000-00000A240000}"/>
    <cellStyle name="Comma 5 6 4 3 4" xfId="18924" xr:uid="{00000000-0005-0000-0000-00000B240000}"/>
    <cellStyle name="Comma 5 6 4 3 4 2" xfId="44477" xr:uid="{00000000-0005-0000-0000-00000C240000}"/>
    <cellStyle name="Comma 5 6 4 3 5" xfId="30414" xr:uid="{00000000-0005-0000-0000-00000D240000}"/>
    <cellStyle name="Comma 5 6 4 4" xfId="2274" xr:uid="{00000000-0005-0000-0000-00000E240000}"/>
    <cellStyle name="Comma 5 6 4 4 2" xfId="11639" xr:uid="{00000000-0005-0000-0000-00000F240000}"/>
    <cellStyle name="Comma 5 6 4 4 2 2" xfId="37194" xr:uid="{00000000-0005-0000-0000-000010240000}"/>
    <cellStyle name="Comma 5 6 4 4 3" xfId="21643" xr:uid="{00000000-0005-0000-0000-000011240000}"/>
    <cellStyle name="Comma 5 6 4 4 3 2" xfId="47196" xr:uid="{00000000-0005-0000-0000-000012240000}"/>
    <cellStyle name="Comma 5 6 4 4 4" xfId="28126" xr:uid="{00000000-0005-0000-0000-000013240000}"/>
    <cellStyle name="Comma 5 6 4 5" xfId="6298" xr:uid="{00000000-0005-0000-0000-000014240000}"/>
    <cellStyle name="Comma 5 6 4 5 2" xfId="15125" xr:uid="{00000000-0005-0000-0000-000015240000}"/>
    <cellStyle name="Comma 5 6 4 5 2 2" xfId="40680" xr:uid="{00000000-0005-0000-0000-000016240000}"/>
    <cellStyle name="Comma 5 6 4 5 3" xfId="25376" xr:uid="{00000000-0005-0000-0000-000017240000}"/>
    <cellStyle name="Comma 5 6 4 5 3 2" xfId="50929" xr:uid="{00000000-0005-0000-0000-000018240000}"/>
    <cellStyle name="Comma 5 6 4 5 4" xfId="31859" xr:uid="{00000000-0005-0000-0000-000019240000}"/>
    <cellStyle name="Comma 5 6 4 6" xfId="7744" xr:uid="{00000000-0005-0000-0000-00001A240000}"/>
    <cellStyle name="Comma 5 6 4 6 2" xfId="20125" xr:uid="{00000000-0005-0000-0000-00001B240000}"/>
    <cellStyle name="Comma 5 6 4 6 2 2" xfId="45678" xr:uid="{00000000-0005-0000-0000-00001C240000}"/>
    <cellStyle name="Comma 5 6 4 6 3" xfId="33301" xr:uid="{00000000-0005-0000-0000-00001D240000}"/>
    <cellStyle name="Comma 5 6 4 7" xfId="16636" xr:uid="{00000000-0005-0000-0000-00001E240000}"/>
    <cellStyle name="Comma 5 6 4 7 2" xfId="42189" xr:uid="{00000000-0005-0000-0000-00001F240000}"/>
    <cellStyle name="Comma 5 6 4 8" xfId="26608" xr:uid="{00000000-0005-0000-0000-000020240000}"/>
    <cellStyle name="Comma 5 6 5" xfId="1171" xr:uid="{00000000-0005-0000-0000-000021240000}"/>
    <cellStyle name="Comma 5 6 5 2" xfId="3600" xr:uid="{00000000-0005-0000-0000-000022240000}"/>
    <cellStyle name="Comma 5 6 5 2 2" xfId="12736" xr:uid="{00000000-0005-0000-0000-000023240000}"/>
    <cellStyle name="Comma 5 6 5 2 2 2" xfId="22955" xr:uid="{00000000-0005-0000-0000-000024240000}"/>
    <cellStyle name="Comma 5 6 5 2 2 2 2" xfId="48508" xr:uid="{00000000-0005-0000-0000-000025240000}"/>
    <cellStyle name="Comma 5 6 5 2 2 3" xfId="38291" xr:uid="{00000000-0005-0000-0000-000026240000}"/>
    <cellStyle name="Comma 5 6 5 2 3" xfId="9157" xr:uid="{00000000-0005-0000-0000-000027240000}"/>
    <cellStyle name="Comma 5 6 5 2 3 2" xfId="34714" xr:uid="{00000000-0005-0000-0000-000028240000}"/>
    <cellStyle name="Comma 5 6 5 2 4" xfId="17948" xr:uid="{00000000-0005-0000-0000-000029240000}"/>
    <cellStyle name="Comma 5 6 5 2 4 2" xfId="43501" xr:uid="{00000000-0005-0000-0000-00002A240000}"/>
    <cellStyle name="Comma 5 6 5 2 5" xfId="29438" xr:uid="{00000000-0005-0000-0000-00002B240000}"/>
    <cellStyle name="Comma 5 6 5 3" xfId="5263" xr:uid="{00000000-0005-0000-0000-00002C240000}"/>
    <cellStyle name="Comma 5 6 5 3 2" xfId="14100" xr:uid="{00000000-0005-0000-0000-00002D240000}"/>
    <cellStyle name="Comma 5 6 5 3 2 2" xfId="24351" xr:uid="{00000000-0005-0000-0000-00002E240000}"/>
    <cellStyle name="Comma 5 6 5 3 2 2 2" xfId="49904" xr:uid="{00000000-0005-0000-0000-00002F240000}"/>
    <cellStyle name="Comma 5 6 5 3 2 3" xfId="39655" xr:uid="{00000000-0005-0000-0000-000030240000}"/>
    <cellStyle name="Comma 5 6 5 3 3" xfId="10521" xr:uid="{00000000-0005-0000-0000-000031240000}"/>
    <cellStyle name="Comma 5 6 5 3 3 2" xfId="36078" xr:uid="{00000000-0005-0000-0000-000032240000}"/>
    <cellStyle name="Comma 5 6 5 3 4" xfId="19344" xr:uid="{00000000-0005-0000-0000-000033240000}"/>
    <cellStyle name="Comma 5 6 5 3 4 2" xfId="44897" xr:uid="{00000000-0005-0000-0000-000034240000}"/>
    <cellStyle name="Comma 5 6 5 3 5" xfId="30834" xr:uid="{00000000-0005-0000-0000-000035240000}"/>
    <cellStyle name="Comma 5 6 5 4" xfId="1773" xr:uid="{00000000-0005-0000-0000-000036240000}"/>
    <cellStyle name="Comma 5 6 5 4 2" xfId="11142" xr:uid="{00000000-0005-0000-0000-000037240000}"/>
    <cellStyle name="Comma 5 6 5 4 2 2" xfId="36697" xr:uid="{00000000-0005-0000-0000-000038240000}"/>
    <cellStyle name="Comma 5 6 5 4 3" xfId="21146" xr:uid="{00000000-0005-0000-0000-000039240000}"/>
    <cellStyle name="Comma 5 6 5 4 3 2" xfId="46699" xr:uid="{00000000-0005-0000-0000-00003A240000}"/>
    <cellStyle name="Comma 5 6 5 4 4" xfId="27629" xr:uid="{00000000-0005-0000-0000-00003B240000}"/>
    <cellStyle name="Comma 5 6 5 5" xfId="6718" xr:uid="{00000000-0005-0000-0000-00003C240000}"/>
    <cellStyle name="Comma 5 6 5 5 2" xfId="15545" xr:uid="{00000000-0005-0000-0000-00003D240000}"/>
    <cellStyle name="Comma 5 6 5 5 2 2" xfId="41100" xr:uid="{00000000-0005-0000-0000-00003E240000}"/>
    <cellStyle name="Comma 5 6 5 5 3" xfId="25796" xr:uid="{00000000-0005-0000-0000-00003F240000}"/>
    <cellStyle name="Comma 5 6 5 5 3 2" xfId="51349" xr:uid="{00000000-0005-0000-0000-000040240000}"/>
    <cellStyle name="Comma 5 6 5 5 4" xfId="32279" xr:uid="{00000000-0005-0000-0000-000041240000}"/>
    <cellStyle name="Comma 5 6 5 6" xfId="8164" xr:uid="{00000000-0005-0000-0000-000042240000}"/>
    <cellStyle name="Comma 5 6 5 6 2" xfId="20554" xr:uid="{00000000-0005-0000-0000-000043240000}"/>
    <cellStyle name="Comma 5 6 5 6 2 2" xfId="46107" xr:uid="{00000000-0005-0000-0000-000044240000}"/>
    <cellStyle name="Comma 5 6 5 6 3" xfId="33721" xr:uid="{00000000-0005-0000-0000-000045240000}"/>
    <cellStyle name="Comma 5 6 5 7" xfId="16139" xr:uid="{00000000-0005-0000-0000-000046240000}"/>
    <cellStyle name="Comma 5 6 5 7 2" xfId="41692" xr:uid="{00000000-0005-0000-0000-000047240000}"/>
    <cellStyle name="Comma 5 6 5 8" xfId="27037" xr:uid="{00000000-0005-0000-0000-000048240000}"/>
    <cellStyle name="Comma 5 6 6" xfId="2668" xr:uid="{00000000-0005-0000-0000-000049240000}"/>
    <cellStyle name="Comma 5 6 6 2" xfId="11985" xr:uid="{00000000-0005-0000-0000-00004A240000}"/>
    <cellStyle name="Comma 5 6 6 2 2" xfId="22029" xr:uid="{00000000-0005-0000-0000-00004B240000}"/>
    <cellStyle name="Comma 5 6 6 2 2 2" xfId="47582" xr:uid="{00000000-0005-0000-0000-00004C240000}"/>
    <cellStyle name="Comma 5 6 6 2 3" xfId="37540" xr:uid="{00000000-0005-0000-0000-00004D240000}"/>
    <cellStyle name="Comma 5 6 6 3" xfId="8559" xr:uid="{00000000-0005-0000-0000-00004E240000}"/>
    <cellStyle name="Comma 5 6 6 3 2" xfId="34116" xr:uid="{00000000-0005-0000-0000-00004F240000}"/>
    <cellStyle name="Comma 5 6 6 4" xfId="17022" xr:uid="{00000000-0005-0000-0000-000050240000}"/>
    <cellStyle name="Comma 5 6 6 4 2" xfId="42575" xr:uid="{00000000-0005-0000-0000-000051240000}"/>
    <cellStyle name="Comma 5 6 6 5" xfId="28512" xr:uid="{00000000-0005-0000-0000-000052240000}"/>
    <cellStyle name="Comma 5 6 7" xfId="4219" xr:uid="{00000000-0005-0000-0000-000053240000}"/>
    <cellStyle name="Comma 5 6 7 2" xfId="13057" xr:uid="{00000000-0005-0000-0000-000054240000}"/>
    <cellStyle name="Comma 5 6 7 2 2" xfId="23308" xr:uid="{00000000-0005-0000-0000-000055240000}"/>
    <cellStyle name="Comma 5 6 7 2 2 2" xfId="48861" xr:uid="{00000000-0005-0000-0000-000056240000}"/>
    <cellStyle name="Comma 5 6 7 2 3" xfId="38612" xr:uid="{00000000-0005-0000-0000-000057240000}"/>
    <cellStyle name="Comma 5 6 7 3" xfId="9478" xr:uid="{00000000-0005-0000-0000-000058240000}"/>
    <cellStyle name="Comma 5 6 7 3 2" xfId="35035" xr:uid="{00000000-0005-0000-0000-000059240000}"/>
    <cellStyle name="Comma 5 6 7 4" xfId="18301" xr:uid="{00000000-0005-0000-0000-00005A240000}"/>
    <cellStyle name="Comma 5 6 7 4 2" xfId="43854" xr:uid="{00000000-0005-0000-0000-00005B240000}"/>
    <cellStyle name="Comma 5 6 7 5" xfId="29791" xr:uid="{00000000-0005-0000-0000-00005C240000}"/>
    <cellStyle name="Comma 5 6 8" xfId="1491" xr:uid="{00000000-0005-0000-0000-00005D240000}"/>
    <cellStyle name="Comma 5 6 8 2" xfId="10868" xr:uid="{00000000-0005-0000-0000-00005E240000}"/>
    <cellStyle name="Comma 5 6 8 2 2" xfId="36423" xr:uid="{00000000-0005-0000-0000-00005F240000}"/>
    <cellStyle name="Comma 5 6 8 3" xfId="20872" xr:uid="{00000000-0005-0000-0000-000060240000}"/>
    <cellStyle name="Comma 5 6 8 3 2" xfId="46425" xr:uid="{00000000-0005-0000-0000-000061240000}"/>
    <cellStyle name="Comma 5 6 8 4" xfId="27355" xr:uid="{00000000-0005-0000-0000-000062240000}"/>
    <cellStyle name="Comma 5 6 9" xfId="5675" xr:uid="{00000000-0005-0000-0000-000063240000}"/>
    <cellStyle name="Comma 5 6 9 2" xfId="14502" xr:uid="{00000000-0005-0000-0000-000064240000}"/>
    <cellStyle name="Comma 5 6 9 2 2" xfId="40057" xr:uid="{00000000-0005-0000-0000-000065240000}"/>
    <cellStyle name="Comma 5 6 9 3" xfId="24753" xr:uid="{00000000-0005-0000-0000-000066240000}"/>
    <cellStyle name="Comma 5 6 9 3 2" xfId="50306" xr:uid="{00000000-0005-0000-0000-000067240000}"/>
    <cellStyle name="Comma 5 6 9 4" xfId="31236" xr:uid="{00000000-0005-0000-0000-000068240000}"/>
    <cellStyle name="Comma 5 7" xfId="224" xr:uid="{00000000-0005-0000-0000-000069240000}"/>
    <cellStyle name="Comma 5 7 10" xfId="7062" xr:uid="{00000000-0005-0000-0000-00006A240000}"/>
    <cellStyle name="Comma 5 7 10 2" xfId="19676" xr:uid="{00000000-0005-0000-0000-00006B240000}"/>
    <cellStyle name="Comma 5 7 10 2 2" xfId="45229" xr:uid="{00000000-0005-0000-0000-00006C240000}"/>
    <cellStyle name="Comma 5 7 10 3" xfId="32619" xr:uid="{00000000-0005-0000-0000-00006D240000}"/>
    <cellStyle name="Comma 5 7 11" xfId="15808" xr:uid="{00000000-0005-0000-0000-00006E240000}"/>
    <cellStyle name="Comma 5 7 11 2" xfId="41361" xr:uid="{00000000-0005-0000-0000-00006F240000}"/>
    <cellStyle name="Comma 5 7 12" xfId="26159" xr:uid="{00000000-0005-0000-0000-000070240000}"/>
    <cellStyle name="Comma 5 7 2" xfId="547" xr:uid="{00000000-0005-0000-0000-000071240000}"/>
    <cellStyle name="Comma 5 7 2 10" xfId="26476" xr:uid="{00000000-0005-0000-0000-000072240000}"/>
    <cellStyle name="Comma 5 7 2 2" xfId="682" xr:uid="{00000000-0005-0000-0000-000073240000}"/>
    <cellStyle name="Comma 5 7 2 2 2" xfId="3168" xr:uid="{00000000-0005-0000-0000-000074240000}"/>
    <cellStyle name="Comma 5 7 2 2 2 2" xfId="12311" xr:uid="{00000000-0005-0000-0000-000075240000}"/>
    <cellStyle name="Comma 5 7 2 2 2 2 2" xfId="22529" xr:uid="{00000000-0005-0000-0000-000076240000}"/>
    <cellStyle name="Comma 5 7 2 2 2 2 2 2" xfId="48082" xr:uid="{00000000-0005-0000-0000-000077240000}"/>
    <cellStyle name="Comma 5 7 2 2 2 2 3" xfId="37866" xr:uid="{00000000-0005-0000-0000-000078240000}"/>
    <cellStyle name="Comma 5 7 2 2 2 3" xfId="8733" xr:uid="{00000000-0005-0000-0000-000079240000}"/>
    <cellStyle name="Comma 5 7 2 2 2 3 2" xfId="34290" xr:uid="{00000000-0005-0000-0000-00007A240000}"/>
    <cellStyle name="Comma 5 7 2 2 2 4" xfId="17522" xr:uid="{00000000-0005-0000-0000-00007B240000}"/>
    <cellStyle name="Comma 5 7 2 2 2 4 2" xfId="43075" xr:uid="{00000000-0005-0000-0000-00007C240000}"/>
    <cellStyle name="Comma 5 7 2 2 2 5" xfId="29012" xr:uid="{00000000-0005-0000-0000-00007D240000}"/>
    <cellStyle name="Comma 5 7 2 2 3" xfId="4497" xr:uid="{00000000-0005-0000-0000-00007E240000}"/>
    <cellStyle name="Comma 5 7 2 2 3 2" xfId="13335" xr:uid="{00000000-0005-0000-0000-00007F240000}"/>
    <cellStyle name="Comma 5 7 2 2 3 2 2" xfId="23586" xr:uid="{00000000-0005-0000-0000-000080240000}"/>
    <cellStyle name="Comma 5 7 2 2 3 2 2 2" xfId="49139" xr:uid="{00000000-0005-0000-0000-000081240000}"/>
    <cellStyle name="Comma 5 7 2 2 3 2 3" xfId="38890" xr:uid="{00000000-0005-0000-0000-000082240000}"/>
    <cellStyle name="Comma 5 7 2 2 3 3" xfId="9756" xr:uid="{00000000-0005-0000-0000-000083240000}"/>
    <cellStyle name="Comma 5 7 2 2 3 3 2" xfId="35313" xr:uid="{00000000-0005-0000-0000-000084240000}"/>
    <cellStyle name="Comma 5 7 2 2 3 4" xfId="18579" xr:uid="{00000000-0005-0000-0000-000085240000}"/>
    <cellStyle name="Comma 5 7 2 2 3 4 2" xfId="44132" xr:uid="{00000000-0005-0000-0000-000086240000}"/>
    <cellStyle name="Comma 5 7 2 2 3 5" xfId="30069" xr:uid="{00000000-0005-0000-0000-000087240000}"/>
    <cellStyle name="Comma 5 7 2 2 4" xfId="2277" xr:uid="{00000000-0005-0000-0000-000088240000}"/>
    <cellStyle name="Comma 5 7 2 2 4 2" xfId="11642" xr:uid="{00000000-0005-0000-0000-000089240000}"/>
    <cellStyle name="Comma 5 7 2 2 4 2 2" xfId="37197" xr:uid="{00000000-0005-0000-0000-00008A240000}"/>
    <cellStyle name="Comma 5 7 2 2 4 3" xfId="21646" xr:uid="{00000000-0005-0000-0000-00008B240000}"/>
    <cellStyle name="Comma 5 7 2 2 4 3 2" xfId="47199" xr:uid="{00000000-0005-0000-0000-00008C240000}"/>
    <cellStyle name="Comma 5 7 2 2 4 4" xfId="28129" xr:uid="{00000000-0005-0000-0000-00008D240000}"/>
    <cellStyle name="Comma 5 7 2 2 5" xfId="5953" xr:uid="{00000000-0005-0000-0000-00008E240000}"/>
    <cellStyle name="Comma 5 7 2 2 5 2" xfId="14780" xr:uid="{00000000-0005-0000-0000-00008F240000}"/>
    <cellStyle name="Comma 5 7 2 2 5 2 2" xfId="40335" xr:uid="{00000000-0005-0000-0000-000090240000}"/>
    <cellStyle name="Comma 5 7 2 2 5 3" xfId="25031" xr:uid="{00000000-0005-0000-0000-000091240000}"/>
    <cellStyle name="Comma 5 7 2 2 5 3 2" xfId="50584" xr:uid="{00000000-0005-0000-0000-000092240000}"/>
    <cellStyle name="Comma 5 7 2 2 5 4" xfId="31514" xr:uid="{00000000-0005-0000-0000-000093240000}"/>
    <cellStyle name="Comma 5 7 2 2 6" xfId="7397" xr:uid="{00000000-0005-0000-0000-000094240000}"/>
    <cellStyle name="Comma 5 7 2 2 6 2" xfId="20128" xr:uid="{00000000-0005-0000-0000-000095240000}"/>
    <cellStyle name="Comma 5 7 2 2 6 2 2" xfId="45681" xr:uid="{00000000-0005-0000-0000-000096240000}"/>
    <cellStyle name="Comma 5 7 2 2 6 3" xfId="32954" xr:uid="{00000000-0005-0000-0000-000097240000}"/>
    <cellStyle name="Comma 5 7 2 2 7" xfId="16639" xr:uid="{00000000-0005-0000-0000-000098240000}"/>
    <cellStyle name="Comma 5 7 2 2 7 2" xfId="42192" xr:uid="{00000000-0005-0000-0000-000099240000}"/>
    <cellStyle name="Comma 5 7 2 2 8" xfId="26611" xr:uid="{00000000-0005-0000-0000-00009A240000}"/>
    <cellStyle name="Comma 5 7 2 3" xfId="1319" xr:uid="{00000000-0005-0000-0000-00009B240000}"/>
    <cellStyle name="Comma 5 7 2 3 2" xfId="3748" xr:uid="{00000000-0005-0000-0000-00009C240000}"/>
    <cellStyle name="Comma 5 7 2 3 2 2" xfId="12884" xr:uid="{00000000-0005-0000-0000-00009D240000}"/>
    <cellStyle name="Comma 5 7 2 3 2 2 2" xfId="23103" xr:uid="{00000000-0005-0000-0000-00009E240000}"/>
    <cellStyle name="Comma 5 7 2 3 2 2 2 2" xfId="48656" xr:uid="{00000000-0005-0000-0000-00009F240000}"/>
    <cellStyle name="Comma 5 7 2 3 2 2 3" xfId="38439" xr:uid="{00000000-0005-0000-0000-0000A0240000}"/>
    <cellStyle name="Comma 5 7 2 3 2 3" xfId="9305" xr:uid="{00000000-0005-0000-0000-0000A1240000}"/>
    <cellStyle name="Comma 5 7 2 3 2 3 2" xfId="34862" xr:uid="{00000000-0005-0000-0000-0000A2240000}"/>
    <cellStyle name="Comma 5 7 2 3 2 4" xfId="18096" xr:uid="{00000000-0005-0000-0000-0000A3240000}"/>
    <cellStyle name="Comma 5 7 2 3 2 4 2" xfId="43649" xr:uid="{00000000-0005-0000-0000-0000A4240000}"/>
    <cellStyle name="Comma 5 7 2 3 2 5" xfId="29586" xr:uid="{00000000-0005-0000-0000-0000A5240000}"/>
    <cellStyle name="Comma 5 7 2 3 3" xfId="4846" xr:uid="{00000000-0005-0000-0000-0000A6240000}"/>
    <cellStyle name="Comma 5 7 2 3 3 2" xfId="13683" xr:uid="{00000000-0005-0000-0000-0000A7240000}"/>
    <cellStyle name="Comma 5 7 2 3 3 2 2" xfId="23934" xr:uid="{00000000-0005-0000-0000-0000A8240000}"/>
    <cellStyle name="Comma 5 7 2 3 3 2 2 2" xfId="49487" xr:uid="{00000000-0005-0000-0000-0000A9240000}"/>
    <cellStyle name="Comma 5 7 2 3 3 2 3" xfId="39238" xr:uid="{00000000-0005-0000-0000-0000AA240000}"/>
    <cellStyle name="Comma 5 7 2 3 3 3" xfId="10104" xr:uid="{00000000-0005-0000-0000-0000AB240000}"/>
    <cellStyle name="Comma 5 7 2 3 3 3 2" xfId="35661" xr:uid="{00000000-0005-0000-0000-0000AC240000}"/>
    <cellStyle name="Comma 5 7 2 3 3 4" xfId="18927" xr:uid="{00000000-0005-0000-0000-0000AD240000}"/>
    <cellStyle name="Comma 5 7 2 3 3 4 2" xfId="44480" xr:uid="{00000000-0005-0000-0000-0000AE240000}"/>
    <cellStyle name="Comma 5 7 2 3 3 5" xfId="30417" xr:uid="{00000000-0005-0000-0000-0000AF240000}"/>
    <cellStyle name="Comma 5 7 2 3 4" xfId="2142" xr:uid="{00000000-0005-0000-0000-0000B0240000}"/>
    <cellStyle name="Comma 5 7 2 3 4 2" xfId="11507" xr:uid="{00000000-0005-0000-0000-0000B1240000}"/>
    <cellStyle name="Comma 5 7 2 3 4 2 2" xfId="37062" xr:uid="{00000000-0005-0000-0000-0000B2240000}"/>
    <cellStyle name="Comma 5 7 2 3 4 3" xfId="21511" xr:uid="{00000000-0005-0000-0000-0000B3240000}"/>
    <cellStyle name="Comma 5 7 2 3 4 3 2" xfId="47064" xr:uid="{00000000-0005-0000-0000-0000B4240000}"/>
    <cellStyle name="Comma 5 7 2 3 4 4" xfId="27994" xr:uid="{00000000-0005-0000-0000-0000B5240000}"/>
    <cellStyle name="Comma 5 7 2 3 5" xfId="6301" xr:uid="{00000000-0005-0000-0000-0000B6240000}"/>
    <cellStyle name="Comma 5 7 2 3 5 2" xfId="15128" xr:uid="{00000000-0005-0000-0000-0000B7240000}"/>
    <cellStyle name="Comma 5 7 2 3 5 2 2" xfId="40683" xr:uid="{00000000-0005-0000-0000-0000B8240000}"/>
    <cellStyle name="Comma 5 7 2 3 5 3" xfId="25379" xr:uid="{00000000-0005-0000-0000-0000B9240000}"/>
    <cellStyle name="Comma 5 7 2 3 5 3 2" xfId="50932" xr:uid="{00000000-0005-0000-0000-0000BA240000}"/>
    <cellStyle name="Comma 5 7 2 3 5 4" xfId="31862" xr:uid="{00000000-0005-0000-0000-0000BB240000}"/>
    <cellStyle name="Comma 5 7 2 3 6" xfId="7747" xr:uid="{00000000-0005-0000-0000-0000BC240000}"/>
    <cellStyle name="Comma 5 7 2 3 6 2" xfId="20702" xr:uid="{00000000-0005-0000-0000-0000BD240000}"/>
    <cellStyle name="Comma 5 7 2 3 6 2 2" xfId="46255" xr:uid="{00000000-0005-0000-0000-0000BE240000}"/>
    <cellStyle name="Comma 5 7 2 3 6 3" xfId="33304" xr:uid="{00000000-0005-0000-0000-0000BF240000}"/>
    <cellStyle name="Comma 5 7 2 3 7" xfId="16504" xr:uid="{00000000-0005-0000-0000-0000C0240000}"/>
    <cellStyle name="Comma 5 7 2 3 7 2" xfId="42057" xr:uid="{00000000-0005-0000-0000-0000C1240000}"/>
    <cellStyle name="Comma 5 7 2 3 8" xfId="27185" xr:uid="{00000000-0005-0000-0000-0000C2240000}"/>
    <cellStyle name="Comma 5 7 2 4" xfId="3033" xr:uid="{00000000-0005-0000-0000-0000C3240000}"/>
    <cellStyle name="Comma 5 7 2 4 2" xfId="5411" xr:uid="{00000000-0005-0000-0000-0000C4240000}"/>
    <cellStyle name="Comma 5 7 2 4 2 2" xfId="14248" xr:uid="{00000000-0005-0000-0000-0000C5240000}"/>
    <cellStyle name="Comma 5 7 2 4 2 2 2" xfId="24499" xr:uid="{00000000-0005-0000-0000-0000C6240000}"/>
    <cellStyle name="Comma 5 7 2 4 2 2 2 2" xfId="50052" xr:uid="{00000000-0005-0000-0000-0000C7240000}"/>
    <cellStyle name="Comma 5 7 2 4 2 2 3" xfId="39803" xr:uid="{00000000-0005-0000-0000-0000C8240000}"/>
    <cellStyle name="Comma 5 7 2 4 2 3" xfId="10669" xr:uid="{00000000-0005-0000-0000-0000C9240000}"/>
    <cellStyle name="Comma 5 7 2 4 2 3 2" xfId="36226" xr:uid="{00000000-0005-0000-0000-0000CA240000}"/>
    <cellStyle name="Comma 5 7 2 4 2 4" xfId="19492" xr:uid="{00000000-0005-0000-0000-0000CB240000}"/>
    <cellStyle name="Comma 5 7 2 4 2 4 2" xfId="45045" xr:uid="{00000000-0005-0000-0000-0000CC240000}"/>
    <cellStyle name="Comma 5 7 2 4 2 5" xfId="30982" xr:uid="{00000000-0005-0000-0000-0000CD240000}"/>
    <cellStyle name="Comma 5 7 2 4 3" xfId="6866" xr:uid="{00000000-0005-0000-0000-0000CE240000}"/>
    <cellStyle name="Comma 5 7 2 4 3 2" xfId="15693" xr:uid="{00000000-0005-0000-0000-0000CF240000}"/>
    <cellStyle name="Comma 5 7 2 4 3 2 2" xfId="41248" xr:uid="{00000000-0005-0000-0000-0000D0240000}"/>
    <cellStyle name="Comma 5 7 2 4 3 3" xfId="25944" xr:uid="{00000000-0005-0000-0000-0000D1240000}"/>
    <cellStyle name="Comma 5 7 2 4 3 3 2" xfId="51497" xr:uid="{00000000-0005-0000-0000-0000D2240000}"/>
    <cellStyle name="Comma 5 7 2 4 3 4" xfId="32427" xr:uid="{00000000-0005-0000-0000-0000D3240000}"/>
    <cellStyle name="Comma 5 7 2 4 4" xfId="8312" xr:uid="{00000000-0005-0000-0000-0000D4240000}"/>
    <cellStyle name="Comma 5 7 2 4 4 2" xfId="22394" xr:uid="{00000000-0005-0000-0000-0000D5240000}"/>
    <cellStyle name="Comma 5 7 2 4 4 2 2" xfId="47947" xr:uid="{00000000-0005-0000-0000-0000D6240000}"/>
    <cellStyle name="Comma 5 7 2 4 4 3" xfId="33869" xr:uid="{00000000-0005-0000-0000-0000D7240000}"/>
    <cellStyle name="Comma 5 7 2 4 5" xfId="17387" xr:uid="{00000000-0005-0000-0000-0000D8240000}"/>
    <cellStyle name="Comma 5 7 2 4 5 2" xfId="42940" xr:uid="{00000000-0005-0000-0000-0000D9240000}"/>
    <cellStyle name="Comma 5 7 2 4 6" xfId="28877" xr:uid="{00000000-0005-0000-0000-0000DA240000}"/>
    <cellStyle name="Comma 5 7 2 5" xfId="4367" xr:uid="{00000000-0005-0000-0000-0000DB240000}"/>
    <cellStyle name="Comma 5 7 2 5 2" xfId="13205" xr:uid="{00000000-0005-0000-0000-0000DC240000}"/>
    <cellStyle name="Comma 5 7 2 5 2 2" xfId="23456" xr:uid="{00000000-0005-0000-0000-0000DD240000}"/>
    <cellStyle name="Comma 5 7 2 5 2 2 2" xfId="49009" xr:uid="{00000000-0005-0000-0000-0000DE240000}"/>
    <cellStyle name="Comma 5 7 2 5 2 3" xfId="38760" xr:uid="{00000000-0005-0000-0000-0000DF240000}"/>
    <cellStyle name="Comma 5 7 2 5 3" xfId="9626" xr:uid="{00000000-0005-0000-0000-0000E0240000}"/>
    <cellStyle name="Comma 5 7 2 5 3 2" xfId="35183" xr:uid="{00000000-0005-0000-0000-0000E1240000}"/>
    <cellStyle name="Comma 5 7 2 5 4" xfId="18449" xr:uid="{00000000-0005-0000-0000-0000E2240000}"/>
    <cellStyle name="Comma 5 7 2 5 4 2" xfId="44002" xr:uid="{00000000-0005-0000-0000-0000E3240000}"/>
    <cellStyle name="Comma 5 7 2 5 5" xfId="29939" xr:uid="{00000000-0005-0000-0000-0000E4240000}"/>
    <cellStyle name="Comma 5 7 2 6" xfId="1639" xr:uid="{00000000-0005-0000-0000-0000E5240000}"/>
    <cellStyle name="Comma 5 7 2 6 2" xfId="11016" xr:uid="{00000000-0005-0000-0000-0000E6240000}"/>
    <cellStyle name="Comma 5 7 2 6 2 2" xfId="36571" xr:uid="{00000000-0005-0000-0000-0000E7240000}"/>
    <cellStyle name="Comma 5 7 2 6 3" xfId="21020" xr:uid="{00000000-0005-0000-0000-0000E8240000}"/>
    <cellStyle name="Comma 5 7 2 6 3 2" xfId="46573" xr:uid="{00000000-0005-0000-0000-0000E9240000}"/>
    <cellStyle name="Comma 5 7 2 6 4" xfId="27503" xr:uid="{00000000-0005-0000-0000-0000EA240000}"/>
    <cellStyle name="Comma 5 7 2 7" xfId="5823" xr:uid="{00000000-0005-0000-0000-0000EB240000}"/>
    <cellStyle name="Comma 5 7 2 7 2" xfId="14650" xr:uid="{00000000-0005-0000-0000-0000EC240000}"/>
    <cellStyle name="Comma 5 7 2 7 2 2" xfId="40205" xr:uid="{00000000-0005-0000-0000-0000ED240000}"/>
    <cellStyle name="Comma 5 7 2 7 3" xfId="24901" xr:uid="{00000000-0005-0000-0000-0000EE240000}"/>
    <cellStyle name="Comma 5 7 2 7 3 2" xfId="50454" xr:uid="{00000000-0005-0000-0000-0000EF240000}"/>
    <cellStyle name="Comma 5 7 2 7 4" xfId="31384" xr:uid="{00000000-0005-0000-0000-0000F0240000}"/>
    <cellStyle name="Comma 5 7 2 8" xfId="7267" xr:uid="{00000000-0005-0000-0000-0000F1240000}"/>
    <cellStyle name="Comma 5 7 2 8 2" xfId="19993" xr:uid="{00000000-0005-0000-0000-0000F2240000}"/>
    <cellStyle name="Comma 5 7 2 8 2 2" xfId="45546" xr:uid="{00000000-0005-0000-0000-0000F3240000}"/>
    <cellStyle name="Comma 5 7 2 8 3" xfId="32824" xr:uid="{00000000-0005-0000-0000-0000F4240000}"/>
    <cellStyle name="Comma 5 7 2 9" xfId="16013" xr:uid="{00000000-0005-0000-0000-0000F5240000}"/>
    <cellStyle name="Comma 5 7 2 9 2" xfId="41566" xr:uid="{00000000-0005-0000-0000-0000F6240000}"/>
    <cellStyle name="Comma 5 7 3" xfId="342" xr:uid="{00000000-0005-0000-0000-0000F7240000}"/>
    <cellStyle name="Comma 5 7 3 2" xfId="2828" xr:uid="{00000000-0005-0000-0000-0000F8240000}"/>
    <cellStyle name="Comma 5 7 3 2 2" xfId="12116" xr:uid="{00000000-0005-0000-0000-0000F9240000}"/>
    <cellStyle name="Comma 5 7 3 2 2 2" xfId="22189" xr:uid="{00000000-0005-0000-0000-0000FA240000}"/>
    <cellStyle name="Comma 5 7 3 2 2 2 2" xfId="47742" xr:uid="{00000000-0005-0000-0000-0000FB240000}"/>
    <cellStyle name="Comma 5 7 3 2 2 3" xfId="37671" xr:uid="{00000000-0005-0000-0000-0000FC240000}"/>
    <cellStyle name="Comma 5 7 3 2 3" xfId="8529" xr:uid="{00000000-0005-0000-0000-0000FD240000}"/>
    <cellStyle name="Comma 5 7 3 2 3 2" xfId="34086" xr:uid="{00000000-0005-0000-0000-0000FE240000}"/>
    <cellStyle name="Comma 5 7 3 2 4" xfId="17182" xr:uid="{00000000-0005-0000-0000-0000FF240000}"/>
    <cellStyle name="Comma 5 7 3 2 4 2" xfId="42735" xr:uid="{00000000-0005-0000-0000-000000250000}"/>
    <cellStyle name="Comma 5 7 3 2 5" xfId="28672" xr:uid="{00000000-0005-0000-0000-000001250000}"/>
    <cellStyle name="Comma 5 7 3 3" xfId="4496" xr:uid="{00000000-0005-0000-0000-000002250000}"/>
    <cellStyle name="Comma 5 7 3 3 2" xfId="13334" xr:uid="{00000000-0005-0000-0000-000003250000}"/>
    <cellStyle name="Comma 5 7 3 3 2 2" xfId="23585" xr:uid="{00000000-0005-0000-0000-000004250000}"/>
    <cellStyle name="Comma 5 7 3 3 2 2 2" xfId="49138" xr:uid="{00000000-0005-0000-0000-000005250000}"/>
    <cellStyle name="Comma 5 7 3 3 2 3" xfId="38889" xr:uid="{00000000-0005-0000-0000-000006250000}"/>
    <cellStyle name="Comma 5 7 3 3 3" xfId="9755" xr:uid="{00000000-0005-0000-0000-000007250000}"/>
    <cellStyle name="Comma 5 7 3 3 3 2" xfId="35312" xr:uid="{00000000-0005-0000-0000-000008250000}"/>
    <cellStyle name="Comma 5 7 3 3 4" xfId="18578" xr:uid="{00000000-0005-0000-0000-000009250000}"/>
    <cellStyle name="Comma 5 7 3 3 4 2" xfId="44131" xr:uid="{00000000-0005-0000-0000-00000A250000}"/>
    <cellStyle name="Comma 5 7 3 3 5" xfId="30068" xr:uid="{00000000-0005-0000-0000-00000B250000}"/>
    <cellStyle name="Comma 5 7 3 4" xfId="1937" xr:uid="{00000000-0005-0000-0000-00000C250000}"/>
    <cellStyle name="Comma 5 7 3 4 2" xfId="11302" xr:uid="{00000000-0005-0000-0000-00000D250000}"/>
    <cellStyle name="Comma 5 7 3 4 2 2" xfId="36857" xr:uid="{00000000-0005-0000-0000-00000E250000}"/>
    <cellStyle name="Comma 5 7 3 4 3" xfId="21306" xr:uid="{00000000-0005-0000-0000-00000F250000}"/>
    <cellStyle name="Comma 5 7 3 4 3 2" xfId="46859" xr:uid="{00000000-0005-0000-0000-000010250000}"/>
    <cellStyle name="Comma 5 7 3 4 4" xfId="27789" xr:uid="{00000000-0005-0000-0000-000011250000}"/>
    <cellStyle name="Comma 5 7 3 5" xfId="5952" xr:uid="{00000000-0005-0000-0000-000012250000}"/>
    <cellStyle name="Comma 5 7 3 5 2" xfId="14779" xr:uid="{00000000-0005-0000-0000-000013250000}"/>
    <cellStyle name="Comma 5 7 3 5 2 2" xfId="40334" xr:uid="{00000000-0005-0000-0000-000014250000}"/>
    <cellStyle name="Comma 5 7 3 5 3" xfId="25030" xr:uid="{00000000-0005-0000-0000-000015250000}"/>
    <cellStyle name="Comma 5 7 3 5 3 2" xfId="50583" xr:uid="{00000000-0005-0000-0000-000016250000}"/>
    <cellStyle name="Comma 5 7 3 5 4" xfId="31513" xr:uid="{00000000-0005-0000-0000-000017250000}"/>
    <cellStyle name="Comma 5 7 3 6" xfId="7396" xr:uid="{00000000-0005-0000-0000-000018250000}"/>
    <cellStyle name="Comma 5 7 3 6 2" xfId="19788" xr:uid="{00000000-0005-0000-0000-000019250000}"/>
    <cellStyle name="Comma 5 7 3 6 2 2" xfId="45341" xr:uid="{00000000-0005-0000-0000-00001A250000}"/>
    <cellStyle name="Comma 5 7 3 6 3" xfId="32953" xr:uid="{00000000-0005-0000-0000-00001B250000}"/>
    <cellStyle name="Comma 5 7 3 7" xfId="16299" xr:uid="{00000000-0005-0000-0000-00001C250000}"/>
    <cellStyle name="Comma 5 7 3 7 2" xfId="41852" xr:uid="{00000000-0005-0000-0000-00001D250000}"/>
    <cellStyle name="Comma 5 7 3 8" xfId="26271" xr:uid="{00000000-0005-0000-0000-00001E250000}"/>
    <cellStyle name="Comma 5 7 4" xfId="681" xr:uid="{00000000-0005-0000-0000-00001F250000}"/>
    <cellStyle name="Comma 5 7 4 2" xfId="3167" xr:uid="{00000000-0005-0000-0000-000020250000}"/>
    <cellStyle name="Comma 5 7 4 2 2" xfId="12310" xr:uid="{00000000-0005-0000-0000-000021250000}"/>
    <cellStyle name="Comma 5 7 4 2 2 2" xfId="22528" xr:uid="{00000000-0005-0000-0000-000022250000}"/>
    <cellStyle name="Comma 5 7 4 2 2 2 2" xfId="48081" xr:uid="{00000000-0005-0000-0000-000023250000}"/>
    <cellStyle name="Comma 5 7 4 2 2 3" xfId="37865" xr:uid="{00000000-0005-0000-0000-000024250000}"/>
    <cellStyle name="Comma 5 7 4 2 3" xfId="8732" xr:uid="{00000000-0005-0000-0000-000025250000}"/>
    <cellStyle name="Comma 5 7 4 2 3 2" xfId="34289" xr:uid="{00000000-0005-0000-0000-000026250000}"/>
    <cellStyle name="Comma 5 7 4 2 4" xfId="17521" xr:uid="{00000000-0005-0000-0000-000027250000}"/>
    <cellStyle name="Comma 5 7 4 2 4 2" xfId="43074" xr:uid="{00000000-0005-0000-0000-000028250000}"/>
    <cellStyle name="Comma 5 7 4 2 5" xfId="29011" xr:uid="{00000000-0005-0000-0000-000029250000}"/>
    <cellStyle name="Comma 5 7 4 3" xfId="4845" xr:uid="{00000000-0005-0000-0000-00002A250000}"/>
    <cellStyle name="Comma 5 7 4 3 2" xfId="13682" xr:uid="{00000000-0005-0000-0000-00002B250000}"/>
    <cellStyle name="Comma 5 7 4 3 2 2" xfId="23933" xr:uid="{00000000-0005-0000-0000-00002C250000}"/>
    <cellStyle name="Comma 5 7 4 3 2 2 2" xfId="49486" xr:uid="{00000000-0005-0000-0000-00002D250000}"/>
    <cellStyle name="Comma 5 7 4 3 2 3" xfId="39237" xr:uid="{00000000-0005-0000-0000-00002E250000}"/>
    <cellStyle name="Comma 5 7 4 3 3" xfId="10103" xr:uid="{00000000-0005-0000-0000-00002F250000}"/>
    <cellStyle name="Comma 5 7 4 3 3 2" xfId="35660" xr:uid="{00000000-0005-0000-0000-000030250000}"/>
    <cellStyle name="Comma 5 7 4 3 4" xfId="18926" xr:uid="{00000000-0005-0000-0000-000031250000}"/>
    <cellStyle name="Comma 5 7 4 3 4 2" xfId="44479" xr:uid="{00000000-0005-0000-0000-000032250000}"/>
    <cellStyle name="Comma 5 7 4 3 5" xfId="30416" xr:uid="{00000000-0005-0000-0000-000033250000}"/>
    <cellStyle name="Comma 5 7 4 4" xfId="2276" xr:uid="{00000000-0005-0000-0000-000034250000}"/>
    <cellStyle name="Comma 5 7 4 4 2" xfId="11641" xr:uid="{00000000-0005-0000-0000-000035250000}"/>
    <cellStyle name="Comma 5 7 4 4 2 2" xfId="37196" xr:uid="{00000000-0005-0000-0000-000036250000}"/>
    <cellStyle name="Comma 5 7 4 4 3" xfId="21645" xr:uid="{00000000-0005-0000-0000-000037250000}"/>
    <cellStyle name="Comma 5 7 4 4 3 2" xfId="47198" xr:uid="{00000000-0005-0000-0000-000038250000}"/>
    <cellStyle name="Comma 5 7 4 4 4" xfId="28128" xr:uid="{00000000-0005-0000-0000-000039250000}"/>
    <cellStyle name="Comma 5 7 4 5" xfId="6300" xr:uid="{00000000-0005-0000-0000-00003A250000}"/>
    <cellStyle name="Comma 5 7 4 5 2" xfId="15127" xr:uid="{00000000-0005-0000-0000-00003B250000}"/>
    <cellStyle name="Comma 5 7 4 5 2 2" xfId="40682" xr:uid="{00000000-0005-0000-0000-00003C250000}"/>
    <cellStyle name="Comma 5 7 4 5 3" xfId="25378" xr:uid="{00000000-0005-0000-0000-00003D250000}"/>
    <cellStyle name="Comma 5 7 4 5 3 2" xfId="50931" xr:uid="{00000000-0005-0000-0000-00003E250000}"/>
    <cellStyle name="Comma 5 7 4 5 4" xfId="31861" xr:uid="{00000000-0005-0000-0000-00003F250000}"/>
    <cellStyle name="Comma 5 7 4 6" xfId="7746" xr:uid="{00000000-0005-0000-0000-000040250000}"/>
    <cellStyle name="Comma 5 7 4 6 2" xfId="20127" xr:uid="{00000000-0005-0000-0000-000041250000}"/>
    <cellStyle name="Comma 5 7 4 6 2 2" xfId="45680" xr:uid="{00000000-0005-0000-0000-000042250000}"/>
    <cellStyle name="Comma 5 7 4 6 3" xfId="33303" xr:uid="{00000000-0005-0000-0000-000043250000}"/>
    <cellStyle name="Comma 5 7 4 7" xfId="16638" xr:uid="{00000000-0005-0000-0000-000044250000}"/>
    <cellStyle name="Comma 5 7 4 7 2" xfId="42191" xr:uid="{00000000-0005-0000-0000-000045250000}"/>
    <cellStyle name="Comma 5 7 4 8" xfId="26610" xr:uid="{00000000-0005-0000-0000-000046250000}"/>
    <cellStyle name="Comma 5 7 5" xfId="1114" xr:uid="{00000000-0005-0000-0000-000047250000}"/>
    <cellStyle name="Comma 5 7 5 2" xfId="3543" xr:uid="{00000000-0005-0000-0000-000048250000}"/>
    <cellStyle name="Comma 5 7 5 2 2" xfId="12679" xr:uid="{00000000-0005-0000-0000-000049250000}"/>
    <cellStyle name="Comma 5 7 5 2 2 2" xfId="22898" xr:uid="{00000000-0005-0000-0000-00004A250000}"/>
    <cellStyle name="Comma 5 7 5 2 2 2 2" xfId="48451" xr:uid="{00000000-0005-0000-0000-00004B250000}"/>
    <cellStyle name="Comma 5 7 5 2 2 3" xfId="38234" xr:uid="{00000000-0005-0000-0000-00004C250000}"/>
    <cellStyle name="Comma 5 7 5 2 3" xfId="9100" xr:uid="{00000000-0005-0000-0000-00004D250000}"/>
    <cellStyle name="Comma 5 7 5 2 3 2" xfId="34657" xr:uid="{00000000-0005-0000-0000-00004E250000}"/>
    <cellStyle name="Comma 5 7 5 2 4" xfId="17891" xr:uid="{00000000-0005-0000-0000-00004F250000}"/>
    <cellStyle name="Comma 5 7 5 2 4 2" xfId="43444" xr:uid="{00000000-0005-0000-0000-000050250000}"/>
    <cellStyle name="Comma 5 7 5 2 5" xfId="29381" xr:uid="{00000000-0005-0000-0000-000051250000}"/>
    <cellStyle name="Comma 5 7 5 3" xfId="5206" xr:uid="{00000000-0005-0000-0000-000052250000}"/>
    <cellStyle name="Comma 5 7 5 3 2" xfId="14043" xr:uid="{00000000-0005-0000-0000-000053250000}"/>
    <cellStyle name="Comma 5 7 5 3 2 2" xfId="24294" xr:uid="{00000000-0005-0000-0000-000054250000}"/>
    <cellStyle name="Comma 5 7 5 3 2 2 2" xfId="49847" xr:uid="{00000000-0005-0000-0000-000055250000}"/>
    <cellStyle name="Comma 5 7 5 3 2 3" xfId="39598" xr:uid="{00000000-0005-0000-0000-000056250000}"/>
    <cellStyle name="Comma 5 7 5 3 3" xfId="10464" xr:uid="{00000000-0005-0000-0000-000057250000}"/>
    <cellStyle name="Comma 5 7 5 3 3 2" xfId="36021" xr:uid="{00000000-0005-0000-0000-000058250000}"/>
    <cellStyle name="Comma 5 7 5 3 4" xfId="19287" xr:uid="{00000000-0005-0000-0000-000059250000}"/>
    <cellStyle name="Comma 5 7 5 3 4 2" xfId="44840" xr:uid="{00000000-0005-0000-0000-00005A250000}"/>
    <cellStyle name="Comma 5 7 5 3 5" xfId="30777" xr:uid="{00000000-0005-0000-0000-00005B250000}"/>
    <cellStyle name="Comma 5 7 5 4" xfId="1822" xr:uid="{00000000-0005-0000-0000-00005C250000}"/>
    <cellStyle name="Comma 5 7 5 4 2" xfId="11190" xr:uid="{00000000-0005-0000-0000-00005D250000}"/>
    <cellStyle name="Comma 5 7 5 4 2 2" xfId="36745" xr:uid="{00000000-0005-0000-0000-00005E250000}"/>
    <cellStyle name="Comma 5 7 5 4 3" xfId="21194" xr:uid="{00000000-0005-0000-0000-00005F250000}"/>
    <cellStyle name="Comma 5 7 5 4 3 2" xfId="46747" xr:uid="{00000000-0005-0000-0000-000060250000}"/>
    <cellStyle name="Comma 5 7 5 4 4" xfId="27677" xr:uid="{00000000-0005-0000-0000-000061250000}"/>
    <cellStyle name="Comma 5 7 5 5" xfId="6661" xr:uid="{00000000-0005-0000-0000-000062250000}"/>
    <cellStyle name="Comma 5 7 5 5 2" xfId="15488" xr:uid="{00000000-0005-0000-0000-000063250000}"/>
    <cellStyle name="Comma 5 7 5 5 2 2" xfId="41043" xr:uid="{00000000-0005-0000-0000-000064250000}"/>
    <cellStyle name="Comma 5 7 5 5 3" xfId="25739" xr:uid="{00000000-0005-0000-0000-000065250000}"/>
    <cellStyle name="Comma 5 7 5 5 3 2" xfId="51292" xr:uid="{00000000-0005-0000-0000-000066250000}"/>
    <cellStyle name="Comma 5 7 5 5 4" xfId="32222" xr:uid="{00000000-0005-0000-0000-000067250000}"/>
    <cellStyle name="Comma 5 7 5 6" xfId="8107" xr:uid="{00000000-0005-0000-0000-000068250000}"/>
    <cellStyle name="Comma 5 7 5 6 2" xfId="20497" xr:uid="{00000000-0005-0000-0000-000069250000}"/>
    <cellStyle name="Comma 5 7 5 6 2 2" xfId="46050" xr:uid="{00000000-0005-0000-0000-00006A250000}"/>
    <cellStyle name="Comma 5 7 5 6 3" xfId="33664" xr:uid="{00000000-0005-0000-0000-00006B250000}"/>
    <cellStyle name="Comma 5 7 5 7" xfId="16187" xr:uid="{00000000-0005-0000-0000-00006C250000}"/>
    <cellStyle name="Comma 5 7 5 7 2" xfId="41740" xr:uid="{00000000-0005-0000-0000-00006D250000}"/>
    <cellStyle name="Comma 5 7 5 8" xfId="26980" xr:uid="{00000000-0005-0000-0000-00006E250000}"/>
    <cellStyle name="Comma 5 7 6" xfId="2716" xr:uid="{00000000-0005-0000-0000-00006F250000}"/>
    <cellStyle name="Comma 5 7 6 2" xfId="12033" xr:uid="{00000000-0005-0000-0000-000070250000}"/>
    <cellStyle name="Comma 5 7 6 2 2" xfId="22077" xr:uid="{00000000-0005-0000-0000-000071250000}"/>
    <cellStyle name="Comma 5 7 6 2 2 2" xfId="47630" xr:uid="{00000000-0005-0000-0000-000072250000}"/>
    <cellStyle name="Comma 5 7 6 2 3" xfId="37588" xr:uid="{00000000-0005-0000-0000-000073250000}"/>
    <cellStyle name="Comma 5 7 6 3" xfId="8489" xr:uid="{00000000-0005-0000-0000-000074250000}"/>
    <cellStyle name="Comma 5 7 6 3 2" xfId="34046" xr:uid="{00000000-0005-0000-0000-000075250000}"/>
    <cellStyle name="Comma 5 7 6 4" xfId="17070" xr:uid="{00000000-0005-0000-0000-000076250000}"/>
    <cellStyle name="Comma 5 7 6 4 2" xfId="42623" xr:uid="{00000000-0005-0000-0000-000077250000}"/>
    <cellStyle name="Comma 5 7 6 5" xfId="28560" xr:uid="{00000000-0005-0000-0000-000078250000}"/>
    <cellStyle name="Comma 5 7 7" xfId="4162" xr:uid="{00000000-0005-0000-0000-000079250000}"/>
    <cellStyle name="Comma 5 7 7 2" xfId="13000" xr:uid="{00000000-0005-0000-0000-00007A250000}"/>
    <cellStyle name="Comma 5 7 7 2 2" xfId="23251" xr:uid="{00000000-0005-0000-0000-00007B250000}"/>
    <cellStyle name="Comma 5 7 7 2 2 2" xfId="48804" xr:uid="{00000000-0005-0000-0000-00007C250000}"/>
    <cellStyle name="Comma 5 7 7 2 3" xfId="38555" xr:uid="{00000000-0005-0000-0000-00007D250000}"/>
    <cellStyle name="Comma 5 7 7 3" xfId="9421" xr:uid="{00000000-0005-0000-0000-00007E250000}"/>
    <cellStyle name="Comma 5 7 7 3 2" xfId="34978" xr:uid="{00000000-0005-0000-0000-00007F250000}"/>
    <cellStyle name="Comma 5 7 7 4" xfId="18244" xr:uid="{00000000-0005-0000-0000-000080250000}"/>
    <cellStyle name="Comma 5 7 7 4 2" xfId="43797" xr:uid="{00000000-0005-0000-0000-000081250000}"/>
    <cellStyle name="Comma 5 7 7 5" xfId="29734" xr:uid="{00000000-0005-0000-0000-000082250000}"/>
    <cellStyle name="Comma 5 7 8" xfId="1434" xr:uid="{00000000-0005-0000-0000-000083250000}"/>
    <cellStyle name="Comma 5 7 8 2" xfId="10811" xr:uid="{00000000-0005-0000-0000-000084250000}"/>
    <cellStyle name="Comma 5 7 8 2 2" xfId="36366" xr:uid="{00000000-0005-0000-0000-000085250000}"/>
    <cellStyle name="Comma 5 7 8 3" xfId="20815" xr:uid="{00000000-0005-0000-0000-000086250000}"/>
    <cellStyle name="Comma 5 7 8 3 2" xfId="46368" xr:uid="{00000000-0005-0000-0000-000087250000}"/>
    <cellStyle name="Comma 5 7 8 4" xfId="27298" xr:uid="{00000000-0005-0000-0000-000088250000}"/>
    <cellStyle name="Comma 5 7 9" xfId="5618" xr:uid="{00000000-0005-0000-0000-000089250000}"/>
    <cellStyle name="Comma 5 7 9 2" xfId="14445" xr:uid="{00000000-0005-0000-0000-00008A250000}"/>
    <cellStyle name="Comma 5 7 9 2 2" xfId="40000" xr:uid="{00000000-0005-0000-0000-00008B250000}"/>
    <cellStyle name="Comma 5 7 9 3" xfId="24696" xr:uid="{00000000-0005-0000-0000-00008C250000}"/>
    <cellStyle name="Comma 5 7 9 3 2" xfId="50249" xr:uid="{00000000-0005-0000-0000-00008D250000}"/>
    <cellStyle name="Comma 5 7 9 4" xfId="31179" xr:uid="{00000000-0005-0000-0000-00008E250000}"/>
    <cellStyle name="Comma 5 8" xfId="281" xr:uid="{00000000-0005-0000-0000-00008F250000}"/>
    <cellStyle name="Comma 5 8 10" xfId="16069" xr:uid="{00000000-0005-0000-0000-000090250000}"/>
    <cellStyle name="Comma 5 8 10 2" xfId="41622" xr:uid="{00000000-0005-0000-0000-000091250000}"/>
    <cellStyle name="Comma 5 8 11" xfId="26215" xr:uid="{00000000-0005-0000-0000-000092250000}"/>
    <cellStyle name="Comma 5 8 2" xfId="603" xr:uid="{00000000-0005-0000-0000-000093250000}"/>
    <cellStyle name="Comma 5 8 2 2" xfId="3089" xr:uid="{00000000-0005-0000-0000-000094250000}"/>
    <cellStyle name="Comma 5 8 2 2 2" xfId="12232" xr:uid="{00000000-0005-0000-0000-000095250000}"/>
    <cellStyle name="Comma 5 8 2 2 2 2" xfId="22450" xr:uid="{00000000-0005-0000-0000-000096250000}"/>
    <cellStyle name="Comma 5 8 2 2 2 2 2" xfId="48003" xr:uid="{00000000-0005-0000-0000-000097250000}"/>
    <cellStyle name="Comma 5 8 2 2 2 3" xfId="37787" xr:uid="{00000000-0005-0000-0000-000098250000}"/>
    <cellStyle name="Comma 5 8 2 2 3" xfId="8654" xr:uid="{00000000-0005-0000-0000-000099250000}"/>
    <cellStyle name="Comma 5 8 2 2 3 2" xfId="34211" xr:uid="{00000000-0005-0000-0000-00009A250000}"/>
    <cellStyle name="Comma 5 8 2 2 4" xfId="17443" xr:uid="{00000000-0005-0000-0000-00009B250000}"/>
    <cellStyle name="Comma 5 8 2 2 4 2" xfId="42996" xr:uid="{00000000-0005-0000-0000-00009C250000}"/>
    <cellStyle name="Comma 5 8 2 2 5" xfId="28933" xr:uid="{00000000-0005-0000-0000-00009D250000}"/>
    <cellStyle name="Comma 5 8 2 3" xfId="4498" xr:uid="{00000000-0005-0000-0000-00009E250000}"/>
    <cellStyle name="Comma 5 8 2 3 2" xfId="13336" xr:uid="{00000000-0005-0000-0000-00009F250000}"/>
    <cellStyle name="Comma 5 8 2 3 2 2" xfId="23587" xr:uid="{00000000-0005-0000-0000-0000A0250000}"/>
    <cellStyle name="Comma 5 8 2 3 2 2 2" xfId="49140" xr:uid="{00000000-0005-0000-0000-0000A1250000}"/>
    <cellStyle name="Comma 5 8 2 3 2 3" xfId="38891" xr:uid="{00000000-0005-0000-0000-0000A2250000}"/>
    <cellStyle name="Comma 5 8 2 3 3" xfId="9757" xr:uid="{00000000-0005-0000-0000-0000A3250000}"/>
    <cellStyle name="Comma 5 8 2 3 3 2" xfId="35314" xr:uid="{00000000-0005-0000-0000-0000A4250000}"/>
    <cellStyle name="Comma 5 8 2 3 4" xfId="18580" xr:uid="{00000000-0005-0000-0000-0000A5250000}"/>
    <cellStyle name="Comma 5 8 2 3 4 2" xfId="44133" xr:uid="{00000000-0005-0000-0000-0000A6250000}"/>
    <cellStyle name="Comma 5 8 2 3 5" xfId="30070" xr:uid="{00000000-0005-0000-0000-0000A7250000}"/>
    <cellStyle name="Comma 5 8 2 4" xfId="2198" xr:uid="{00000000-0005-0000-0000-0000A8250000}"/>
    <cellStyle name="Comma 5 8 2 4 2" xfId="11563" xr:uid="{00000000-0005-0000-0000-0000A9250000}"/>
    <cellStyle name="Comma 5 8 2 4 2 2" xfId="37118" xr:uid="{00000000-0005-0000-0000-0000AA250000}"/>
    <cellStyle name="Comma 5 8 2 4 3" xfId="21567" xr:uid="{00000000-0005-0000-0000-0000AB250000}"/>
    <cellStyle name="Comma 5 8 2 4 3 2" xfId="47120" xr:uid="{00000000-0005-0000-0000-0000AC250000}"/>
    <cellStyle name="Comma 5 8 2 4 4" xfId="28050" xr:uid="{00000000-0005-0000-0000-0000AD250000}"/>
    <cellStyle name="Comma 5 8 2 5" xfId="5954" xr:uid="{00000000-0005-0000-0000-0000AE250000}"/>
    <cellStyle name="Comma 5 8 2 5 2" xfId="14781" xr:uid="{00000000-0005-0000-0000-0000AF250000}"/>
    <cellStyle name="Comma 5 8 2 5 2 2" xfId="40336" xr:uid="{00000000-0005-0000-0000-0000B0250000}"/>
    <cellStyle name="Comma 5 8 2 5 3" xfId="25032" xr:uid="{00000000-0005-0000-0000-0000B1250000}"/>
    <cellStyle name="Comma 5 8 2 5 3 2" xfId="50585" xr:uid="{00000000-0005-0000-0000-0000B2250000}"/>
    <cellStyle name="Comma 5 8 2 5 4" xfId="31515" xr:uid="{00000000-0005-0000-0000-0000B3250000}"/>
    <cellStyle name="Comma 5 8 2 6" xfId="7398" xr:uid="{00000000-0005-0000-0000-0000B4250000}"/>
    <cellStyle name="Comma 5 8 2 6 2" xfId="20049" xr:uid="{00000000-0005-0000-0000-0000B5250000}"/>
    <cellStyle name="Comma 5 8 2 6 2 2" xfId="45602" xr:uid="{00000000-0005-0000-0000-0000B6250000}"/>
    <cellStyle name="Comma 5 8 2 6 3" xfId="32955" xr:uid="{00000000-0005-0000-0000-0000B7250000}"/>
    <cellStyle name="Comma 5 8 2 7" xfId="16560" xr:uid="{00000000-0005-0000-0000-0000B8250000}"/>
    <cellStyle name="Comma 5 8 2 7 2" xfId="42113" xr:uid="{00000000-0005-0000-0000-0000B9250000}"/>
    <cellStyle name="Comma 5 8 2 8" xfId="26532" xr:uid="{00000000-0005-0000-0000-0000BA250000}"/>
    <cellStyle name="Comma 5 8 3" xfId="683" xr:uid="{00000000-0005-0000-0000-0000BB250000}"/>
    <cellStyle name="Comma 5 8 3 2" xfId="3169" xr:uid="{00000000-0005-0000-0000-0000BC250000}"/>
    <cellStyle name="Comma 5 8 3 2 2" xfId="12312" xr:uid="{00000000-0005-0000-0000-0000BD250000}"/>
    <cellStyle name="Comma 5 8 3 2 2 2" xfId="22530" xr:uid="{00000000-0005-0000-0000-0000BE250000}"/>
    <cellStyle name="Comma 5 8 3 2 2 2 2" xfId="48083" xr:uid="{00000000-0005-0000-0000-0000BF250000}"/>
    <cellStyle name="Comma 5 8 3 2 2 3" xfId="37867" xr:uid="{00000000-0005-0000-0000-0000C0250000}"/>
    <cellStyle name="Comma 5 8 3 2 3" xfId="8734" xr:uid="{00000000-0005-0000-0000-0000C1250000}"/>
    <cellStyle name="Comma 5 8 3 2 3 2" xfId="34291" xr:uid="{00000000-0005-0000-0000-0000C2250000}"/>
    <cellStyle name="Comma 5 8 3 2 4" xfId="17523" xr:uid="{00000000-0005-0000-0000-0000C3250000}"/>
    <cellStyle name="Comma 5 8 3 2 4 2" xfId="43076" xr:uid="{00000000-0005-0000-0000-0000C4250000}"/>
    <cellStyle name="Comma 5 8 3 2 5" xfId="29013" xr:uid="{00000000-0005-0000-0000-0000C5250000}"/>
    <cellStyle name="Comma 5 8 3 3" xfId="4847" xr:uid="{00000000-0005-0000-0000-0000C6250000}"/>
    <cellStyle name="Comma 5 8 3 3 2" xfId="13684" xr:uid="{00000000-0005-0000-0000-0000C7250000}"/>
    <cellStyle name="Comma 5 8 3 3 2 2" xfId="23935" xr:uid="{00000000-0005-0000-0000-0000C8250000}"/>
    <cellStyle name="Comma 5 8 3 3 2 2 2" xfId="49488" xr:uid="{00000000-0005-0000-0000-0000C9250000}"/>
    <cellStyle name="Comma 5 8 3 3 2 3" xfId="39239" xr:uid="{00000000-0005-0000-0000-0000CA250000}"/>
    <cellStyle name="Comma 5 8 3 3 3" xfId="10105" xr:uid="{00000000-0005-0000-0000-0000CB250000}"/>
    <cellStyle name="Comma 5 8 3 3 3 2" xfId="35662" xr:uid="{00000000-0005-0000-0000-0000CC250000}"/>
    <cellStyle name="Comma 5 8 3 3 4" xfId="18928" xr:uid="{00000000-0005-0000-0000-0000CD250000}"/>
    <cellStyle name="Comma 5 8 3 3 4 2" xfId="44481" xr:uid="{00000000-0005-0000-0000-0000CE250000}"/>
    <cellStyle name="Comma 5 8 3 3 5" xfId="30418" xr:uid="{00000000-0005-0000-0000-0000CF250000}"/>
    <cellStyle name="Comma 5 8 3 4" xfId="2278" xr:uid="{00000000-0005-0000-0000-0000D0250000}"/>
    <cellStyle name="Comma 5 8 3 4 2" xfId="11643" xr:uid="{00000000-0005-0000-0000-0000D1250000}"/>
    <cellStyle name="Comma 5 8 3 4 2 2" xfId="37198" xr:uid="{00000000-0005-0000-0000-0000D2250000}"/>
    <cellStyle name="Comma 5 8 3 4 3" xfId="21647" xr:uid="{00000000-0005-0000-0000-0000D3250000}"/>
    <cellStyle name="Comma 5 8 3 4 3 2" xfId="47200" xr:uid="{00000000-0005-0000-0000-0000D4250000}"/>
    <cellStyle name="Comma 5 8 3 4 4" xfId="28130" xr:uid="{00000000-0005-0000-0000-0000D5250000}"/>
    <cellStyle name="Comma 5 8 3 5" xfId="6302" xr:uid="{00000000-0005-0000-0000-0000D6250000}"/>
    <cellStyle name="Comma 5 8 3 5 2" xfId="15129" xr:uid="{00000000-0005-0000-0000-0000D7250000}"/>
    <cellStyle name="Comma 5 8 3 5 2 2" xfId="40684" xr:uid="{00000000-0005-0000-0000-0000D8250000}"/>
    <cellStyle name="Comma 5 8 3 5 3" xfId="25380" xr:uid="{00000000-0005-0000-0000-0000D9250000}"/>
    <cellStyle name="Comma 5 8 3 5 3 2" xfId="50933" xr:uid="{00000000-0005-0000-0000-0000DA250000}"/>
    <cellStyle name="Comma 5 8 3 5 4" xfId="31863" xr:uid="{00000000-0005-0000-0000-0000DB250000}"/>
    <cellStyle name="Comma 5 8 3 6" xfId="7748" xr:uid="{00000000-0005-0000-0000-0000DC250000}"/>
    <cellStyle name="Comma 5 8 3 6 2" xfId="20129" xr:uid="{00000000-0005-0000-0000-0000DD250000}"/>
    <cellStyle name="Comma 5 8 3 6 2 2" xfId="45682" xr:uid="{00000000-0005-0000-0000-0000DE250000}"/>
    <cellStyle name="Comma 5 8 3 6 3" xfId="33305" xr:uid="{00000000-0005-0000-0000-0000DF250000}"/>
    <cellStyle name="Comma 5 8 3 7" xfId="16640" xr:uid="{00000000-0005-0000-0000-0000E0250000}"/>
    <cellStyle name="Comma 5 8 3 7 2" xfId="42193" xr:uid="{00000000-0005-0000-0000-0000E1250000}"/>
    <cellStyle name="Comma 5 8 3 8" xfId="26612" xr:uid="{00000000-0005-0000-0000-0000E2250000}"/>
    <cellStyle name="Comma 5 8 4" xfId="1375" xr:uid="{00000000-0005-0000-0000-0000E3250000}"/>
    <cellStyle name="Comma 5 8 4 2" xfId="3804" xr:uid="{00000000-0005-0000-0000-0000E4250000}"/>
    <cellStyle name="Comma 5 8 4 2 2" xfId="12940" xr:uid="{00000000-0005-0000-0000-0000E5250000}"/>
    <cellStyle name="Comma 5 8 4 2 2 2" xfId="23159" xr:uid="{00000000-0005-0000-0000-0000E6250000}"/>
    <cellStyle name="Comma 5 8 4 2 2 2 2" xfId="48712" xr:uid="{00000000-0005-0000-0000-0000E7250000}"/>
    <cellStyle name="Comma 5 8 4 2 2 3" xfId="38495" xr:uid="{00000000-0005-0000-0000-0000E8250000}"/>
    <cellStyle name="Comma 5 8 4 2 3" xfId="9361" xr:uid="{00000000-0005-0000-0000-0000E9250000}"/>
    <cellStyle name="Comma 5 8 4 2 3 2" xfId="34918" xr:uid="{00000000-0005-0000-0000-0000EA250000}"/>
    <cellStyle name="Comma 5 8 4 2 4" xfId="18152" xr:uid="{00000000-0005-0000-0000-0000EB250000}"/>
    <cellStyle name="Comma 5 8 4 2 4 2" xfId="43705" xr:uid="{00000000-0005-0000-0000-0000EC250000}"/>
    <cellStyle name="Comma 5 8 4 2 5" xfId="29642" xr:uid="{00000000-0005-0000-0000-0000ED250000}"/>
    <cellStyle name="Comma 5 8 4 3" xfId="5467" xr:uid="{00000000-0005-0000-0000-0000EE250000}"/>
    <cellStyle name="Comma 5 8 4 3 2" xfId="14304" xr:uid="{00000000-0005-0000-0000-0000EF250000}"/>
    <cellStyle name="Comma 5 8 4 3 2 2" xfId="24555" xr:uid="{00000000-0005-0000-0000-0000F0250000}"/>
    <cellStyle name="Comma 5 8 4 3 2 2 2" xfId="50108" xr:uid="{00000000-0005-0000-0000-0000F1250000}"/>
    <cellStyle name="Comma 5 8 4 3 2 3" xfId="39859" xr:uid="{00000000-0005-0000-0000-0000F2250000}"/>
    <cellStyle name="Comma 5 8 4 3 3" xfId="10725" xr:uid="{00000000-0005-0000-0000-0000F3250000}"/>
    <cellStyle name="Comma 5 8 4 3 3 2" xfId="36282" xr:uid="{00000000-0005-0000-0000-0000F4250000}"/>
    <cellStyle name="Comma 5 8 4 3 4" xfId="19548" xr:uid="{00000000-0005-0000-0000-0000F5250000}"/>
    <cellStyle name="Comma 5 8 4 3 4 2" xfId="45101" xr:uid="{00000000-0005-0000-0000-0000F6250000}"/>
    <cellStyle name="Comma 5 8 4 3 5" xfId="31038" xr:uid="{00000000-0005-0000-0000-0000F7250000}"/>
    <cellStyle name="Comma 5 8 4 4" xfId="1878" xr:uid="{00000000-0005-0000-0000-0000F8250000}"/>
    <cellStyle name="Comma 5 8 4 4 2" xfId="11246" xr:uid="{00000000-0005-0000-0000-0000F9250000}"/>
    <cellStyle name="Comma 5 8 4 4 2 2" xfId="36801" xr:uid="{00000000-0005-0000-0000-0000FA250000}"/>
    <cellStyle name="Comma 5 8 4 4 3" xfId="21250" xr:uid="{00000000-0005-0000-0000-0000FB250000}"/>
    <cellStyle name="Comma 5 8 4 4 3 2" xfId="46803" xr:uid="{00000000-0005-0000-0000-0000FC250000}"/>
    <cellStyle name="Comma 5 8 4 4 4" xfId="27733" xr:uid="{00000000-0005-0000-0000-0000FD250000}"/>
    <cellStyle name="Comma 5 8 4 5" xfId="6922" xr:uid="{00000000-0005-0000-0000-0000FE250000}"/>
    <cellStyle name="Comma 5 8 4 5 2" xfId="15749" xr:uid="{00000000-0005-0000-0000-0000FF250000}"/>
    <cellStyle name="Comma 5 8 4 5 2 2" xfId="41304" xr:uid="{00000000-0005-0000-0000-000000260000}"/>
    <cellStyle name="Comma 5 8 4 5 3" xfId="26000" xr:uid="{00000000-0005-0000-0000-000001260000}"/>
    <cellStyle name="Comma 5 8 4 5 3 2" xfId="51553" xr:uid="{00000000-0005-0000-0000-000002260000}"/>
    <cellStyle name="Comma 5 8 4 5 4" xfId="32483" xr:uid="{00000000-0005-0000-0000-000003260000}"/>
    <cellStyle name="Comma 5 8 4 6" xfId="8368" xr:uid="{00000000-0005-0000-0000-000004260000}"/>
    <cellStyle name="Comma 5 8 4 6 2" xfId="20758" xr:uid="{00000000-0005-0000-0000-000005260000}"/>
    <cellStyle name="Comma 5 8 4 6 2 2" xfId="46311" xr:uid="{00000000-0005-0000-0000-000006260000}"/>
    <cellStyle name="Comma 5 8 4 6 3" xfId="33925" xr:uid="{00000000-0005-0000-0000-000007260000}"/>
    <cellStyle name="Comma 5 8 4 7" xfId="16243" xr:uid="{00000000-0005-0000-0000-000008260000}"/>
    <cellStyle name="Comma 5 8 4 7 2" xfId="41796" xr:uid="{00000000-0005-0000-0000-000009260000}"/>
    <cellStyle name="Comma 5 8 4 8" xfId="27241" xr:uid="{00000000-0005-0000-0000-00000A260000}"/>
    <cellStyle name="Comma 5 8 5" xfId="2772" xr:uid="{00000000-0005-0000-0000-00000B260000}"/>
    <cellStyle name="Comma 5 8 5 2" xfId="12089" xr:uid="{00000000-0005-0000-0000-00000C260000}"/>
    <cellStyle name="Comma 5 8 5 2 2" xfId="22133" xr:uid="{00000000-0005-0000-0000-00000D260000}"/>
    <cellStyle name="Comma 5 8 5 2 2 2" xfId="47686" xr:uid="{00000000-0005-0000-0000-00000E260000}"/>
    <cellStyle name="Comma 5 8 5 2 3" xfId="37644" xr:uid="{00000000-0005-0000-0000-00000F260000}"/>
    <cellStyle name="Comma 5 8 5 3" xfId="8601" xr:uid="{00000000-0005-0000-0000-000010260000}"/>
    <cellStyle name="Comma 5 8 5 3 2" xfId="34158" xr:uid="{00000000-0005-0000-0000-000011260000}"/>
    <cellStyle name="Comma 5 8 5 4" xfId="17126" xr:uid="{00000000-0005-0000-0000-000012260000}"/>
    <cellStyle name="Comma 5 8 5 4 2" xfId="42679" xr:uid="{00000000-0005-0000-0000-000013260000}"/>
    <cellStyle name="Comma 5 8 5 5" xfId="28616" xr:uid="{00000000-0005-0000-0000-000014260000}"/>
    <cellStyle name="Comma 5 8 6" xfId="4423" xr:uid="{00000000-0005-0000-0000-000015260000}"/>
    <cellStyle name="Comma 5 8 6 2" xfId="13261" xr:uid="{00000000-0005-0000-0000-000016260000}"/>
    <cellStyle name="Comma 5 8 6 2 2" xfId="23512" xr:uid="{00000000-0005-0000-0000-000017260000}"/>
    <cellStyle name="Comma 5 8 6 2 2 2" xfId="49065" xr:uid="{00000000-0005-0000-0000-000018260000}"/>
    <cellStyle name="Comma 5 8 6 2 3" xfId="38816" xr:uid="{00000000-0005-0000-0000-000019260000}"/>
    <cellStyle name="Comma 5 8 6 3" xfId="9682" xr:uid="{00000000-0005-0000-0000-00001A260000}"/>
    <cellStyle name="Comma 5 8 6 3 2" xfId="35239" xr:uid="{00000000-0005-0000-0000-00001B260000}"/>
    <cellStyle name="Comma 5 8 6 4" xfId="18505" xr:uid="{00000000-0005-0000-0000-00001C260000}"/>
    <cellStyle name="Comma 5 8 6 4 2" xfId="44058" xr:uid="{00000000-0005-0000-0000-00001D260000}"/>
    <cellStyle name="Comma 5 8 6 5" xfId="29995" xr:uid="{00000000-0005-0000-0000-00001E260000}"/>
    <cellStyle name="Comma 5 8 7" xfId="1695" xr:uid="{00000000-0005-0000-0000-00001F260000}"/>
    <cellStyle name="Comma 5 8 7 2" xfId="11072" xr:uid="{00000000-0005-0000-0000-000020260000}"/>
    <cellStyle name="Comma 5 8 7 2 2" xfId="36627" xr:uid="{00000000-0005-0000-0000-000021260000}"/>
    <cellStyle name="Comma 5 8 7 3" xfId="21076" xr:uid="{00000000-0005-0000-0000-000022260000}"/>
    <cellStyle name="Comma 5 8 7 3 2" xfId="46629" xr:uid="{00000000-0005-0000-0000-000023260000}"/>
    <cellStyle name="Comma 5 8 7 4" xfId="27559" xr:uid="{00000000-0005-0000-0000-000024260000}"/>
    <cellStyle name="Comma 5 8 8" xfId="5879" xr:uid="{00000000-0005-0000-0000-000025260000}"/>
    <cellStyle name="Comma 5 8 8 2" xfId="14706" xr:uid="{00000000-0005-0000-0000-000026260000}"/>
    <cellStyle name="Comma 5 8 8 2 2" xfId="40261" xr:uid="{00000000-0005-0000-0000-000027260000}"/>
    <cellStyle name="Comma 5 8 8 3" xfId="24957" xr:uid="{00000000-0005-0000-0000-000028260000}"/>
    <cellStyle name="Comma 5 8 8 3 2" xfId="50510" xr:uid="{00000000-0005-0000-0000-000029260000}"/>
    <cellStyle name="Comma 5 8 8 4" xfId="31440" xr:uid="{00000000-0005-0000-0000-00002A260000}"/>
    <cellStyle name="Comma 5 8 9" xfId="7323" xr:uid="{00000000-0005-0000-0000-00002B260000}"/>
    <cellStyle name="Comma 5 8 9 2" xfId="19732" xr:uid="{00000000-0005-0000-0000-00002C260000}"/>
    <cellStyle name="Comma 5 8 9 2 2" xfId="45285" xr:uid="{00000000-0005-0000-0000-00002D260000}"/>
    <cellStyle name="Comma 5 8 9 3" xfId="32880" xr:uid="{00000000-0005-0000-0000-00002E260000}"/>
    <cellStyle name="Comma 5 9" xfId="442" xr:uid="{00000000-0005-0000-0000-00002F260000}"/>
    <cellStyle name="Comma 5 9 10" xfId="26371" xr:uid="{00000000-0005-0000-0000-000030260000}"/>
    <cellStyle name="Comma 5 9 2" xfId="684" xr:uid="{00000000-0005-0000-0000-000031260000}"/>
    <cellStyle name="Comma 5 9 2 2" xfId="3170" xr:uid="{00000000-0005-0000-0000-000032260000}"/>
    <cellStyle name="Comma 5 9 2 2 2" xfId="12313" xr:uid="{00000000-0005-0000-0000-000033260000}"/>
    <cellStyle name="Comma 5 9 2 2 2 2" xfId="22531" xr:uid="{00000000-0005-0000-0000-000034260000}"/>
    <cellStyle name="Comma 5 9 2 2 2 2 2" xfId="48084" xr:uid="{00000000-0005-0000-0000-000035260000}"/>
    <cellStyle name="Comma 5 9 2 2 2 3" xfId="37868" xr:uid="{00000000-0005-0000-0000-000036260000}"/>
    <cellStyle name="Comma 5 9 2 2 3" xfId="8735" xr:uid="{00000000-0005-0000-0000-000037260000}"/>
    <cellStyle name="Comma 5 9 2 2 3 2" xfId="34292" xr:uid="{00000000-0005-0000-0000-000038260000}"/>
    <cellStyle name="Comma 5 9 2 2 4" xfId="17524" xr:uid="{00000000-0005-0000-0000-000039260000}"/>
    <cellStyle name="Comma 5 9 2 2 4 2" xfId="43077" xr:uid="{00000000-0005-0000-0000-00003A260000}"/>
    <cellStyle name="Comma 5 9 2 2 5" xfId="29014" xr:uid="{00000000-0005-0000-0000-00003B260000}"/>
    <cellStyle name="Comma 5 9 2 3" xfId="4499" xr:uid="{00000000-0005-0000-0000-00003C260000}"/>
    <cellStyle name="Comma 5 9 2 3 2" xfId="13337" xr:uid="{00000000-0005-0000-0000-00003D260000}"/>
    <cellStyle name="Comma 5 9 2 3 2 2" xfId="23588" xr:uid="{00000000-0005-0000-0000-00003E260000}"/>
    <cellStyle name="Comma 5 9 2 3 2 2 2" xfId="49141" xr:uid="{00000000-0005-0000-0000-00003F260000}"/>
    <cellStyle name="Comma 5 9 2 3 2 3" xfId="38892" xr:uid="{00000000-0005-0000-0000-000040260000}"/>
    <cellStyle name="Comma 5 9 2 3 3" xfId="9758" xr:uid="{00000000-0005-0000-0000-000041260000}"/>
    <cellStyle name="Comma 5 9 2 3 3 2" xfId="35315" xr:uid="{00000000-0005-0000-0000-000042260000}"/>
    <cellStyle name="Comma 5 9 2 3 4" xfId="18581" xr:uid="{00000000-0005-0000-0000-000043260000}"/>
    <cellStyle name="Comma 5 9 2 3 4 2" xfId="44134" xr:uid="{00000000-0005-0000-0000-000044260000}"/>
    <cellStyle name="Comma 5 9 2 3 5" xfId="30071" xr:uid="{00000000-0005-0000-0000-000045260000}"/>
    <cellStyle name="Comma 5 9 2 4" xfId="2279" xr:uid="{00000000-0005-0000-0000-000046260000}"/>
    <cellStyle name="Comma 5 9 2 4 2" xfId="11644" xr:uid="{00000000-0005-0000-0000-000047260000}"/>
    <cellStyle name="Comma 5 9 2 4 2 2" xfId="37199" xr:uid="{00000000-0005-0000-0000-000048260000}"/>
    <cellStyle name="Comma 5 9 2 4 3" xfId="21648" xr:uid="{00000000-0005-0000-0000-000049260000}"/>
    <cellStyle name="Comma 5 9 2 4 3 2" xfId="47201" xr:uid="{00000000-0005-0000-0000-00004A260000}"/>
    <cellStyle name="Comma 5 9 2 4 4" xfId="28131" xr:uid="{00000000-0005-0000-0000-00004B260000}"/>
    <cellStyle name="Comma 5 9 2 5" xfId="5955" xr:uid="{00000000-0005-0000-0000-00004C260000}"/>
    <cellStyle name="Comma 5 9 2 5 2" xfId="14782" xr:uid="{00000000-0005-0000-0000-00004D260000}"/>
    <cellStyle name="Comma 5 9 2 5 2 2" xfId="40337" xr:uid="{00000000-0005-0000-0000-00004E260000}"/>
    <cellStyle name="Comma 5 9 2 5 3" xfId="25033" xr:uid="{00000000-0005-0000-0000-00004F260000}"/>
    <cellStyle name="Comma 5 9 2 5 3 2" xfId="50586" xr:uid="{00000000-0005-0000-0000-000050260000}"/>
    <cellStyle name="Comma 5 9 2 5 4" xfId="31516" xr:uid="{00000000-0005-0000-0000-000051260000}"/>
    <cellStyle name="Comma 5 9 2 6" xfId="7399" xr:uid="{00000000-0005-0000-0000-000052260000}"/>
    <cellStyle name="Comma 5 9 2 6 2" xfId="20130" xr:uid="{00000000-0005-0000-0000-000053260000}"/>
    <cellStyle name="Comma 5 9 2 6 2 2" xfId="45683" xr:uid="{00000000-0005-0000-0000-000054260000}"/>
    <cellStyle name="Comma 5 9 2 6 3" xfId="32956" xr:uid="{00000000-0005-0000-0000-000055260000}"/>
    <cellStyle name="Comma 5 9 2 7" xfId="16641" xr:uid="{00000000-0005-0000-0000-000056260000}"/>
    <cellStyle name="Comma 5 9 2 7 2" xfId="42194" xr:uid="{00000000-0005-0000-0000-000057260000}"/>
    <cellStyle name="Comma 5 9 2 8" xfId="26613" xr:uid="{00000000-0005-0000-0000-000058260000}"/>
    <cellStyle name="Comma 5 9 3" xfId="1214" xr:uid="{00000000-0005-0000-0000-000059260000}"/>
    <cellStyle name="Comma 5 9 3 2" xfId="3643" xr:uid="{00000000-0005-0000-0000-00005A260000}"/>
    <cellStyle name="Comma 5 9 3 2 2" xfId="12779" xr:uid="{00000000-0005-0000-0000-00005B260000}"/>
    <cellStyle name="Comma 5 9 3 2 2 2" xfId="22998" xr:uid="{00000000-0005-0000-0000-00005C260000}"/>
    <cellStyle name="Comma 5 9 3 2 2 2 2" xfId="48551" xr:uid="{00000000-0005-0000-0000-00005D260000}"/>
    <cellStyle name="Comma 5 9 3 2 2 3" xfId="38334" xr:uid="{00000000-0005-0000-0000-00005E260000}"/>
    <cellStyle name="Comma 5 9 3 2 3" xfId="9200" xr:uid="{00000000-0005-0000-0000-00005F260000}"/>
    <cellStyle name="Comma 5 9 3 2 3 2" xfId="34757" xr:uid="{00000000-0005-0000-0000-000060260000}"/>
    <cellStyle name="Comma 5 9 3 2 4" xfId="17991" xr:uid="{00000000-0005-0000-0000-000061260000}"/>
    <cellStyle name="Comma 5 9 3 2 4 2" xfId="43544" xr:uid="{00000000-0005-0000-0000-000062260000}"/>
    <cellStyle name="Comma 5 9 3 2 5" xfId="29481" xr:uid="{00000000-0005-0000-0000-000063260000}"/>
    <cellStyle name="Comma 5 9 3 3" xfId="4848" xr:uid="{00000000-0005-0000-0000-000064260000}"/>
    <cellStyle name="Comma 5 9 3 3 2" xfId="13685" xr:uid="{00000000-0005-0000-0000-000065260000}"/>
    <cellStyle name="Comma 5 9 3 3 2 2" xfId="23936" xr:uid="{00000000-0005-0000-0000-000066260000}"/>
    <cellStyle name="Comma 5 9 3 3 2 2 2" xfId="49489" xr:uid="{00000000-0005-0000-0000-000067260000}"/>
    <cellStyle name="Comma 5 9 3 3 2 3" xfId="39240" xr:uid="{00000000-0005-0000-0000-000068260000}"/>
    <cellStyle name="Comma 5 9 3 3 3" xfId="10106" xr:uid="{00000000-0005-0000-0000-000069260000}"/>
    <cellStyle name="Comma 5 9 3 3 3 2" xfId="35663" xr:uid="{00000000-0005-0000-0000-00006A260000}"/>
    <cellStyle name="Comma 5 9 3 3 4" xfId="18929" xr:uid="{00000000-0005-0000-0000-00006B260000}"/>
    <cellStyle name="Comma 5 9 3 3 4 2" xfId="44482" xr:uid="{00000000-0005-0000-0000-00006C260000}"/>
    <cellStyle name="Comma 5 9 3 3 5" xfId="30419" xr:uid="{00000000-0005-0000-0000-00006D260000}"/>
    <cellStyle name="Comma 5 9 3 4" xfId="2037" xr:uid="{00000000-0005-0000-0000-00006E260000}"/>
    <cellStyle name="Comma 5 9 3 4 2" xfId="11402" xr:uid="{00000000-0005-0000-0000-00006F260000}"/>
    <cellStyle name="Comma 5 9 3 4 2 2" xfId="36957" xr:uid="{00000000-0005-0000-0000-000070260000}"/>
    <cellStyle name="Comma 5 9 3 4 3" xfId="21406" xr:uid="{00000000-0005-0000-0000-000071260000}"/>
    <cellStyle name="Comma 5 9 3 4 3 2" xfId="46959" xr:uid="{00000000-0005-0000-0000-000072260000}"/>
    <cellStyle name="Comma 5 9 3 4 4" xfId="27889" xr:uid="{00000000-0005-0000-0000-000073260000}"/>
    <cellStyle name="Comma 5 9 3 5" xfId="6303" xr:uid="{00000000-0005-0000-0000-000074260000}"/>
    <cellStyle name="Comma 5 9 3 5 2" xfId="15130" xr:uid="{00000000-0005-0000-0000-000075260000}"/>
    <cellStyle name="Comma 5 9 3 5 2 2" xfId="40685" xr:uid="{00000000-0005-0000-0000-000076260000}"/>
    <cellStyle name="Comma 5 9 3 5 3" xfId="25381" xr:uid="{00000000-0005-0000-0000-000077260000}"/>
    <cellStyle name="Comma 5 9 3 5 3 2" xfId="50934" xr:uid="{00000000-0005-0000-0000-000078260000}"/>
    <cellStyle name="Comma 5 9 3 5 4" xfId="31864" xr:uid="{00000000-0005-0000-0000-000079260000}"/>
    <cellStyle name="Comma 5 9 3 6" xfId="7749" xr:uid="{00000000-0005-0000-0000-00007A260000}"/>
    <cellStyle name="Comma 5 9 3 6 2" xfId="20597" xr:uid="{00000000-0005-0000-0000-00007B260000}"/>
    <cellStyle name="Comma 5 9 3 6 2 2" xfId="46150" xr:uid="{00000000-0005-0000-0000-00007C260000}"/>
    <cellStyle name="Comma 5 9 3 6 3" xfId="33306" xr:uid="{00000000-0005-0000-0000-00007D260000}"/>
    <cellStyle name="Comma 5 9 3 7" xfId="16399" xr:uid="{00000000-0005-0000-0000-00007E260000}"/>
    <cellStyle name="Comma 5 9 3 7 2" xfId="41952" xr:uid="{00000000-0005-0000-0000-00007F260000}"/>
    <cellStyle name="Comma 5 9 3 8" xfId="27080" xr:uid="{00000000-0005-0000-0000-000080260000}"/>
    <cellStyle name="Comma 5 9 4" xfId="2928" xr:uid="{00000000-0005-0000-0000-000081260000}"/>
    <cellStyle name="Comma 5 9 4 2" xfId="5306" xr:uid="{00000000-0005-0000-0000-000082260000}"/>
    <cellStyle name="Comma 5 9 4 2 2" xfId="14143" xr:uid="{00000000-0005-0000-0000-000083260000}"/>
    <cellStyle name="Comma 5 9 4 2 2 2" xfId="24394" xr:uid="{00000000-0005-0000-0000-000084260000}"/>
    <cellStyle name="Comma 5 9 4 2 2 2 2" xfId="49947" xr:uid="{00000000-0005-0000-0000-000085260000}"/>
    <cellStyle name="Comma 5 9 4 2 2 3" xfId="39698" xr:uid="{00000000-0005-0000-0000-000086260000}"/>
    <cellStyle name="Comma 5 9 4 2 3" xfId="10564" xr:uid="{00000000-0005-0000-0000-000087260000}"/>
    <cellStyle name="Comma 5 9 4 2 3 2" xfId="36121" xr:uid="{00000000-0005-0000-0000-000088260000}"/>
    <cellStyle name="Comma 5 9 4 2 4" xfId="19387" xr:uid="{00000000-0005-0000-0000-000089260000}"/>
    <cellStyle name="Comma 5 9 4 2 4 2" xfId="44940" xr:uid="{00000000-0005-0000-0000-00008A260000}"/>
    <cellStyle name="Comma 5 9 4 2 5" xfId="30877" xr:uid="{00000000-0005-0000-0000-00008B260000}"/>
    <cellStyle name="Comma 5 9 4 3" xfId="6761" xr:uid="{00000000-0005-0000-0000-00008C260000}"/>
    <cellStyle name="Comma 5 9 4 3 2" xfId="15588" xr:uid="{00000000-0005-0000-0000-00008D260000}"/>
    <cellStyle name="Comma 5 9 4 3 2 2" xfId="41143" xr:uid="{00000000-0005-0000-0000-00008E260000}"/>
    <cellStyle name="Comma 5 9 4 3 3" xfId="25839" xr:uid="{00000000-0005-0000-0000-00008F260000}"/>
    <cellStyle name="Comma 5 9 4 3 3 2" xfId="51392" xr:uid="{00000000-0005-0000-0000-000090260000}"/>
    <cellStyle name="Comma 5 9 4 3 4" xfId="32322" xr:uid="{00000000-0005-0000-0000-000091260000}"/>
    <cellStyle name="Comma 5 9 4 4" xfId="8207" xr:uid="{00000000-0005-0000-0000-000092260000}"/>
    <cellStyle name="Comma 5 9 4 4 2" xfId="22289" xr:uid="{00000000-0005-0000-0000-000093260000}"/>
    <cellStyle name="Comma 5 9 4 4 2 2" xfId="47842" xr:uid="{00000000-0005-0000-0000-000094260000}"/>
    <cellStyle name="Comma 5 9 4 4 3" xfId="33764" xr:uid="{00000000-0005-0000-0000-000095260000}"/>
    <cellStyle name="Comma 5 9 4 5" xfId="17282" xr:uid="{00000000-0005-0000-0000-000096260000}"/>
    <cellStyle name="Comma 5 9 4 5 2" xfId="42835" xr:uid="{00000000-0005-0000-0000-000097260000}"/>
    <cellStyle name="Comma 5 9 4 6" xfId="28772" xr:uid="{00000000-0005-0000-0000-000098260000}"/>
    <cellStyle name="Comma 5 9 5" xfId="4262" xr:uid="{00000000-0005-0000-0000-000099260000}"/>
    <cellStyle name="Comma 5 9 5 2" xfId="13100" xr:uid="{00000000-0005-0000-0000-00009A260000}"/>
    <cellStyle name="Comma 5 9 5 2 2" xfId="23351" xr:uid="{00000000-0005-0000-0000-00009B260000}"/>
    <cellStyle name="Comma 5 9 5 2 2 2" xfId="48904" xr:uid="{00000000-0005-0000-0000-00009C260000}"/>
    <cellStyle name="Comma 5 9 5 2 3" xfId="38655" xr:uid="{00000000-0005-0000-0000-00009D260000}"/>
    <cellStyle name="Comma 5 9 5 3" xfId="9521" xr:uid="{00000000-0005-0000-0000-00009E260000}"/>
    <cellStyle name="Comma 5 9 5 3 2" xfId="35078" xr:uid="{00000000-0005-0000-0000-00009F260000}"/>
    <cellStyle name="Comma 5 9 5 4" xfId="18344" xr:uid="{00000000-0005-0000-0000-0000A0260000}"/>
    <cellStyle name="Comma 5 9 5 4 2" xfId="43897" xr:uid="{00000000-0005-0000-0000-0000A1260000}"/>
    <cellStyle name="Comma 5 9 5 5" xfId="29834" xr:uid="{00000000-0005-0000-0000-0000A2260000}"/>
    <cellStyle name="Comma 5 9 6" xfId="1534" xr:uid="{00000000-0005-0000-0000-0000A3260000}"/>
    <cellStyle name="Comma 5 9 6 2" xfId="10911" xr:uid="{00000000-0005-0000-0000-0000A4260000}"/>
    <cellStyle name="Comma 5 9 6 2 2" xfId="36466" xr:uid="{00000000-0005-0000-0000-0000A5260000}"/>
    <cellStyle name="Comma 5 9 6 3" xfId="20915" xr:uid="{00000000-0005-0000-0000-0000A6260000}"/>
    <cellStyle name="Comma 5 9 6 3 2" xfId="46468" xr:uid="{00000000-0005-0000-0000-0000A7260000}"/>
    <cellStyle name="Comma 5 9 6 4" xfId="27398" xr:uid="{00000000-0005-0000-0000-0000A8260000}"/>
    <cellStyle name="Comma 5 9 7" xfId="5718" xr:uid="{00000000-0005-0000-0000-0000A9260000}"/>
    <cellStyle name="Comma 5 9 7 2" xfId="14545" xr:uid="{00000000-0005-0000-0000-0000AA260000}"/>
    <cellStyle name="Comma 5 9 7 2 2" xfId="40100" xr:uid="{00000000-0005-0000-0000-0000AB260000}"/>
    <cellStyle name="Comma 5 9 7 3" xfId="24796" xr:uid="{00000000-0005-0000-0000-0000AC260000}"/>
    <cellStyle name="Comma 5 9 7 3 2" xfId="50349" xr:uid="{00000000-0005-0000-0000-0000AD260000}"/>
    <cellStyle name="Comma 5 9 7 4" xfId="31279" xr:uid="{00000000-0005-0000-0000-0000AE260000}"/>
    <cellStyle name="Comma 5 9 8" xfId="7162" xr:uid="{00000000-0005-0000-0000-0000AF260000}"/>
    <cellStyle name="Comma 5 9 8 2" xfId="19888" xr:uid="{00000000-0005-0000-0000-0000B0260000}"/>
    <cellStyle name="Comma 5 9 8 2 2" xfId="45441" xr:uid="{00000000-0005-0000-0000-0000B1260000}"/>
    <cellStyle name="Comma 5 9 8 3" xfId="32719" xr:uid="{00000000-0005-0000-0000-0000B2260000}"/>
    <cellStyle name="Comma 5 9 9" xfId="15908" xr:uid="{00000000-0005-0000-0000-0000B3260000}"/>
    <cellStyle name="Comma 5 9 9 2" xfId="41461" xr:uid="{00000000-0005-0000-0000-0000B4260000}"/>
    <cellStyle name="Comma 6" xfId="115" xr:uid="{00000000-0005-0000-0000-0000B5260000}"/>
    <cellStyle name="Comma 6 10" xfId="4094" xr:uid="{00000000-0005-0000-0000-0000B6260000}"/>
    <cellStyle name="Comma 6 10 2" xfId="5552" xr:uid="{00000000-0005-0000-0000-0000B7260000}"/>
    <cellStyle name="Comma 6 10 2 2" xfId="14379" xr:uid="{00000000-0005-0000-0000-0000B8260000}"/>
    <cellStyle name="Comma 6 10 2 2 2" xfId="39934" xr:uid="{00000000-0005-0000-0000-0000B9260000}"/>
    <cellStyle name="Comma 6 10 2 3" xfId="24630" xr:uid="{00000000-0005-0000-0000-0000BA260000}"/>
    <cellStyle name="Comma 6 10 2 3 2" xfId="50183" xr:uid="{00000000-0005-0000-0000-0000BB260000}"/>
    <cellStyle name="Comma 6 10 2 4" xfId="31113" xr:uid="{00000000-0005-0000-0000-0000BC260000}"/>
    <cellStyle name="Comma 6 10 3" xfId="6996" xr:uid="{00000000-0005-0000-0000-0000BD260000}"/>
    <cellStyle name="Comma 6 10 3 2" xfId="23183" xr:uid="{00000000-0005-0000-0000-0000BE260000}"/>
    <cellStyle name="Comma 6 10 3 2 2" xfId="48736" xr:uid="{00000000-0005-0000-0000-0000BF260000}"/>
    <cellStyle name="Comma 6 10 3 3" xfId="32553" xr:uid="{00000000-0005-0000-0000-0000C0260000}"/>
    <cellStyle name="Comma 6 10 4" xfId="18176" xr:uid="{00000000-0005-0000-0000-0000C1260000}"/>
    <cellStyle name="Comma 6 10 4 2" xfId="43729" xr:uid="{00000000-0005-0000-0000-0000C2260000}"/>
    <cellStyle name="Comma 6 10 5" xfId="29666" xr:uid="{00000000-0005-0000-0000-0000C3260000}"/>
    <cellStyle name="Comma 6 11" xfId="1388" xr:uid="{00000000-0005-0000-0000-0000C4260000}"/>
    <cellStyle name="Comma 6 11 2" xfId="10765" xr:uid="{00000000-0005-0000-0000-0000C5260000}"/>
    <cellStyle name="Comma 6 11 2 2" xfId="36320" xr:uid="{00000000-0005-0000-0000-0000C6260000}"/>
    <cellStyle name="Comma 6 11 3" xfId="20769" xr:uid="{00000000-0005-0000-0000-0000C7260000}"/>
    <cellStyle name="Comma 6 11 3 2" xfId="46322" xr:uid="{00000000-0005-0000-0000-0000C8260000}"/>
    <cellStyle name="Comma 6 11 4" xfId="27252" xr:uid="{00000000-0005-0000-0000-0000C9260000}"/>
    <cellStyle name="Comma 6 12" xfId="5522" xr:uid="{00000000-0005-0000-0000-0000CA260000}"/>
    <cellStyle name="Comma 6 12 2" xfId="14349" xr:uid="{00000000-0005-0000-0000-0000CB260000}"/>
    <cellStyle name="Comma 6 12 2 2" xfId="39904" xr:uid="{00000000-0005-0000-0000-0000CC260000}"/>
    <cellStyle name="Comma 6 12 3" xfId="24600" xr:uid="{00000000-0005-0000-0000-0000CD260000}"/>
    <cellStyle name="Comma 6 12 3 2" xfId="50153" xr:uid="{00000000-0005-0000-0000-0000CE260000}"/>
    <cellStyle name="Comma 6 12 4" xfId="31083" xr:uid="{00000000-0005-0000-0000-0000CF260000}"/>
    <cellStyle name="Comma 6 13" xfId="6963" xr:uid="{00000000-0005-0000-0000-0000D0260000}"/>
    <cellStyle name="Comma 6 13 2" xfId="19588" xr:uid="{00000000-0005-0000-0000-0000D1260000}"/>
    <cellStyle name="Comma 6 13 2 2" xfId="45141" xr:uid="{00000000-0005-0000-0000-0000D2260000}"/>
    <cellStyle name="Comma 6 13 3" xfId="32521" xr:uid="{00000000-0005-0000-0000-0000D3260000}"/>
    <cellStyle name="Comma 6 14" xfId="15762" xr:uid="{00000000-0005-0000-0000-0000D4260000}"/>
    <cellStyle name="Comma 6 14 2" xfId="41315" xr:uid="{00000000-0005-0000-0000-0000D5260000}"/>
    <cellStyle name="Comma 6 15" xfId="26071" xr:uid="{00000000-0005-0000-0000-0000D6260000}"/>
    <cellStyle name="Comma 6 2" xfId="143" xr:uid="{00000000-0005-0000-0000-0000D7260000}"/>
    <cellStyle name="Comma 6 2 10" xfId="1411" xr:uid="{00000000-0005-0000-0000-0000D8260000}"/>
    <cellStyle name="Comma 6 2 10 2" xfId="10788" xr:uid="{00000000-0005-0000-0000-0000D9260000}"/>
    <cellStyle name="Comma 6 2 10 2 2" xfId="36343" xr:uid="{00000000-0005-0000-0000-0000DA260000}"/>
    <cellStyle name="Comma 6 2 10 3" xfId="20792" xr:uid="{00000000-0005-0000-0000-0000DB260000}"/>
    <cellStyle name="Comma 6 2 10 3 2" xfId="46345" xr:uid="{00000000-0005-0000-0000-0000DC260000}"/>
    <cellStyle name="Comma 6 2 10 4" xfId="27275" xr:uid="{00000000-0005-0000-0000-0000DD260000}"/>
    <cellStyle name="Comma 6 2 11" xfId="5595" xr:uid="{00000000-0005-0000-0000-0000DE260000}"/>
    <cellStyle name="Comma 6 2 11 2" xfId="14422" xr:uid="{00000000-0005-0000-0000-0000DF260000}"/>
    <cellStyle name="Comma 6 2 11 2 2" xfId="39977" xr:uid="{00000000-0005-0000-0000-0000E0260000}"/>
    <cellStyle name="Comma 6 2 11 3" xfId="24673" xr:uid="{00000000-0005-0000-0000-0000E1260000}"/>
    <cellStyle name="Comma 6 2 11 3 2" xfId="50226" xr:uid="{00000000-0005-0000-0000-0000E2260000}"/>
    <cellStyle name="Comma 6 2 11 4" xfId="31156" xr:uid="{00000000-0005-0000-0000-0000E3260000}"/>
    <cellStyle name="Comma 6 2 12" xfId="7039" xr:uid="{00000000-0005-0000-0000-0000E4260000}"/>
    <cellStyle name="Comma 6 2 12 2" xfId="19607" xr:uid="{00000000-0005-0000-0000-0000E5260000}"/>
    <cellStyle name="Comma 6 2 12 2 2" xfId="45160" xr:uid="{00000000-0005-0000-0000-0000E6260000}"/>
    <cellStyle name="Comma 6 2 12 3" xfId="32596" xr:uid="{00000000-0005-0000-0000-0000E7260000}"/>
    <cellStyle name="Comma 6 2 13" xfId="15785" xr:uid="{00000000-0005-0000-0000-0000E8260000}"/>
    <cellStyle name="Comma 6 2 13 2" xfId="41338" xr:uid="{00000000-0005-0000-0000-0000E9260000}"/>
    <cellStyle name="Comma 6 2 14" xfId="26090" xr:uid="{00000000-0005-0000-0000-0000EA260000}"/>
    <cellStyle name="Comma 6 2 2" xfId="259" xr:uid="{00000000-0005-0000-0000-0000EB260000}"/>
    <cellStyle name="Comma 6 2 2 10" xfId="7098" xr:uid="{00000000-0005-0000-0000-0000EC260000}"/>
    <cellStyle name="Comma 6 2 2 10 2" xfId="19711" xr:uid="{00000000-0005-0000-0000-0000ED260000}"/>
    <cellStyle name="Comma 6 2 2 10 2 2" xfId="45264" xr:uid="{00000000-0005-0000-0000-0000EE260000}"/>
    <cellStyle name="Comma 6 2 2 10 3" xfId="32655" xr:uid="{00000000-0005-0000-0000-0000EF260000}"/>
    <cellStyle name="Comma 6 2 2 11" xfId="15844" xr:uid="{00000000-0005-0000-0000-0000F0260000}"/>
    <cellStyle name="Comma 6 2 2 11 2" xfId="41397" xr:uid="{00000000-0005-0000-0000-0000F1260000}"/>
    <cellStyle name="Comma 6 2 2 12" xfId="26194" xr:uid="{00000000-0005-0000-0000-0000F2260000}"/>
    <cellStyle name="Comma 6 2 2 2" xfId="582" xr:uid="{00000000-0005-0000-0000-0000F3260000}"/>
    <cellStyle name="Comma 6 2 2 2 10" xfId="26511" xr:uid="{00000000-0005-0000-0000-0000F4260000}"/>
    <cellStyle name="Comma 6 2 2 2 2" xfId="688" xr:uid="{00000000-0005-0000-0000-0000F5260000}"/>
    <cellStyle name="Comma 6 2 2 2 2 2" xfId="3174" xr:uid="{00000000-0005-0000-0000-0000F6260000}"/>
    <cellStyle name="Comma 6 2 2 2 2 2 2" xfId="12317" xr:uid="{00000000-0005-0000-0000-0000F7260000}"/>
    <cellStyle name="Comma 6 2 2 2 2 2 2 2" xfId="22535" xr:uid="{00000000-0005-0000-0000-0000F8260000}"/>
    <cellStyle name="Comma 6 2 2 2 2 2 2 2 2" xfId="48088" xr:uid="{00000000-0005-0000-0000-0000F9260000}"/>
    <cellStyle name="Comma 6 2 2 2 2 2 2 3" xfId="37872" xr:uid="{00000000-0005-0000-0000-0000FA260000}"/>
    <cellStyle name="Comma 6 2 2 2 2 2 3" xfId="8739" xr:uid="{00000000-0005-0000-0000-0000FB260000}"/>
    <cellStyle name="Comma 6 2 2 2 2 2 3 2" xfId="34296" xr:uid="{00000000-0005-0000-0000-0000FC260000}"/>
    <cellStyle name="Comma 6 2 2 2 2 2 4" xfId="17528" xr:uid="{00000000-0005-0000-0000-0000FD260000}"/>
    <cellStyle name="Comma 6 2 2 2 2 2 4 2" xfId="43081" xr:uid="{00000000-0005-0000-0000-0000FE260000}"/>
    <cellStyle name="Comma 6 2 2 2 2 2 5" xfId="29018" xr:uid="{00000000-0005-0000-0000-0000FF260000}"/>
    <cellStyle name="Comma 6 2 2 2 2 3" xfId="4503" xr:uid="{00000000-0005-0000-0000-000000270000}"/>
    <cellStyle name="Comma 6 2 2 2 2 3 2" xfId="13341" xr:uid="{00000000-0005-0000-0000-000001270000}"/>
    <cellStyle name="Comma 6 2 2 2 2 3 2 2" xfId="23592" xr:uid="{00000000-0005-0000-0000-000002270000}"/>
    <cellStyle name="Comma 6 2 2 2 2 3 2 2 2" xfId="49145" xr:uid="{00000000-0005-0000-0000-000003270000}"/>
    <cellStyle name="Comma 6 2 2 2 2 3 2 3" xfId="38896" xr:uid="{00000000-0005-0000-0000-000004270000}"/>
    <cellStyle name="Comma 6 2 2 2 2 3 3" xfId="9762" xr:uid="{00000000-0005-0000-0000-000005270000}"/>
    <cellStyle name="Comma 6 2 2 2 2 3 3 2" xfId="35319" xr:uid="{00000000-0005-0000-0000-000006270000}"/>
    <cellStyle name="Comma 6 2 2 2 2 3 4" xfId="18585" xr:uid="{00000000-0005-0000-0000-000007270000}"/>
    <cellStyle name="Comma 6 2 2 2 2 3 4 2" xfId="44138" xr:uid="{00000000-0005-0000-0000-000008270000}"/>
    <cellStyle name="Comma 6 2 2 2 2 3 5" xfId="30075" xr:uid="{00000000-0005-0000-0000-000009270000}"/>
    <cellStyle name="Comma 6 2 2 2 2 4" xfId="2283" xr:uid="{00000000-0005-0000-0000-00000A270000}"/>
    <cellStyle name="Comma 6 2 2 2 2 4 2" xfId="11648" xr:uid="{00000000-0005-0000-0000-00000B270000}"/>
    <cellStyle name="Comma 6 2 2 2 2 4 2 2" xfId="37203" xr:uid="{00000000-0005-0000-0000-00000C270000}"/>
    <cellStyle name="Comma 6 2 2 2 2 4 3" xfId="21652" xr:uid="{00000000-0005-0000-0000-00000D270000}"/>
    <cellStyle name="Comma 6 2 2 2 2 4 3 2" xfId="47205" xr:uid="{00000000-0005-0000-0000-00000E270000}"/>
    <cellStyle name="Comma 6 2 2 2 2 4 4" xfId="28135" xr:uid="{00000000-0005-0000-0000-00000F270000}"/>
    <cellStyle name="Comma 6 2 2 2 2 5" xfId="5959" xr:uid="{00000000-0005-0000-0000-000010270000}"/>
    <cellStyle name="Comma 6 2 2 2 2 5 2" xfId="14786" xr:uid="{00000000-0005-0000-0000-000011270000}"/>
    <cellStyle name="Comma 6 2 2 2 2 5 2 2" xfId="40341" xr:uid="{00000000-0005-0000-0000-000012270000}"/>
    <cellStyle name="Comma 6 2 2 2 2 5 3" xfId="25037" xr:uid="{00000000-0005-0000-0000-000013270000}"/>
    <cellStyle name="Comma 6 2 2 2 2 5 3 2" xfId="50590" xr:uid="{00000000-0005-0000-0000-000014270000}"/>
    <cellStyle name="Comma 6 2 2 2 2 5 4" xfId="31520" xr:uid="{00000000-0005-0000-0000-000015270000}"/>
    <cellStyle name="Comma 6 2 2 2 2 6" xfId="7403" xr:uid="{00000000-0005-0000-0000-000016270000}"/>
    <cellStyle name="Comma 6 2 2 2 2 6 2" xfId="20134" xr:uid="{00000000-0005-0000-0000-000017270000}"/>
    <cellStyle name="Comma 6 2 2 2 2 6 2 2" xfId="45687" xr:uid="{00000000-0005-0000-0000-000018270000}"/>
    <cellStyle name="Comma 6 2 2 2 2 6 3" xfId="32960" xr:uid="{00000000-0005-0000-0000-000019270000}"/>
    <cellStyle name="Comma 6 2 2 2 2 7" xfId="16645" xr:uid="{00000000-0005-0000-0000-00001A270000}"/>
    <cellStyle name="Comma 6 2 2 2 2 7 2" xfId="42198" xr:uid="{00000000-0005-0000-0000-00001B270000}"/>
    <cellStyle name="Comma 6 2 2 2 2 8" xfId="26617" xr:uid="{00000000-0005-0000-0000-00001C270000}"/>
    <cellStyle name="Comma 6 2 2 2 3" xfId="1354" xr:uid="{00000000-0005-0000-0000-00001D270000}"/>
    <cellStyle name="Comma 6 2 2 2 3 2" xfId="3783" xr:uid="{00000000-0005-0000-0000-00001E270000}"/>
    <cellStyle name="Comma 6 2 2 2 3 2 2" xfId="12919" xr:uid="{00000000-0005-0000-0000-00001F270000}"/>
    <cellStyle name="Comma 6 2 2 2 3 2 2 2" xfId="23138" xr:uid="{00000000-0005-0000-0000-000020270000}"/>
    <cellStyle name="Comma 6 2 2 2 3 2 2 2 2" xfId="48691" xr:uid="{00000000-0005-0000-0000-000021270000}"/>
    <cellStyle name="Comma 6 2 2 2 3 2 2 3" xfId="38474" xr:uid="{00000000-0005-0000-0000-000022270000}"/>
    <cellStyle name="Comma 6 2 2 2 3 2 3" xfId="9340" xr:uid="{00000000-0005-0000-0000-000023270000}"/>
    <cellStyle name="Comma 6 2 2 2 3 2 3 2" xfId="34897" xr:uid="{00000000-0005-0000-0000-000024270000}"/>
    <cellStyle name="Comma 6 2 2 2 3 2 4" xfId="18131" xr:uid="{00000000-0005-0000-0000-000025270000}"/>
    <cellStyle name="Comma 6 2 2 2 3 2 4 2" xfId="43684" xr:uid="{00000000-0005-0000-0000-000026270000}"/>
    <cellStyle name="Comma 6 2 2 2 3 2 5" xfId="29621" xr:uid="{00000000-0005-0000-0000-000027270000}"/>
    <cellStyle name="Comma 6 2 2 2 3 3" xfId="4852" xr:uid="{00000000-0005-0000-0000-000028270000}"/>
    <cellStyle name="Comma 6 2 2 2 3 3 2" xfId="13689" xr:uid="{00000000-0005-0000-0000-000029270000}"/>
    <cellStyle name="Comma 6 2 2 2 3 3 2 2" xfId="23940" xr:uid="{00000000-0005-0000-0000-00002A270000}"/>
    <cellStyle name="Comma 6 2 2 2 3 3 2 2 2" xfId="49493" xr:uid="{00000000-0005-0000-0000-00002B270000}"/>
    <cellStyle name="Comma 6 2 2 2 3 3 2 3" xfId="39244" xr:uid="{00000000-0005-0000-0000-00002C270000}"/>
    <cellStyle name="Comma 6 2 2 2 3 3 3" xfId="10110" xr:uid="{00000000-0005-0000-0000-00002D270000}"/>
    <cellStyle name="Comma 6 2 2 2 3 3 3 2" xfId="35667" xr:uid="{00000000-0005-0000-0000-00002E270000}"/>
    <cellStyle name="Comma 6 2 2 2 3 3 4" xfId="18933" xr:uid="{00000000-0005-0000-0000-00002F270000}"/>
    <cellStyle name="Comma 6 2 2 2 3 3 4 2" xfId="44486" xr:uid="{00000000-0005-0000-0000-000030270000}"/>
    <cellStyle name="Comma 6 2 2 2 3 3 5" xfId="30423" xr:uid="{00000000-0005-0000-0000-000031270000}"/>
    <cellStyle name="Comma 6 2 2 2 3 4" xfId="2177" xr:uid="{00000000-0005-0000-0000-000032270000}"/>
    <cellStyle name="Comma 6 2 2 2 3 4 2" xfId="11542" xr:uid="{00000000-0005-0000-0000-000033270000}"/>
    <cellStyle name="Comma 6 2 2 2 3 4 2 2" xfId="37097" xr:uid="{00000000-0005-0000-0000-000034270000}"/>
    <cellStyle name="Comma 6 2 2 2 3 4 3" xfId="21546" xr:uid="{00000000-0005-0000-0000-000035270000}"/>
    <cellStyle name="Comma 6 2 2 2 3 4 3 2" xfId="47099" xr:uid="{00000000-0005-0000-0000-000036270000}"/>
    <cellStyle name="Comma 6 2 2 2 3 4 4" xfId="28029" xr:uid="{00000000-0005-0000-0000-000037270000}"/>
    <cellStyle name="Comma 6 2 2 2 3 5" xfId="6307" xr:uid="{00000000-0005-0000-0000-000038270000}"/>
    <cellStyle name="Comma 6 2 2 2 3 5 2" xfId="15134" xr:uid="{00000000-0005-0000-0000-000039270000}"/>
    <cellStyle name="Comma 6 2 2 2 3 5 2 2" xfId="40689" xr:uid="{00000000-0005-0000-0000-00003A270000}"/>
    <cellStyle name="Comma 6 2 2 2 3 5 3" xfId="25385" xr:uid="{00000000-0005-0000-0000-00003B270000}"/>
    <cellStyle name="Comma 6 2 2 2 3 5 3 2" xfId="50938" xr:uid="{00000000-0005-0000-0000-00003C270000}"/>
    <cellStyle name="Comma 6 2 2 2 3 5 4" xfId="31868" xr:uid="{00000000-0005-0000-0000-00003D270000}"/>
    <cellStyle name="Comma 6 2 2 2 3 6" xfId="7753" xr:uid="{00000000-0005-0000-0000-00003E270000}"/>
    <cellStyle name="Comma 6 2 2 2 3 6 2" xfId="20737" xr:uid="{00000000-0005-0000-0000-00003F270000}"/>
    <cellStyle name="Comma 6 2 2 2 3 6 2 2" xfId="46290" xr:uid="{00000000-0005-0000-0000-000040270000}"/>
    <cellStyle name="Comma 6 2 2 2 3 6 3" xfId="33310" xr:uid="{00000000-0005-0000-0000-000041270000}"/>
    <cellStyle name="Comma 6 2 2 2 3 7" xfId="16539" xr:uid="{00000000-0005-0000-0000-000042270000}"/>
    <cellStyle name="Comma 6 2 2 2 3 7 2" xfId="42092" xr:uid="{00000000-0005-0000-0000-000043270000}"/>
    <cellStyle name="Comma 6 2 2 2 3 8" xfId="27220" xr:uid="{00000000-0005-0000-0000-000044270000}"/>
    <cellStyle name="Comma 6 2 2 2 4" xfId="3068" xr:uid="{00000000-0005-0000-0000-000045270000}"/>
    <cellStyle name="Comma 6 2 2 2 4 2" xfId="5446" xr:uid="{00000000-0005-0000-0000-000046270000}"/>
    <cellStyle name="Comma 6 2 2 2 4 2 2" xfId="14283" xr:uid="{00000000-0005-0000-0000-000047270000}"/>
    <cellStyle name="Comma 6 2 2 2 4 2 2 2" xfId="24534" xr:uid="{00000000-0005-0000-0000-000048270000}"/>
    <cellStyle name="Comma 6 2 2 2 4 2 2 2 2" xfId="50087" xr:uid="{00000000-0005-0000-0000-000049270000}"/>
    <cellStyle name="Comma 6 2 2 2 4 2 2 3" xfId="39838" xr:uid="{00000000-0005-0000-0000-00004A270000}"/>
    <cellStyle name="Comma 6 2 2 2 4 2 3" xfId="10704" xr:uid="{00000000-0005-0000-0000-00004B270000}"/>
    <cellStyle name="Comma 6 2 2 2 4 2 3 2" xfId="36261" xr:uid="{00000000-0005-0000-0000-00004C270000}"/>
    <cellStyle name="Comma 6 2 2 2 4 2 4" xfId="19527" xr:uid="{00000000-0005-0000-0000-00004D270000}"/>
    <cellStyle name="Comma 6 2 2 2 4 2 4 2" xfId="45080" xr:uid="{00000000-0005-0000-0000-00004E270000}"/>
    <cellStyle name="Comma 6 2 2 2 4 2 5" xfId="31017" xr:uid="{00000000-0005-0000-0000-00004F270000}"/>
    <cellStyle name="Comma 6 2 2 2 4 3" xfId="6901" xr:uid="{00000000-0005-0000-0000-000050270000}"/>
    <cellStyle name="Comma 6 2 2 2 4 3 2" xfId="15728" xr:uid="{00000000-0005-0000-0000-000051270000}"/>
    <cellStyle name="Comma 6 2 2 2 4 3 2 2" xfId="41283" xr:uid="{00000000-0005-0000-0000-000052270000}"/>
    <cellStyle name="Comma 6 2 2 2 4 3 3" xfId="25979" xr:uid="{00000000-0005-0000-0000-000053270000}"/>
    <cellStyle name="Comma 6 2 2 2 4 3 3 2" xfId="51532" xr:uid="{00000000-0005-0000-0000-000054270000}"/>
    <cellStyle name="Comma 6 2 2 2 4 3 4" xfId="32462" xr:uid="{00000000-0005-0000-0000-000055270000}"/>
    <cellStyle name="Comma 6 2 2 2 4 4" xfId="8347" xr:uid="{00000000-0005-0000-0000-000056270000}"/>
    <cellStyle name="Comma 6 2 2 2 4 4 2" xfId="22429" xr:uid="{00000000-0005-0000-0000-000057270000}"/>
    <cellStyle name="Comma 6 2 2 2 4 4 2 2" xfId="47982" xr:uid="{00000000-0005-0000-0000-000058270000}"/>
    <cellStyle name="Comma 6 2 2 2 4 4 3" xfId="33904" xr:uid="{00000000-0005-0000-0000-000059270000}"/>
    <cellStyle name="Comma 6 2 2 2 4 5" xfId="17422" xr:uid="{00000000-0005-0000-0000-00005A270000}"/>
    <cellStyle name="Comma 6 2 2 2 4 5 2" xfId="42975" xr:uid="{00000000-0005-0000-0000-00005B270000}"/>
    <cellStyle name="Comma 6 2 2 2 4 6" xfId="28912" xr:uid="{00000000-0005-0000-0000-00005C270000}"/>
    <cellStyle name="Comma 6 2 2 2 5" xfId="4402" xr:uid="{00000000-0005-0000-0000-00005D270000}"/>
    <cellStyle name="Comma 6 2 2 2 5 2" xfId="13240" xr:uid="{00000000-0005-0000-0000-00005E270000}"/>
    <cellStyle name="Comma 6 2 2 2 5 2 2" xfId="23491" xr:uid="{00000000-0005-0000-0000-00005F270000}"/>
    <cellStyle name="Comma 6 2 2 2 5 2 2 2" xfId="49044" xr:uid="{00000000-0005-0000-0000-000060270000}"/>
    <cellStyle name="Comma 6 2 2 2 5 2 3" xfId="38795" xr:uid="{00000000-0005-0000-0000-000061270000}"/>
    <cellStyle name="Comma 6 2 2 2 5 3" xfId="9661" xr:uid="{00000000-0005-0000-0000-000062270000}"/>
    <cellStyle name="Comma 6 2 2 2 5 3 2" xfId="35218" xr:uid="{00000000-0005-0000-0000-000063270000}"/>
    <cellStyle name="Comma 6 2 2 2 5 4" xfId="18484" xr:uid="{00000000-0005-0000-0000-000064270000}"/>
    <cellStyle name="Comma 6 2 2 2 5 4 2" xfId="44037" xr:uid="{00000000-0005-0000-0000-000065270000}"/>
    <cellStyle name="Comma 6 2 2 2 5 5" xfId="29974" xr:uid="{00000000-0005-0000-0000-000066270000}"/>
    <cellStyle name="Comma 6 2 2 2 6" xfId="1674" xr:uid="{00000000-0005-0000-0000-000067270000}"/>
    <cellStyle name="Comma 6 2 2 2 6 2" xfId="11051" xr:uid="{00000000-0005-0000-0000-000068270000}"/>
    <cellStyle name="Comma 6 2 2 2 6 2 2" xfId="36606" xr:uid="{00000000-0005-0000-0000-000069270000}"/>
    <cellStyle name="Comma 6 2 2 2 6 3" xfId="21055" xr:uid="{00000000-0005-0000-0000-00006A270000}"/>
    <cellStyle name="Comma 6 2 2 2 6 3 2" xfId="46608" xr:uid="{00000000-0005-0000-0000-00006B270000}"/>
    <cellStyle name="Comma 6 2 2 2 6 4" xfId="27538" xr:uid="{00000000-0005-0000-0000-00006C270000}"/>
    <cellStyle name="Comma 6 2 2 2 7" xfId="5858" xr:uid="{00000000-0005-0000-0000-00006D270000}"/>
    <cellStyle name="Comma 6 2 2 2 7 2" xfId="14685" xr:uid="{00000000-0005-0000-0000-00006E270000}"/>
    <cellStyle name="Comma 6 2 2 2 7 2 2" xfId="40240" xr:uid="{00000000-0005-0000-0000-00006F270000}"/>
    <cellStyle name="Comma 6 2 2 2 7 3" xfId="24936" xr:uid="{00000000-0005-0000-0000-000070270000}"/>
    <cellStyle name="Comma 6 2 2 2 7 3 2" xfId="50489" xr:uid="{00000000-0005-0000-0000-000071270000}"/>
    <cellStyle name="Comma 6 2 2 2 7 4" xfId="31419" xr:uid="{00000000-0005-0000-0000-000072270000}"/>
    <cellStyle name="Comma 6 2 2 2 8" xfId="7302" xr:uid="{00000000-0005-0000-0000-000073270000}"/>
    <cellStyle name="Comma 6 2 2 2 8 2" xfId="20028" xr:uid="{00000000-0005-0000-0000-000074270000}"/>
    <cellStyle name="Comma 6 2 2 2 8 2 2" xfId="45581" xr:uid="{00000000-0005-0000-0000-000075270000}"/>
    <cellStyle name="Comma 6 2 2 2 8 3" xfId="32859" xr:uid="{00000000-0005-0000-0000-000076270000}"/>
    <cellStyle name="Comma 6 2 2 2 9" xfId="16048" xr:uid="{00000000-0005-0000-0000-000077270000}"/>
    <cellStyle name="Comma 6 2 2 2 9 2" xfId="41601" xr:uid="{00000000-0005-0000-0000-000078270000}"/>
    <cellStyle name="Comma 6 2 2 3" xfId="378" xr:uid="{00000000-0005-0000-0000-000079270000}"/>
    <cellStyle name="Comma 6 2 2 3 2" xfId="2864" xr:uid="{00000000-0005-0000-0000-00007A270000}"/>
    <cellStyle name="Comma 6 2 2 3 2 2" xfId="12152" xr:uid="{00000000-0005-0000-0000-00007B270000}"/>
    <cellStyle name="Comma 6 2 2 3 2 2 2" xfId="22225" xr:uid="{00000000-0005-0000-0000-00007C270000}"/>
    <cellStyle name="Comma 6 2 2 3 2 2 2 2" xfId="47778" xr:uid="{00000000-0005-0000-0000-00007D270000}"/>
    <cellStyle name="Comma 6 2 2 3 2 2 3" xfId="37707" xr:uid="{00000000-0005-0000-0000-00007E270000}"/>
    <cellStyle name="Comma 6 2 2 3 2 3" xfId="8394" xr:uid="{00000000-0005-0000-0000-00007F270000}"/>
    <cellStyle name="Comma 6 2 2 3 2 3 2" xfId="33951" xr:uid="{00000000-0005-0000-0000-000080270000}"/>
    <cellStyle name="Comma 6 2 2 3 2 4" xfId="17218" xr:uid="{00000000-0005-0000-0000-000081270000}"/>
    <cellStyle name="Comma 6 2 2 3 2 4 2" xfId="42771" xr:uid="{00000000-0005-0000-0000-000082270000}"/>
    <cellStyle name="Comma 6 2 2 3 2 5" xfId="28708" xr:uid="{00000000-0005-0000-0000-000083270000}"/>
    <cellStyle name="Comma 6 2 2 3 3" xfId="4502" xr:uid="{00000000-0005-0000-0000-000084270000}"/>
    <cellStyle name="Comma 6 2 2 3 3 2" xfId="13340" xr:uid="{00000000-0005-0000-0000-000085270000}"/>
    <cellStyle name="Comma 6 2 2 3 3 2 2" xfId="23591" xr:uid="{00000000-0005-0000-0000-000086270000}"/>
    <cellStyle name="Comma 6 2 2 3 3 2 2 2" xfId="49144" xr:uid="{00000000-0005-0000-0000-000087270000}"/>
    <cellStyle name="Comma 6 2 2 3 3 2 3" xfId="38895" xr:uid="{00000000-0005-0000-0000-000088270000}"/>
    <cellStyle name="Comma 6 2 2 3 3 3" xfId="9761" xr:uid="{00000000-0005-0000-0000-000089270000}"/>
    <cellStyle name="Comma 6 2 2 3 3 3 2" xfId="35318" xr:uid="{00000000-0005-0000-0000-00008A270000}"/>
    <cellStyle name="Comma 6 2 2 3 3 4" xfId="18584" xr:uid="{00000000-0005-0000-0000-00008B270000}"/>
    <cellStyle name="Comma 6 2 2 3 3 4 2" xfId="44137" xr:uid="{00000000-0005-0000-0000-00008C270000}"/>
    <cellStyle name="Comma 6 2 2 3 3 5" xfId="30074" xr:uid="{00000000-0005-0000-0000-00008D270000}"/>
    <cellStyle name="Comma 6 2 2 3 4" xfId="1973" xr:uid="{00000000-0005-0000-0000-00008E270000}"/>
    <cellStyle name="Comma 6 2 2 3 4 2" xfId="11338" xr:uid="{00000000-0005-0000-0000-00008F270000}"/>
    <cellStyle name="Comma 6 2 2 3 4 2 2" xfId="36893" xr:uid="{00000000-0005-0000-0000-000090270000}"/>
    <cellStyle name="Comma 6 2 2 3 4 3" xfId="21342" xr:uid="{00000000-0005-0000-0000-000091270000}"/>
    <cellStyle name="Comma 6 2 2 3 4 3 2" xfId="46895" xr:uid="{00000000-0005-0000-0000-000092270000}"/>
    <cellStyle name="Comma 6 2 2 3 4 4" xfId="27825" xr:uid="{00000000-0005-0000-0000-000093270000}"/>
    <cellStyle name="Comma 6 2 2 3 5" xfId="5958" xr:uid="{00000000-0005-0000-0000-000094270000}"/>
    <cellStyle name="Comma 6 2 2 3 5 2" xfId="14785" xr:uid="{00000000-0005-0000-0000-000095270000}"/>
    <cellStyle name="Comma 6 2 2 3 5 2 2" xfId="40340" xr:uid="{00000000-0005-0000-0000-000096270000}"/>
    <cellStyle name="Comma 6 2 2 3 5 3" xfId="25036" xr:uid="{00000000-0005-0000-0000-000097270000}"/>
    <cellStyle name="Comma 6 2 2 3 5 3 2" xfId="50589" xr:uid="{00000000-0005-0000-0000-000098270000}"/>
    <cellStyle name="Comma 6 2 2 3 5 4" xfId="31519" xr:uid="{00000000-0005-0000-0000-000099270000}"/>
    <cellStyle name="Comma 6 2 2 3 6" xfId="7402" xr:uid="{00000000-0005-0000-0000-00009A270000}"/>
    <cellStyle name="Comma 6 2 2 3 6 2" xfId="19824" xr:uid="{00000000-0005-0000-0000-00009B270000}"/>
    <cellStyle name="Comma 6 2 2 3 6 2 2" xfId="45377" xr:uid="{00000000-0005-0000-0000-00009C270000}"/>
    <cellStyle name="Comma 6 2 2 3 6 3" xfId="32959" xr:uid="{00000000-0005-0000-0000-00009D270000}"/>
    <cellStyle name="Comma 6 2 2 3 7" xfId="16335" xr:uid="{00000000-0005-0000-0000-00009E270000}"/>
    <cellStyle name="Comma 6 2 2 3 7 2" xfId="41888" xr:uid="{00000000-0005-0000-0000-00009F270000}"/>
    <cellStyle name="Comma 6 2 2 3 8" xfId="26307" xr:uid="{00000000-0005-0000-0000-0000A0270000}"/>
    <cellStyle name="Comma 6 2 2 4" xfId="687" xr:uid="{00000000-0005-0000-0000-0000A1270000}"/>
    <cellStyle name="Comma 6 2 2 4 2" xfId="3173" xr:uid="{00000000-0005-0000-0000-0000A2270000}"/>
    <cellStyle name="Comma 6 2 2 4 2 2" xfId="12316" xr:uid="{00000000-0005-0000-0000-0000A3270000}"/>
    <cellStyle name="Comma 6 2 2 4 2 2 2" xfId="22534" xr:uid="{00000000-0005-0000-0000-0000A4270000}"/>
    <cellStyle name="Comma 6 2 2 4 2 2 2 2" xfId="48087" xr:uid="{00000000-0005-0000-0000-0000A5270000}"/>
    <cellStyle name="Comma 6 2 2 4 2 2 3" xfId="37871" xr:uid="{00000000-0005-0000-0000-0000A6270000}"/>
    <cellStyle name="Comma 6 2 2 4 2 3" xfId="8738" xr:uid="{00000000-0005-0000-0000-0000A7270000}"/>
    <cellStyle name="Comma 6 2 2 4 2 3 2" xfId="34295" xr:uid="{00000000-0005-0000-0000-0000A8270000}"/>
    <cellStyle name="Comma 6 2 2 4 2 4" xfId="17527" xr:uid="{00000000-0005-0000-0000-0000A9270000}"/>
    <cellStyle name="Comma 6 2 2 4 2 4 2" xfId="43080" xr:uid="{00000000-0005-0000-0000-0000AA270000}"/>
    <cellStyle name="Comma 6 2 2 4 2 5" xfId="29017" xr:uid="{00000000-0005-0000-0000-0000AB270000}"/>
    <cellStyle name="Comma 6 2 2 4 3" xfId="4851" xr:uid="{00000000-0005-0000-0000-0000AC270000}"/>
    <cellStyle name="Comma 6 2 2 4 3 2" xfId="13688" xr:uid="{00000000-0005-0000-0000-0000AD270000}"/>
    <cellStyle name="Comma 6 2 2 4 3 2 2" xfId="23939" xr:uid="{00000000-0005-0000-0000-0000AE270000}"/>
    <cellStyle name="Comma 6 2 2 4 3 2 2 2" xfId="49492" xr:uid="{00000000-0005-0000-0000-0000AF270000}"/>
    <cellStyle name="Comma 6 2 2 4 3 2 3" xfId="39243" xr:uid="{00000000-0005-0000-0000-0000B0270000}"/>
    <cellStyle name="Comma 6 2 2 4 3 3" xfId="10109" xr:uid="{00000000-0005-0000-0000-0000B1270000}"/>
    <cellStyle name="Comma 6 2 2 4 3 3 2" xfId="35666" xr:uid="{00000000-0005-0000-0000-0000B2270000}"/>
    <cellStyle name="Comma 6 2 2 4 3 4" xfId="18932" xr:uid="{00000000-0005-0000-0000-0000B3270000}"/>
    <cellStyle name="Comma 6 2 2 4 3 4 2" xfId="44485" xr:uid="{00000000-0005-0000-0000-0000B4270000}"/>
    <cellStyle name="Comma 6 2 2 4 3 5" xfId="30422" xr:uid="{00000000-0005-0000-0000-0000B5270000}"/>
    <cellStyle name="Comma 6 2 2 4 4" xfId="2282" xr:uid="{00000000-0005-0000-0000-0000B6270000}"/>
    <cellStyle name="Comma 6 2 2 4 4 2" xfId="11647" xr:uid="{00000000-0005-0000-0000-0000B7270000}"/>
    <cellStyle name="Comma 6 2 2 4 4 2 2" xfId="37202" xr:uid="{00000000-0005-0000-0000-0000B8270000}"/>
    <cellStyle name="Comma 6 2 2 4 4 3" xfId="21651" xr:uid="{00000000-0005-0000-0000-0000B9270000}"/>
    <cellStyle name="Comma 6 2 2 4 4 3 2" xfId="47204" xr:uid="{00000000-0005-0000-0000-0000BA270000}"/>
    <cellStyle name="Comma 6 2 2 4 4 4" xfId="28134" xr:uid="{00000000-0005-0000-0000-0000BB270000}"/>
    <cellStyle name="Comma 6 2 2 4 5" xfId="6306" xr:uid="{00000000-0005-0000-0000-0000BC270000}"/>
    <cellStyle name="Comma 6 2 2 4 5 2" xfId="15133" xr:uid="{00000000-0005-0000-0000-0000BD270000}"/>
    <cellStyle name="Comma 6 2 2 4 5 2 2" xfId="40688" xr:uid="{00000000-0005-0000-0000-0000BE270000}"/>
    <cellStyle name="Comma 6 2 2 4 5 3" xfId="25384" xr:uid="{00000000-0005-0000-0000-0000BF270000}"/>
    <cellStyle name="Comma 6 2 2 4 5 3 2" xfId="50937" xr:uid="{00000000-0005-0000-0000-0000C0270000}"/>
    <cellStyle name="Comma 6 2 2 4 5 4" xfId="31867" xr:uid="{00000000-0005-0000-0000-0000C1270000}"/>
    <cellStyle name="Comma 6 2 2 4 6" xfId="7752" xr:uid="{00000000-0005-0000-0000-0000C2270000}"/>
    <cellStyle name="Comma 6 2 2 4 6 2" xfId="20133" xr:uid="{00000000-0005-0000-0000-0000C3270000}"/>
    <cellStyle name="Comma 6 2 2 4 6 2 2" xfId="45686" xr:uid="{00000000-0005-0000-0000-0000C4270000}"/>
    <cellStyle name="Comma 6 2 2 4 6 3" xfId="33309" xr:uid="{00000000-0005-0000-0000-0000C5270000}"/>
    <cellStyle name="Comma 6 2 2 4 7" xfId="16644" xr:uid="{00000000-0005-0000-0000-0000C6270000}"/>
    <cellStyle name="Comma 6 2 2 4 7 2" xfId="42197" xr:uid="{00000000-0005-0000-0000-0000C7270000}"/>
    <cellStyle name="Comma 6 2 2 4 8" xfId="26616" xr:uid="{00000000-0005-0000-0000-0000C8270000}"/>
    <cellStyle name="Comma 6 2 2 5" xfId="1150" xr:uid="{00000000-0005-0000-0000-0000C9270000}"/>
    <cellStyle name="Comma 6 2 2 5 2" xfId="3579" xr:uid="{00000000-0005-0000-0000-0000CA270000}"/>
    <cellStyle name="Comma 6 2 2 5 2 2" xfId="12715" xr:uid="{00000000-0005-0000-0000-0000CB270000}"/>
    <cellStyle name="Comma 6 2 2 5 2 2 2" xfId="22934" xr:uid="{00000000-0005-0000-0000-0000CC270000}"/>
    <cellStyle name="Comma 6 2 2 5 2 2 2 2" xfId="48487" xr:uid="{00000000-0005-0000-0000-0000CD270000}"/>
    <cellStyle name="Comma 6 2 2 5 2 2 3" xfId="38270" xr:uid="{00000000-0005-0000-0000-0000CE270000}"/>
    <cellStyle name="Comma 6 2 2 5 2 3" xfId="9136" xr:uid="{00000000-0005-0000-0000-0000CF270000}"/>
    <cellStyle name="Comma 6 2 2 5 2 3 2" xfId="34693" xr:uid="{00000000-0005-0000-0000-0000D0270000}"/>
    <cellStyle name="Comma 6 2 2 5 2 4" xfId="17927" xr:uid="{00000000-0005-0000-0000-0000D1270000}"/>
    <cellStyle name="Comma 6 2 2 5 2 4 2" xfId="43480" xr:uid="{00000000-0005-0000-0000-0000D2270000}"/>
    <cellStyle name="Comma 6 2 2 5 2 5" xfId="29417" xr:uid="{00000000-0005-0000-0000-0000D3270000}"/>
    <cellStyle name="Comma 6 2 2 5 3" xfId="5242" xr:uid="{00000000-0005-0000-0000-0000D4270000}"/>
    <cellStyle name="Comma 6 2 2 5 3 2" xfId="14079" xr:uid="{00000000-0005-0000-0000-0000D5270000}"/>
    <cellStyle name="Comma 6 2 2 5 3 2 2" xfId="24330" xr:uid="{00000000-0005-0000-0000-0000D6270000}"/>
    <cellStyle name="Comma 6 2 2 5 3 2 2 2" xfId="49883" xr:uid="{00000000-0005-0000-0000-0000D7270000}"/>
    <cellStyle name="Comma 6 2 2 5 3 2 3" xfId="39634" xr:uid="{00000000-0005-0000-0000-0000D8270000}"/>
    <cellStyle name="Comma 6 2 2 5 3 3" xfId="10500" xr:uid="{00000000-0005-0000-0000-0000D9270000}"/>
    <cellStyle name="Comma 6 2 2 5 3 3 2" xfId="36057" xr:uid="{00000000-0005-0000-0000-0000DA270000}"/>
    <cellStyle name="Comma 6 2 2 5 3 4" xfId="19323" xr:uid="{00000000-0005-0000-0000-0000DB270000}"/>
    <cellStyle name="Comma 6 2 2 5 3 4 2" xfId="44876" xr:uid="{00000000-0005-0000-0000-0000DC270000}"/>
    <cellStyle name="Comma 6 2 2 5 3 5" xfId="30813" xr:uid="{00000000-0005-0000-0000-0000DD270000}"/>
    <cellStyle name="Comma 6 2 2 5 4" xfId="1857" xr:uid="{00000000-0005-0000-0000-0000DE270000}"/>
    <cellStyle name="Comma 6 2 2 5 4 2" xfId="11225" xr:uid="{00000000-0005-0000-0000-0000DF270000}"/>
    <cellStyle name="Comma 6 2 2 5 4 2 2" xfId="36780" xr:uid="{00000000-0005-0000-0000-0000E0270000}"/>
    <cellStyle name="Comma 6 2 2 5 4 3" xfId="21229" xr:uid="{00000000-0005-0000-0000-0000E1270000}"/>
    <cellStyle name="Comma 6 2 2 5 4 3 2" xfId="46782" xr:uid="{00000000-0005-0000-0000-0000E2270000}"/>
    <cellStyle name="Comma 6 2 2 5 4 4" xfId="27712" xr:uid="{00000000-0005-0000-0000-0000E3270000}"/>
    <cellStyle name="Comma 6 2 2 5 5" xfId="6697" xr:uid="{00000000-0005-0000-0000-0000E4270000}"/>
    <cellStyle name="Comma 6 2 2 5 5 2" xfId="15524" xr:uid="{00000000-0005-0000-0000-0000E5270000}"/>
    <cellStyle name="Comma 6 2 2 5 5 2 2" xfId="41079" xr:uid="{00000000-0005-0000-0000-0000E6270000}"/>
    <cellStyle name="Comma 6 2 2 5 5 3" xfId="25775" xr:uid="{00000000-0005-0000-0000-0000E7270000}"/>
    <cellStyle name="Comma 6 2 2 5 5 3 2" xfId="51328" xr:uid="{00000000-0005-0000-0000-0000E8270000}"/>
    <cellStyle name="Comma 6 2 2 5 5 4" xfId="32258" xr:uid="{00000000-0005-0000-0000-0000E9270000}"/>
    <cellStyle name="Comma 6 2 2 5 6" xfId="8143" xr:uid="{00000000-0005-0000-0000-0000EA270000}"/>
    <cellStyle name="Comma 6 2 2 5 6 2" xfId="20533" xr:uid="{00000000-0005-0000-0000-0000EB270000}"/>
    <cellStyle name="Comma 6 2 2 5 6 2 2" xfId="46086" xr:uid="{00000000-0005-0000-0000-0000EC270000}"/>
    <cellStyle name="Comma 6 2 2 5 6 3" xfId="33700" xr:uid="{00000000-0005-0000-0000-0000ED270000}"/>
    <cellStyle name="Comma 6 2 2 5 7" xfId="16222" xr:uid="{00000000-0005-0000-0000-0000EE270000}"/>
    <cellStyle name="Comma 6 2 2 5 7 2" xfId="41775" xr:uid="{00000000-0005-0000-0000-0000EF270000}"/>
    <cellStyle name="Comma 6 2 2 5 8" xfId="27016" xr:uid="{00000000-0005-0000-0000-0000F0270000}"/>
    <cellStyle name="Comma 6 2 2 6" xfId="2751" xr:uid="{00000000-0005-0000-0000-0000F1270000}"/>
    <cellStyle name="Comma 6 2 2 6 2" xfId="12068" xr:uid="{00000000-0005-0000-0000-0000F2270000}"/>
    <cellStyle name="Comma 6 2 2 6 2 2" xfId="22112" xr:uid="{00000000-0005-0000-0000-0000F3270000}"/>
    <cellStyle name="Comma 6 2 2 6 2 2 2" xfId="47665" xr:uid="{00000000-0005-0000-0000-0000F4270000}"/>
    <cellStyle name="Comma 6 2 2 6 2 3" xfId="37623" xr:uid="{00000000-0005-0000-0000-0000F5270000}"/>
    <cellStyle name="Comma 6 2 2 6 3" xfId="8435" xr:uid="{00000000-0005-0000-0000-0000F6270000}"/>
    <cellStyle name="Comma 6 2 2 6 3 2" xfId="33992" xr:uid="{00000000-0005-0000-0000-0000F7270000}"/>
    <cellStyle name="Comma 6 2 2 6 4" xfId="17105" xr:uid="{00000000-0005-0000-0000-0000F8270000}"/>
    <cellStyle name="Comma 6 2 2 6 4 2" xfId="42658" xr:uid="{00000000-0005-0000-0000-0000F9270000}"/>
    <cellStyle name="Comma 6 2 2 6 5" xfId="28595" xr:uid="{00000000-0005-0000-0000-0000FA270000}"/>
    <cellStyle name="Comma 6 2 2 7" xfId="4198" xr:uid="{00000000-0005-0000-0000-0000FB270000}"/>
    <cellStyle name="Comma 6 2 2 7 2" xfId="13036" xr:uid="{00000000-0005-0000-0000-0000FC270000}"/>
    <cellStyle name="Comma 6 2 2 7 2 2" xfId="23287" xr:uid="{00000000-0005-0000-0000-0000FD270000}"/>
    <cellStyle name="Comma 6 2 2 7 2 2 2" xfId="48840" xr:uid="{00000000-0005-0000-0000-0000FE270000}"/>
    <cellStyle name="Comma 6 2 2 7 2 3" xfId="38591" xr:uid="{00000000-0005-0000-0000-0000FF270000}"/>
    <cellStyle name="Comma 6 2 2 7 3" xfId="9457" xr:uid="{00000000-0005-0000-0000-000000280000}"/>
    <cellStyle name="Comma 6 2 2 7 3 2" xfId="35014" xr:uid="{00000000-0005-0000-0000-000001280000}"/>
    <cellStyle name="Comma 6 2 2 7 4" xfId="18280" xr:uid="{00000000-0005-0000-0000-000002280000}"/>
    <cellStyle name="Comma 6 2 2 7 4 2" xfId="43833" xr:uid="{00000000-0005-0000-0000-000003280000}"/>
    <cellStyle name="Comma 6 2 2 7 5" xfId="29770" xr:uid="{00000000-0005-0000-0000-000004280000}"/>
    <cellStyle name="Comma 6 2 2 8" xfId="1470" xr:uid="{00000000-0005-0000-0000-000005280000}"/>
    <cellStyle name="Comma 6 2 2 8 2" xfId="10847" xr:uid="{00000000-0005-0000-0000-000006280000}"/>
    <cellStyle name="Comma 6 2 2 8 2 2" xfId="36402" xr:uid="{00000000-0005-0000-0000-000007280000}"/>
    <cellStyle name="Comma 6 2 2 8 3" xfId="20851" xr:uid="{00000000-0005-0000-0000-000008280000}"/>
    <cellStyle name="Comma 6 2 2 8 3 2" xfId="46404" xr:uid="{00000000-0005-0000-0000-000009280000}"/>
    <cellStyle name="Comma 6 2 2 8 4" xfId="27334" xr:uid="{00000000-0005-0000-0000-00000A280000}"/>
    <cellStyle name="Comma 6 2 2 9" xfId="5654" xr:uid="{00000000-0005-0000-0000-00000B280000}"/>
    <cellStyle name="Comma 6 2 2 9 2" xfId="14481" xr:uid="{00000000-0005-0000-0000-00000C280000}"/>
    <cellStyle name="Comma 6 2 2 9 2 2" xfId="40036" xr:uid="{00000000-0005-0000-0000-00000D280000}"/>
    <cellStyle name="Comma 6 2 2 9 3" xfId="24732" xr:uid="{00000000-0005-0000-0000-00000E280000}"/>
    <cellStyle name="Comma 6 2 2 9 3 2" xfId="50285" xr:uid="{00000000-0005-0000-0000-00000F280000}"/>
    <cellStyle name="Comma 6 2 2 9 4" xfId="31215" xr:uid="{00000000-0005-0000-0000-000010280000}"/>
    <cellStyle name="Comma 6 2 3" xfId="214" xr:uid="{00000000-0005-0000-0000-000011280000}"/>
    <cellStyle name="Comma 6 2 3 10" xfId="16006" xr:uid="{00000000-0005-0000-0000-000012280000}"/>
    <cellStyle name="Comma 6 2 3 10 2" xfId="41559" xr:uid="{00000000-0005-0000-0000-000013280000}"/>
    <cellStyle name="Comma 6 2 3 11" xfId="26152" xr:uid="{00000000-0005-0000-0000-000014280000}"/>
    <cellStyle name="Comma 6 2 3 2" xfId="540" xr:uid="{00000000-0005-0000-0000-000015280000}"/>
    <cellStyle name="Comma 6 2 3 2 2" xfId="3026" xr:uid="{00000000-0005-0000-0000-000016280000}"/>
    <cellStyle name="Comma 6 2 3 2 2 2" xfId="12214" xr:uid="{00000000-0005-0000-0000-000017280000}"/>
    <cellStyle name="Comma 6 2 3 2 2 2 2" xfId="22387" xr:uid="{00000000-0005-0000-0000-000018280000}"/>
    <cellStyle name="Comma 6 2 3 2 2 2 2 2" xfId="47940" xr:uid="{00000000-0005-0000-0000-000019280000}"/>
    <cellStyle name="Comma 6 2 3 2 2 2 3" xfId="37769" xr:uid="{00000000-0005-0000-0000-00001A280000}"/>
    <cellStyle name="Comma 6 2 3 2 2 3" xfId="6935" xr:uid="{00000000-0005-0000-0000-00001B280000}"/>
    <cellStyle name="Comma 6 2 3 2 2 3 2" xfId="32493" xr:uid="{00000000-0005-0000-0000-00001C280000}"/>
    <cellStyle name="Comma 6 2 3 2 2 4" xfId="17380" xr:uid="{00000000-0005-0000-0000-00001D280000}"/>
    <cellStyle name="Comma 6 2 3 2 2 4 2" xfId="42933" xr:uid="{00000000-0005-0000-0000-00001E280000}"/>
    <cellStyle name="Comma 6 2 3 2 2 5" xfId="28870" xr:uid="{00000000-0005-0000-0000-00001F280000}"/>
    <cellStyle name="Comma 6 2 3 2 3" xfId="4504" xr:uid="{00000000-0005-0000-0000-000020280000}"/>
    <cellStyle name="Comma 6 2 3 2 3 2" xfId="13342" xr:uid="{00000000-0005-0000-0000-000021280000}"/>
    <cellStyle name="Comma 6 2 3 2 3 2 2" xfId="23593" xr:uid="{00000000-0005-0000-0000-000022280000}"/>
    <cellStyle name="Comma 6 2 3 2 3 2 2 2" xfId="49146" xr:uid="{00000000-0005-0000-0000-000023280000}"/>
    <cellStyle name="Comma 6 2 3 2 3 2 3" xfId="38897" xr:uid="{00000000-0005-0000-0000-000024280000}"/>
    <cellStyle name="Comma 6 2 3 2 3 3" xfId="9763" xr:uid="{00000000-0005-0000-0000-000025280000}"/>
    <cellStyle name="Comma 6 2 3 2 3 3 2" xfId="35320" xr:uid="{00000000-0005-0000-0000-000026280000}"/>
    <cellStyle name="Comma 6 2 3 2 3 4" xfId="18586" xr:uid="{00000000-0005-0000-0000-000027280000}"/>
    <cellStyle name="Comma 6 2 3 2 3 4 2" xfId="44139" xr:uid="{00000000-0005-0000-0000-000028280000}"/>
    <cellStyle name="Comma 6 2 3 2 3 5" xfId="30076" xr:uid="{00000000-0005-0000-0000-000029280000}"/>
    <cellStyle name="Comma 6 2 3 2 4" xfId="2135" xr:uid="{00000000-0005-0000-0000-00002A280000}"/>
    <cellStyle name="Comma 6 2 3 2 4 2" xfId="11500" xr:uid="{00000000-0005-0000-0000-00002B280000}"/>
    <cellStyle name="Comma 6 2 3 2 4 2 2" xfId="37055" xr:uid="{00000000-0005-0000-0000-00002C280000}"/>
    <cellStyle name="Comma 6 2 3 2 4 3" xfId="21504" xr:uid="{00000000-0005-0000-0000-00002D280000}"/>
    <cellStyle name="Comma 6 2 3 2 4 3 2" xfId="47057" xr:uid="{00000000-0005-0000-0000-00002E280000}"/>
    <cellStyle name="Comma 6 2 3 2 4 4" xfId="27987" xr:uid="{00000000-0005-0000-0000-00002F280000}"/>
    <cellStyle name="Comma 6 2 3 2 5" xfId="5960" xr:uid="{00000000-0005-0000-0000-000030280000}"/>
    <cellStyle name="Comma 6 2 3 2 5 2" xfId="14787" xr:uid="{00000000-0005-0000-0000-000031280000}"/>
    <cellStyle name="Comma 6 2 3 2 5 2 2" xfId="40342" xr:uid="{00000000-0005-0000-0000-000032280000}"/>
    <cellStyle name="Comma 6 2 3 2 5 3" xfId="25038" xr:uid="{00000000-0005-0000-0000-000033280000}"/>
    <cellStyle name="Comma 6 2 3 2 5 3 2" xfId="50591" xr:uid="{00000000-0005-0000-0000-000034280000}"/>
    <cellStyle name="Comma 6 2 3 2 5 4" xfId="31521" xr:uid="{00000000-0005-0000-0000-000035280000}"/>
    <cellStyle name="Comma 6 2 3 2 6" xfId="7404" xr:uid="{00000000-0005-0000-0000-000036280000}"/>
    <cellStyle name="Comma 6 2 3 2 6 2" xfId="19986" xr:uid="{00000000-0005-0000-0000-000037280000}"/>
    <cellStyle name="Comma 6 2 3 2 6 2 2" xfId="45539" xr:uid="{00000000-0005-0000-0000-000038280000}"/>
    <cellStyle name="Comma 6 2 3 2 6 3" xfId="32961" xr:uid="{00000000-0005-0000-0000-000039280000}"/>
    <cellStyle name="Comma 6 2 3 2 7" xfId="16497" xr:uid="{00000000-0005-0000-0000-00003A280000}"/>
    <cellStyle name="Comma 6 2 3 2 7 2" xfId="42050" xr:uid="{00000000-0005-0000-0000-00003B280000}"/>
    <cellStyle name="Comma 6 2 3 2 8" xfId="26469" xr:uid="{00000000-0005-0000-0000-00003C280000}"/>
    <cellStyle name="Comma 6 2 3 3" xfId="689" xr:uid="{00000000-0005-0000-0000-00003D280000}"/>
    <cellStyle name="Comma 6 2 3 3 2" xfId="3175" xr:uid="{00000000-0005-0000-0000-00003E280000}"/>
    <cellStyle name="Comma 6 2 3 3 2 2" xfId="12318" xr:uid="{00000000-0005-0000-0000-00003F280000}"/>
    <cellStyle name="Comma 6 2 3 3 2 2 2" xfId="22536" xr:uid="{00000000-0005-0000-0000-000040280000}"/>
    <cellStyle name="Comma 6 2 3 3 2 2 2 2" xfId="48089" xr:uid="{00000000-0005-0000-0000-000041280000}"/>
    <cellStyle name="Comma 6 2 3 3 2 2 3" xfId="37873" xr:uid="{00000000-0005-0000-0000-000042280000}"/>
    <cellStyle name="Comma 6 2 3 3 2 3" xfId="8740" xr:uid="{00000000-0005-0000-0000-000043280000}"/>
    <cellStyle name="Comma 6 2 3 3 2 3 2" xfId="34297" xr:uid="{00000000-0005-0000-0000-000044280000}"/>
    <cellStyle name="Comma 6 2 3 3 2 4" xfId="17529" xr:uid="{00000000-0005-0000-0000-000045280000}"/>
    <cellStyle name="Comma 6 2 3 3 2 4 2" xfId="43082" xr:uid="{00000000-0005-0000-0000-000046280000}"/>
    <cellStyle name="Comma 6 2 3 3 2 5" xfId="29019" xr:uid="{00000000-0005-0000-0000-000047280000}"/>
    <cellStyle name="Comma 6 2 3 3 3" xfId="4853" xr:uid="{00000000-0005-0000-0000-000048280000}"/>
    <cellStyle name="Comma 6 2 3 3 3 2" xfId="13690" xr:uid="{00000000-0005-0000-0000-000049280000}"/>
    <cellStyle name="Comma 6 2 3 3 3 2 2" xfId="23941" xr:uid="{00000000-0005-0000-0000-00004A280000}"/>
    <cellStyle name="Comma 6 2 3 3 3 2 2 2" xfId="49494" xr:uid="{00000000-0005-0000-0000-00004B280000}"/>
    <cellStyle name="Comma 6 2 3 3 3 2 3" xfId="39245" xr:uid="{00000000-0005-0000-0000-00004C280000}"/>
    <cellStyle name="Comma 6 2 3 3 3 3" xfId="10111" xr:uid="{00000000-0005-0000-0000-00004D280000}"/>
    <cellStyle name="Comma 6 2 3 3 3 3 2" xfId="35668" xr:uid="{00000000-0005-0000-0000-00004E280000}"/>
    <cellStyle name="Comma 6 2 3 3 3 4" xfId="18934" xr:uid="{00000000-0005-0000-0000-00004F280000}"/>
    <cellStyle name="Comma 6 2 3 3 3 4 2" xfId="44487" xr:uid="{00000000-0005-0000-0000-000050280000}"/>
    <cellStyle name="Comma 6 2 3 3 3 5" xfId="30424" xr:uid="{00000000-0005-0000-0000-000051280000}"/>
    <cellStyle name="Comma 6 2 3 3 4" xfId="2284" xr:uid="{00000000-0005-0000-0000-000052280000}"/>
    <cellStyle name="Comma 6 2 3 3 4 2" xfId="11649" xr:uid="{00000000-0005-0000-0000-000053280000}"/>
    <cellStyle name="Comma 6 2 3 3 4 2 2" xfId="37204" xr:uid="{00000000-0005-0000-0000-000054280000}"/>
    <cellStyle name="Comma 6 2 3 3 4 3" xfId="21653" xr:uid="{00000000-0005-0000-0000-000055280000}"/>
    <cellStyle name="Comma 6 2 3 3 4 3 2" xfId="47206" xr:uid="{00000000-0005-0000-0000-000056280000}"/>
    <cellStyle name="Comma 6 2 3 3 4 4" xfId="28136" xr:uid="{00000000-0005-0000-0000-000057280000}"/>
    <cellStyle name="Comma 6 2 3 3 5" xfId="6308" xr:uid="{00000000-0005-0000-0000-000058280000}"/>
    <cellStyle name="Comma 6 2 3 3 5 2" xfId="15135" xr:uid="{00000000-0005-0000-0000-000059280000}"/>
    <cellStyle name="Comma 6 2 3 3 5 2 2" xfId="40690" xr:uid="{00000000-0005-0000-0000-00005A280000}"/>
    <cellStyle name="Comma 6 2 3 3 5 3" xfId="25386" xr:uid="{00000000-0005-0000-0000-00005B280000}"/>
    <cellStyle name="Comma 6 2 3 3 5 3 2" xfId="50939" xr:uid="{00000000-0005-0000-0000-00005C280000}"/>
    <cellStyle name="Comma 6 2 3 3 5 4" xfId="31869" xr:uid="{00000000-0005-0000-0000-00005D280000}"/>
    <cellStyle name="Comma 6 2 3 3 6" xfId="7754" xr:uid="{00000000-0005-0000-0000-00005E280000}"/>
    <cellStyle name="Comma 6 2 3 3 6 2" xfId="20135" xr:uid="{00000000-0005-0000-0000-00005F280000}"/>
    <cellStyle name="Comma 6 2 3 3 6 2 2" xfId="45688" xr:uid="{00000000-0005-0000-0000-000060280000}"/>
    <cellStyle name="Comma 6 2 3 3 6 3" xfId="33311" xr:uid="{00000000-0005-0000-0000-000061280000}"/>
    <cellStyle name="Comma 6 2 3 3 7" xfId="16646" xr:uid="{00000000-0005-0000-0000-000062280000}"/>
    <cellStyle name="Comma 6 2 3 3 7 2" xfId="42199" xr:uid="{00000000-0005-0000-0000-000063280000}"/>
    <cellStyle name="Comma 6 2 3 3 8" xfId="26618" xr:uid="{00000000-0005-0000-0000-000064280000}"/>
    <cellStyle name="Comma 6 2 3 4" xfId="1312" xr:uid="{00000000-0005-0000-0000-000065280000}"/>
    <cellStyle name="Comma 6 2 3 4 2" xfId="3741" xr:uid="{00000000-0005-0000-0000-000066280000}"/>
    <cellStyle name="Comma 6 2 3 4 2 2" xfId="12877" xr:uid="{00000000-0005-0000-0000-000067280000}"/>
    <cellStyle name="Comma 6 2 3 4 2 2 2" xfId="23096" xr:uid="{00000000-0005-0000-0000-000068280000}"/>
    <cellStyle name="Comma 6 2 3 4 2 2 2 2" xfId="48649" xr:uid="{00000000-0005-0000-0000-000069280000}"/>
    <cellStyle name="Comma 6 2 3 4 2 2 3" xfId="38432" xr:uid="{00000000-0005-0000-0000-00006A280000}"/>
    <cellStyle name="Comma 6 2 3 4 2 3" xfId="9298" xr:uid="{00000000-0005-0000-0000-00006B280000}"/>
    <cellStyle name="Comma 6 2 3 4 2 3 2" xfId="34855" xr:uid="{00000000-0005-0000-0000-00006C280000}"/>
    <cellStyle name="Comma 6 2 3 4 2 4" xfId="18089" xr:uid="{00000000-0005-0000-0000-00006D280000}"/>
    <cellStyle name="Comma 6 2 3 4 2 4 2" xfId="43642" xr:uid="{00000000-0005-0000-0000-00006E280000}"/>
    <cellStyle name="Comma 6 2 3 4 2 5" xfId="29579" xr:uid="{00000000-0005-0000-0000-00006F280000}"/>
    <cellStyle name="Comma 6 2 3 4 3" xfId="5404" xr:uid="{00000000-0005-0000-0000-000070280000}"/>
    <cellStyle name="Comma 6 2 3 4 3 2" xfId="14241" xr:uid="{00000000-0005-0000-0000-000071280000}"/>
    <cellStyle name="Comma 6 2 3 4 3 2 2" xfId="24492" xr:uid="{00000000-0005-0000-0000-000072280000}"/>
    <cellStyle name="Comma 6 2 3 4 3 2 2 2" xfId="50045" xr:uid="{00000000-0005-0000-0000-000073280000}"/>
    <cellStyle name="Comma 6 2 3 4 3 2 3" xfId="39796" xr:uid="{00000000-0005-0000-0000-000074280000}"/>
    <cellStyle name="Comma 6 2 3 4 3 3" xfId="10662" xr:uid="{00000000-0005-0000-0000-000075280000}"/>
    <cellStyle name="Comma 6 2 3 4 3 3 2" xfId="36219" xr:uid="{00000000-0005-0000-0000-000076280000}"/>
    <cellStyle name="Comma 6 2 3 4 3 4" xfId="19485" xr:uid="{00000000-0005-0000-0000-000077280000}"/>
    <cellStyle name="Comma 6 2 3 4 3 4 2" xfId="45038" xr:uid="{00000000-0005-0000-0000-000078280000}"/>
    <cellStyle name="Comma 6 2 3 4 3 5" xfId="30975" xr:uid="{00000000-0005-0000-0000-000079280000}"/>
    <cellStyle name="Comma 6 2 3 4 4" xfId="1815" xr:uid="{00000000-0005-0000-0000-00007A280000}"/>
    <cellStyle name="Comma 6 2 3 4 4 2" xfId="11183" xr:uid="{00000000-0005-0000-0000-00007B280000}"/>
    <cellStyle name="Comma 6 2 3 4 4 2 2" xfId="36738" xr:uid="{00000000-0005-0000-0000-00007C280000}"/>
    <cellStyle name="Comma 6 2 3 4 4 3" xfId="21187" xr:uid="{00000000-0005-0000-0000-00007D280000}"/>
    <cellStyle name="Comma 6 2 3 4 4 3 2" xfId="46740" xr:uid="{00000000-0005-0000-0000-00007E280000}"/>
    <cellStyle name="Comma 6 2 3 4 4 4" xfId="27670" xr:uid="{00000000-0005-0000-0000-00007F280000}"/>
    <cellStyle name="Comma 6 2 3 4 5" xfId="6859" xr:uid="{00000000-0005-0000-0000-000080280000}"/>
    <cellStyle name="Comma 6 2 3 4 5 2" xfId="15686" xr:uid="{00000000-0005-0000-0000-000081280000}"/>
    <cellStyle name="Comma 6 2 3 4 5 2 2" xfId="41241" xr:uid="{00000000-0005-0000-0000-000082280000}"/>
    <cellStyle name="Comma 6 2 3 4 5 3" xfId="25937" xr:uid="{00000000-0005-0000-0000-000083280000}"/>
    <cellStyle name="Comma 6 2 3 4 5 3 2" xfId="51490" xr:uid="{00000000-0005-0000-0000-000084280000}"/>
    <cellStyle name="Comma 6 2 3 4 5 4" xfId="32420" xr:uid="{00000000-0005-0000-0000-000085280000}"/>
    <cellStyle name="Comma 6 2 3 4 6" xfId="8305" xr:uid="{00000000-0005-0000-0000-000086280000}"/>
    <cellStyle name="Comma 6 2 3 4 6 2" xfId="20695" xr:uid="{00000000-0005-0000-0000-000087280000}"/>
    <cellStyle name="Comma 6 2 3 4 6 2 2" xfId="46248" xr:uid="{00000000-0005-0000-0000-000088280000}"/>
    <cellStyle name="Comma 6 2 3 4 6 3" xfId="33862" xr:uid="{00000000-0005-0000-0000-000089280000}"/>
    <cellStyle name="Comma 6 2 3 4 7" xfId="16180" xr:uid="{00000000-0005-0000-0000-00008A280000}"/>
    <cellStyle name="Comma 6 2 3 4 7 2" xfId="41733" xr:uid="{00000000-0005-0000-0000-00008B280000}"/>
    <cellStyle name="Comma 6 2 3 4 8" xfId="27178" xr:uid="{00000000-0005-0000-0000-00008C280000}"/>
    <cellStyle name="Comma 6 2 3 5" xfId="2709" xr:uid="{00000000-0005-0000-0000-00008D280000}"/>
    <cellStyle name="Comma 6 2 3 5 2" xfId="12026" xr:uid="{00000000-0005-0000-0000-00008E280000}"/>
    <cellStyle name="Comma 6 2 3 5 2 2" xfId="22070" xr:uid="{00000000-0005-0000-0000-00008F280000}"/>
    <cellStyle name="Comma 6 2 3 5 2 2 2" xfId="47623" xr:uid="{00000000-0005-0000-0000-000090280000}"/>
    <cellStyle name="Comma 6 2 3 5 2 3" xfId="37581" xr:uid="{00000000-0005-0000-0000-000091280000}"/>
    <cellStyle name="Comma 6 2 3 5 3" xfId="8479" xr:uid="{00000000-0005-0000-0000-000092280000}"/>
    <cellStyle name="Comma 6 2 3 5 3 2" xfId="34036" xr:uid="{00000000-0005-0000-0000-000093280000}"/>
    <cellStyle name="Comma 6 2 3 5 4" xfId="17063" xr:uid="{00000000-0005-0000-0000-000094280000}"/>
    <cellStyle name="Comma 6 2 3 5 4 2" xfId="42616" xr:uid="{00000000-0005-0000-0000-000095280000}"/>
    <cellStyle name="Comma 6 2 3 5 5" xfId="28553" xr:uid="{00000000-0005-0000-0000-000096280000}"/>
    <cellStyle name="Comma 6 2 3 6" xfId="4360" xr:uid="{00000000-0005-0000-0000-000097280000}"/>
    <cellStyle name="Comma 6 2 3 6 2" xfId="13198" xr:uid="{00000000-0005-0000-0000-000098280000}"/>
    <cellStyle name="Comma 6 2 3 6 2 2" xfId="23449" xr:uid="{00000000-0005-0000-0000-000099280000}"/>
    <cellStyle name="Comma 6 2 3 6 2 2 2" xfId="49002" xr:uid="{00000000-0005-0000-0000-00009A280000}"/>
    <cellStyle name="Comma 6 2 3 6 2 3" xfId="38753" xr:uid="{00000000-0005-0000-0000-00009B280000}"/>
    <cellStyle name="Comma 6 2 3 6 3" xfId="9619" xr:uid="{00000000-0005-0000-0000-00009C280000}"/>
    <cellStyle name="Comma 6 2 3 6 3 2" xfId="35176" xr:uid="{00000000-0005-0000-0000-00009D280000}"/>
    <cellStyle name="Comma 6 2 3 6 4" xfId="18442" xr:uid="{00000000-0005-0000-0000-00009E280000}"/>
    <cellStyle name="Comma 6 2 3 6 4 2" xfId="43995" xr:uid="{00000000-0005-0000-0000-00009F280000}"/>
    <cellStyle name="Comma 6 2 3 6 5" xfId="29932" xr:uid="{00000000-0005-0000-0000-0000A0280000}"/>
    <cellStyle name="Comma 6 2 3 7" xfId="1632" xr:uid="{00000000-0005-0000-0000-0000A1280000}"/>
    <cellStyle name="Comma 6 2 3 7 2" xfId="11009" xr:uid="{00000000-0005-0000-0000-0000A2280000}"/>
    <cellStyle name="Comma 6 2 3 7 2 2" xfId="36564" xr:uid="{00000000-0005-0000-0000-0000A3280000}"/>
    <cellStyle name="Comma 6 2 3 7 3" xfId="21013" xr:uid="{00000000-0005-0000-0000-0000A4280000}"/>
    <cellStyle name="Comma 6 2 3 7 3 2" xfId="46566" xr:uid="{00000000-0005-0000-0000-0000A5280000}"/>
    <cellStyle name="Comma 6 2 3 7 4" xfId="27496" xr:uid="{00000000-0005-0000-0000-0000A6280000}"/>
    <cellStyle name="Comma 6 2 3 8" xfId="5816" xr:uid="{00000000-0005-0000-0000-0000A7280000}"/>
    <cellStyle name="Comma 6 2 3 8 2" xfId="14643" xr:uid="{00000000-0005-0000-0000-0000A8280000}"/>
    <cellStyle name="Comma 6 2 3 8 2 2" xfId="40198" xr:uid="{00000000-0005-0000-0000-0000A9280000}"/>
    <cellStyle name="Comma 6 2 3 8 3" xfId="24894" xr:uid="{00000000-0005-0000-0000-0000AA280000}"/>
    <cellStyle name="Comma 6 2 3 8 3 2" xfId="50447" xr:uid="{00000000-0005-0000-0000-0000AB280000}"/>
    <cellStyle name="Comma 6 2 3 8 4" xfId="31377" xr:uid="{00000000-0005-0000-0000-0000AC280000}"/>
    <cellStyle name="Comma 6 2 3 9" xfId="7260" xr:uid="{00000000-0005-0000-0000-0000AD280000}"/>
    <cellStyle name="Comma 6 2 3 9 2" xfId="19669" xr:uid="{00000000-0005-0000-0000-0000AE280000}"/>
    <cellStyle name="Comma 6 2 3 9 2 2" xfId="45222" xr:uid="{00000000-0005-0000-0000-0000AF280000}"/>
    <cellStyle name="Comma 6 2 3 9 3" xfId="32817" xr:uid="{00000000-0005-0000-0000-0000B0280000}"/>
    <cellStyle name="Comma 6 2 4" xfId="478" xr:uid="{00000000-0005-0000-0000-0000B1280000}"/>
    <cellStyle name="Comma 6 2 4 10" xfId="26407" xr:uid="{00000000-0005-0000-0000-0000B2280000}"/>
    <cellStyle name="Comma 6 2 4 2" xfId="690" xr:uid="{00000000-0005-0000-0000-0000B3280000}"/>
    <cellStyle name="Comma 6 2 4 2 2" xfId="3176" xr:uid="{00000000-0005-0000-0000-0000B4280000}"/>
    <cellStyle name="Comma 6 2 4 2 2 2" xfId="12319" xr:uid="{00000000-0005-0000-0000-0000B5280000}"/>
    <cellStyle name="Comma 6 2 4 2 2 2 2" xfId="22537" xr:uid="{00000000-0005-0000-0000-0000B6280000}"/>
    <cellStyle name="Comma 6 2 4 2 2 2 2 2" xfId="48090" xr:uid="{00000000-0005-0000-0000-0000B7280000}"/>
    <cellStyle name="Comma 6 2 4 2 2 2 3" xfId="37874" xr:uid="{00000000-0005-0000-0000-0000B8280000}"/>
    <cellStyle name="Comma 6 2 4 2 2 3" xfId="8741" xr:uid="{00000000-0005-0000-0000-0000B9280000}"/>
    <cellStyle name="Comma 6 2 4 2 2 3 2" xfId="34298" xr:uid="{00000000-0005-0000-0000-0000BA280000}"/>
    <cellStyle name="Comma 6 2 4 2 2 4" xfId="17530" xr:uid="{00000000-0005-0000-0000-0000BB280000}"/>
    <cellStyle name="Comma 6 2 4 2 2 4 2" xfId="43083" xr:uid="{00000000-0005-0000-0000-0000BC280000}"/>
    <cellStyle name="Comma 6 2 4 2 2 5" xfId="29020" xr:uid="{00000000-0005-0000-0000-0000BD280000}"/>
    <cellStyle name="Comma 6 2 4 2 3" xfId="4505" xr:uid="{00000000-0005-0000-0000-0000BE280000}"/>
    <cellStyle name="Comma 6 2 4 2 3 2" xfId="13343" xr:uid="{00000000-0005-0000-0000-0000BF280000}"/>
    <cellStyle name="Comma 6 2 4 2 3 2 2" xfId="23594" xr:uid="{00000000-0005-0000-0000-0000C0280000}"/>
    <cellStyle name="Comma 6 2 4 2 3 2 2 2" xfId="49147" xr:uid="{00000000-0005-0000-0000-0000C1280000}"/>
    <cellStyle name="Comma 6 2 4 2 3 2 3" xfId="38898" xr:uid="{00000000-0005-0000-0000-0000C2280000}"/>
    <cellStyle name="Comma 6 2 4 2 3 3" xfId="9764" xr:uid="{00000000-0005-0000-0000-0000C3280000}"/>
    <cellStyle name="Comma 6 2 4 2 3 3 2" xfId="35321" xr:uid="{00000000-0005-0000-0000-0000C4280000}"/>
    <cellStyle name="Comma 6 2 4 2 3 4" xfId="18587" xr:uid="{00000000-0005-0000-0000-0000C5280000}"/>
    <cellStyle name="Comma 6 2 4 2 3 4 2" xfId="44140" xr:uid="{00000000-0005-0000-0000-0000C6280000}"/>
    <cellStyle name="Comma 6 2 4 2 3 5" xfId="30077" xr:uid="{00000000-0005-0000-0000-0000C7280000}"/>
    <cellStyle name="Comma 6 2 4 2 4" xfId="2285" xr:uid="{00000000-0005-0000-0000-0000C8280000}"/>
    <cellStyle name="Comma 6 2 4 2 4 2" xfId="11650" xr:uid="{00000000-0005-0000-0000-0000C9280000}"/>
    <cellStyle name="Comma 6 2 4 2 4 2 2" xfId="37205" xr:uid="{00000000-0005-0000-0000-0000CA280000}"/>
    <cellStyle name="Comma 6 2 4 2 4 3" xfId="21654" xr:uid="{00000000-0005-0000-0000-0000CB280000}"/>
    <cellStyle name="Comma 6 2 4 2 4 3 2" xfId="47207" xr:uid="{00000000-0005-0000-0000-0000CC280000}"/>
    <cellStyle name="Comma 6 2 4 2 4 4" xfId="28137" xr:uid="{00000000-0005-0000-0000-0000CD280000}"/>
    <cellStyle name="Comma 6 2 4 2 5" xfId="5961" xr:uid="{00000000-0005-0000-0000-0000CE280000}"/>
    <cellStyle name="Comma 6 2 4 2 5 2" xfId="14788" xr:uid="{00000000-0005-0000-0000-0000CF280000}"/>
    <cellStyle name="Comma 6 2 4 2 5 2 2" xfId="40343" xr:uid="{00000000-0005-0000-0000-0000D0280000}"/>
    <cellStyle name="Comma 6 2 4 2 5 3" xfId="25039" xr:uid="{00000000-0005-0000-0000-0000D1280000}"/>
    <cellStyle name="Comma 6 2 4 2 5 3 2" xfId="50592" xr:uid="{00000000-0005-0000-0000-0000D2280000}"/>
    <cellStyle name="Comma 6 2 4 2 5 4" xfId="31522" xr:uid="{00000000-0005-0000-0000-0000D3280000}"/>
    <cellStyle name="Comma 6 2 4 2 6" xfId="7405" xr:uid="{00000000-0005-0000-0000-0000D4280000}"/>
    <cellStyle name="Comma 6 2 4 2 6 2" xfId="20136" xr:uid="{00000000-0005-0000-0000-0000D5280000}"/>
    <cellStyle name="Comma 6 2 4 2 6 2 2" xfId="45689" xr:uid="{00000000-0005-0000-0000-0000D6280000}"/>
    <cellStyle name="Comma 6 2 4 2 6 3" xfId="32962" xr:uid="{00000000-0005-0000-0000-0000D7280000}"/>
    <cellStyle name="Comma 6 2 4 2 7" xfId="16647" xr:uid="{00000000-0005-0000-0000-0000D8280000}"/>
    <cellStyle name="Comma 6 2 4 2 7 2" xfId="42200" xr:uid="{00000000-0005-0000-0000-0000D9280000}"/>
    <cellStyle name="Comma 6 2 4 2 8" xfId="26619" xr:uid="{00000000-0005-0000-0000-0000DA280000}"/>
    <cellStyle name="Comma 6 2 4 3" xfId="1250" xr:uid="{00000000-0005-0000-0000-0000DB280000}"/>
    <cellStyle name="Comma 6 2 4 3 2" xfId="3679" xr:uid="{00000000-0005-0000-0000-0000DC280000}"/>
    <cellStyle name="Comma 6 2 4 3 2 2" xfId="12815" xr:uid="{00000000-0005-0000-0000-0000DD280000}"/>
    <cellStyle name="Comma 6 2 4 3 2 2 2" xfId="23034" xr:uid="{00000000-0005-0000-0000-0000DE280000}"/>
    <cellStyle name="Comma 6 2 4 3 2 2 2 2" xfId="48587" xr:uid="{00000000-0005-0000-0000-0000DF280000}"/>
    <cellStyle name="Comma 6 2 4 3 2 2 3" xfId="38370" xr:uid="{00000000-0005-0000-0000-0000E0280000}"/>
    <cellStyle name="Comma 6 2 4 3 2 3" xfId="9236" xr:uid="{00000000-0005-0000-0000-0000E1280000}"/>
    <cellStyle name="Comma 6 2 4 3 2 3 2" xfId="34793" xr:uid="{00000000-0005-0000-0000-0000E2280000}"/>
    <cellStyle name="Comma 6 2 4 3 2 4" xfId="18027" xr:uid="{00000000-0005-0000-0000-0000E3280000}"/>
    <cellStyle name="Comma 6 2 4 3 2 4 2" xfId="43580" xr:uid="{00000000-0005-0000-0000-0000E4280000}"/>
    <cellStyle name="Comma 6 2 4 3 2 5" xfId="29517" xr:uid="{00000000-0005-0000-0000-0000E5280000}"/>
    <cellStyle name="Comma 6 2 4 3 3" xfId="4854" xr:uid="{00000000-0005-0000-0000-0000E6280000}"/>
    <cellStyle name="Comma 6 2 4 3 3 2" xfId="13691" xr:uid="{00000000-0005-0000-0000-0000E7280000}"/>
    <cellStyle name="Comma 6 2 4 3 3 2 2" xfId="23942" xr:uid="{00000000-0005-0000-0000-0000E8280000}"/>
    <cellStyle name="Comma 6 2 4 3 3 2 2 2" xfId="49495" xr:uid="{00000000-0005-0000-0000-0000E9280000}"/>
    <cellStyle name="Comma 6 2 4 3 3 2 3" xfId="39246" xr:uid="{00000000-0005-0000-0000-0000EA280000}"/>
    <cellStyle name="Comma 6 2 4 3 3 3" xfId="10112" xr:uid="{00000000-0005-0000-0000-0000EB280000}"/>
    <cellStyle name="Comma 6 2 4 3 3 3 2" xfId="35669" xr:uid="{00000000-0005-0000-0000-0000EC280000}"/>
    <cellStyle name="Comma 6 2 4 3 3 4" xfId="18935" xr:uid="{00000000-0005-0000-0000-0000ED280000}"/>
    <cellStyle name="Comma 6 2 4 3 3 4 2" xfId="44488" xr:uid="{00000000-0005-0000-0000-0000EE280000}"/>
    <cellStyle name="Comma 6 2 4 3 3 5" xfId="30425" xr:uid="{00000000-0005-0000-0000-0000EF280000}"/>
    <cellStyle name="Comma 6 2 4 3 4" xfId="2073" xr:uid="{00000000-0005-0000-0000-0000F0280000}"/>
    <cellStyle name="Comma 6 2 4 3 4 2" xfId="11438" xr:uid="{00000000-0005-0000-0000-0000F1280000}"/>
    <cellStyle name="Comma 6 2 4 3 4 2 2" xfId="36993" xr:uid="{00000000-0005-0000-0000-0000F2280000}"/>
    <cellStyle name="Comma 6 2 4 3 4 3" xfId="21442" xr:uid="{00000000-0005-0000-0000-0000F3280000}"/>
    <cellStyle name="Comma 6 2 4 3 4 3 2" xfId="46995" xr:uid="{00000000-0005-0000-0000-0000F4280000}"/>
    <cellStyle name="Comma 6 2 4 3 4 4" xfId="27925" xr:uid="{00000000-0005-0000-0000-0000F5280000}"/>
    <cellStyle name="Comma 6 2 4 3 5" xfId="6309" xr:uid="{00000000-0005-0000-0000-0000F6280000}"/>
    <cellStyle name="Comma 6 2 4 3 5 2" xfId="15136" xr:uid="{00000000-0005-0000-0000-0000F7280000}"/>
    <cellStyle name="Comma 6 2 4 3 5 2 2" xfId="40691" xr:uid="{00000000-0005-0000-0000-0000F8280000}"/>
    <cellStyle name="Comma 6 2 4 3 5 3" xfId="25387" xr:uid="{00000000-0005-0000-0000-0000F9280000}"/>
    <cellStyle name="Comma 6 2 4 3 5 3 2" xfId="50940" xr:uid="{00000000-0005-0000-0000-0000FA280000}"/>
    <cellStyle name="Comma 6 2 4 3 5 4" xfId="31870" xr:uid="{00000000-0005-0000-0000-0000FB280000}"/>
    <cellStyle name="Comma 6 2 4 3 6" xfId="7755" xr:uid="{00000000-0005-0000-0000-0000FC280000}"/>
    <cellStyle name="Comma 6 2 4 3 6 2" xfId="20633" xr:uid="{00000000-0005-0000-0000-0000FD280000}"/>
    <cellStyle name="Comma 6 2 4 3 6 2 2" xfId="46186" xr:uid="{00000000-0005-0000-0000-0000FE280000}"/>
    <cellStyle name="Comma 6 2 4 3 6 3" xfId="33312" xr:uid="{00000000-0005-0000-0000-0000FF280000}"/>
    <cellStyle name="Comma 6 2 4 3 7" xfId="16435" xr:uid="{00000000-0005-0000-0000-000000290000}"/>
    <cellStyle name="Comma 6 2 4 3 7 2" xfId="41988" xr:uid="{00000000-0005-0000-0000-000001290000}"/>
    <cellStyle name="Comma 6 2 4 3 8" xfId="27116" xr:uid="{00000000-0005-0000-0000-000002290000}"/>
    <cellStyle name="Comma 6 2 4 4" xfId="2964" xr:uid="{00000000-0005-0000-0000-000003290000}"/>
    <cellStyle name="Comma 6 2 4 4 2" xfId="5342" xr:uid="{00000000-0005-0000-0000-000004290000}"/>
    <cellStyle name="Comma 6 2 4 4 2 2" xfId="14179" xr:uid="{00000000-0005-0000-0000-000005290000}"/>
    <cellStyle name="Comma 6 2 4 4 2 2 2" xfId="24430" xr:uid="{00000000-0005-0000-0000-000006290000}"/>
    <cellStyle name="Comma 6 2 4 4 2 2 2 2" xfId="49983" xr:uid="{00000000-0005-0000-0000-000007290000}"/>
    <cellStyle name="Comma 6 2 4 4 2 2 3" xfId="39734" xr:uid="{00000000-0005-0000-0000-000008290000}"/>
    <cellStyle name="Comma 6 2 4 4 2 3" xfId="10600" xr:uid="{00000000-0005-0000-0000-000009290000}"/>
    <cellStyle name="Comma 6 2 4 4 2 3 2" xfId="36157" xr:uid="{00000000-0005-0000-0000-00000A290000}"/>
    <cellStyle name="Comma 6 2 4 4 2 4" xfId="19423" xr:uid="{00000000-0005-0000-0000-00000B290000}"/>
    <cellStyle name="Comma 6 2 4 4 2 4 2" xfId="44976" xr:uid="{00000000-0005-0000-0000-00000C290000}"/>
    <cellStyle name="Comma 6 2 4 4 2 5" xfId="30913" xr:uid="{00000000-0005-0000-0000-00000D290000}"/>
    <cellStyle name="Comma 6 2 4 4 3" xfId="6797" xr:uid="{00000000-0005-0000-0000-00000E290000}"/>
    <cellStyle name="Comma 6 2 4 4 3 2" xfId="15624" xr:uid="{00000000-0005-0000-0000-00000F290000}"/>
    <cellStyle name="Comma 6 2 4 4 3 2 2" xfId="41179" xr:uid="{00000000-0005-0000-0000-000010290000}"/>
    <cellStyle name="Comma 6 2 4 4 3 3" xfId="25875" xr:uid="{00000000-0005-0000-0000-000011290000}"/>
    <cellStyle name="Comma 6 2 4 4 3 3 2" xfId="51428" xr:uid="{00000000-0005-0000-0000-000012290000}"/>
    <cellStyle name="Comma 6 2 4 4 3 4" xfId="32358" xr:uid="{00000000-0005-0000-0000-000013290000}"/>
    <cellStyle name="Comma 6 2 4 4 4" xfId="8243" xr:uid="{00000000-0005-0000-0000-000014290000}"/>
    <cellStyle name="Comma 6 2 4 4 4 2" xfId="22325" xr:uid="{00000000-0005-0000-0000-000015290000}"/>
    <cellStyle name="Comma 6 2 4 4 4 2 2" xfId="47878" xr:uid="{00000000-0005-0000-0000-000016290000}"/>
    <cellStyle name="Comma 6 2 4 4 4 3" xfId="33800" xr:uid="{00000000-0005-0000-0000-000017290000}"/>
    <cellStyle name="Comma 6 2 4 4 5" xfId="17318" xr:uid="{00000000-0005-0000-0000-000018290000}"/>
    <cellStyle name="Comma 6 2 4 4 5 2" xfId="42871" xr:uid="{00000000-0005-0000-0000-000019290000}"/>
    <cellStyle name="Comma 6 2 4 4 6" xfId="28808" xr:uid="{00000000-0005-0000-0000-00001A290000}"/>
    <cellStyle name="Comma 6 2 4 5" xfId="4298" xr:uid="{00000000-0005-0000-0000-00001B290000}"/>
    <cellStyle name="Comma 6 2 4 5 2" xfId="13136" xr:uid="{00000000-0005-0000-0000-00001C290000}"/>
    <cellStyle name="Comma 6 2 4 5 2 2" xfId="23387" xr:uid="{00000000-0005-0000-0000-00001D290000}"/>
    <cellStyle name="Comma 6 2 4 5 2 2 2" xfId="48940" xr:uid="{00000000-0005-0000-0000-00001E290000}"/>
    <cellStyle name="Comma 6 2 4 5 2 3" xfId="38691" xr:uid="{00000000-0005-0000-0000-00001F290000}"/>
    <cellStyle name="Comma 6 2 4 5 3" xfId="9557" xr:uid="{00000000-0005-0000-0000-000020290000}"/>
    <cellStyle name="Comma 6 2 4 5 3 2" xfId="35114" xr:uid="{00000000-0005-0000-0000-000021290000}"/>
    <cellStyle name="Comma 6 2 4 5 4" xfId="18380" xr:uid="{00000000-0005-0000-0000-000022290000}"/>
    <cellStyle name="Comma 6 2 4 5 4 2" xfId="43933" xr:uid="{00000000-0005-0000-0000-000023290000}"/>
    <cellStyle name="Comma 6 2 4 5 5" xfId="29870" xr:uid="{00000000-0005-0000-0000-000024290000}"/>
    <cellStyle name="Comma 6 2 4 6" xfId="1570" xr:uid="{00000000-0005-0000-0000-000025290000}"/>
    <cellStyle name="Comma 6 2 4 6 2" xfId="10947" xr:uid="{00000000-0005-0000-0000-000026290000}"/>
    <cellStyle name="Comma 6 2 4 6 2 2" xfId="36502" xr:uid="{00000000-0005-0000-0000-000027290000}"/>
    <cellStyle name="Comma 6 2 4 6 3" xfId="20951" xr:uid="{00000000-0005-0000-0000-000028290000}"/>
    <cellStyle name="Comma 6 2 4 6 3 2" xfId="46504" xr:uid="{00000000-0005-0000-0000-000029290000}"/>
    <cellStyle name="Comma 6 2 4 6 4" xfId="27434" xr:uid="{00000000-0005-0000-0000-00002A290000}"/>
    <cellStyle name="Comma 6 2 4 7" xfId="5754" xr:uid="{00000000-0005-0000-0000-00002B290000}"/>
    <cellStyle name="Comma 6 2 4 7 2" xfId="14581" xr:uid="{00000000-0005-0000-0000-00002C290000}"/>
    <cellStyle name="Comma 6 2 4 7 2 2" xfId="40136" xr:uid="{00000000-0005-0000-0000-00002D290000}"/>
    <cellStyle name="Comma 6 2 4 7 3" xfId="24832" xr:uid="{00000000-0005-0000-0000-00002E290000}"/>
    <cellStyle name="Comma 6 2 4 7 3 2" xfId="50385" xr:uid="{00000000-0005-0000-0000-00002F290000}"/>
    <cellStyle name="Comma 6 2 4 7 4" xfId="31315" xr:uid="{00000000-0005-0000-0000-000030290000}"/>
    <cellStyle name="Comma 6 2 4 8" xfId="7198" xr:uid="{00000000-0005-0000-0000-000031290000}"/>
    <cellStyle name="Comma 6 2 4 8 2" xfId="19924" xr:uid="{00000000-0005-0000-0000-000032290000}"/>
    <cellStyle name="Comma 6 2 4 8 2 2" xfId="45477" xr:uid="{00000000-0005-0000-0000-000033290000}"/>
    <cellStyle name="Comma 6 2 4 8 3" xfId="32755" xr:uid="{00000000-0005-0000-0000-000034290000}"/>
    <cellStyle name="Comma 6 2 4 9" xfId="15944" xr:uid="{00000000-0005-0000-0000-000035290000}"/>
    <cellStyle name="Comma 6 2 4 9 2" xfId="41497" xr:uid="{00000000-0005-0000-0000-000036290000}"/>
    <cellStyle name="Comma 6 2 5" xfId="319" xr:uid="{00000000-0005-0000-0000-000037290000}"/>
    <cellStyle name="Comma 6 2 5 2" xfId="2805" xr:uid="{00000000-0005-0000-0000-000038290000}"/>
    <cellStyle name="Comma 6 2 5 2 2" xfId="12108" xr:uid="{00000000-0005-0000-0000-000039290000}"/>
    <cellStyle name="Comma 6 2 5 2 2 2" xfId="22166" xr:uid="{00000000-0005-0000-0000-00003A290000}"/>
    <cellStyle name="Comma 6 2 5 2 2 2 2" xfId="47719" xr:uid="{00000000-0005-0000-0000-00003B290000}"/>
    <cellStyle name="Comma 6 2 5 2 2 3" xfId="37663" xr:uid="{00000000-0005-0000-0000-00003C290000}"/>
    <cellStyle name="Comma 6 2 5 2 3" xfId="8578" xr:uid="{00000000-0005-0000-0000-00003D290000}"/>
    <cellStyle name="Comma 6 2 5 2 3 2" xfId="34135" xr:uid="{00000000-0005-0000-0000-00003E290000}"/>
    <cellStyle name="Comma 6 2 5 2 4" xfId="17159" xr:uid="{00000000-0005-0000-0000-00003F290000}"/>
    <cellStyle name="Comma 6 2 5 2 4 2" xfId="42712" xr:uid="{00000000-0005-0000-0000-000040290000}"/>
    <cellStyle name="Comma 6 2 5 2 5" xfId="28649" xr:uid="{00000000-0005-0000-0000-000041290000}"/>
    <cellStyle name="Comma 6 2 5 3" xfId="4501" xr:uid="{00000000-0005-0000-0000-000042290000}"/>
    <cellStyle name="Comma 6 2 5 3 2" xfId="13339" xr:uid="{00000000-0005-0000-0000-000043290000}"/>
    <cellStyle name="Comma 6 2 5 3 2 2" xfId="23590" xr:uid="{00000000-0005-0000-0000-000044290000}"/>
    <cellStyle name="Comma 6 2 5 3 2 2 2" xfId="49143" xr:uid="{00000000-0005-0000-0000-000045290000}"/>
    <cellStyle name="Comma 6 2 5 3 2 3" xfId="38894" xr:uid="{00000000-0005-0000-0000-000046290000}"/>
    <cellStyle name="Comma 6 2 5 3 3" xfId="9760" xr:uid="{00000000-0005-0000-0000-000047290000}"/>
    <cellStyle name="Comma 6 2 5 3 3 2" xfId="35317" xr:uid="{00000000-0005-0000-0000-000048290000}"/>
    <cellStyle name="Comma 6 2 5 3 4" xfId="18583" xr:uid="{00000000-0005-0000-0000-000049290000}"/>
    <cellStyle name="Comma 6 2 5 3 4 2" xfId="44136" xr:uid="{00000000-0005-0000-0000-00004A290000}"/>
    <cellStyle name="Comma 6 2 5 3 5" xfId="30073" xr:uid="{00000000-0005-0000-0000-00004B290000}"/>
    <cellStyle name="Comma 6 2 5 4" xfId="1914" xr:uid="{00000000-0005-0000-0000-00004C290000}"/>
    <cellStyle name="Comma 6 2 5 4 2" xfId="11279" xr:uid="{00000000-0005-0000-0000-00004D290000}"/>
    <cellStyle name="Comma 6 2 5 4 2 2" xfId="36834" xr:uid="{00000000-0005-0000-0000-00004E290000}"/>
    <cellStyle name="Comma 6 2 5 4 3" xfId="21283" xr:uid="{00000000-0005-0000-0000-00004F290000}"/>
    <cellStyle name="Comma 6 2 5 4 3 2" xfId="46836" xr:uid="{00000000-0005-0000-0000-000050290000}"/>
    <cellStyle name="Comma 6 2 5 4 4" xfId="27766" xr:uid="{00000000-0005-0000-0000-000051290000}"/>
    <cellStyle name="Comma 6 2 5 5" xfId="5957" xr:uid="{00000000-0005-0000-0000-000052290000}"/>
    <cellStyle name="Comma 6 2 5 5 2" xfId="14784" xr:uid="{00000000-0005-0000-0000-000053290000}"/>
    <cellStyle name="Comma 6 2 5 5 2 2" xfId="40339" xr:uid="{00000000-0005-0000-0000-000054290000}"/>
    <cellStyle name="Comma 6 2 5 5 3" xfId="25035" xr:uid="{00000000-0005-0000-0000-000055290000}"/>
    <cellStyle name="Comma 6 2 5 5 3 2" xfId="50588" xr:uid="{00000000-0005-0000-0000-000056290000}"/>
    <cellStyle name="Comma 6 2 5 5 4" xfId="31518" xr:uid="{00000000-0005-0000-0000-000057290000}"/>
    <cellStyle name="Comma 6 2 5 6" xfId="7401" xr:uid="{00000000-0005-0000-0000-000058290000}"/>
    <cellStyle name="Comma 6 2 5 6 2" xfId="19765" xr:uid="{00000000-0005-0000-0000-000059290000}"/>
    <cellStyle name="Comma 6 2 5 6 2 2" xfId="45318" xr:uid="{00000000-0005-0000-0000-00005A290000}"/>
    <cellStyle name="Comma 6 2 5 6 3" xfId="32958" xr:uid="{00000000-0005-0000-0000-00005B290000}"/>
    <cellStyle name="Comma 6 2 5 7" xfId="16276" xr:uid="{00000000-0005-0000-0000-00005C290000}"/>
    <cellStyle name="Comma 6 2 5 7 2" xfId="41829" xr:uid="{00000000-0005-0000-0000-00005D290000}"/>
    <cellStyle name="Comma 6 2 5 8" xfId="26248" xr:uid="{00000000-0005-0000-0000-00005E290000}"/>
    <cellStyle name="Comma 6 2 6" xfId="686" xr:uid="{00000000-0005-0000-0000-00005F290000}"/>
    <cellStyle name="Comma 6 2 6 2" xfId="3172" xr:uid="{00000000-0005-0000-0000-000060290000}"/>
    <cellStyle name="Comma 6 2 6 2 2" xfId="12315" xr:uid="{00000000-0005-0000-0000-000061290000}"/>
    <cellStyle name="Comma 6 2 6 2 2 2" xfId="22533" xr:uid="{00000000-0005-0000-0000-000062290000}"/>
    <cellStyle name="Comma 6 2 6 2 2 2 2" xfId="48086" xr:uid="{00000000-0005-0000-0000-000063290000}"/>
    <cellStyle name="Comma 6 2 6 2 2 3" xfId="37870" xr:uid="{00000000-0005-0000-0000-000064290000}"/>
    <cellStyle name="Comma 6 2 6 2 3" xfId="8737" xr:uid="{00000000-0005-0000-0000-000065290000}"/>
    <cellStyle name="Comma 6 2 6 2 3 2" xfId="34294" xr:uid="{00000000-0005-0000-0000-000066290000}"/>
    <cellStyle name="Comma 6 2 6 2 4" xfId="17526" xr:uid="{00000000-0005-0000-0000-000067290000}"/>
    <cellStyle name="Comma 6 2 6 2 4 2" xfId="43079" xr:uid="{00000000-0005-0000-0000-000068290000}"/>
    <cellStyle name="Comma 6 2 6 2 5" xfId="29016" xr:uid="{00000000-0005-0000-0000-000069290000}"/>
    <cellStyle name="Comma 6 2 6 3" xfId="4850" xr:uid="{00000000-0005-0000-0000-00006A290000}"/>
    <cellStyle name="Comma 6 2 6 3 2" xfId="13687" xr:uid="{00000000-0005-0000-0000-00006B290000}"/>
    <cellStyle name="Comma 6 2 6 3 2 2" xfId="23938" xr:uid="{00000000-0005-0000-0000-00006C290000}"/>
    <cellStyle name="Comma 6 2 6 3 2 2 2" xfId="49491" xr:uid="{00000000-0005-0000-0000-00006D290000}"/>
    <cellStyle name="Comma 6 2 6 3 2 3" xfId="39242" xr:uid="{00000000-0005-0000-0000-00006E290000}"/>
    <cellStyle name="Comma 6 2 6 3 3" xfId="10108" xr:uid="{00000000-0005-0000-0000-00006F290000}"/>
    <cellStyle name="Comma 6 2 6 3 3 2" xfId="35665" xr:uid="{00000000-0005-0000-0000-000070290000}"/>
    <cellStyle name="Comma 6 2 6 3 4" xfId="18931" xr:uid="{00000000-0005-0000-0000-000071290000}"/>
    <cellStyle name="Comma 6 2 6 3 4 2" xfId="44484" xr:uid="{00000000-0005-0000-0000-000072290000}"/>
    <cellStyle name="Comma 6 2 6 3 5" xfId="30421" xr:uid="{00000000-0005-0000-0000-000073290000}"/>
    <cellStyle name="Comma 6 2 6 4" xfId="2281" xr:uid="{00000000-0005-0000-0000-000074290000}"/>
    <cellStyle name="Comma 6 2 6 4 2" xfId="11646" xr:uid="{00000000-0005-0000-0000-000075290000}"/>
    <cellStyle name="Comma 6 2 6 4 2 2" xfId="37201" xr:uid="{00000000-0005-0000-0000-000076290000}"/>
    <cellStyle name="Comma 6 2 6 4 3" xfId="21650" xr:uid="{00000000-0005-0000-0000-000077290000}"/>
    <cellStyle name="Comma 6 2 6 4 3 2" xfId="47203" xr:uid="{00000000-0005-0000-0000-000078290000}"/>
    <cellStyle name="Comma 6 2 6 4 4" xfId="28133" xr:uid="{00000000-0005-0000-0000-000079290000}"/>
    <cellStyle name="Comma 6 2 6 5" xfId="6305" xr:uid="{00000000-0005-0000-0000-00007A290000}"/>
    <cellStyle name="Comma 6 2 6 5 2" xfId="15132" xr:uid="{00000000-0005-0000-0000-00007B290000}"/>
    <cellStyle name="Comma 6 2 6 5 2 2" xfId="40687" xr:uid="{00000000-0005-0000-0000-00007C290000}"/>
    <cellStyle name="Comma 6 2 6 5 3" xfId="25383" xr:uid="{00000000-0005-0000-0000-00007D290000}"/>
    <cellStyle name="Comma 6 2 6 5 3 2" xfId="50936" xr:uid="{00000000-0005-0000-0000-00007E290000}"/>
    <cellStyle name="Comma 6 2 6 5 4" xfId="31866" xr:uid="{00000000-0005-0000-0000-00007F290000}"/>
    <cellStyle name="Comma 6 2 6 6" xfId="7751" xr:uid="{00000000-0005-0000-0000-000080290000}"/>
    <cellStyle name="Comma 6 2 6 6 2" xfId="20132" xr:uid="{00000000-0005-0000-0000-000081290000}"/>
    <cellStyle name="Comma 6 2 6 6 2 2" xfId="45685" xr:uid="{00000000-0005-0000-0000-000082290000}"/>
    <cellStyle name="Comma 6 2 6 6 3" xfId="33308" xr:uid="{00000000-0005-0000-0000-000083290000}"/>
    <cellStyle name="Comma 6 2 6 7" xfId="16643" xr:uid="{00000000-0005-0000-0000-000084290000}"/>
    <cellStyle name="Comma 6 2 6 7 2" xfId="42196" xr:uid="{00000000-0005-0000-0000-000085290000}"/>
    <cellStyle name="Comma 6 2 6 8" xfId="26615" xr:uid="{00000000-0005-0000-0000-000086290000}"/>
    <cellStyle name="Comma 6 2 7" xfId="1091" xr:uid="{00000000-0005-0000-0000-000087290000}"/>
    <cellStyle name="Comma 6 2 7 2" xfId="3520" xr:uid="{00000000-0005-0000-0000-000088290000}"/>
    <cellStyle name="Comma 6 2 7 2 2" xfId="12656" xr:uid="{00000000-0005-0000-0000-000089290000}"/>
    <cellStyle name="Comma 6 2 7 2 2 2" xfId="22875" xr:uid="{00000000-0005-0000-0000-00008A290000}"/>
    <cellStyle name="Comma 6 2 7 2 2 2 2" xfId="48428" xr:uid="{00000000-0005-0000-0000-00008B290000}"/>
    <cellStyle name="Comma 6 2 7 2 2 3" xfId="38211" xr:uid="{00000000-0005-0000-0000-00008C290000}"/>
    <cellStyle name="Comma 6 2 7 2 3" xfId="9078" xr:uid="{00000000-0005-0000-0000-00008D290000}"/>
    <cellStyle name="Comma 6 2 7 2 3 2" xfId="34635" xr:uid="{00000000-0005-0000-0000-00008E290000}"/>
    <cellStyle name="Comma 6 2 7 2 4" xfId="17868" xr:uid="{00000000-0005-0000-0000-00008F290000}"/>
    <cellStyle name="Comma 6 2 7 2 4 2" xfId="43421" xr:uid="{00000000-0005-0000-0000-000090290000}"/>
    <cellStyle name="Comma 6 2 7 2 5" xfId="29358" xr:uid="{00000000-0005-0000-0000-000091290000}"/>
    <cellStyle name="Comma 6 2 7 3" xfId="5183" xr:uid="{00000000-0005-0000-0000-000092290000}"/>
    <cellStyle name="Comma 6 2 7 3 2" xfId="14020" xr:uid="{00000000-0005-0000-0000-000093290000}"/>
    <cellStyle name="Comma 6 2 7 3 2 2" xfId="24271" xr:uid="{00000000-0005-0000-0000-000094290000}"/>
    <cellStyle name="Comma 6 2 7 3 2 2 2" xfId="49824" xr:uid="{00000000-0005-0000-0000-000095290000}"/>
    <cellStyle name="Comma 6 2 7 3 2 3" xfId="39575" xr:uid="{00000000-0005-0000-0000-000096290000}"/>
    <cellStyle name="Comma 6 2 7 3 3" xfId="10441" xr:uid="{00000000-0005-0000-0000-000097290000}"/>
    <cellStyle name="Comma 6 2 7 3 3 2" xfId="35998" xr:uid="{00000000-0005-0000-0000-000098290000}"/>
    <cellStyle name="Comma 6 2 7 3 4" xfId="19264" xr:uid="{00000000-0005-0000-0000-000099290000}"/>
    <cellStyle name="Comma 6 2 7 3 4 2" xfId="44817" xr:uid="{00000000-0005-0000-0000-00009A290000}"/>
    <cellStyle name="Comma 6 2 7 3 5" xfId="30754" xr:uid="{00000000-0005-0000-0000-00009B290000}"/>
    <cellStyle name="Comma 6 2 7 4" xfId="1749" xr:uid="{00000000-0005-0000-0000-00009C290000}"/>
    <cellStyle name="Comma 6 2 7 4 2" xfId="11120" xr:uid="{00000000-0005-0000-0000-00009D290000}"/>
    <cellStyle name="Comma 6 2 7 4 2 2" xfId="36675" xr:uid="{00000000-0005-0000-0000-00009E290000}"/>
    <cellStyle name="Comma 6 2 7 4 3" xfId="21124" xr:uid="{00000000-0005-0000-0000-00009F290000}"/>
    <cellStyle name="Comma 6 2 7 4 3 2" xfId="46677" xr:uid="{00000000-0005-0000-0000-0000A0290000}"/>
    <cellStyle name="Comma 6 2 7 4 4" xfId="27607" xr:uid="{00000000-0005-0000-0000-0000A1290000}"/>
    <cellStyle name="Comma 6 2 7 5" xfId="6638" xr:uid="{00000000-0005-0000-0000-0000A2290000}"/>
    <cellStyle name="Comma 6 2 7 5 2" xfId="15465" xr:uid="{00000000-0005-0000-0000-0000A3290000}"/>
    <cellStyle name="Comma 6 2 7 5 2 2" xfId="41020" xr:uid="{00000000-0005-0000-0000-0000A4290000}"/>
    <cellStyle name="Comma 6 2 7 5 3" xfId="25716" xr:uid="{00000000-0005-0000-0000-0000A5290000}"/>
    <cellStyle name="Comma 6 2 7 5 3 2" xfId="51269" xr:uid="{00000000-0005-0000-0000-0000A6290000}"/>
    <cellStyle name="Comma 6 2 7 5 4" xfId="32199" xr:uid="{00000000-0005-0000-0000-0000A7290000}"/>
    <cellStyle name="Comma 6 2 7 6" xfId="8084" xr:uid="{00000000-0005-0000-0000-0000A8290000}"/>
    <cellStyle name="Comma 6 2 7 6 2" xfId="20474" xr:uid="{00000000-0005-0000-0000-0000A9290000}"/>
    <cellStyle name="Comma 6 2 7 6 2 2" xfId="46027" xr:uid="{00000000-0005-0000-0000-0000AA290000}"/>
    <cellStyle name="Comma 6 2 7 6 3" xfId="33641" xr:uid="{00000000-0005-0000-0000-0000AB290000}"/>
    <cellStyle name="Comma 6 2 7 7" xfId="16117" xr:uid="{00000000-0005-0000-0000-0000AC290000}"/>
    <cellStyle name="Comma 6 2 7 7 2" xfId="41670" xr:uid="{00000000-0005-0000-0000-0000AD290000}"/>
    <cellStyle name="Comma 6 2 7 8" xfId="26957" xr:uid="{00000000-0005-0000-0000-0000AE290000}"/>
    <cellStyle name="Comma 6 2 8" xfId="2647" xr:uid="{00000000-0005-0000-0000-0000AF290000}"/>
    <cellStyle name="Comma 6 2 8 2" xfId="11969" xr:uid="{00000000-0005-0000-0000-0000B0290000}"/>
    <cellStyle name="Comma 6 2 8 2 2" xfId="22008" xr:uid="{00000000-0005-0000-0000-0000B1290000}"/>
    <cellStyle name="Comma 6 2 8 2 2 2" xfId="47561" xr:uid="{00000000-0005-0000-0000-0000B2290000}"/>
    <cellStyle name="Comma 6 2 8 2 3" xfId="37524" xr:uid="{00000000-0005-0000-0000-0000B3290000}"/>
    <cellStyle name="Comma 6 2 8 3" xfId="8571" xr:uid="{00000000-0005-0000-0000-0000B4290000}"/>
    <cellStyle name="Comma 6 2 8 3 2" xfId="34128" xr:uid="{00000000-0005-0000-0000-0000B5290000}"/>
    <cellStyle name="Comma 6 2 8 4" xfId="17001" xr:uid="{00000000-0005-0000-0000-0000B6290000}"/>
    <cellStyle name="Comma 6 2 8 4 2" xfId="42554" xr:uid="{00000000-0005-0000-0000-0000B7290000}"/>
    <cellStyle name="Comma 6 2 8 5" xfId="28491" xr:uid="{00000000-0005-0000-0000-0000B8290000}"/>
    <cellStyle name="Comma 6 2 9" xfId="4137" xr:uid="{00000000-0005-0000-0000-0000B9290000}"/>
    <cellStyle name="Comma 6 2 9 2" xfId="12975" xr:uid="{00000000-0005-0000-0000-0000BA290000}"/>
    <cellStyle name="Comma 6 2 9 2 2" xfId="23226" xr:uid="{00000000-0005-0000-0000-0000BB290000}"/>
    <cellStyle name="Comma 6 2 9 2 2 2" xfId="48779" xr:uid="{00000000-0005-0000-0000-0000BC290000}"/>
    <cellStyle name="Comma 6 2 9 2 3" xfId="38530" xr:uid="{00000000-0005-0000-0000-0000BD290000}"/>
    <cellStyle name="Comma 6 2 9 3" xfId="9396" xr:uid="{00000000-0005-0000-0000-0000BE290000}"/>
    <cellStyle name="Comma 6 2 9 3 2" xfId="34953" xr:uid="{00000000-0005-0000-0000-0000BF290000}"/>
    <cellStyle name="Comma 6 2 9 4" xfId="18219" xr:uid="{00000000-0005-0000-0000-0000C0290000}"/>
    <cellStyle name="Comma 6 2 9 4 2" xfId="43772" xr:uid="{00000000-0005-0000-0000-0000C1290000}"/>
    <cellStyle name="Comma 6 2 9 5" xfId="29709" xr:uid="{00000000-0005-0000-0000-0000C2290000}"/>
    <cellStyle name="Comma 6 3" xfId="193" xr:uid="{00000000-0005-0000-0000-0000C3290000}"/>
    <cellStyle name="Comma 6 3 10" xfId="7141" xr:uid="{00000000-0005-0000-0000-0000C4290000}"/>
    <cellStyle name="Comma 6 3 10 2" xfId="19650" xr:uid="{00000000-0005-0000-0000-0000C5290000}"/>
    <cellStyle name="Comma 6 3 10 2 2" xfId="45203" xr:uid="{00000000-0005-0000-0000-0000C6290000}"/>
    <cellStyle name="Comma 6 3 10 3" xfId="32698" xr:uid="{00000000-0005-0000-0000-0000C7290000}"/>
    <cellStyle name="Comma 6 3 11" xfId="15887" xr:uid="{00000000-0005-0000-0000-0000C8290000}"/>
    <cellStyle name="Comma 6 3 11 2" xfId="41440" xr:uid="{00000000-0005-0000-0000-0000C9290000}"/>
    <cellStyle name="Comma 6 3 12" xfId="26133" xr:uid="{00000000-0005-0000-0000-0000CA290000}"/>
    <cellStyle name="Comma 6 3 2" xfId="521" xr:uid="{00000000-0005-0000-0000-0000CB290000}"/>
    <cellStyle name="Comma 6 3 2 10" xfId="26450" xr:uid="{00000000-0005-0000-0000-0000CC290000}"/>
    <cellStyle name="Comma 6 3 2 2" xfId="692" xr:uid="{00000000-0005-0000-0000-0000CD290000}"/>
    <cellStyle name="Comma 6 3 2 2 2" xfId="3178" xr:uid="{00000000-0005-0000-0000-0000CE290000}"/>
    <cellStyle name="Comma 6 3 2 2 2 2" xfId="12321" xr:uid="{00000000-0005-0000-0000-0000CF290000}"/>
    <cellStyle name="Comma 6 3 2 2 2 2 2" xfId="22539" xr:uid="{00000000-0005-0000-0000-0000D0290000}"/>
    <cellStyle name="Comma 6 3 2 2 2 2 2 2" xfId="48092" xr:uid="{00000000-0005-0000-0000-0000D1290000}"/>
    <cellStyle name="Comma 6 3 2 2 2 2 3" xfId="37876" xr:uid="{00000000-0005-0000-0000-0000D2290000}"/>
    <cellStyle name="Comma 6 3 2 2 2 3" xfId="8743" xr:uid="{00000000-0005-0000-0000-0000D3290000}"/>
    <cellStyle name="Comma 6 3 2 2 2 3 2" xfId="34300" xr:uid="{00000000-0005-0000-0000-0000D4290000}"/>
    <cellStyle name="Comma 6 3 2 2 2 4" xfId="17532" xr:uid="{00000000-0005-0000-0000-0000D5290000}"/>
    <cellStyle name="Comma 6 3 2 2 2 4 2" xfId="43085" xr:uid="{00000000-0005-0000-0000-0000D6290000}"/>
    <cellStyle name="Comma 6 3 2 2 2 5" xfId="29022" xr:uid="{00000000-0005-0000-0000-0000D7290000}"/>
    <cellStyle name="Comma 6 3 2 2 3" xfId="4507" xr:uid="{00000000-0005-0000-0000-0000D8290000}"/>
    <cellStyle name="Comma 6 3 2 2 3 2" xfId="13345" xr:uid="{00000000-0005-0000-0000-0000D9290000}"/>
    <cellStyle name="Comma 6 3 2 2 3 2 2" xfId="23596" xr:uid="{00000000-0005-0000-0000-0000DA290000}"/>
    <cellStyle name="Comma 6 3 2 2 3 2 2 2" xfId="49149" xr:uid="{00000000-0005-0000-0000-0000DB290000}"/>
    <cellStyle name="Comma 6 3 2 2 3 2 3" xfId="38900" xr:uid="{00000000-0005-0000-0000-0000DC290000}"/>
    <cellStyle name="Comma 6 3 2 2 3 3" xfId="9766" xr:uid="{00000000-0005-0000-0000-0000DD290000}"/>
    <cellStyle name="Comma 6 3 2 2 3 3 2" xfId="35323" xr:uid="{00000000-0005-0000-0000-0000DE290000}"/>
    <cellStyle name="Comma 6 3 2 2 3 4" xfId="18589" xr:uid="{00000000-0005-0000-0000-0000DF290000}"/>
    <cellStyle name="Comma 6 3 2 2 3 4 2" xfId="44142" xr:uid="{00000000-0005-0000-0000-0000E0290000}"/>
    <cellStyle name="Comma 6 3 2 2 3 5" xfId="30079" xr:uid="{00000000-0005-0000-0000-0000E1290000}"/>
    <cellStyle name="Comma 6 3 2 2 4" xfId="2287" xr:uid="{00000000-0005-0000-0000-0000E2290000}"/>
    <cellStyle name="Comma 6 3 2 2 4 2" xfId="11652" xr:uid="{00000000-0005-0000-0000-0000E3290000}"/>
    <cellStyle name="Comma 6 3 2 2 4 2 2" xfId="37207" xr:uid="{00000000-0005-0000-0000-0000E4290000}"/>
    <cellStyle name="Comma 6 3 2 2 4 3" xfId="21656" xr:uid="{00000000-0005-0000-0000-0000E5290000}"/>
    <cellStyle name="Comma 6 3 2 2 4 3 2" xfId="47209" xr:uid="{00000000-0005-0000-0000-0000E6290000}"/>
    <cellStyle name="Comma 6 3 2 2 4 4" xfId="28139" xr:uid="{00000000-0005-0000-0000-0000E7290000}"/>
    <cellStyle name="Comma 6 3 2 2 5" xfId="5963" xr:uid="{00000000-0005-0000-0000-0000E8290000}"/>
    <cellStyle name="Comma 6 3 2 2 5 2" xfId="14790" xr:uid="{00000000-0005-0000-0000-0000E9290000}"/>
    <cellStyle name="Comma 6 3 2 2 5 2 2" xfId="40345" xr:uid="{00000000-0005-0000-0000-0000EA290000}"/>
    <cellStyle name="Comma 6 3 2 2 5 3" xfId="25041" xr:uid="{00000000-0005-0000-0000-0000EB290000}"/>
    <cellStyle name="Comma 6 3 2 2 5 3 2" xfId="50594" xr:uid="{00000000-0005-0000-0000-0000EC290000}"/>
    <cellStyle name="Comma 6 3 2 2 5 4" xfId="31524" xr:uid="{00000000-0005-0000-0000-0000ED290000}"/>
    <cellStyle name="Comma 6 3 2 2 6" xfId="7407" xr:uid="{00000000-0005-0000-0000-0000EE290000}"/>
    <cellStyle name="Comma 6 3 2 2 6 2" xfId="20138" xr:uid="{00000000-0005-0000-0000-0000EF290000}"/>
    <cellStyle name="Comma 6 3 2 2 6 2 2" xfId="45691" xr:uid="{00000000-0005-0000-0000-0000F0290000}"/>
    <cellStyle name="Comma 6 3 2 2 6 3" xfId="32964" xr:uid="{00000000-0005-0000-0000-0000F1290000}"/>
    <cellStyle name="Comma 6 3 2 2 7" xfId="16649" xr:uid="{00000000-0005-0000-0000-0000F2290000}"/>
    <cellStyle name="Comma 6 3 2 2 7 2" xfId="42202" xr:uid="{00000000-0005-0000-0000-0000F3290000}"/>
    <cellStyle name="Comma 6 3 2 2 8" xfId="26621" xr:uid="{00000000-0005-0000-0000-0000F4290000}"/>
    <cellStyle name="Comma 6 3 2 3" xfId="1293" xr:uid="{00000000-0005-0000-0000-0000F5290000}"/>
    <cellStyle name="Comma 6 3 2 3 2" xfId="3722" xr:uid="{00000000-0005-0000-0000-0000F6290000}"/>
    <cellStyle name="Comma 6 3 2 3 2 2" xfId="12858" xr:uid="{00000000-0005-0000-0000-0000F7290000}"/>
    <cellStyle name="Comma 6 3 2 3 2 2 2" xfId="23077" xr:uid="{00000000-0005-0000-0000-0000F8290000}"/>
    <cellStyle name="Comma 6 3 2 3 2 2 2 2" xfId="48630" xr:uid="{00000000-0005-0000-0000-0000F9290000}"/>
    <cellStyle name="Comma 6 3 2 3 2 2 3" xfId="38413" xr:uid="{00000000-0005-0000-0000-0000FA290000}"/>
    <cellStyle name="Comma 6 3 2 3 2 3" xfId="9279" xr:uid="{00000000-0005-0000-0000-0000FB290000}"/>
    <cellStyle name="Comma 6 3 2 3 2 3 2" xfId="34836" xr:uid="{00000000-0005-0000-0000-0000FC290000}"/>
    <cellStyle name="Comma 6 3 2 3 2 4" xfId="18070" xr:uid="{00000000-0005-0000-0000-0000FD290000}"/>
    <cellStyle name="Comma 6 3 2 3 2 4 2" xfId="43623" xr:uid="{00000000-0005-0000-0000-0000FE290000}"/>
    <cellStyle name="Comma 6 3 2 3 2 5" xfId="29560" xr:uid="{00000000-0005-0000-0000-0000FF290000}"/>
    <cellStyle name="Comma 6 3 2 3 3" xfId="4856" xr:uid="{00000000-0005-0000-0000-0000002A0000}"/>
    <cellStyle name="Comma 6 3 2 3 3 2" xfId="13693" xr:uid="{00000000-0005-0000-0000-0000012A0000}"/>
    <cellStyle name="Comma 6 3 2 3 3 2 2" xfId="23944" xr:uid="{00000000-0005-0000-0000-0000022A0000}"/>
    <cellStyle name="Comma 6 3 2 3 3 2 2 2" xfId="49497" xr:uid="{00000000-0005-0000-0000-0000032A0000}"/>
    <cellStyle name="Comma 6 3 2 3 3 2 3" xfId="39248" xr:uid="{00000000-0005-0000-0000-0000042A0000}"/>
    <cellStyle name="Comma 6 3 2 3 3 3" xfId="10114" xr:uid="{00000000-0005-0000-0000-0000052A0000}"/>
    <cellStyle name="Comma 6 3 2 3 3 3 2" xfId="35671" xr:uid="{00000000-0005-0000-0000-0000062A0000}"/>
    <cellStyle name="Comma 6 3 2 3 3 4" xfId="18937" xr:uid="{00000000-0005-0000-0000-0000072A0000}"/>
    <cellStyle name="Comma 6 3 2 3 3 4 2" xfId="44490" xr:uid="{00000000-0005-0000-0000-0000082A0000}"/>
    <cellStyle name="Comma 6 3 2 3 3 5" xfId="30427" xr:uid="{00000000-0005-0000-0000-0000092A0000}"/>
    <cellStyle name="Comma 6 3 2 3 4" xfId="2116" xr:uid="{00000000-0005-0000-0000-00000A2A0000}"/>
    <cellStyle name="Comma 6 3 2 3 4 2" xfId="11481" xr:uid="{00000000-0005-0000-0000-00000B2A0000}"/>
    <cellStyle name="Comma 6 3 2 3 4 2 2" xfId="37036" xr:uid="{00000000-0005-0000-0000-00000C2A0000}"/>
    <cellStyle name="Comma 6 3 2 3 4 3" xfId="21485" xr:uid="{00000000-0005-0000-0000-00000D2A0000}"/>
    <cellStyle name="Comma 6 3 2 3 4 3 2" xfId="47038" xr:uid="{00000000-0005-0000-0000-00000E2A0000}"/>
    <cellStyle name="Comma 6 3 2 3 4 4" xfId="27968" xr:uid="{00000000-0005-0000-0000-00000F2A0000}"/>
    <cellStyle name="Comma 6 3 2 3 5" xfId="6311" xr:uid="{00000000-0005-0000-0000-0000102A0000}"/>
    <cellStyle name="Comma 6 3 2 3 5 2" xfId="15138" xr:uid="{00000000-0005-0000-0000-0000112A0000}"/>
    <cellStyle name="Comma 6 3 2 3 5 2 2" xfId="40693" xr:uid="{00000000-0005-0000-0000-0000122A0000}"/>
    <cellStyle name="Comma 6 3 2 3 5 3" xfId="25389" xr:uid="{00000000-0005-0000-0000-0000132A0000}"/>
    <cellStyle name="Comma 6 3 2 3 5 3 2" xfId="50942" xr:uid="{00000000-0005-0000-0000-0000142A0000}"/>
    <cellStyle name="Comma 6 3 2 3 5 4" xfId="31872" xr:uid="{00000000-0005-0000-0000-0000152A0000}"/>
    <cellStyle name="Comma 6 3 2 3 6" xfId="7757" xr:uid="{00000000-0005-0000-0000-0000162A0000}"/>
    <cellStyle name="Comma 6 3 2 3 6 2" xfId="20676" xr:uid="{00000000-0005-0000-0000-0000172A0000}"/>
    <cellStyle name="Comma 6 3 2 3 6 2 2" xfId="46229" xr:uid="{00000000-0005-0000-0000-0000182A0000}"/>
    <cellStyle name="Comma 6 3 2 3 6 3" xfId="33314" xr:uid="{00000000-0005-0000-0000-0000192A0000}"/>
    <cellStyle name="Comma 6 3 2 3 7" xfId="16478" xr:uid="{00000000-0005-0000-0000-00001A2A0000}"/>
    <cellStyle name="Comma 6 3 2 3 7 2" xfId="42031" xr:uid="{00000000-0005-0000-0000-00001B2A0000}"/>
    <cellStyle name="Comma 6 3 2 3 8" xfId="27159" xr:uid="{00000000-0005-0000-0000-00001C2A0000}"/>
    <cellStyle name="Comma 6 3 2 4" xfId="3007" xr:uid="{00000000-0005-0000-0000-00001D2A0000}"/>
    <cellStyle name="Comma 6 3 2 4 2" xfId="5385" xr:uid="{00000000-0005-0000-0000-00001E2A0000}"/>
    <cellStyle name="Comma 6 3 2 4 2 2" xfId="14222" xr:uid="{00000000-0005-0000-0000-00001F2A0000}"/>
    <cellStyle name="Comma 6 3 2 4 2 2 2" xfId="24473" xr:uid="{00000000-0005-0000-0000-0000202A0000}"/>
    <cellStyle name="Comma 6 3 2 4 2 2 2 2" xfId="50026" xr:uid="{00000000-0005-0000-0000-0000212A0000}"/>
    <cellStyle name="Comma 6 3 2 4 2 2 3" xfId="39777" xr:uid="{00000000-0005-0000-0000-0000222A0000}"/>
    <cellStyle name="Comma 6 3 2 4 2 3" xfId="10643" xr:uid="{00000000-0005-0000-0000-0000232A0000}"/>
    <cellStyle name="Comma 6 3 2 4 2 3 2" xfId="36200" xr:uid="{00000000-0005-0000-0000-0000242A0000}"/>
    <cellStyle name="Comma 6 3 2 4 2 4" xfId="19466" xr:uid="{00000000-0005-0000-0000-0000252A0000}"/>
    <cellStyle name="Comma 6 3 2 4 2 4 2" xfId="45019" xr:uid="{00000000-0005-0000-0000-0000262A0000}"/>
    <cellStyle name="Comma 6 3 2 4 2 5" xfId="30956" xr:uid="{00000000-0005-0000-0000-0000272A0000}"/>
    <cellStyle name="Comma 6 3 2 4 3" xfId="6840" xr:uid="{00000000-0005-0000-0000-0000282A0000}"/>
    <cellStyle name="Comma 6 3 2 4 3 2" xfId="15667" xr:uid="{00000000-0005-0000-0000-0000292A0000}"/>
    <cellStyle name="Comma 6 3 2 4 3 2 2" xfId="41222" xr:uid="{00000000-0005-0000-0000-00002A2A0000}"/>
    <cellStyle name="Comma 6 3 2 4 3 3" xfId="25918" xr:uid="{00000000-0005-0000-0000-00002B2A0000}"/>
    <cellStyle name="Comma 6 3 2 4 3 3 2" xfId="51471" xr:uid="{00000000-0005-0000-0000-00002C2A0000}"/>
    <cellStyle name="Comma 6 3 2 4 3 4" xfId="32401" xr:uid="{00000000-0005-0000-0000-00002D2A0000}"/>
    <cellStyle name="Comma 6 3 2 4 4" xfId="8286" xr:uid="{00000000-0005-0000-0000-00002E2A0000}"/>
    <cellStyle name="Comma 6 3 2 4 4 2" xfId="22368" xr:uid="{00000000-0005-0000-0000-00002F2A0000}"/>
    <cellStyle name="Comma 6 3 2 4 4 2 2" xfId="47921" xr:uid="{00000000-0005-0000-0000-0000302A0000}"/>
    <cellStyle name="Comma 6 3 2 4 4 3" xfId="33843" xr:uid="{00000000-0005-0000-0000-0000312A0000}"/>
    <cellStyle name="Comma 6 3 2 4 5" xfId="17361" xr:uid="{00000000-0005-0000-0000-0000322A0000}"/>
    <cellStyle name="Comma 6 3 2 4 5 2" xfId="42914" xr:uid="{00000000-0005-0000-0000-0000332A0000}"/>
    <cellStyle name="Comma 6 3 2 4 6" xfId="28851" xr:uid="{00000000-0005-0000-0000-0000342A0000}"/>
    <cellStyle name="Comma 6 3 2 5" xfId="4341" xr:uid="{00000000-0005-0000-0000-0000352A0000}"/>
    <cellStyle name="Comma 6 3 2 5 2" xfId="13179" xr:uid="{00000000-0005-0000-0000-0000362A0000}"/>
    <cellStyle name="Comma 6 3 2 5 2 2" xfId="23430" xr:uid="{00000000-0005-0000-0000-0000372A0000}"/>
    <cellStyle name="Comma 6 3 2 5 2 2 2" xfId="48983" xr:uid="{00000000-0005-0000-0000-0000382A0000}"/>
    <cellStyle name="Comma 6 3 2 5 2 3" xfId="38734" xr:uid="{00000000-0005-0000-0000-0000392A0000}"/>
    <cellStyle name="Comma 6 3 2 5 3" xfId="9600" xr:uid="{00000000-0005-0000-0000-00003A2A0000}"/>
    <cellStyle name="Comma 6 3 2 5 3 2" xfId="35157" xr:uid="{00000000-0005-0000-0000-00003B2A0000}"/>
    <cellStyle name="Comma 6 3 2 5 4" xfId="18423" xr:uid="{00000000-0005-0000-0000-00003C2A0000}"/>
    <cellStyle name="Comma 6 3 2 5 4 2" xfId="43976" xr:uid="{00000000-0005-0000-0000-00003D2A0000}"/>
    <cellStyle name="Comma 6 3 2 5 5" xfId="29913" xr:uid="{00000000-0005-0000-0000-00003E2A0000}"/>
    <cellStyle name="Comma 6 3 2 6" xfId="1613" xr:uid="{00000000-0005-0000-0000-00003F2A0000}"/>
    <cellStyle name="Comma 6 3 2 6 2" xfId="10990" xr:uid="{00000000-0005-0000-0000-0000402A0000}"/>
    <cellStyle name="Comma 6 3 2 6 2 2" xfId="36545" xr:uid="{00000000-0005-0000-0000-0000412A0000}"/>
    <cellStyle name="Comma 6 3 2 6 3" xfId="20994" xr:uid="{00000000-0005-0000-0000-0000422A0000}"/>
    <cellStyle name="Comma 6 3 2 6 3 2" xfId="46547" xr:uid="{00000000-0005-0000-0000-0000432A0000}"/>
    <cellStyle name="Comma 6 3 2 6 4" xfId="27477" xr:uid="{00000000-0005-0000-0000-0000442A0000}"/>
    <cellStyle name="Comma 6 3 2 7" xfId="5797" xr:uid="{00000000-0005-0000-0000-0000452A0000}"/>
    <cellStyle name="Comma 6 3 2 7 2" xfId="14624" xr:uid="{00000000-0005-0000-0000-0000462A0000}"/>
    <cellStyle name="Comma 6 3 2 7 2 2" xfId="40179" xr:uid="{00000000-0005-0000-0000-0000472A0000}"/>
    <cellStyle name="Comma 6 3 2 7 3" xfId="24875" xr:uid="{00000000-0005-0000-0000-0000482A0000}"/>
    <cellStyle name="Comma 6 3 2 7 3 2" xfId="50428" xr:uid="{00000000-0005-0000-0000-0000492A0000}"/>
    <cellStyle name="Comma 6 3 2 7 4" xfId="31358" xr:uid="{00000000-0005-0000-0000-00004A2A0000}"/>
    <cellStyle name="Comma 6 3 2 8" xfId="7241" xr:uid="{00000000-0005-0000-0000-00004B2A0000}"/>
    <cellStyle name="Comma 6 3 2 8 2" xfId="19967" xr:uid="{00000000-0005-0000-0000-00004C2A0000}"/>
    <cellStyle name="Comma 6 3 2 8 2 2" xfId="45520" xr:uid="{00000000-0005-0000-0000-00004D2A0000}"/>
    <cellStyle name="Comma 6 3 2 8 3" xfId="32798" xr:uid="{00000000-0005-0000-0000-00004E2A0000}"/>
    <cellStyle name="Comma 6 3 2 9" xfId="15987" xr:uid="{00000000-0005-0000-0000-00004F2A0000}"/>
    <cellStyle name="Comma 6 3 2 9 2" xfId="41540" xr:uid="{00000000-0005-0000-0000-0000502A0000}"/>
    <cellStyle name="Comma 6 3 3" xfId="421" xr:uid="{00000000-0005-0000-0000-0000512A0000}"/>
    <cellStyle name="Comma 6 3 3 2" xfId="2907" xr:uid="{00000000-0005-0000-0000-0000522A0000}"/>
    <cellStyle name="Comma 6 3 3 2 2" xfId="12195" xr:uid="{00000000-0005-0000-0000-0000532A0000}"/>
    <cellStyle name="Comma 6 3 3 2 2 2" xfId="22268" xr:uid="{00000000-0005-0000-0000-0000542A0000}"/>
    <cellStyle name="Comma 6 3 3 2 2 2 2" xfId="47821" xr:uid="{00000000-0005-0000-0000-0000552A0000}"/>
    <cellStyle name="Comma 6 3 3 2 2 3" xfId="37750" xr:uid="{00000000-0005-0000-0000-0000562A0000}"/>
    <cellStyle name="Comma 6 3 3 2 3" xfId="8602" xr:uid="{00000000-0005-0000-0000-0000572A0000}"/>
    <cellStyle name="Comma 6 3 3 2 3 2" xfId="34159" xr:uid="{00000000-0005-0000-0000-0000582A0000}"/>
    <cellStyle name="Comma 6 3 3 2 4" xfId="17261" xr:uid="{00000000-0005-0000-0000-0000592A0000}"/>
    <cellStyle name="Comma 6 3 3 2 4 2" xfId="42814" xr:uid="{00000000-0005-0000-0000-00005A2A0000}"/>
    <cellStyle name="Comma 6 3 3 2 5" xfId="28751" xr:uid="{00000000-0005-0000-0000-00005B2A0000}"/>
    <cellStyle name="Comma 6 3 3 3" xfId="4506" xr:uid="{00000000-0005-0000-0000-00005C2A0000}"/>
    <cellStyle name="Comma 6 3 3 3 2" xfId="13344" xr:uid="{00000000-0005-0000-0000-00005D2A0000}"/>
    <cellStyle name="Comma 6 3 3 3 2 2" xfId="23595" xr:uid="{00000000-0005-0000-0000-00005E2A0000}"/>
    <cellStyle name="Comma 6 3 3 3 2 2 2" xfId="49148" xr:uid="{00000000-0005-0000-0000-00005F2A0000}"/>
    <cellStyle name="Comma 6 3 3 3 2 3" xfId="38899" xr:uid="{00000000-0005-0000-0000-0000602A0000}"/>
    <cellStyle name="Comma 6 3 3 3 3" xfId="9765" xr:uid="{00000000-0005-0000-0000-0000612A0000}"/>
    <cellStyle name="Comma 6 3 3 3 3 2" xfId="35322" xr:uid="{00000000-0005-0000-0000-0000622A0000}"/>
    <cellStyle name="Comma 6 3 3 3 4" xfId="18588" xr:uid="{00000000-0005-0000-0000-0000632A0000}"/>
    <cellStyle name="Comma 6 3 3 3 4 2" xfId="44141" xr:uid="{00000000-0005-0000-0000-0000642A0000}"/>
    <cellStyle name="Comma 6 3 3 3 5" xfId="30078" xr:uid="{00000000-0005-0000-0000-0000652A0000}"/>
    <cellStyle name="Comma 6 3 3 4" xfId="2016" xr:uid="{00000000-0005-0000-0000-0000662A0000}"/>
    <cellStyle name="Comma 6 3 3 4 2" xfId="11381" xr:uid="{00000000-0005-0000-0000-0000672A0000}"/>
    <cellStyle name="Comma 6 3 3 4 2 2" xfId="36936" xr:uid="{00000000-0005-0000-0000-0000682A0000}"/>
    <cellStyle name="Comma 6 3 3 4 3" xfId="21385" xr:uid="{00000000-0005-0000-0000-0000692A0000}"/>
    <cellStyle name="Comma 6 3 3 4 3 2" xfId="46938" xr:uid="{00000000-0005-0000-0000-00006A2A0000}"/>
    <cellStyle name="Comma 6 3 3 4 4" xfId="27868" xr:uid="{00000000-0005-0000-0000-00006B2A0000}"/>
    <cellStyle name="Comma 6 3 3 5" xfId="5962" xr:uid="{00000000-0005-0000-0000-00006C2A0000}"/>
    <cellStyle name="Comma 6 3 3 5 2" xfId="14789" xr:uid="{00000000-0005-0000-0000-00006D2A0000}"/>
    <cellStyle name="Comma 6 3 3 5 2 2" xfId="40344" xr:uid="{00000000-0005-0000-0000-00006E2A0000}"/>
    <cellStyle name="Comma 6 3 3 5 3" xfId="25040" xr:uid="{00000000-0005-0000-0000-00006F2A0000}"/>
    <cellStyle name="Comma 6 3 3 5 3 2" xfId="50593" xr:uid="{00000000-0005-0000-0000-0000702A0000}"/>
    <cellStyle name="Comma 6 3 3 5 4" xfId="31523" xr:uid="{00000000-0005-0000-0000-0000712A0000}"/>
    <cellStyle name="Comma 6 3 3 6" xfId="7406" xr:uid="{00000000-0005-0000-0000-0000722A0000}"/>
    <cellStyle name="Comma 6 3 3 6 2" xfId="19867" xr:uid="{00000000-0005-0000-0000-0000732A0000}"/>
    <cellStyle name="Comma 6 3 3 6 2 2" xfId="45420" xr:uid="{00000000-0005-0000-0000-0000742A0000}"/>
    <cellStyle name="Comma 6 3 3 6 3" xfId="32963" xr:uid="{00000000-0005-0000-0000-0000752A0000}"/>
    <cellStyle name="Comma 6 3 3 7" xfId="16378" xr:uid="{00000000-0005-0000-0000-0000762A0000}"/>
    <cellStyle name="Comma 6 3 3 7 2" xfId="41931" xr:uid="{00000000-0005-0000-0000-0000772A0000}"/>
    <cellStyle name="Comma 6 3 3 8" xfId="26350" xr:uid="{00000000-0005-0000-0000-0000782A0000}"/>
    <cellStyle name="Comma 6 3 4" xfId="691" xr:uid="{00000000-0005-0000-0000-0000792A0000}"/>
    <cellStyle name="Comma 6 3 4 2" xfId="3177" xr:uid="{00000000-0005-0000-0000-00007A2A0000}"/>
    <cellStyle name="Comma 6 3 4 2 2" xfId="12320" xr:uid="{00000000-0005-0000-0000-00007B2A0000}"/>
    <cellStyle name="Comma 6 3 4 2 2 2" xfId="22538" xr:uid="{00000000-0005-0000-0000-00007C2A0000}"/>
    <cellStyle name="Comma 6 3 4 2 2 2 2" xfId="48091" xr:uid="{00000000-0005-0000-0000-00007D2A0000}"/>
    <cellStyle name="Comma 6 3 4 2 2 3" xfId="37875" xr:uid="{00000000-0005-0000-0000-00007E2A0000}"/>
    <cellStyle name="Comma 6 3 4 2 3" xfId="8742" xr:uid="{00000000-0005-0000-0000-00007F2A0000}"/>
    <cellStyle name="Comma 6 3 4 2 3 2" xfId="34299" xr:uid="{00000000-0005-0000-0000-0000802A0000}"/>
    <cellStyle name="Comma 6 3 4 2 4" xfId="17531" xr:uid="{00000000-0005-0000-0000-0000812A0000}"/>
    <cellStyle name="Comma 6 3 4 2 4 2" xfId="43084" xr:uid="{00000000-0005-0000-0000-0000822A0000}"/>
    <cellStyle name="Comma 6 3 4 2 5" xfId="29021" xr:uid="{00000000-0005-0000-0000-0000832A0000}"/>
    <cellStyle name="Comma 6 3 4 3" xfId="4855" xr:uid="{00000000-0005-0000-0000-0000842A0000}"/>
    <cellStyle name="Comma 6 3 4 3 2" xfId="13692" xr:uid="{00000000-0005-0000-0000-0000852A0000}"/>
    <cellStyle name="Comma 6 3 4 3 2 2" xfId="23943" xr:uid="{00000000-0005-0000-0000-0000862A0000}"/>
    <cellStyle name="Comma 6 3 4 3 2 2 2" xfId="49496" xr:uid="{00000000-0005-0000-0000-0000872A0000}"/>
    <cellStyle name="Comma 6 3 4 3 2 3" xfId="39247" xr:uid="{00000000-0005-0000-0000-0000882A0000}"/>
    <cellStyle name="Comma 6 3 4 3 3" xfId="10113" xr:uid="{00000000-0005-0000-0000-0000892A0000}"/>
    <cellStyle name="Comma 6 3 4 3 3 2" xfId="35670" xr:uid="{00000000-0005-0000-0000-00008A2A0000}"/>
    <cellStyle name="Comma 6 3 4 3 4" xfId="18936" xr:uid="{00000000-0005-0000-0000-00008B2A0000}"/>
    <cellStyle name="Comma 6 3 4 3 4 2" xfId="44489" xr:uid="{00000000-0005-0000-0000-00008C2A0000}"/>
    <cellStyle name="Comma 6 3 4 3 5" xfId="30426" xr:uid="{00000000-0005-0000-0000-00008D2A0000}"/>
    <cellStyle name="Comma 6 3 4 4" xfId="2286" xr:uid="{00000000-0005-0000-0000-00008E2A0000}"/>
    <cellStyle name="Comma 6 3 4 4 2" xfId="11651" xr:uid="{00000000-0005-0000-0000-00008F2A0000}"/>
    <cellStyle name="Comma 6 3 4 4 2 2" xfId="37206" xr:uid="{00000000-0005-0000-0000-0000902A0000}"/>
    <cellStyle name="Comma 6 3 4 4 3" xfId="21655" xr:uid="{00000000-0005-0000-0000-0000912A0000}"/>
    <cellStyle name="Comma 6 3 4 4 3 2" xfId="47208" xr:uid="{00000000-0005-0000-0000-0000922A0000}"/>
    <cellStyle name="Comma 6 3 4 4 4" xfId="28138" xr:uid="{00000000-0005-0000-0000-0000932A0000}"/>
    <cellStyle name="Comma 6 3 4 5" xfId="6310" xr:uid="{00000000-0005-0000-0000-0000942A0000}"/>
    <cellStyle name="Comma 6 3 4 5 2" xfId="15137" xr:uid="{00000000-0005-0000-0000-0000952A0000}"/>
    <cellStyle name="Comma 6 3 4 5 2 2" xfId="40692" xr:uid="{00000000-0005-0000-0000-0000962A0000}"/>
    <cellStyle name="Comma 6 3 4 5 3" xfId="25388" xr:uid="{00000000-0005-0000-0000-0000972A0000}"/>
    <cellStyle name="Comma 6 3 4 5 3 2" xfId="50941" xr:uid="{00000000-0005-0000-0000-0000982A0000}"/>
    <cellStyle name="Comma 6 3 4 5 4" xfId="31871" xr:uid="{00000000-0005-0000-0000-0000992A0000}"/>
    <cellStyle name="Comma 6 3 4 6" xfId="7756" xr:uid="{00000000-0005-0000-0000-00009A2A0000}"/>
    <cellStyle name="Comma 6 3 4 6 2" xfId="20137" xr:uid="{00000000-0005-0000-0000-00009B2A0000}"/>
    <cellStyle name="Comma 6 3 4 6 2 2" xfId="45690" xr:uid="{00000000-0005-0000-0000-00009C2A0000}"/>
    <cellStyle name="Comma 6 3 4 6 3" xfId="33313" xr:uid="{00000000-0005-0000-0000-00009D2A0000}"/>
    <cellStyle name="Comma 6 3 4 7" xfId="16648" xr:uid="{00000000-0005-0000-0000-00009E2A0000}"/>
    <cellStyle name="Comma 6 3 4 7 2" xfId="42201" xr:uid="{00000000-0005-0000-0000-00009F2A0000}"/>
    <cellStyle name="Comma 6 3 4 8" xfId="26620" xr:uid="{00000000-0005-0000-0000-0000A02A0000}"/>
    <cellStyle name="Comma 6 3 5" xfId="1193" xr:uid="{00000000-0005-0000-0000-0000A12A0000}"/>
    <cellStyle name="Comma 6 3 5 2" xfId="3622" xr:uid="{00000000-0005-0000-0000-0000A22A0000}"/>
    <cellStyle name="Comma 6 3 5 2 2" xfId="12758" xr:uid="{00000000-0005-0000-0000-0000A32A0000}"/>
    <cellStyle name="Comma 6 3 5 2 2 2" xfId="22977" xr:uid="{00000000-0005-0000-0000-0000A42A0000}"/>
    <cellStyle name="Comma 6 3 5 2 2 2 2" xfId="48530" xr:uid="{00000000-0005-0000-0000-0000A52A0000}"/>
    <cellStyle name="Comma 6 3 5 2 2 3" xfId="38313" xr:uid="{00000000-0005-0000-0000-0000A62A0000}"/>
    <cellStyle name="Comma 6 3 5 2 3" xfId="9179" xr:uid="{00000000-0005-0000-0000-0000A72A0000}"/>
    <cellStyle name="Comma 6 3 5 2 3 2" xfId="34736" xr:uid="{00000000-0005-0000-0000-0000A82A0000}"/>
    <cellStyle name="Comma 6 3 5 2 4" xfId="17970" xr:uid="{00000000-0005-0000-0000-0000A92A0000}"/>
    <cellStyle name="Comma 6 3 5 2 4 2" xfId="43523" xr:uid="{00000000-0005-0000-0000-0000AA2A0000}"/>
    <cellStyle name="Comma 6 3 5 2 5" xfId="29460" xr:uid="{00000000-0005-0000-0000-0000AB2A0000}"/>
    <cellStyle name="Comma 6 3 5 3" xfId="5285" xr:uid="{00000000-0005-0000-0000-0000AC2A0000}"/>
    <cellStyle name="Comma 6 3 5 3 2" xfId="14122" xr:uid="{00000000-0005-0000-0000-0000AD2A0000}"/>
    <cellStyle name="Comma 6 3 5 3 2 2" xfId="24373" xr:uid="{00000000-0005-0000-0000-0000AE2A0000}"/>
    <cellStyle name="Comma 6 3 5 3 2 2 2" xfId="49926" xr:uid="{00000000-0005-0000-0000-0000AF2A0000}"/>
    <cellStyle name="Comma 6 3 5 3 2 3" xfId="39677" xr:uid="{00000000-0005-0000-0000-0000B02A0000}"/>
    <cellStyle name="Comma 6 3 5 3 3" xfId="10543" xr:uid="{00000000-0005-0000-0000-0000B12A0000}"/>
    <cellStyle name="Comma 6 3 5 3 3 2" xfId="36100" xr:uid="{00000000-0005-0000-0000-0000B22A0000}"/>
    <cellStyle name="Comma 6 3 5 3 4" xfId="19366" xr:uid="{00000000-0005-0000-0000-0000B32A0000}"/>
    <cellStyle name="Comma 6 3 5 3 4 2" xfId="44919" xr:uid="{00000000-0005-0000-0000-0000B42A0000}"/>
    <cellStyle name="Comma 6 3 5 3 5" xfId="30856" xr:uid="{00000000-0005-0000-0000-0000B52A0000}"/>
    <cellStyle name="Comma 6 3 5 4" xfId="1795" xr:uid="{00000000-0005-0000-0000-0000B62A0000}"/>
    <cellStyle name="Comma 6 3 5 4 2" xfId="11164" xr:uid="{00000000-0005-0000-0000-0000B72A0000}"/>
    <cellStyle name="Comma 6 3 5 4 2 2" xfId="36719" xr:uid="{00000000-0005-0000-0000-0000B82A0000}"/>
    <cellStyle name="Comma 6 3 5 4 3" xfId="21168" xr:uid="{00000000-0005-0000-0000-0000B92A0000}"/>
    <cellStyle name="Comma 6 3 5 4 3 2" xfId="46721" xr:uid="{00000000-0005-0000-0000-0000BA2A0000}"/>
    <cellStyle name="Comma 6 3 5 4 4" xfId="27651" xr:uid="{00000000-0005-0000-0000-0000BB2A0000}"/>
    <cellStyle name="Comma 6 3 5 5" xfId="6740" xr:uid="{00000000-0005-0000-0000-0000BC2A0000}"/>
    <cellStyle name="Comma 6 3 5 5 2" xfId="15567" xr:uid="{00000000-0005-0000-0000-0000BD2A0000}"/>
    <cellStyle name="Comma 6 3 5 5 2 2" xfId="41122" xr:uid="{00000000-0005-0000-0000-0000BE2A0000}"/>
    <cellStyle name="Comma 6 3 5 5 3" xfId="25818" xr:uid="{00000000-0005-0000-0000-0000BF2A0000}"/>
    <cellStyle name="Comma 6 3 5 5 3 2" xfId="51371" xr:uid="{00000000-0005-0000-0000-0000C02A0000}"/>
    <cellStyle name="Comma 6 3 5 5 4" xfId="32301" xr:uid="{00000000-0005-0000-0000-0000C12A0000}"/>
    <cellStyle name="Comma 6 3 5 6" xfId="8186" xr:uid="{00000000-0005-0000-0000-0000C22A0000}"/>
    <cellStyle name="Comma 6 3 5 6 2" xfId="20576" xr:uid="{00000000-0005-0000-0000-0000C32A0000}"/>
    <cellStyle name="Comma 6 3 5 6 2 2" xfId="46129" xr:uid="{00000000-0005-0000-0000-0000C42A0000}"/>
    <cellStyle name="Comma 6 3 5 6 3" xfId="33743" xr:uid="{00000000-0005-0000-0000-0000C52A0000}"/>
    <cellStyle name="Comma 6 3 5 7" xfId="16161" xr:uid="{00000000-0005-0000-0000-0000C62A0000}"/>
    <cellStyle name="Comma 6 3 5 7 2" xfId="41714" xr:uid="{00000000-0005-0000-0000-0000C72A0000}"/>
    <cellStyle name="Comma 6 3 5 8" xfId="27059" xr:uid="{00000000-0005-0000-0000-0000C82A0000}"/>
    <cellStyle name="Comma 6 3 6" xfId="2690" xr:uid="{00000000-0005-0000-0000-0000C92A0000}"/>
    <cellStyle name="Comma 6 3 6 2" xfId="12007" xr:uid="{00000000-0005-0000-0000-0000CA2A0000}"/>
    <cellStyle name="Comma 6 3 6 2 2" xfId="22051" xr:uid="{00000000-0005-0000-0000-0000CB2A0000}"/>
    <cellStyle name="Comma 6 3 6 2 2 2" xfId="47604" xr:uid="{00000000-0005-0000-0000-0000CC2A0000}"/>
    <cellStyle name="Comma 6 3 6 2 3" xfId="37562" xr:uid="{00000000-0005-0000-0000-0000CD2A0000}"/>
    <cellStyle name="Comma 6 3 6 3" xfId="8439" xr:uid="{00000000-0005-0000-0000-0000CE2A0000}"/>
    <cellStyle name="Comma 6 3 6 3 2" xfId="33996" xr:uid="{00000000-0005-0000-0000-0000CF2A0000}"/>
    <cellStyle name="Comma 6 3 6 4" xfId="17044" xr:uid="{00000000-0005-0000-0000-0000D02A0000}"/>
    <cellStyle name="Comma 6 3 6 4 2" xfId="42597" xr:uid="{00000000-0005-0000-0000-0000D12A0000}"/>
    <cellStyle name="Comma 6 3 6 5" xfId="28534" xr:uid="{00000000-0005-0000-0000-0000D22A0000}"/>
    <cellStyle name="Comma 6 3 7" xfId="4241" xr:uid="{00000000-0005-0000-0000-0000D32A0000}"/>
    <cellStyle name="Comma 6 3 7 2" xfId="13079" xr:uid="{00000000-0005-0000-0000-0000D42A0000}"/>
    <cellStyle name="Comma 6 3 7 2 2" xfId="23330" xr:uid="{00000000-0005-0000-0000-0000D52A0000}"/>
    <cellStyle name="Comma 6 3 7 2 2 2" xfId="48883" xr:uid="{00000000-0005-0000-0000-0000D62A0000}"/>
    <cellStyle name="Comma 6 3 7 2 3" xfId="38634" xr:uid="{00000000-0005-0000-0000-0000D72A0000}"/>
    <cellStyle name="Comma 6 3 7 3" xfId="9500" xr:uid="{00000000-0005-0000-0000-0000D82A0000}"/>
    <cellStyle name="Comma 6 3 7 3 2" xfId="35057" xr:uid="{00000000-0005-0000-0000-0000D92A0000}"/>
    <cellStyle name="Comma 6 3 7 4" xfId="18323" xr:uid="{00000000-0005-0000-0000-0000DA2A0000}"/>
    <cellStyle name="Comma 6 3 7 4 2" xfId="43876" xr:uid="{00000000-0005-0000-0000-0000DB2A0000}"/>
    <cellStyle name="Comma 6 3 7 5" xfId="29813" xr:uid="{00000000-0005-0000-0000-0000DC2A0000}"/>
    <cellStyle name="Comma 6 3 8" xfId="1513" xr:uid="{00000000-0005-0000-0000-0000DD2A0000}"/>
    <cellStyle name="Comma 6 3 8 2" xfId="10890" xr:uid="{00000000-0005-0000-0000-0000DE2A0000}"/>
    <cellStyle name="Comma 6 3 8 2 2" xfId="36445" xr:uid="{00000000-0005-0000-0000-0000DF2A0000}"/>
    <cellStyle name="Comma 6 3 8 3" xfId="20894" xr:uid="{00000000-0005-0000-0000-0000E02A0000}"/>
    <cellStyle name="Comma 6 3 8 3 2" xfId="46447" xr:uid="{00000000-0005-0000-0000-0000E12A0000}"/>
    <cellStyle name="Comma 6 3 8 4" xfId="27377" xr:uid="{00000000-0005-0000-0000-0000E22A0000}"/>
    <cellStyle name="Comma 6 3 9" xfId="5697" xr:uid="{00000000-0005-0000-0000-0000E32A0000}"/>
    <cellStyle name="Comma 6 3 9 2" xfId="14524" xr:uid="{00000000-0005-0000-0000-0000E42A0000}"/>
    <cellStyle name="Comma 6 3 9 2 2" xfId="40079" xr:uid="{00000000-0005-0000-0000-0000E52A0000}"/>
    <cellStyle name="Comma 6 3 9 3" xfId="24775" xr:uid="{00000000-0005-0000-0000-0000E62A0000}"/>
    <cellStyle name="Comma 6 3 9 3 2" xfId="50328" xr:uid="{00000000-0005-0000-0000-0000E72A0000}"/>
    <cellStyle name="Comma 6 3 9 4" xfId="31258" xr:uid="{00000000-0005-0000-0000-0000E82A0000}"/>
    <cellStyle name="Comma 6 4" xfId="241" xr:uid="{00000000-0005-0000-0000-0000E92A0000}"/>
    <cellStyle name="Comma 6 4 10" xfId="7079" xr:uid="{00000000-0005-0000-0000-0000EA2A0000}"/>
    <cellStyle name="Comma 6 4 10 2" xfId="19693" xr:uid="{00000000-0005-0000-0000-0000EB2A0000}"/>
    <cellStyle name="Comma 6 4 10 2 2" xfId="45246" xr:uid="{00000000-0005-0000-0000-0000EC2A0000}"/>
    <cellStyle name="Comma 6 4 10 3" xfId="32636" xr:uid="{00000000-0005-0000-0000-0000ED2A0000}"/>
    <cellStyle name="Comma 6 4 11" xfId="15825" xr:uid="{00000000-0005-0000-0000-0000EE2A0000}"/>
    <cellStyle name="Comma 6 4 11 2" xfId="41378" xr:uid="{00000000-0005-0000-0000-0000EF2A0000}"/>
    <cellStyle name="Comma 6 4 12" xfId="26176" xr:uid="{00000000-0005-0000-0000-0000F02A0000}"/>
    <cellStyle name="Comma 6 4 2" xfId="564" xr:uid="{00000000-0005-0000-0000-0000F12A0000}"/>
    <cellStyle name="Comma 6 4 2 10" xfId="26493" xr:uid="{00000000-0005-0000-0000-0000F22A0000}"/>
    <cellStyle name="Comma 6 4 2 2" xfId="694" xr:uid="{00000000-0005-0000-0000-0000F32A0000}"/>
    <cellStyle name="Comma 6 4 2 2 2" xfId="3180" xr:uid="{00000000-0005-0000-0000-0000F42A0000}"/>
    <cellStyle name="Comma 6 4 2 2 2 2" xfId="12323" xr:uid="{00000000-0005-0000-0000-0000F52A0000}"/>
    <cellStyle name="Comma 6 4 2 2 2 2 2" xfId="22541" xr:uid="{00000000-0005-0000-0000-0000F62A0000}"/>
    <cellStyle name="Comma 6 4 2 2 2 2 2 2" xfId="48094" xr:uid="{00000000-0005-0000-0000-0000F72A0000}"/>
    <cellStyle name="Comma 6 4 2 2 2 2 3" xfId="37878" xr:uid="{00000000-0005-0000-0000-0000F82A0000}"/>
    <cellStyle name="Comma 6 4 2 2 2 3" xfId="8745" xr:uid="{00000000-0005-0000-0000-0000F92A0000}"/>
    <cellStyle name="Comma 6 4 2 2 2 3 2" xfId="34302" xr:uid="{00000000-0005-0000-0000-0000FA2A0000}"/>
    <cellStyle name="Comma 6 4 2 2 2 4" xfId="17534" xr:uid="{00000000-0005-0000-0000-0000FB2A0000}"/>
    <cellStyle name="Comma 6 4 2 2 2 4 2" xfId="43087" xr:uid="{00000000-0005-0000-0000-0000FC2A0000}"/>
    <cellStyle name="Comma 6 4 2 2 2 5" xfId="29024" xr:uid="{00000000-0005-0000-0000-0000FD2A0000}"/>
    <cellStyle name="Comma 6 4 2 2 3" xfId="4509" xr:uid="{00000000-0005-0000-0000-0000FE2A0000}"/>
    <cellStyle name="Comma 6 4 2 2 3 2" xfId="13347" xr:uid="{00000000-0005-0000-0000-0000FF2A0000}"/>
    <cellStyle name="Comma 6 4 2 2 3 2 2" xfId="23598" xr:uid="{00000000-0005-0000-0000-0000002B0000}"/>
    <cellStyle name="Comma 6 4 2 2 3 2 2 2" xfId="49151" xr:uid="{00000000-0005-0000-0000-0000012B0000}"/>
    <cellStyle name="Comma 6 4 2 2 3 2 3" xfId="38902" xr:uid="{00000000-0005-0000-0000-0000022B0000}"/>
    <cellStyle name="Comma 6 4 2 2 3 3" xfId="9768" xr:uid="{00000000-0005-0000-0000-0000032B0000}"/>
    <cellStyle name="Comma 6 4 2 2 3 3 2" xfId="35325" xr:uid="{00000000-0005-0000-0000-0000042B0000}"/>
    <cellStyle name="Comma 6 4 2 2 3 4" xfId="18591" xr:uid="{00000000-0005-0000-0000-0000052B0000}"/>
    <cellStyle name="Comma 6 4 2 2 3 4 2" xfId="44144" xr:uid="{00000000-0005-0000-0000-0000062B0000}"/>
    <cellStyle name="Comma 6 4 2 2 3 5" xfId="30081" xr:uid="{00000000-0005-0000-0000-0000072B0000}"/>
    <cellStyle name="Comma 6 4 2 2 4" xfId="2289" xr:uid="{00000000-0005-0000-0000-0000082B0000}"/>
    <cellStyle name="Comma 6 4 2 2 4 2" xfId="11654" xr:uid="{00000000-0005-0000-0000-0000092B0000}"/>
    <cellStyle name="Comma 6 4 2 2 4 2 2" xfId="37209" xr:uid="{00000000-0005-0000-0000-00000A2B0000}"/>
    <cellStyle name="Comma 6 4 2 2 4 3" xfId="21658" xr:uid="{00000000-0005-0000-0000-00000B2B0000}"/>
    <cellStyle name="Comma 6 4 2 2 4 3 2" xfId="47211" xr:uid="{00000000-0005-0000-0000-00000C2B0000}"/>
    <cellStyle name="Comma 6 4 2 2 4 4" xfId="28141" xr:uid="{00000000-0005-0000-0000-00000D2B0000}"/>
    <cellStyle name="Comma 6 4 2 2 5" xfId="5965" xr:uid="{00000000-0005-0000-0000-00000E2B0000}"/>
    <cellStyle name="Comma 6 4 2 2 5 2" xfId="14792" xr:uid="{00000000-0005-0000-0000-00000F2B0000}"/>
    <cellStyle name="Comma 6 4 2 2 5 2 2" xfId="40347" xr:uid="{00000000-0005-0000-0000-0000102B0000}"/>
    <cellStyle name="Comma 6 4 2 2 5 3" xfId="25043" xr:uid="{00000000-0005-0000-0000-0000112B0000}"/>
    <cellStyle name="Comma 6 4 2 2 5 3 2" xfId="50596" xr:uid="{00000000-0005-0000-0000-0000122B0000}"/>
    <cellStyle name="Comma 6 4 2 2 5 4" xfId="31526" xr:uid="{00000000-0005-0000-0000-0000132B0000}"/>
    <cellStyle name="Comma 6 4 2 2 6" xfId="7409" xr:uid="{00000000-0005-0000-0000-0000142B0000}"/>
    <cellStyle name="Comma 6 4 2 2 6 2" xfId="20140" xr:uid="{00000000-0005-0000-0000-0000152B0000}"/>
    <cellStyle name="Comma 6 4 2 2 6 2 2" xfId="45693" xr:uid="{00000000-0005-0000-0000-0000162B0000}"/>
    <cellStyle name="Comma 6 4 2 2 6 3" xfId="32966" xr:uid="{00000000-0005-0000-0000-0000172B0000}"/>
    <cellStyle name="Comma 6 4 2 2 7" xfId="16651" xr:uid="{00000000-0005-0000-0000-0000182B0000}"/>
    <cellStyle name="Comma 6 4 2 2 7 2" xfId="42204" xr:uid="{00000000-0005-0000-0000-0000192B0000}"/>
    <cellStyle name="Comma 6 4 2 2 8" xfId="26623" xr:uid="{00000000-0005-0000-0000-00001A2B0000}"/>
    <cellStyle name="Comma 6 4 2 3" xfId="1336" xr:uid="{00000000-0005-0000-0000-00001B2B0000}"/>
    <cellStyle name="Comma 6 4 2 3 2" xfId="3765" xr:uid="{00000000-0005-0000-0000-00001C2B0000}"/>
    <cellStyle name="Comma 6 4 2 3 2 2" xfId="12901" xr:uid="{00000000-0005-0000-0000-00001D2B0000}"/>
    <cellStyle name="Comma 6 4 2 3 2 2 2" xfId="23120" xr:uid="{00000000-0005-0000-0000-00001E2B0000}"/>
    <cellStyle name="Comma 6 4 2 3 2 2 2 2" xfId="48673" xr:uid="{00000000-0005-0000-0000-00001F2B0000}"/>
    <cellStyle name="Comma 6 4 2 3 2 2 3" xfId="38456" xr:uid="{00000000-0005-0000-0000-0000202B0000}"/>
    <cellStyle name="Comma 6 4 2 3 2 3" xfId="9322" xr:uid="{00000000-0005-0000-0000-0000212B0000}"/>
    <cellStyle name="Comma 6 4 2 3 2 3 2" xfId="34879" xr:uid="{00000000-0005-0000-0000-0000222B0000}"/>
    <cellStyle name="Comma 6 4 2 3 2 4" xfId="18113" xr:uid="{00000000-0005-0000-0000-0000232B0000}"/>
    <cellStyle name="Comma 6 4 2 3 2 4 2" xfId="43666" xr:uid="{00000000-0005-0000-0000-0000242B0000}"/>
    <cellStyle name="Comma 6 4 2 3 2 5" xfId="29603" xr:uid="{00000000-0005-0000-0000-0000252B0000}"/>
    <cellStyle name="Comma 6 4 2 3 3" xfId="4858" xr:uid="{00000000-0005-0000-0000-0000262B0000}"/>
    <cellStyle name="Comma 6 4 2 3 3 2" xfId="13695" xr:uid="{00000000-0005-0000-0000-0000272B0000}"/>
    <cellStyle name="Comma 6 4 2 3 3 2 2" xfId="23946" xr:uid="{00000000-0005-0000-0000-0000282B0000}"/>
    <cellStyle name="Comma 6 4 2 3 3 2 2 2" xfId="49499" xr:uid="{00000000-0005-0000-0000-0000292B0000}"/>
    <cellStyle name="Comma 6 4 2 3 3 2 3" xfId="39250" xr:uid="{00000000-0005-0000-0000-00002A2B0000}"/>
    <cellStyle name="Comma 6 4 2 3 3 3" xfId="10116" xr:uid="{00000000-0005-0000-0000-00002B2B0000}"/>
    <cellStyle name="Comma 6 4 2 3 3 3 2" xfId="35673" xr:uid="{00000000-0005-0000-0000-00002C2B0000}"/>
    <cellStyle name="Comma 6 4 2 3 3 4" xfId="18939" xr:uid="{00000000-0005-0000-0000-00002D2B0000}"/>
    <cellStyle name="Comma 6 4 2 3 3 4 2" xfId="44492" xr:uid="{00000000-0005-0000-0000-00002E2B0000}"/>
    <cellStyle name="Comma 6 4 2 3 3 5" xfId="30429" xr:uid="{00000000-0005-0000-0000-00002F2B0000}"/>
    <cellStyle name="Comma 6 4 2 3 4" xfId="2159" xr:uid="{00000000-0005-0000-0000-0000302B0000}"/>
    <cellStyle name="Comma 6 4 2 3 4 2" xfId="11524" xr:uid="{00000000-0005-0000-0000-0000312B0000}"/>
    <cellStyle name="Comma 6 4 2 3 4 2 2" xfId="37079" xr:uid="{00000000-0005-0000-0000-0000322B0000}"/>
    <cellStyle name="Comma 6 4 2 3 4 3" xfId="21528" xr:uid="{00000000-0005-0000-0000-0000332B0000}"/>
    <cellStyle name="Comma 6 4 2 3 4 3 2" xfId="47081" xr:uid="{00000000-0005-0000-0000-0000342B0000}"/>
    <cellStyle name="Comma 6 4 2 3 4 4" xfId="28011" xr:uid="{00000000-0005-0000-0000-0000352B0000}"/>
    <cellStyle name="Comma 6 4 2 3 5" xfId="6313" xr:uid="{00000000-0005-0000-0000-0000362B0000}"/>
    <cellStyle name="Comma 6 4 2 3 5 2" xfId="15140" xr:uid="{00000000-0005-0000-0000-0000372B0000}"/>
    <cellStyle name="Comma 6 4 2 3 5 2 2" xfId="40695" xr:uid="{00000000-0005-0000-0000-0000382B0000}"/>
    <cellStyle name="Comma 6 4 2 3 5 3" xfId="25391" xr:uid="{00000000-0005-0000-0000-0000392B0000}"/>
    <cellStyle name="Comma 6 4 2 3 5 3 2" xfId="50944" xr:uid="{00000000-0005-0000-0000-00003A2B0000}"/>
    <cellStyle name="Comma 6 4 2 3 5 4" xfId="31874" xr:uid="{00000000-0005-0000-0000-00003B2B0000}"/>
    <cellStyle name="Comma 6 4 2 3 6" xfId="7759" xr:uid="{00000000-0005-0000-0000-00003C2B0000}"/>
    <cellStyle name="Comma 6 4 2 3 6 2" xfId="20719" xr:uid="{00000000-0005-0000-0000-00003D2B0000}"/>
    <cellStyle name="Comma 6 4 2 3 6 2 2" xfId="46272" xr:uid="{00000000-0005-0000-0000-00003E2B0000}"/>
    <cellStyle name="Comma 6 4 2 3 6 3" xfId="33316" xr:uid="{00000000-0005-0000-0000-00003F2B0000}"/>
    <cellStyle name="Comma 6 4 2 3 7" xfId="16521" xr:uid="{00000000-0005-0000-0000-0000402B0000}"/>
    <cellStyle name="Comma 6 4 2 3 7 2" xfId="42074" xr:uid="{00000000-0005-0000-0000-0000412B0000}"/>
    <cellStyle name="Comma 6 4 2 3 8" xfId="27202" xr:uid="{00000000-0005-0000-0000-0000422B0000}"/>
    <cellStyle name="Comma 6 4 2 4" xfId="3050" xr:uid="{00000000-0005-0000-0000-0000432B0000}"/>
    <cellStyle name="Comma 6 4 2 4 2" xfId="5428" xr:uid="{00000000-0005-0000-0000-0000442B0000}"/>
    <cellStyle name="Comma 6 4 2 4 2 2" xfId="14265" xr:uid="{00000000-0005-0000-0000-0000452B0000}"/>
    <cellStyle name="Comma 6 4 2 4 2 2 2" xfId="24516" xr:uid="{00000000-0005-0000-0000-0000462B0000}"/>
    <cellStyle name="Comma 6 4 2 4 2 2 2 2" xfId="50069" xr:uid="{00000000-0005-0000-0000-0000472B0000}"/>
    <cellStyle name="Comma 6 4 2 4 2 2 3" xfId="39820" xr:uid="{00000000-0005-0000-0000-0000482B0000}"/>
    <cellStyle name="Comma 6 4 2 4 2 3" xfId="10686" xr:uid="{00000000-0005-0000-0000-0000492B0000}"/>
    <cellStyle name="Comma 6 4 2 4 2 3 2" xfId="36243" xr:uid="{00000000-0005-0000-0000-00004A2B0000}"/>
    <cellStyle name="Comma 6 4 2 4 2 4" xfId="19509" xr:uid="{00000000-0005-0000-0000-00004B2B0000}"/>
    <cellStyle name="Comma 6 4 2 4 2 4 2" xfId="45062" xr:uid="{00000000-0005-0000-0000-00004C2B0000}"/>
    <cellStyle name="Comma 6 4 2 4 2 5" xfId="30999" xr:uid="{00000000-0005-0000-0000-00004D2B0000}"/>
    <cellStyle name="Comma 6 4 2 4 3" xfId="6883" xr:uid="{00000000-0005-0000-0000-00004E2B0000}"/>
    <cellStyle name="Comma 6 4 2 4 3 2" xfId="15710" xr:uid="{00000000-0005-0000-0000-00004F2B0000}"/>
    <cellStyle name="Comma 6 4 2 4 3 2 2" xfId="41265" xr:uid="{00000000-0005-0000-0000-0000502B0000}"/>
    <cellStyle name="Comma 6 4 2 4 3 3" xfId="25961" xr:uid="{00000000-0005-0000-0000-0000512B0000}"/>
    <cellStyle name="Comma 6 4 2 4 3 3 2" xfId="51514" xr:uid="{00000000-0005-0000-0000-0000522B0000}"/>
    <cellStyle name="Comma 6 4 2 4 3 4" xfId="32444" xr:uid="{00000000-0005-0000-0000-0000532B0000}"/>
    <cellStyle name="Comma 6 4 2 4 4" xfId="8329" xr:uid="{00000000-0005-0000-0000-0000542B0000}"/>
    <cellStyle name="Comma 6 4 2 4 4 2" xfId="22411" xr:uid="{00000000-0005-0000-0000-0000552B0000}"/>
    <cellStyle name="Comma 6 4 2 4 4 2 2" xfId="47964" xr:uid="{00000000-0005-0000-0000-0000562B0000}"/>
    <cellStyle name="Comma 6 4 2 4 4 3" xfId="33886" xr:uid="{00000000-0005-0000-0000-0000572B0000}"/>
    <cellStyle name="Comma 6 4 2 4 5" xfId="17404" xr:uid="{00000000-0005-0000-0000-0000582B0000}"/>
    <cellStyle name="Comma 6 4 2 4 5 2" xfId="42957" xr:uid="{00000000-0005-0000-0000-0000592B0000}"/>
    <cellStyle name="Comma 6 4 2 4 6" xfId="28894" xr:uid="{00000000-0005-0000-0000-00005A2B0000}"/>
    <cellStyle name="Comma 6 4 2 5" xfId="4384" xr:uid="{00000000-0005-0000-0000-00005B2B0000}"/>
    <cellStyle name="Comma 6 4 2 5 2" xfId="13222" xr:uid="{00000000-0005-0000-0000-00005C2B0000}"/>
    <cellStyle name="Comma 6 4 2 5 2 2" xfId="23473" xr:uid="{00000000-0005-0000-0000-00005D2B0000}"/>
    <cellStyle name="Comma 6 4 2 5 2 2 2" xfId="49026" xr:uid="{00000000-0005-0000-0000-00005E2B0000}"/>
    <cellStyle name="Comma 6 4 2 5 2 3" xfId="38777" xr:uid="{00000000-0005-0000-0000-00005F2B0000}"/>
    <cellStyle name="Comma 6 4 2 5 3" xfId="9643" xr:uid="{00000000-0005-0000-0000-0000602B0000}"/>
    <cellStyle name="Comma 6 4 2 5 3 2" xfId="35200" xr:uid="{00000000-0005-0000-0000-0000612B0000}"/>
    <cellStyle name="Comma 6 4 2 5 4" xfId="18466" xr:uid="{00000000-0005-0000-0000-0000622B0000}"/>
    <cellStyle name="Comma 6 4 2 5 4 2" xfId="44019" xr:uid="{00000000-0005-0000-0000-0000632B0000}"/>
    <cellStyle name="Comma 6 4 2 5 5" xfId="29956" xr:uid="{00000000-0005-0000-0000-0000642B0000}"/>
    <cellStyle name="Comma 6 4 2 6" xfId="1656" xr:uid="{00000000-0005-0000-0000-0000652B0000}"/>
    <cellStyle name="Comma 6 4 2 6 2" xfId="11033" xr:uid="{00000000-0005-0000-0000-0000662B0000}"/>
    <cellStyle name="Comma 6 4 2 6 2 2" xfId="36588" xr:uid="{00000000-0005-0000-0000-0000672B0000}"/>
    <cellStyle name="Comma 6 4 2 6 3" xfId="21037" xr:uid="{00000000-0005-0000-0000-0000682B0000}"/>
    <cellStyle name="Comma 6 4 2 6 3 2" xfId="46590" xr:uid="{00000000-0005-0000-0000-0000692B0000}"/>
    <cellStyle name="Comma 6 4 2 6 4" xfId="27520" xr:uid="{00000000-0005-0000-0000-00006A2B0000}"/>
    <cellStyle name="Comma 6 4 2 7" xfId="5840" xr:uid="{00000000-0005-0000-0000-00006B2B0000}"/>
    <cellStyle name="Comma 6 4 2 7 2" xfId="14667" xr:uid="{00000000-0005-0000-0000-00006C2B0000}"/>
    <cellStyle name="Comma 6 4 2 7 2 2" xfId="40222" xr:uid="{00000000-0005-0000-0000-00006D2B0000}"/>
    <cellStyle name="Comma 6 4 2 7 3" xfId="24918" xr:uid="{00000000-0005-0000-0000-00006E2B0000}"/>
    <cellStyle name="Comma 6 4 2 7 3 2" xfId="50471" xr:uid="{00000000-0005-0000-0000-00006F2B0000}"/>
    <cellStyle name="Comma 6 4 2 7 4" xfId="31401" xr:uid="{00000000-0005-0000-0000-0000702B0000}"/>
    <cellStyle name="Comma 6 4 2 8" xfId="7284" xr:uid="{00000000-0005-0000-0000-0000712B0000}"/>
    <cellStyle name="Comma 6 4 2 8 2" xfId="20010" xr:uid="{00000000-0005-0000-0000-0000722B0000}"/>
    <cellStyle name="Comma 6 4 2 8 2 2" xfId="45563" xr:uid="{00000000-0005-0000-0000-0000732B0000}"/>
    <cellStyle name="Comma 6 4 2 8 3" xfId="32841" xr:uid="{00000000-0005-0000-0000-0000742B0000}"/>
    <cellStyle name="Comma 6 4 2 9" xfId="16030" xr:uid="{00000000-0005-0000-0000-0000752B0000}"/>
    <cellStyle name="Comma 6 4 2 9 2" xfId="41583" xr:uid="{00000000-0005-0000-0000-0000762B0000}"/>
    <cellStyle name="Comma 6 4 3" xfId="359" xr:uid="{00000000-0005-0000-0000-0000772B0000}"/>
    <cellStyle name="Comma 6 4 3 2" xfId="2845" xr:uid="{00000000-0005-0000-0000-0000782B0000}"/>
    <cellStyle name="Comma 6 4 3 2 2" xfId="12133" xr:uid="{00000000-0005-0000-0000-0000792B0000}"/>
    <cellStyle name="Comma 6 4 3 2 2 2" xfId="22206" xr:uid="{00000000-0005-0000-0000-00007A2B0000}"/>
    <cellStyle name="Comma 6 4 3 2 2 2 2" xfId="47759" xr:uid="{00000000-0005-0000-0000-00007B2B0000}"/>
    <cellStyle name="Comma 6 4 3 2 2 3" xfId="37688" xr:uid="{00000000-0005-0000-0000-00007C2B0000}"/>
    <cellStyle name="Comma 6 4 3 2 3" xfId="6961" xr:uid="{00000000-0005-0000-0000-00007D2B0000}"/>
    <cellStyle name="Comma 6 4 3 2 3 2" xfId="32519" xr:uid="{00000000-0005-0000-0000-00007E2B0000}"/>
    <cellStyle name="Comma 6 4 3 2 4" xfId="17199" xr:uid="{00000000-0005-0000-0000-00007F2B0000}"/>
    <cellStyle name="Comma 6 4 3 2 4 2" xfId="42752" xr:uid="{00000000-0005-0000-0000-0000802B0000}"/>
    <cellStyle name="Comma 6 4 3 2 5" xfId="28689" xr:uid="{00000000-0005-0000-0000-0000812B0000}"/>
    <cellStyle name="Comma 6 4 3 3" xfId="4508" xr:uid="{00000000-0005-0000-0000-0000822B0000}"/>
    <cellStyle name="Comma 6 4 3 3 2" xfId="13346" xr:uid="{00000000-0005-0000-0000-0000832B0000}"/>
    <cellStyle name="Comma 6 4 3 3 2 2" xfId="23597" xr:uid="{00000000-0005-0000-0000-0000842B0000}"/>
    <cellStyle name="Comma 6 4 3 3 2 2 2" xfId="49150" xr:uid="{00000000-0005-0000-0000-0000852B0000}"/>
    <cellStyle name="Comma 6 4 3 3 2 3" xfId="38901" xr:uid="{00000000-0005-0000-0000-0000862B0000}"/>
    <cellStyle name="Comma 6 4 3 3 3" xfId="9767" xr:uid="{00000000-0005-0000-0000-0000872B0000}"/>
    <cellStyle name="Comma 6 4 3 3 3 2" xfId="35324" xr:uid="{00000000-0005-0000-0000-0000882B0000}"/>
    <cellStyle name="Comma 6 4 3 3 4" xfId="18590" xr:uid="{00000000-0005-0000-0000-0000892B0000}"/>
    <cellStyle name="Comma 6 4 3 3 4 2" xfId="44143" xr:uid="{00000000-0005-0000-0000-00008A2B0000}"/>
    <cellStyle name="Comma 6 4 3 3 5" xfId="30080" xr:uid="{00000000-0005-0000-0000-00008B2B0000}"/>
    <cellStyle name="Comma 6 4 3 4" xfId="1954" xr:uid="{00000000-0005-0000-0000-00008C2B0000}"/>
    <cellStyle name="Comma 6 4 3 4 2" xfId="11319" xr:uid="{00000000-0005-0000-0000-00008D2B0000}"/>
    <cellStyle name="Comma 6 4 3 4 2 2" xfId="36874" xr:uid="{00000000-0005-0000-0000-00008E2B0000}"/>
    <cellStyle name="Comma 6 4 3 4 3" xfId="21323" xr:uid="{00000000-0005-0000-0000-00008F2B0000}"/>
    <cellStyle name="Comma 6 4 3 4 3 2" xfId="46876" xr:uid="{00000000-0005-0000-0000-0000902B0000}"/>
    <cellStyle name="Comma 6 4 3 4 4" xfId="27806" xr:uid="{00000000-0005-0000-0000-0000912B0000}"/>
    <cellStyle name="Comma 6 4 3 5" xfId="5964" xr:uid="{00000000-0005-0000-0000-0000922B0000}"/>
    <cellStyle name="Comma 6 4 3 5 2" xfId="14791" xr:uid="{00000000-0005-0000-0000-0000932B0000}"/>
    <cellStyle name="Comma 6 4 3 5 2 2" xfId="40346" xr:uid="{00000000-0005-0000-0000-0000942B0000}"/>
    <cellStyle name="Comma 6 4 3 5 3" xfId="25042" xr:uid="{00000000-0005-0000-0000-0000952B0000}"/>
    <cellStyle name="Comma 6 4 3 5 3 2" xfId="50595" xr:uid="{00000000-0005-0000-0000-0000962B0000}"/>
    <cellStyle name="Comma 6 4 3 5 4" xfId="31525" xr:uid="{00000000-0005-0000-0000-0000972B0000}"/>
    <cellStyle name="Comma 6 4 3 6" xfId="7408" xr:uid="{00000000-0005-0000-0000-0000982B0000}"/>
    <cellStyle name="Comma 6 4 3 6 2" xfId="19805" xr:uid="{00000000-0005-0000-0000-0000992B0000}"/>
    <cellStyle name="Comma 6 4 3 6 2 2" xfId="45358" xr:uid="{00000000-0005-0000-0000-00009A2B0000}"/>
    <cellStyle name="Comma 6 4 3 6 3" xfId="32965" xr:uid="{00000000-0005-0000-0000-00009B2B0000}"/>
    <cellStyle name="Comma 6 4 3 7" xfId="16316" xr:uid="{00000000-0005-0000-0000-00009C2B0000}"/>
    <cellStyle name="Comma 6 4 3 7 2" xfId="41869" xr:uid="{00000000-0005-0000-0000-00009D2B0000}"/>
    <cellStyle name="Comma 6 4 3 8" xfId="26288" xr:uid="{00000000-0005-0000-0000-00009E2B0000}"/>
    <cellStyle name="Comma 6 4 4" xfId="693" xr:uid="{00000000-0005-0000-0000-00009F2B0000}"/>
    <cellStyle name="Comma 6 4 4 2" xfId="3179" xr:uid="{00000000-0005-0000-0000-0000A02B0000}"/>
    <cellStyle name="Comma 6 4 4 2 2" xfId="12322" xr:uid="{00000000-0005-0000-0000-0000A12B0000}"/>
    <cellStyle name="Comma 6 4 4 2 2 2" xfId="22540" xr:uid="{00000000-0005-0000-0000-0000A22B0000}"/>
    <cellStyle name="Comma 6 4 4 2 2 2 2" xfId="48093" xr:uid="{00000000-0005-0000-0000-0000A32B0000}"/>
    <cellStyle name="Comma 6 4 4 2 2 3" xfId="37877" xr:uid="{00000000-0005-0000-0000-0000A42B0000}"/>
    <cellStyle name="Comma 6 4 4 2 3" xfId="8744" xr:uid="{00000000-0005-0000-0000-0000A52B0000}"/>
    <cellStyle name="Comma 6 4 4 2 3 2" xfId="34301" xr:uid="{00000000-0005-0000-0000-0000A62B0000}"/>
    <cellStyle name="Comma 6 4 4 2 4" xfId="17533" xr:uid="{00000000-0005-0000-0000-0000A72B0000}"/>
    <cellStyle name="Comma 6 4 4 2 4 2" xfId="43086" xr:uid="{00000000-0005-0000-0000-0000A82B0000}"/>
    <cellStyle name="Comma 6 4 4 2 5" xfId="29023" xr:uid="{00000000-0005-0000-0000-0000A92B0000}"/>
    <cellStyle name="Comma 6 4 4 3" xfId="4857" xr:uid="{00000000-0005-0000-0000-0000AA2B0000}"/>
    <cellStyle name="Comma 6 4 4 3 2" xfId="13694" xr:uid="{00000000-0005-0000-0000-0000AB2B0000}"/>
    <cellStyle name="Comma 6 4 4 3 2 2" xfId="23945" xr:uid="{00000000-0005-0000-0000-0000AC2B0000}"/>
    <cellStyle name="Comma 6 4 4 3 2 2 2" xfId="49498" xr:uid="{00000000-0005-0000-0000-0000AD2B0000}"/>
    <cellStyle name="Comma 6 4 4 3 2 3" xfId="39249" xr:uid="{00000000-0005-0000-0000-0000AE2B0000}"/>
    <cellStyle name="Comma 6 4 4 3 3" xfId="10115" xr:uid="{00000000-0005-0000-0000-0000AF2B0000}"/>
    <cellStyle name="Comma 6 4 4 3 3 2" xfId="35672" xr:uid="{00000000-0005-0000-0000-0000B02B0000}"/>
    <cellStyle name="Comma 6 4 4 3 4" xfId="18938" xr:uid="{00000000-0005-0000-0000-0000B12B0000}"/>
    <cellStyle name="Comma 6 4 4 3 4 2" xfId="44491" xr:uid="{00000000-0005-0000-0000-0000B22B0000}"/>
    <cellStyle name="Comma 6 4 4 3 5" xfId="30428" xr:uid="{00000000-0005-0000-0000-0000B32B0000}"/>
    <cellStyle name="Comma 6 4 4 4" xfId="2288" xr:uid="{00000000-0005-0000-0000-0000B42B0000}"/>
    <cellStyle name="Comma 6 4 4 4 2" xfId="11653" xr:uid="{00000000-0005-0000-0000-0000B52B0000}"/>
    <cellStyle name="Comma 6 4 4 4 2 2" xfId="37208" xr:uid="{00000000-0005-0000-0000-0000B62B0000}"/>
    <cellStyle name="Comma 6 4 4 4 3" xfId="21657" xr:uid="{00000000-0005-0000-0000-0000B72B0000}"/>
    <cellStyle name="Comma 6 4 4 4 3 2" xfId="47210" xr:uid="{00000000-0005-0000-0000-0000B82B0000}"/>
    <cellStyle name="Comma 6 4 4 4 4" xfId="28140" xr:uid="{00000000-0005-0000-0000-0000B92B0000}"/>
    <cellStyle name="Comma 6 4 4 5" xfId="6312" xr:uid="{00000000-0005-0000-0000-0000BA2B0000}"/>
    <cellStyle name="Comma 6 4 4 5 2" xfId="15139" xr:uid="{00000000-0005-0000-0000-0000BB2B0000}"/>
    <cellStyle name="Comma 6 4 4 5 2 2" xfId="40694" xr:uid="{00000000-0005-0000-0000-0000BC2B0000}"/>
    <cellStyle name="Comma 6 4 4 5 3" xfId="25390" xr:uid="{00000000-0005-0000-0000-0000BD2B0000}"/>
    <cellStyle name="Comma 6 4 4 5 3 2" xfId="50943" xr:uid="{00000000-0005-0000-0000-0000BE2B0000}"/>
    <cellStyle name="Comma 6 4 4 5 4" xfId="31873" xr:uid="{00000000-0005-0000-0000-0000BF2B0000}"/>
    <cellStyle name="Comma 6 4 4 6" xfId="7758" xr:uid="{00000000-0005-0000-0000-0000C02B0000}"/>
    <cellStyle name="Comma 6 4 4 6 2" xfId="20139" xr:uid="{00000000-0005-0000-0000-0000C12B0000}"/>
    <cellStyle name="Comma 6 4 4 6 2 2" xfId="45692" xr:uid="{00000000-0005-0000-0000-0000C22B0000}"/>
    <cellStyle name="Comma 6 4 4 6 3" xfId="33315" xr:uid="{00000000-0005-0000-0000-0000C32B0000}"/>
    <cellStyle name="Comma 6 4 4 7" xfId="16650" xr:uid="{00000000-0005-0000-0000-0000C42B0000}"/>
    <cellStyle name="Comma 6 4 4 7 2" xfId="42203" xr:uid="{00000000-0005-0000-0000-0000C52B0000}"/>
    <cellStyle name="Comma 6 4 4 8" xfId="26622" xr:uid="{00000000-0005-0000-0000-0000C62B0000}"/>
    <cellStyle name="Comma 6 4 5" xfId="1131" xr:uid="{00000000-0005-0000-0000-0000C72B0000}"/>
    <cellStyle name="Comma 6 4 5 2" xfId="3560" xr:uid="{00000000-0005-0000-0000-0000C82B0000}"/>
    <cellStyle name="Comma 6 4 5 2 2" xfId="12696" xr:uid="{00000000-0005-0000-0000-0000C92B0000}"/>
    <cellStyle name="Comma 6 4 5 2 2 2" xfId="22915" xr:uid="{00000000-0005-0000-0000-0000CA2B0000}"/>
    <cellStyle name="Comma 6 4 5 2 2 2 2" xfId="48468" xr:uid="{00000000-0005-0000-0000-0000CB2B0000}"/>
    <cellStyle name="Comma 6 4 5 2 2 3" xfId="38251" xr:uid="{00000000-0005-0000-0000-0000CC2B0000}"/>
    <cellStyle name="Comma 6 4 5 2 3" xfId="9117" xr:uid="{00000000-0005-0000-0000-0000CD2B0000}"/>
    <cellStyle name="Comma 6 4 5 2 3 2" xfId="34674" xr:uid="{00000000-0005-0000-0000-0000CE2B0000}"/>
    <cellStyle name="Comma 6 4 5 2 4" xfId="17908" xr:uid="{00000000-0005-0000-0000-0000CF2B0000}"/>
    <cellStyle name="Comma 6 4 5 2 4 2" xfId="43461" xr:uid="{00000000-0005-0000-0000-0000D02B0000}"/>
    <cellStyle name="Comma 6 4 5 2 5" xfId="29398" xr:uid="{00000000-0005-0000-0000-0000D12B0000}"/>
    <cellStyle name="Comma 6 4 5 3" xfId="5223" xr:uid="{00000000-0005-0000-0000-0000D22B0000}"/>
    <cellStyle name="Comma 6 4 5 3 2" xfId="14060" xr:uid="{00000000-0005-0000-0000-0000D32B0000}"/>
    <cellStyle name="Comma 6 4 5 3 2 2" xfId="24311" xr:uid="{00000000-0005-0000-0000-0000D42B0000}"/>
    <cellStyle name="Comma 6 4 5 3 2 2 2" xfId="49864" xr:uid="{00000000-0005-0000-0000-0000D52B0000}"/>
    <cellStyle name="Comma 6 4 5 3 2 3" xfId="39615" xr:uid="{00000000-0005-0000-0000-0000D62B0000}"/>
    <cellStyle name="Comma 6 4 5 3 3" xfId="10481" xr:uid="{00000000-0005-0000-0000-0000D72B0000}"/>
    <cellStyle name="Comma 6 4 5 3 3 2" xfId="36038" xr:uid="{00000000-0005-0000-0000-0000D82B0000}"/>
    <cellStyle name="Comma 6 4 5 3 4" xfId="19304" xr:uid="{00000000-0005-0000-0000-0000D92B0000}"/>
    <cellStyle name="Comma 6 4 5 3 4 2" xfId="44857" xr:uid="{00000000-0005-0000-0000-0000DA2B0000}"/>
    <cellStyle name="Comma 6 4 5 3 5" xfId="30794" xr:uid="{00000000-0005-0000-0000-0000DB2B0000}"/>
    <cellStyle name="Comma 6 4 5 4" xfId="1839" xr:uid="{00000000-0005-0000-0000-0000DC2B0000}"/>
    <cellStyle name="Comma 6 4 5 4 2" xfId="11207" xr:uid="{00000000-0005-0000-0000-0000DD2B0000}"/>
    <cellStyle name="Comma 6 4 5 4 2 2" xfId="36762" xr:uid="{00000000-0005-0000-0000-0000DE2B0000}"/>
    <cellStyle name="Comma 6 4 5 4 3" xfId="21211" xr:uid="{00000000-0005-0000-0000-0000DF2B0000}"/>
    <cellStyle name="Comma 6 4 5 4 3 2" xfId="46764" xr:uid="{00000000-0005-0000-0000-0000E02B0000}"/>
    <cellStyle name="Comma 6 4 5 4 4" xfId="27694" xr:uid="{00000000-0005-0000-0000-0000E12B0000}"/>
    <cellStyle name="Comma 6 4 5 5" xfId="6678" xr:uid="{00000000-0005-0000-0000-0000E22B0000}"/>
    <cellStyle name="Comma 6 4 5 5 2" xfId="15505" xr:uid="{00000000-0005-0000-0000-0000E32B0000}"/>
    <cellStyle name="Comma 6 4 5 5 2 2" xfId="41060" xr:uid="{00000000-0005-0000-0000-0000E42B0000}"/>
    <cellStyle name="Comma 6 4 5 5 3" xfId="25756" xr:uid="{00000000-0005-0000-0000-0000E52B0000}"/>
    <cellStyle name="Comma 6 4 5 5 3 2" xfId="51309" xr:uid="{00000000-0005-0000-0000-0000E62B0000}"/>
    <cellStyle name="Comma 6 4 5 5 4" xfId="32239" xr:uid="{00000000-0005-0000-0000-0000E72B0000}"/>
    <cellStyle name="Comma 6 4 5 6" xfId="8124" xr:uid="{00000000-0005-0000-0000-0000E82B0000}"/>
    <cellStyle name="Comma 6 4 5 6 2" xfId="20514" xr:uid="{00000000-0005-0000-0000-0000E92B0000}"/>
    <cellStyle name="Comma 6 4 5 6 2 2" xfId="46067" xr:uid="{00000000-0005-0000-0000-0000EA2B0000}"/>
    <cellStyle name="Comma 6 4 5 6 3" xfId="33681" xr:uid="{00000000-0005-0000-0000-0000EB2B0000}"/>
    <cellStyle name="Comma 6 4 5 7" xfId="16204" xr:uid="{00000000-0005-0000-0000-0000EC2B0000}"/>
    <cellStyle name="Comma 6 4 5 7 2" xfId="41757" xr:uid="{00000000-0005-0000-0000-0000ED2B0000}"/>
    <cellStyle name="Comma 6 4 5 8" xfId="26997" xr:uid="{00000000-0005-0000-0000-0000EE2B0000}"/>
    <cellStyle name="Comma 6 4 6" xfId="2733" xr:uid="{00000000-0005-0000-0000-0000EF2B0000}"/>
    <cellStyle name="Comma 6 4 6 2" xfId="12050" xr:uid="{00000000-0005-0000-0000-0000F02B0000}"/>
    <cellStyle name="Comma 6 4 6 2 2" xfId="22094" xr:uid="{00000000-0005-0000-0000-0000F12B0000}"/>
    <cellStyle name="Comma 6 4 6 2 2 2" xfId="47647" xr:uid="{00000000-0005-0000-0000-0000F22B0000}"/>
    <cellStyle name="Comma 6 4 6 2 3" xfId="37605" xr:uid="{00000000-0005-0000-0000-0000F32B0000}"/>
    <cellStyle name="Comma 6 4 6 3" xfId="8406" xr:uid="{00000000-0005-0000-0000-0000F42B0000}"/>
    <cellStyle name="Comma 6 4 6 3 2" xfId="33963" xr:uid="{00000000-0005-0000-0000-0000F52B0000}"/>
    <cellStyle name="Comma 6 4 6 4" xfId="17087" xr:uid="{00000000-0005-0000-0000-0000F62B0000}"/>
    <cellStyle name="Comma 6 4 6 4 2" xfId="42640" xr:uid="{00000000-0005-0000-0000-0000F72B0000}"/>
    <cellStyle name="Comma 6 4 6 5" xfId="28577" xr:uid="{00000000-0005-0000-0000-0000F82B0000}"/>
    <cellStyle name="Comma 6 4 7" xfId="4179" xr:uid="{00000000-0005-0000-0000-0000F92B0000}"/>
    <cellStyle name="Comma 6 4 7 2" xfId="13017" xr:uid="{00000000-0005-0000-0000-0000FA2B0000}"/>
    <cellStyle name="Comma 6 4 7 2 2" xfId="23268" xr:uid="{00000000-0005-0000-0000-0000FB2B0000}"/>
    <cellStyle name="Comma 6 4 7 2 2 2" xfId="48821" xr:uid="{00000000-0005-0000-0000-0000FC2B0000}"/>
    <cellStyle name="Comma 6 4 7 2 3" xfId="38572" xr:uid="{00000000-0005-0000-0000-0000FD2B0000}"/>
    <cellStyle name="Comma 6 4 7 3" xfId="9438" xr:uid="{00000000-0005-0000-0000-0000FE2B0000}"/>
    <cellStyle name="Comma 6 4 7 3 2" xfId="34995" xr:uid="{00000000-0005-0000-0000-0000FF2B0000}"/>
    <cellStyle name="Comma 6 4 7 4" xfId="18261" xr:uid="{00000000-0005-0000-0000-0000002C0000}"/>
    <cellStyle name="Comma 6 4 7 4 2" xfId="43814" xr:uid="{00000000-0005-0000-0000-0000012C0000}"/>
    <cellStyle name="Comma 6 4 7 5" xfId="29751" xr:uid="{00000000-0005-0000-0000-0000022C0000}"/>
    <cellStyle name="Comma 6 4 8" xfId="1451" xr:uid="{00000000-0005-0000-0000-0000032C0000}"/>
    <cellStyle name="Comma 6 4 8 2" xfId="10828" xr:uid="{00000000-0005-0000-0000-0000042C0000}"/>
    <cellStyle name="Comma 6 4 8 2 2" xfId="36383" xr:uid="{00000000-0005-0000-0000-0000052C0000}"/>
    <cellStyle name="Comma 6 4 8 3" xfId="20832" xr:uid="{00000000-0005-0000-0000-0000062C0000}"/>
    <cellStyle name="Comma 6 4 8 3 2" xfId="46385" xr:uid="{00000000-0005-0000-0000-0000072C0000}"/>
    <cellStyle name="Comma 6 4 8 4" xfId="27315" xr:uid="{00000000-0005-0000-0000-0000082C0000}"/>
    <cellStyle name="Comma 6 4 9" xfId="5635" xr:uid="{00000000-0005-0000-0000-0000092C0000}"/>
    <cellStyle name="Comma 6 4 9 2" xfId="14462" xr:uid="{00000000-0005-0000-0000-00000A2C0000}"/>
    <cellStyle name="Comma 6 4 9 2 2" xfId="40017" xr:uid="{00000000-0005-0000-0000-00000B2C0000}"/>
    <cellStyle name="Comma 6 4 9 3" xfId="24713" xr:uid="{00000000-0005-0000-0000-00000C2C0000}"/>
    <cellStyle name="Comma 6 4 9 3 2" xfId="50266" xr:uid="{00000000-0005-0000-0000-00000D2C0000}"/>
    <cellStyle name="Comma 6 4 9 4" xfId="31196" xr:uid="{00000000-0005-0000-0000-00000E2C0000}"/>
    <cellStyle name="Comma 6 5" xfId="459" xr:uid="{00000000-0005-0000-0000-00000F2C0000}"/>
    <cellStyle name="Comma 6 5 10" xfId="26388" xr:uid="{00000000-0005-0000-0000-0000102C0000}"/>
    <cellStyle name="Comma 6 5 2" xfId="695" xr:uid="{00000000-0005-0000-0000-0000112C0000}"/>
    <cellStyle name="Comma 6 5 2 2" xfId="3181" xr:uid="{00000000-0005-0000-0000-0000122C0000}"/>
    <cellStyle name="Comma 6 5 2 2 2" xfId="12324" xr:uid="{00000000-0005-0000-0000-0000132C0000}"/>
    <cellStyle name="Comma 6 5 2 2 2 2" xfId="22542" xr:uid="{00000000-0005-0000-0000-0000142C0000}"/>
    <cellStyle name="Comma 6 5 2 2 2 2 2" xfId="48095" xr:uid="{00000000-0005-0000-0000-0000152C0000}"/>
    <cellStyle name="Comma 6 5 2 2 2 3" xfId="37879" xr:uid="{00000000-0005-0000-0000-0000162C0000}"/>
    <cellStyle name="Comma 6 5 2 2 3" xfId="8746" xr:uid="{00000000-0005-0000-0000-0000172C0000}"/>
    <cellStyle name="Comma 6 5 2 2 3 2" xfId="34303" xr:uid="{00000000-0005-0000-0000-0000182C0000}"/>
    <cellStyle name="Comma 6 5 2 2 4" xfId="17535" xr:uid="{00000000-0005-0000-0000-0000192C0000}"/>
    <cellStyle name="Comma 6 5 2 2 4 2" xfId="43088" xr:uid="{00000000-0005-0000-0000-00001A2C0000}"/>
    <cellStyle name="Comma 6 5 2 2 5" xfId="29025" xr:uid="{00000000-0005-0000-0000-00001B2C0000}"/>
    <cellStyle name="Comma 6 5 2 3" xfId="4510" xr:uid="{00000000-0005-0000-0000-00001C2C0000}"/>
    <cellStyle name="Comma 6 5 2 3 2" xfId="13348" xr:uid="{00000000-0005-0000-0000-00001D2C0000}"/>
    <cellStyle name="Comma 6 5 2 3 2 2" xfId="23599" xr:uid="{00000000-0005-0000-0000-00001E2C0000}"/>
    <cellStyle name="Comma 6 5 2 3 2 2 2" xfId="49152" xr:uid="{00000000-0005-0000-0000-00001F2C0000}"/>
    <cellStyle name="Comma 6 5 2 3 2 3" xfId="38903" xr:uid="{00000000-0005-0000-0000-0000202C0000}"/>
    <cellStyle name="Comma 6 5 2 3 3" xfId="9769" xr:uid="{00000000-0005-0000-0000-0000212C0000}"/>
    <cellStyle name="Comma 6 5 2 3 3 2" xfId="35326" xr:uid="{00000000-0005-0000-0000-0000222C0000}"/>
    <cellStyle name="Comma 6 5 2 3 4" xfId="18592" xr:uid="{00000000-0005-0000-0000-0000232C0000}"/>
    <cellStyle name="Comma 6 5 2 3 4 2" xfId="44145" xr:uid="{00000000-0005-0000-0000-0000242C0000}"/>
    <cellStyle name="Comma 6 5 2 3 5" xfId="30082" xr:uid="{00000000-0005-0000-0000-0000252C0000}"/>
    <cellStyle name="Comma 6 5 2 4" xfId="2290" xr:uid="{00000000-0005-0000-0000-0000262C0000}"/>
    <cellStyle name="Comma 6 5 2 4 2" xfId="11655" xr:uid="{00000000-0005-0000-0000-0000272C0000}"/>
    <cellStyle name="Comma 6 5 2 4 2 2" xfId="37210" xr:uid="{00000000-0005-0000-0000-0000282C0000}"/>
    <cellStyle name="Comma 6 5 2 4 3" xfId="21659" xr:uid="{00000000-0005-0000-0000-0000292C0000}"/>
    <cellStyle name="Comma 6 5 2 4 3 2" xfId="47212" xr:uid="{00000000-0005-0000-0000-00002A2C0000}"/>
    <cellStyle name="Comma 6 5 2 4 4" xfId="28142" xr:uid="{00000000-0005-0000-0000-00002B2C0000}"/>
    <cellStyle name="Comma 6 5 2 5" xfId="5966" xr:uid="{00000000-0005-0000-0000-00002C2C0000}"/>
    <cellStyle name="Comma 6 5 2 5 2" xfId="14793" xr:uid="{00000000-0005-0000-0000-00002D2C0000}"/>
    <cellStyle name="Comma 6 5 2 5 2 2" xfId="40348" xr:uid="{00000000-0005-0000-0000-00002E2C0000}"/>
    <cellStyle name="Comma 6 5 2 5 3" xfId="25044" xr:uid="{00000000-0005-0000-0000-00002F2C0000}"/>
    <cellStyle name="Comma 6 5 2 5 3 2" xfId="50597" xr:uid="{00000000-0005-0000-0000-0000302C0000}"/>
    <cellStyle name="Comma 6 5 2 5 4" xfId="31527" xr:uid="{00000000-0005-0000-0000-0000312C0000}"/>
    <cellStyle name="Comma 6 5 2 6" xfId="7410" xr:uid="{00000000-0005-0000-0000-0000322C0000}"/>
    <cellStyle name="Comma 6 5 2 6 2" xfId="20141" xr:uid="{00000000-0005-0000-0000-0000332C0000}"/>
    <cellStyle name="Comma 6 5 2 6 2 2" xfId="45694" xr:uid="{00000000-0005-0000-0000-0000342C0000}"/>
    <cellStyle name="Comma 6 5 2 6 3" xfId="32967" xr:uid="{00000000-0005-0000-0000-0000352C0000}"/>
    <cellStyle name="Comma 6 5 2 7" xfId="16652" xr:uid="{00000000-0005-0000-0000-0000362C0000}"/>
    <cellStyle name="Comma 6 5 2 7 2" xfId="42205" xr:uid="{00000000-0005-0000-0000-0000372C0000}"/>
    <cellStyle name="Comma 6 5 2 8" xfId="26624" xr:uid="{00000000-0005-0000-0000-0000382C0000}"/>
    <cellStyle name="Comma 6 5 3" xfId="1231" xr:uid="{00000000-0005-0000-0000-0000392C0000}"/>
    <cellStyle name="Comma 6 5 3 2" xfId="3660" xr:uid="{00000000-0005-0000-0000-00003A2C0000}"/>
    <cellStyle name="Comma 6 5 3 2 2" xfId="12796" xr:uid="{00000000-0005-0000-0000-00003B2C0000}"/>
    <cellStyle name="Comma 6 5 3 2 2 2" xfId="23015" xr:uid="{00000000-0005-0000-0000-00003C2C0000}"/>
    <cellStyle name="Comma 6 5 3 2 2 2 2" xfId="48568" xr:uid="{00000000-0005-0000-0000-00003D2C0000}"/>
    <cellStyle name="Comma 6 5 3 2 2 3" xfId="38351" xr:uid="{00000000-0005-0000-0000-00003E2C0000}"/>
    <cellStyle name="Comma 6 5 3 2 3" xfId="9217" xr:uid="{00000000-0005-0000-0000-00003F2C0000}"/>
    <cellStyle name="Comma 6 5 3 2 3 2" xfId="34774" xr:uid="{00000000-0005-0000-0000-0000402C0000}"/>
    <cellStyle name="Comma 6 5 3 2 4" xfId="18008" xr:uid="{00000000-0005-0000-0000-0000412C0000}"/>
    <cellStyle name="Comma 6 5 3 2 4 2" xfId="43561" xr:uid="{00000000-0005-0000-0000-0000422C0000}"/>
    <cellStyle name="Comma 6 5 3 2 5" xfId="29498" xr:uid="{00000000-0005-0000-0000-0000432C0000}"/>
    <cellStyle name="Comma 6 5 3 3" xfId="4859" xr:uid="{00000000-0005-0000-0000-0000442C0000}"/>
    <cellStyle name="Comma 6 5 3 3 2" xfId="13696" xr:uid="{00000000-0005-0000-0000-0000452C0000}"/>
    <cellStyle name="Comma 6 5 3 3 2 2" xfId="23947" xr:uid="{00000000-0005-0000-0000-0000462C0000}"/>
    <cellStyle name="Comma 6 5 3 3 2 2 2" xfId="49500" xr:uid="{00000000-0005-0000-0000-0000472C0000}"/>
    <cellStyle name="Comma 6 5 3 3 2 3" xfId="39251" xr:uid="{00000000-0005-0000-0000-0000482C0000}"/>
    <cellStyle name="Comma 6 5 3 3 3" xfId="10117" xr:uid="{00000000-0005-0000-0000-0000492C0000}"/>
    <cellStyle name="Comma 6 5 3 3 3 2" xfId="35674" xr:uid="{00000000-0005-0000-0000-00004A2C0000}"/>
    <cellStyle name="Comma 6 5 3 3 4" xfId="18940" xr:uid="{00000000-0005-0000-0000-00004B2C0000}"/>
    <cellStyle name="Comma 6 5 3 3 4 2" xfId="44493" xr:uid="{00000000-0005-0000-0000-00004C2C0000}"/>
    <cellStyle name="Comma 6 5 3 3 5" xfId="30430" xr:uid="{00000000-0005-0000-0000-00004D2C0000}"/>
    <cellStyle name="Comma 6 5 3 4" xfId="2054" xr:uid="{00000000-0005-0000-0000-00004E2C0000}"/>
    <cellStyle name="Comma 6 5 3 4 2" xfId="11419" xr:uid="{00000000-0005-0000-0000-00004F2C0000}"/>
    <cellStyle name="Comma 6 5 3 4 2 2" xfId="36974" xr:uid="{00000000-0005-0000-0000-0000502C0000}"/>
    <cellStyle name="Comma 6 5 3 4 3" xfId="21423" xr:uid="{00000000-0005-0000-0000-0000512C0000}"/>
    <cellStyle name="Comma 6 5 3 4 3 2" xfId="46976" xr:uid="{00000000-0005-0000-0000-0000522C0000}"/>
    <cellStyle name="Comma 6 5 3 4 4" xfId="27906" xr:uid="{00000000-0005-0000-0000-0000532C0000}"/>
    <cellStyle name="Comma 6 5 3 5" xfId="6314" xr:uid="{00000000-0005-0000-0000-0000542C0000}"/>
    <cellStyle name="Comma 6 5 3 5 2" xfId="15141" xr:uid="{00000000-0005-0000-0000-0000552C0000}"/>
    <cellStyle name="Comma 6 5 3 5 2 2" xfId="40696" xr:uid="{00000000-0005-0000-0000-0000562C0000}"/>
    <cellStyle name="Comma 6 5 3 5 3" xfId="25392" xr:uid="{00000000-0005-0000-0000-0000572C0000}"/>
    <cellStyle name="Comma 6 5 3 5 3 2" xfId="50945" xr:uid="{00000000-0005-0000-0000-0000582C0000}"/>
    <cellStyle name="Comma 6 5 3 5 4" xfId="31875" xr:uid="{00000000-0005-0000-0000-0000592C0000}"/>
    <cellStyle name="Comma 6 5 3 6" xfId="7760" xr:uid="{00000000-0005-0000-0000-00005A2C0000}"/>
    <cellStyle name="Comma 6 5 3 6 2" xfId="20614" xr:uid="{00000000-0005-0000-0000-00005B2C0000}"/>
    <cellStyle name="Comma 6 5 3 6 2 2" xfId="46167" xr:uid="{00000000-0005-0000-0000-00005C2C0000}"/>
    <cellStyle name="Comma 6 5 3 6 3" xfId="33317" xr:uid="{00000000-0005-0000-0000-00005D2C0000}"/>
    <cellStyle name="Comma 6 5 3 7" xfId="16416" xr:uid="{00000000-0005-0000-0000-00005E2C0000}"/>
    <cellStyle name="Comma 6 5 3 7 2" xfId="41969" xr:uid="{00000000-0005-0000-0000-00005F2C0000}"/>
    <cellStyle name="Comma 6 5 3 8" xfId="27097" xr:uid="{00000000-0005-0000-0000-0000602C0000}"/>
    <cellStyle name="Comma 6 5 4" xfId="2945" xr:uid="{00000000-0005-0000-0000-0000612C0000}"/>
    <cellStyle name="Comma 6 5 4 2" xfId="5323" xr:uid="{00000000-0005-0000-0000-0000622C0000}"/>
    <cellStyle name="Comma 6 5 4 2 2" xfId="14160" xr:uid="{00000000-0005-0000-0000-0000632C0000}"/>
    <cellStyle name="Comma 6 5 4 2 2 2" xfId="24411" xr:uid="{00000000-0005-0000-0000-0000642C0000}"/>
    <cellStyle name="Comma 6 5 4 2 2 2 2" xfId="49964" xr:uid="{00000000-0005-0000-0000-0000652C0000}"/>
    <cellStyle name="Comma 6 5 4 2 2 3" xfId="39715" xr:uid="{00000000-0005-0000-0000-0000662C0000}"/>
    <cellStyle name="Comma 6 5 4 2 3" xfId="10581" xr:uid="{00000000-0005-0000-0000-0000672C0000}"/>
    <cellStyle name="Comma 6 5 4 2 3 2" xfId="36138" xr:uid="{00000000-0005-0000-0000-0000682C0000}"/>
    <cellStyle name="Comma 6 5 4 2 4" xfId="19404" xr:uid="{00000000-0005-0000-0000-0000692C0000}"/>
    <cellStyle name="Comma 6 5 4 2 4 2" xfId="44957" xr:uid="{00000000-0005-0000-0000-00006A2C0000}"/>
    <cellStyle name="Comma 6 5 4 2 5" xfId="30894" xr:uid="{00000000-0005-0000-0000-00006B2C0000}"/>
    <cellStyle name="Comma 6 5 4 3" xfId="6778" xr:uid="{00000000-0005-0000-0000-00006C2C0000}"/>
    <cellStyle name="Comma 6 5 4 3 2" xfId="15605" xr:uid="{00000000-0005-0000-0000-00006D2C0000}"/>
    <cellStyle name="Comma 6 5 4 3 2 2" xfId="41160" xr:uid="{00000000-0005-0000-0000-00006E2C0000}"/>
    <cellStyle name="Comma 6 5 4 3 3" xfId="25856" xr:uid="{00000000-0005-0000-0000-00006F2C0000}"/>
    <cellStyle name="Comma 6 5 4 3 3 2" xfId="51409" xr:uid="{00000000-0005-0000-0000-0000702C0000}"/>
    <cellStyle name="Comma 6 5 4 3 4" xfId="32339" xr:uid="{00000000-0005-0000-0000-0000712C0000}"/>
    <cellStyle name="Comma 6 5 4 4" xfId="8224" xr:uid="{00000000-0005-0000-0000-0000722C0000}"/>
    <cellStyle name="Comma 6 5 4 4 2" xfId="22306" xr:uid="{00000000-0005-0000-0000-0000732C0000}"/>
    <cellStyle name="Comma 6 5 4 4 2 2" xfId="47859" xr:uid="{00000000-0005-0000-0000-0000742C0000}"/>
    <cellStyle name="Comma 6 5 4 4 3" xfId="33781" xr:uid="{00000000-0005-0000-0000-0000752C0000}"/>
    <cellStyle name="Comma 6 5 4 5" xfId="17299" xr:uid="{00000000-0005-0000-0000-0000762C0000}"/>
    <cellStyle name="Comma 6 5 4 5 2" xfId="42852" xr:uid="{00000000-0005-0000-0000-0000772C0000}"/>
    <cellStyle name="Comma 6 5 4 6" xfId="28789" xr:uid="{00000000-0005-0000-0000-0000782C0000}"/>
    <cellStyle name="Comma 6 5 5" xfId="4279" xr:uid="{00000000-0005-0000-0000-0000792C0000}"/>
    <cellStyle name="Comma 6 5 5 2" xfId="13117" xr:uid="{00000000-0005-0000-0000-00007A2C0000}"/>
    <cellStyle name="Comma 6 5 5 2 2" xfId="23368" xr:uid="{00000000-0005-0000-0000-00007B2C0000}"/>
    <cellStyle name="Comma 6 5 5 2 2 2" xfId="48921" xr:uid="{00000000-0005-0000-0000-00007C2C0000}"/>
    <cellStyle name="Comma 6 5 5 2 3" xfId="38672" xr:uid="{00000000-0005-0000-0000-00007D2C0000}"/>
    <cellStyle name="Comma 6 5 5 3" xfId="9538" xr:uid="{00000000-0005-0000-0000-00007E2C0000}"/>
    <cellStyle name="Comma 6 5 5 3 2" xfId="35095" xr:uid="{00000000-0005-0000-0000-00007F2C0000}"/>
    <cellStyle name="Comma 6 5 5 4" xfId="18361" xr:uid="{00000000-0005-0000-0000-0000802C0000}"/>
    <cellStyle name="Comma 6 5 5 4 2" xfId="43914" xr:uid="{00000000-0005-0000-0000-0000812C0000}"/>
    <cellStyle name="Comma 6 5 5 5" xfId="29851" xr:uid="{00000000-0005-0000-0000-0000822C0000}"/>
    <cellStyle name="Comma 6 5 6" xfId="1551" xr:uid="{00000000-0005-0000-0000-0000832C0000}"/>
    <cellStyle name="Comma 6 5 6 2" xfId="10928" xr:uid="{00000000-0005-0000-0000-0000842C0000}"/>
    <cellStyle name="Comma 6 5 6 2 2" xfId="36483" xr:uid="{00000000-0005-0000-0000-0000852C0000}"/>
    <cellStyle name="Comma 6 5 6 3" xfId="20932" xr:uid="{00000000-0005-0000-0000-0000862C0000}"/>
    <cellStyle name="Comma 6 5 6 3 2" xfId="46485" xr:uid="{00000000-0005-0000-0000-0000872C0000}"/>
    <cellStyle name="Comma 6 5 6 4" xfId="27415" xr:uid="{00000000-0005-0000-0000-0000882C0000}"/>
    <cellStyle name="Comma 6 5 7" xfId="5735" xr:uid="{00000000-0005-0000-0000-0000892C0000}"/>
    <cellStyle name="Comma 6 5 7 2" xfId="14562" xr:uid="{00000000-0005-0000-0000-00008A2C0000}"/>
    <cellStyle name="Comma 6 5 7 2 2" xfId="40117" xr:uid="{00000000-0005-0000-0000-00008B2C0000}"/>
    <cellStyle name="Comma 6 5 7 3" xfId="24813" xr:uid="{00000000-0005-0000-0000-00008C2C0000}"/>
    <cellStyle name="Comma 6 5 7 3 2" xfId="50366" xr:uid="{00000000-0005-0000-0000-00008D2C0000}"/>
    <cellStyle name="Comma 6 5 7 4" xfId="31296" xr:uid="{00000000-0005-0000-0000-00008E2C0000}"/>
    <cellStyle name="Comma 6 5 8" xfId="7179" xr:uid="{00000000-0005-0000-0000-00008F2C0000}"/>
    <cellStyle name="Comma 6 5 8 2" xfId="19905" xr:uid="{00000000-0005-0000-0000-0000902C0000}"/>
    <cellStyle name="Comma 6 5 8 2 2" xfId="45458" xr:uid="{00000000-0005-0000-0000-0000912C0000}"/>
    <cellStyle name="Comma 6 5 8 3" xfId="32736" xr:uid="{00000000-0005-0000-0000-0000922C0000}"/>
    <cellStyle name="Comma 6 5 9" xfId="15925" xr:uid="{00000000-0005-0000-0000-0000932C0000}"/>
    <cellStyle name="Comma 6 5 9 2" xfId="41478" xr:uid="{00000000-0005-0000-0000-0000942C0000}"/>
    <cellStyle name="Comma 6 6" xfId="296" xr:uid="{00000000-0005-0000-0000-0000952C0000}"/>
    <cellStyle name="Comma 6 6 10" xfId="26225" xr:uid="{00000000-0005-0000-0000-0000962C0000}"/>
    <cellStyle name="Comma 6 6 2" xfId="696" xr:uid="{00000000-0005-0000-0000-0000972C0000}"/>
    <cellStyle name="Comma 6 6 2 2" xfId="3182" xr:uid="{00000000-0005-0000-0000-0000982C0000}"/>
    <cellStyle name="Comma 6 6 2 2 2" xfId="12325" xr:uid="{00000000-0005-0000-0000-0000992C0000}"/>
    <cellStyle name="Comma 6 6 2 2 2 2" xfId="22543" xr:uid="{00000000-0005-0000-0000-00009A2C0000}"/>
    <cellStyle name="Comma 6 6 2 2 2 2 2" xfId="48096" xr:uid="{00000000-0005-0000-0000-00009B2C0000}"/>
    <cellStyle name="Comma 6 6 2 2 2 3" xfId="37880" xr:uid="{00000000-0005-0000-0000-00009C2C0000}"/>
    <cellStyle name="Comma 6 6 2 2 3" xfId="8747" xr:uid="{00000000-0005-0000-0000-00009D2C0000}"/>
    <cellStyle name="Comma 6 6 2 2 3 2" xfId="34304" xr:uid="{00000000-0005-0000-0000-00009E2C0000}"/>
    <cellStyle name="Comma 6 6 2 2 4" xfId="17536" xr:uid="{00000000-0005-0000-0000-00009F2C0000}"/>
    <cellStyle name="Comma 6 6 2 2 4 2" xfId="43089" xr:uid="{00000000-0005-0000-0000-0000A02C0000}"/>
    <cellStyle name="Comma 6 6 2 2 5" xfId="29026" xr:uid="{00000000-0005-0000-0000-0000A12C0000}"/>
    <cellStyle name="Comma 6 6 2 3" xfId="4511" xr:uid="{00000000-0005-0000-0000-0000A22C0000}"/>
    <cellStyle name="Comma 6 6 2 3 2" xfId="13349" xr:uid="{00000000-0005-0000-0000-0000A32C0000}"/>
    <cellStyle name="Comma 6 6 2 3 2 2" xfId="23600" xr:uid="{00000000-0005-0000-0000-0000A42C0000}"/>
    <cellStyle name="Comma 6 6 2 3 2 2 2" xfId="49153" xr:uid="{00000000-0005-0000-0000-0000A52C0000}"/>
    <cellStyle name="Comma 6 6 2 3 2 3" xfId="38904" xr:uid="{00000000-0005-0000-0000-0000A62C0000}"/>
    <cellStyle name="Comma 6 6 2 3 3" xfId="9770" xr:uid="{00000000-0005-0000-0000-0000A72C0000}"/>
    <cellStyle name="Comma 6 6 2 3 3 2" xfId="35327" xr:uid="{00000000-0005-0000-0000-0000A82C0000}"/>
    <cellStyle name="Comma 6 6 2 3 4" xfId="18593" xr:uid="{00000000-0005-0000-0000-0000A92C0000}"/>
    <cellStyle name="Comma 6 6 2 3 4 2" xfId="44146" xr:uid="{00000000-0005-0000-0000-0000AA2C0000}"/>
    <cellStyle name="Comma 6 6 2 3 5" xfId="30083" xr:uid="{00000000-0005-0000-0000-0000AB2C0000}"/>
    <cellStyle name="Comma 6 6 2 4" xfId="2291" xr:uid="{00000000-0005-0000-0000-0000AC2C0000}"/>
    <cellStyle name="Comma 6 6 2 4 2" xfId="11656" xr:uid="{00000000-0005-0000-0000-0000AD2C0000}"/>
    <cellStyle name="Comma 6 6 2 4 2 2" xfId="37211" xr:uid="{00000000-0005-0000-0000-0000AE2C0000}"/>
    <cellStyle name="Comma 6 6 2 4 3" xfId="21660" xr:uid="{00000000-0005-0000-0000-0000AF2C0000}"/>
    <cellStyle name="Comma 6 6 2 4 3 2" xfId="47213" xr:uid="{00000000-0005-0000-0000-0000B02C0000}"/>
    <cellStyle name="Comma 6 6 2 4 4" xfId="28143" xr:uid="{00000000-0005-0000-0000-0000B12C0000}"/>
    <cellStyle name="Comma 6 6 2 5" xfId="5967" xr:uid="{00000000-0005-0000-0000-0000B22C0000}"/>
    <cellStyle name="Comma 6 6 2 5 2" xfId="14794" xr:uid="{00000000-0005-0000-0000-0000B32C0000}"/>
    <cellStyle name="Comma 6 6 2 5 2 2" xfId="40349" xr:uid="{00000000-0005-0000-0000-0000B42C0000}"/>
    <cellStyle name="Comma 6 6 2 5 3" xfId="25045" xr:uid="{00000000-0005-0000-0000-0000B52C0000}"/>
    <cellStyle name="Comma 6 6 2 5 3 2" xfId="50598" xr:uid="{00000000-0005-0000-0000-0000B62C0000}"/>
    <cellStyle name="Comma 6 6 2 5 4" xfId="31528" xr:uid="{00000000-0005-0000-0000-0000B72C0000}"/>
    <cellStyle name="Comma 6 6 2 6" xfId="7411" xr:uid="{00000000-0005-0000-0000-0000B82C0000}"/>
    <cellStyle name="Comma 6 6 2 6 2" xfId="20142" xr:uid="{00000000-0005-0000-0000-0000B92C0000}"/>
    <cellStyle name="Comma 6 6 2 6 2 2" xfId="45695" xr:uid="{00000000-0005-0000-0000-0000BA2C0000}"/>
    <cellStyle name="Comma 6 6 2 6 3" xfId="32968" xr:uid="{00000000-0005-0000-0000-0000BB2C0000}"/>
    <cellStyle name="Comma 6 6 2 7" xfId="16653" xr:uid="{00000000-0005-0000-0000-0000BC2C0000}"/>
    <cellStyle name="Comma 6 6 2 7 2" xfId="42206" xr:uid="{00000000-0005-0000-0000-0000BD2C0000}"/>
    <cellStyle name="Comma 6 6 2 8" xfId="26625" xr:uid="{00000000-0005-0000-0000-0000BE2C0000}"/>
    <cellStyle name="Comma 6 6 3" xfId="1068" xr:uid="{00000000-0005-0000-0000-0000BF2C0000}"/>
    <cellStyle name="Comma 6 6 3 2" xfId="3497" xr:uid="{00000000-0005-0000-0000-0000C02C0000}"/>
    <cellStyle name="Comma 6 6 3 2 2" xfId="12633" xr:uid="{00000000-0005-0000-0000-0000C12C0000}"/>
    <cellStyle name="Comma 6 6 3 2 2 2" xfId="22852" xr:uid="{00000000-0005-0000-0000-0000C22C0000}"/>
    <cellStyle name="Comma 6 6 3 2 2 2 2" xfId="48405" xr:uid="{00000000-0005-0000-0000-0000C32C0000}"/>
    <cellStyle name="Comma 6 6 3 2 2 3" xfId="38188" xr:uid="{00000000-0005-0000-0000-0000C42C0000}"/>
    <cellStyle name="Comma 6 6 3 2 3" xfId="9055" xr:uid="{00000000-0005-0000-0000-0000C52C0000}"/>
    <cellStyle name="Comma 6 6 3 2 3 2" xfId="34612" xr:uid="{00000000-0005-0000-0000-0000C62C0000}"/>
    <cellStyle name="Comma 6 6 3 2 4" xfId="17845" xr:uid="{00000000-0005-0000-0000-0000C72C0000}"/>
    <cellStyle name="Comma 6 6 3 2 4 2" xfId="43398" xr:uid="{00000000-0005-0000-0000-0000C82C0000}"/>
    <cellStyle name="Comma 6 6 3 2 5" xfId="29335" xr:uid="{00000000-0005-0000-0000-0000C92C0000}"/>
    <cellStyle name="Comma 6 6 3 3" xfId="4860" xr:uid="{00000000-0005-0000-0000-0000CA2C0000}"/>
    <cellStyle name="Comma 6 6 3 3 2" xfId="13697" xr:uid="{00000000-0005-0000-0000-0000CB2C0000}"/>
    <cellStyle name="Comma 6 6 3 3 2 2" xfId="23948" xr:uid="{00000000-0005-0000-0000-0000CC2C0000}"/>
    <cellStyle name="Comma 6 6 3 3 2 2 2" xfId="49501" xr:uid="{00000000-0005-0000-0000-0000CD2C0000}"/>
    <cellStyle name="Comma 6 6 3 3 2 3" xfId="39252" xr:uid="{00000000-0005-0000-0000-0000CE2C0000}"/>
    <cellStyle name="Comma 6 6 3 3 3" xfId="10118" xr:uid="{00000000-0005-0000-0000-0000CF2C0000}"/>
    <cellStyle name="Comma 6 6 3 3 3 2" xfId="35675" xr:uid="{00000000-0005-0000-0000-0000D02C0000}"/>
    <cellStyle name="Comma 6 6 3 3 4" xfId="18941" xr:uid="{00000000-0005-0000-0000-0000D12C0000}"/>
    <cellStyle name="Comma 6 6 3 3 4 2" xfId="44494" xr:uid="{00000000-0005-0000-0000-0000D22C0000}"/>
    <cellStyle name="Comma 6 6 3 3 5" xfId="30431" xr:uid="{00000000-0005-0000-0000-0000D32C0000}"/>
    <cellStyle name="Comma 6 6 3 4" xfId="2589" xr:uid="{00000000-0005-0000-0000-0000D42C0000}"/>
    <cellStyle name="Comma 6 6 3 4 2" xfId="11953" xr:uid="{00000000-0005-0000-0000-0000D52C0000}"/>
    <cellStyle name="Comma 6 6 3 4 2 2" xfId="37508" xr:uid="{00000000-0005-0000-0000-0000D62C0000}"/>
    <cellStyle name="Comma 6 6 3 4 3" xfId="21957" xr:uid="{00000000-0005-0000-0000-0000D72C0000}"/>
    <cellStyle name="Comma 6 6 3 4 3 2" xfId="47510" xr:uid="{00000000-0005-0000-0000-0000D82C0000}"/>
    <cellStyle name="Comma 6 6 3 4 4" xfId="28440" xr:uid="{00000000-0005-0000-0000-0000D92C0000}"/>
    <cellStyle name="Comma 6 6 3 5" xfId="6315" xr:uid="{00000000-0005-0000-0000-0000DA2C0000}"/>
    <cellStyle name="Comma 6 6 3 5 2" xfId="15142" xr:uid="{00000000-0005-0000-0000-0000DB2C0000}"/>
    <cellStyle name="Comma 6 6 3 5 2 2" xfId="40697" xr:uid="{00000000-0005-0000-0000-0000DC2C0000}"/>
    <cellStyle name="Comma 6 6 3 5 3" xfId="25393" xr:uid="{00000000-0005-0000-0000-0000DD2C0000}"/>
    <cellStyle name="Comma 6 6 3 5 3 2" xfId="50946" xr:uid="{00000000-0005-0000-0000-0000DE2C0000}"/>
    <cellStyle name="Comma 6 6 3 5 4" xfId="31876" xr:uid="{00000000-0005-0000-0000-0000DF2C0000}"/>
    <cellStyle name="Comma 6 6 3 6" xfId="7761" xr:uid="{00000000-0005-0000-0000-0000E02C0000}"/>
    <cellStyle name="Comma 6 6 3 6 2" xfId="20451" xr:uid="{00000000-0005-0000-0000-0000E12C0000}"/>
    <cellStyle name="Comma 6 6 3 6 2 2" xfId="46004" xr:uid="{00000000-0005-0000-0000-0000E22C0000}"/>
    <cellStyle name="Comma 6 6 3 6 3" xfId="33318" xr:uid="{00000000-0005-0000-0000-0000E32C0000}"/>
    <cellStyle name="Comma 6 6 3 7" xfId="16950" xr:uid="{00000000-0005-0000-0000-0000E42C0000}"/>
    <cellStyle name="Comma 6 6 3 7 2" xfId="42503" xr:uid="{00000000-0005-0000-0000-0000E52C0000}"/>
    <cellStyle name="Comma 6 6 3 8" xfId="26934" xr:uid="{00000000-0005-0000-0000-0000E62C0000}"/>
    <cellStyle name="Comma 6 6 4" xfId="2782" xr:uid="{00000000-0005-0000-0000-0000E72C0000}"/>
    <cellStyle name="Comma 6 6 4 2" xfId="5160" xr:uid="{00000000-0005-0000-0000-0000E82C0000}"/>
    <cellStyle name="Comma 6 6 4 2 2" xfId="13997" xr:uid="{00000000-0005-0000-0000-0000E92C0000}"/>
    <cellStyle name="Comma 6 6 4 2 2 2" xfId="24248" xr:uid="{00000000-0005-0000-0000-0000EA2C0000}"/>
    <cellStyle name="Comma 6 6 4 2 2 2 2" xfId="49801" xr:uid="{00000000-0005-0000-0000-0000EB2C0000}"/>
    <cellStyle name="Comma 6 6 4 2 2 3" xfId="39552" xr:uid="{00000000-0005-0000-0000-0000EC2C0000}"/>
    <cellStyle name="Comma 6 6 4 2 3" xfId="10418" xr:uid="{00000000-0005-0000-0000-0000ED2C0000}"/>
    <cellStyle name="Comma 6 6 4 2 3 2" xfId="35975" xr:uid="{00000000-0005-0000-0000-0000EE2C0000}"/>
    <cellStyle name="Comma 6 6 4 2 4" xfId="19241" xr:uid="{00000000-0005-0000-0000-0000EF2C0000}"/>
    <cellStyle name="Comma 6 6 4 2 4 2" xfId="44794" xr:uid="{00000000-0005-0000-0000-0000F02C0000}"/>
    <cellStyle name="Comma 6 6 4 2 5" xfId="30731" xr:uid="{00000000-0005-0000-0000-0000F12C0000}"/>
    <cellStyle name="Comma 6 6 4 3" xfId="6615" xr:uid="{00000000-0005-0000-0000-0000F22C0000}"/>
    <cellStyle name="Comma 6 6 4 3 2" xfId="15442" xr:uid="{00000000-0005-0000-0000-0000F32C0000}"/>
    <cellStyle name="Comma 6 6 4 3 2 2" xfId="40997" xr:uid="{00000000-0005-0000-0000-0000F42C0000}"/>
    <cellStyle name="Comma 6 6 4 3 3" xfId="25693" xr:uid="{00000000-0005-0000-0000-0000F52C0000}"/>
    <cellStyle name="Comma 6 6 4 3 3 2" xfId="51246" xr:uid="{00000000-0005-0000-0000-0000F62C0000}"/>
    <cellStyle name="Comma 6 6 4 3 4" xfId="32176" xr:uid="{00000000-0005-0000-0000-0000F72C0000}"/>
    <cellStyle name="Comma 6 6 4 4" xfId="8061" xr:uid="{00000000-0005-0000-0000-0000F82C0000}"/>
    <cellStyle name="Comma 6 6 4 4 2" xfId="22143" xr:uid="{00000000-0005-0000-0000-0000F92C0000}"/>
    <cellStyle name="Comma 6 6 4 4 2 2" xfId="47696" xr:uid="{00000000-0005-0000-0000-0000FA2C0000}"/>
    <cellStyle name="Comma 6 6 4 4 3" xfId="33618" xr:uid="{00000000-0005-0000-0000-0000FB2C0000}"/>
    <cellStyle name="Comma 6 6 4 5" xfId="17136" xr:uid="{00000000-0005-0000-0000-0000FC2C0000}"/>
    <cellStyle name="Comma 6 6 4 5 2" xfId="42689" xr:uid="{00000000-0005-0000-0000-0000FD2C0000}"/>
    <cellStyle name="Comma 6 6 4 6" xfId="28626" xr:uid="{00000000-0005-0000-0000-0000FE2C0000}"/>
    <cellStyle name="Comma 6 6 5" xfId="4114" xr:uid="{00000000-0005-0000-0000-0000FF2C0000}"/>
    <cellStyle name="Comma 6 6 5 2" xfId="12952" xr:uid="{00000000-0005-0000-0000-0000002D0000}"/>
    <cellStyle name="Comma 6 6 5 2 2" xfId="23203" xr:uid="{00000000-0005-0000-0000-0000012D0000}"/>
    <cellStyle name="Comma 6 6 5 2 2 2" xfId="48756" xr:uid="{00000000-0005-0000-0000-0000022D0000}"/>
    <cellStyle name="Comma 6 6 5 2 3" xfId="38507" xr:uid="{00000000-0005-0000-0000-0000032D0000}"/>
    <cellStyle name="Comma 6 6 5 3" xfId="9373" xr:uid="{00000000-0005-0000-0000-0000042D0000}"/>
    <cellStyle name="Comma 6 6 5 3 2" xfId="34930" xr:uid="{00000000-0005-0000-0000-0000052D0000}"/>
    <cellStyle name="Comma 6 6 5 4" xfId="18196" xr:uid="{00000000-0005-0000-0000-0000062D0000}"/>
    <cellStyle name="Comma 6 6 5 4 2" xfId="43749" xr:uid="{00000000-0005-0000-0000-0000072D0000}"/>
    <cellStyle name="Comma 6 6 5 5" xfId="29686" xr:uid="{00000000-0005-0000-0000-0000082D0000}"/>
    <cellStyle name="Comma 6 6 6" xfId="1891" xr:uid="{00000000-0005-0000-0000-0000092D0000}"/>
    <cellStyle name="Comma 6 6 6 2" xfId="11256" xr:uid="{00000000-0005-0000-0000-00000A2D0000}"/>
    <cellStyle name="Comma 6 6 6 2 2" xfId="36811" xr:uid="{00000000-0005-0000-0000-00000B2D0000}"/>
    <cellStyle name="Comma 6 6 6 3" xfId="21260" xr:uid="{00000000-0005-0000-0000-00000C2D0000}"/>
    <cellStyle name="Comma 6 6 6 3 2" xfId="46813" xr:uid="{00000000-0005-0000-0000-00000D2D0000}"/>
    <cellStyle name="Comma 6 6 6 4" xfId="27743" xr:uid="{00000000-0005-0000-0000-00000E2D0000}"/>
    <cellStyle name="Comma 6 6 7" xfId="5572" xr:uid="{00000000-0005-0000-0000-00000F2D0000}"/>
    <cellStyle name="Comma 6 6 7 2" xfId="14399" xr:uid="{00000000-0005-0000-0000-0000102D0000}"/>
    <cellStyle name="Comma 6 6 7 2 2" xfId="39954" xr:uid="{00000000-0005-0000-0000-0000112D0000}"/>
    <cellStyle name="Comma 6 6 7 3" xfId="24650" xr:uid="{00000000-0005-0000-0000-0000122D0000}"/>
    <cellStyle name="Comma 6 6 7 3 2" xfId="50203" xr:uid="{00000000-0005-0000-0000-0000132D0000}"/>
    <cellStyle name="Comma 6 6 7 4" xfId="31133" xr:uid="{00000000-0005-0000-0000-0000142D0000}"/>
    <cellStyle name="Comma 6 6 8" xfId="7016" xr:uid="{00000000-0005-0000-0000-0000152D0000}"/>
    <cellStyle name="Comma 6 6 8 2" xfId="19742" xr:uid="{00000000-0005-0000-0000-0000162D0000}"/>
    <cellStyle name="Comma 6 6 8 2 2" xfId="45295" xr:uid="{00000000-0005-0000-0000-0000172D0000}"/>
    <cellStyle name="Comma 6 6 8 3" xfId="32573" xr:uid="{00000000-0005-0000-0000-0000182D0000}"/>
    <cellStyle name="Comma 6 6 9" xfId="16253" xr:uid="{00000000-0005-0000-0000-0000192D0000}"/>
    <cellStyle name="Comma 6 6 9 2" xfId="41806" xr:uid="{00000000-0005-0000-0000-00001A2D0000}"/>
    <cellStyle name="Comma 6 7" xfId="685" xr:uid="{00000000-0005-0000-0000-00001B2D0000}"/>
    <cellStyle name="Comma 6 7 2" xfId="3171" xr:uid="{00000000-0005-0000-0000-00001C2D0000}"/>
    <cellStyle name="Comma 6 7 2 2" xfId="12314" xr:uid="{00000000-0005-0000-0000-00001D2D0000}"/>
    <cellStyle name="Comma 6 7 2 2 2" xfId="22532" xr:uid="{00000000-0005-0000-0000-00001E2D0000}"/>
    <cellStyle name="Comma 6 7 2 2 2 2" xfId="48085" xr:uid="{00000000-0005-0000-0000-00001F2D0000}"/>
    <cellStyle name="Comma 6 7 2 2 3" xfId="37869" xr:uid="{00000000-0005-0000-0000-0000202D0000}"/>
    <cellStyle name="Comma 6 7 2 3" xfId="8736" xr:uid="{00000000-0005-0000-0000-0000212D0000}"/>
    <cellStyle name="Comma 6 7 2 3 2" xfId="34293" xr:uid="{00000000-0005-0000-0000-0000222D0000}"/>
    <cellStyle name="Comma 6 7 2 4" xfId="17525" xr:uid="{00000000-0005-0000-0000-0000232D0000}"/>
    <cellStyle name="Comma 6 7 2 4 2" xfId="43078" xr:uid="{00000000-0005-0000-0000-0000242D0000}"/>
    <cellStyle name="Comma 6 7 2 5" xfId="29015" xr:uid="{00000000-0005-0000-0000-0000252D0000}"/>
    <cellStyle name="Comma 6 7 3" xfId="4500" xr:uid="{00000000-0005-0000-0000-0000262D0000}"/>
    <cellStyle name="Comma 6 7 3 2" xfId="13338" xr:uid="{00000000-0005-0000-0000-0000272D0000}"/>
    <cellStyle name="Comma 6 7 3 2 2" xfId="23589" xr:uid="{00000000-0005-0000-0000-0000282D0000}"/>
    <cellStyle name="Comma 6 7 3 2 2 2" xfId="49142" xr:uid="{00000000-0005-0000-0000-0000292D0000}"/>
    <cellStyle name="Comma 6 7 3 2 3" xfId="38893" xr:uid="{00000000-0005-0000-0000-00002A2D0000}"/>
    <cellStyle name="Comma 6 7 3 3" xfId="9759" xr:uid="{00000000-0005-0000-0000-00002B2D0000}"/>
    <cellStyle name="Comma 6 7 3 3 2" xfId="35316" xr:uid="{00000000-0005-0000-0000-00002C2D0000}"/>
    <cellStyle name="Comma 6 7 3 4" xfId="18582" xr:uid="{00000000-0005-0000-0000-00002D2D0000}"/>
    <cellStyle name="Comma 6 7 3 4 2" xfId="44135" xr:uid="{00000000-0005-0000-0000-00002E2D0000}"/>
    <cellStyle name="Comma 6 7 3 5" xfId="30072" xr:uid="{00000000-0005-0000-0000-00002F2D0000}"/>
    <cellStyle name="Comma 6 7 4" xfId="2280" xr:uid="{00000000-0005-0000-0000-0000302D0000}"/>
    <cellStyle name="Comma 6 7 4 2" xfId="11645" xr:uid="{00000000-0005-0000-0000-0000312D0000}"/>
    <cellStyle name="Comma 6 7 4 2 2" xfId="37200" xr:uid="{00000000-0005-0000-0000-0000322D0000}"/>
    <cellStyle name="Comma 6 7 4 3" xfId="21649" xr:uid="{00000000-0005-0000-0000-0000332D0000}"/>
    <cellStyle name="Comma 6 7 4 3 2" xfId="47202" xr:uid="{00000000-0005-0000-0000-0000342D0000}"/>
    <cellStyle name="Comma 6 7 4 4" xfId="28132" xr:uid="{00000000-0005-0000-0000-0000352D0000}"/>
    <cellStyle name="Comma 6 7 5" xfId="5956" xr:uid="{00000000-0005-0000-0000-0000362D0000}"/>
    <cellStyle name="Comma 6 7 5 2" xfId="14783" xr:uid="{00000000-0005-0000-0000-0000372D0000}"/>
    <cellStyle name="Comma 6 7 5 2 2" xfId="40338" xr:uid="{00000000-0005-0000-0000-0000382D0000}"/>
    <cellStyle name="Comma 6 7 5 3" xfId="25034" xr:uid="{00000000-0005-0000-0000-0000392D0000}"/>
    <cellStyle name="Comma 6 7 5 3 2" xfId="50587" xr:uid="{00000000-0005-0000-0000-00003A2D0000}"/>
    <cellStyle name="Comma 6 7 5 4" xfId="31517" xr:uid="{00000000-0005-0000-0000-00003B2D0000}"/>
    <cellStyle name="Comma 6 7 6" xfId="7400" xr:uid="{00000000-0005-0000-0000-00003C2D0000}"/>
    <cellStyle name="Comma 6 7 6 2" xfId="20131" xr:uid="{00000000-0005-0000-0000-00003D2D0000}"/>
    <cellStyle name="Comma 6 7 6 2 2" xfId="45684" xr:uid="{00000000-0005-0000-0000-00003E2D0000}"/>
    <cellStyle name="Comma 6 7 6 3" xfId="32957" xr:uid="{00000000-0005-0000-0000-00003F2D0000}"/>
    <cellStyle name="Comma 6 7 7" xfId="16642" xr:uid="{00000000-0005-0000-0000-0000402D0000}"/>
    <cellStyle name="Comma 6 7 7 2" xfId="42195" xr:uid="{00000000-0005-0000-0000-0000412D0000}"/>
    <cellStyle name="Comma 6 7 8" xfId="26614" xr:uid="{00000000-0005-0000-0000-0000422D0000}"/>
    <cellStyle name="Comma 6 8" xfId="1048" xr:uid="{00000000-0005-0000-0000-0000432D0000}"/>
    <cellStyle name="Comma 6 8 2" xfId="3477" xr:uid="{00000000-0005-0000-0000-0000442D0000}"/>
    <cellStyle name="Comma 6 8 2 2" xfId="12613" xr:uid="{00000000-0005-0000-0000-0000452D0000}"/>
    <cellStyle name="Comma 6 8 2 2 2" xfId="22832" xr:uid="{00000000-0005-0000-0000-0000462D0000}"/>
    <cellStyle name="Comma 6 8 2 2 2 2" xfId="48385" xr:uid="{00000000-0005-0000-0000-0000472D0000}"/>
    <cellStyle name="Comma 6 8 2 2 3" xfId="38168" xr:uid="{00000000-0005-0000-0000-0000482D0000}"/>
    <cellStyle name="Comma 6 8 2 3" xfId="9035" xr:uid="{00000000-0005-0000-0000-0000492D0000}"/>
    <cellStyle name="Comma 6 8 2 3 2" xfId="34592" xr:uid="{00000000-0005-0000-0000-00004A2D0000}"/>
    <cellStyle name="Comma 6 8 2 4" xfId="17825" xr:uid="{00000000-0005-0000-0000-00004B2D0000}"/>
    <cellStyle name="Comma 6 8 2 4 2" xfId="43378" xr:uid="{00000000-0005-0000-0000-00004C2D0000}"/>
    <cellStyle name="Comma 6 8 2 5" xfId="29315" xr:uid="{00000000-0005-0000-0000-00004D2D0000}"/>
    <cellStyle name="Comma 6 8 3" xfId="4849" xr:uid="{00000000-0005-0000-0000-00004E2D0000}"/>
    <cellStyle name="Comma 6 8 3 2" xfId="13686" xr:uid="{00000000-0005-0000-0000-00004F2D0000}"/>
    <cellStyle name="Comma 6 8 3 2 2" xfId="23937" xr:uid="{00000000-0005-0000-0000-0000502D0000}"/>
    <cellStyle name="Comma 6 8 3 2 2 2" xfId="49490" xr:uid="{00000000-0005-0000-0000-0000512D0000}"/>
    <cellStyle name="Comma 6 8 3 2 3" xfId="39241" xr:uid="{00000000-0005-0000-0000-0000522D0000}"/>
    <cellStyle name="Comma 6 8 3 3" xfId="10107" xr:uid="{00000000-0005-0000-0000-0000532D0000}"/>
    <cellStyle name="Comma 6 8 3 3 2" xfId="35664" xr:uid="{00000000-0005-0000-0000-0000542D0000}"/>
    <cellStyle name="Comma 6 8 3 4" xfId="18930" xr:uid="{00000000-0005-0000-0000-0000552D0000}"/>
    <cellStyle name="Comma 6 8 3 4 2" xfId="44483" xr:uid="{00000000-0005-0000-0000-0000562D0000}"/>
    <cellStyle name="Comma 6 8 3 5" xfId="30420" xr:uid="{00000000-0005-0000-0000-0000572D0000}"/>
    <cellStyle name="Comma 6 8 4" xfId="1727" xr:uid="{00000000-0005-0000-0000-0000582D0000}"/>
    <cellStyle name="Comma 6 8 4 2" xfId="11101" xr:uid="{00000000-0005-0000-0000-0000592D0000}"/>
    <cellStyle name="Comma 6 8 4 2 2" xfId="36656" xr:uid="{00000000-0005-0000-0000-00005A2D0000}"/>
    <cellStyle name="Comma 6 8 4 3" xfId="21105" xr:uid="{00000000-0005-0000-0000-00005B2D0000}"/>
    <cellStyle name="Comma 6 8 4 3 2" xfId="46658" xr:uid="{00000000-0005-0000-0000-00005C2D0000}"/>
    <cellStyle name="Comma 6 8 4 4" xfId="27588" xr:uid="{00000000-0005-0000-0000-00005D2D0000}"/>
    <cellStyle name="Comma 6 8 5" xfId="6304" xr:uid="{00000000-0005-0000-0000-00005E2D0000}"/>
    <cellStyle name="Comma 6 8 5 2" xfId="15131" xr:uid="{00000000-0005-0000-0000-00005F2D0000}"/>
    <cellStyle name="Comma 6 8 5 2 2" xfId="40686" xr:uid="{00000000-0005-0000-0000-0000602D0000}"/>
    <cellStyle name="Comma 6 8 5 3" xfId="25382" xr:uid="{00000000-0005-0000-0000-0000612D0000}"/>
    <cellStyle name="Comma 6 8 5 3 2" xfId="50935" xr:uid="{00000000-0005-0000-0000-0000622D0000}"/>
    <cellStyle name="Comma 6 8 5 4" xfId="31865" xr:uid="{00000000-0005-0000-0000-0000632D0000}"/>
    <cellStyle name="Comma 6 8 6" xfId="7750" xr:uid="{00000000-0005-0000-0000-0000642D0000}"/>
    <cellStyle name="Comma 6 8 6 2" xfId="20431" xr:uid="{00000000-0005-0000-0000-0000652D0000}"/>
    <cellStyle name="Comma 6 8 6 2 2" xfId="45984" xr:uid="{00000000-0005-0000-0000-0000662D0000}"/>
    <cellStyle name="Comma 6 8 6 3" xfId="33307" xr:uid="{00000000-0005-0000-0000-0000672D0000}"/>
    <cellStyle name="Comma 6 8 7" xfId="16098" xr:uid="{00000000-0005-0000-0000-0000682D0000}"/>
    <cellStyle name="Comma 6 8 7 2" xfId="41651" xr:uid="{00000000-0005-0000-0000-0000692D0000}"/>
    <cellStyle name="Comma 6 8 8" xfId="26914" xr:uid="{00000000-0005-0000-0000-00006A2D0000}"/>
    <cellStyle name="Comma 6 9" xfId="2625" xr:uid="{00000000-0005-0000-0000-00006B2D0000}"/>
    <cellStyle name="Comma 6 9 2" xfId="5140" xr:uid="{00000000-0005-0000-0000-00006C2D0000}"/>
    <cellStyle name="Comma 6 9 2 2" xfId="13977" xr:uid="{00000000-0005-0000-0000-00006D2D0000}"/>
    <cellStyle name="Comma 6 9 2 2 2" xfId="24228" xr:uid="{00000000-0005-0000-0000-00006E2D0000}"/>
    <cellStyle name="Comma 6 9 2 2 2 2" xfId="49781" xr:uid="{00000000-0005-0000-0000-00006F2D0000}"/>
    <cellStyle name="Comma 6 9 2 2 3" xfId="39532" xr:uid="{00000000-0005-0000-0000-0000702D0000}"/>
    <cellStyle name="Comma 6 9 2 3" xfId="10398" xr:uid="{00000000-0005-0000-0000-0000712D0000}"/>
    <cellStyle name="Comma 6 9 2 3 2" xfId="35955" xr:uid="{00000000-0005-0000-0000-0000722D0000}"/>
    <cellStyle name="Comma 6 9 2 4" xfId="19221" xr:uid="{00000000-0005-0000-0000-0000732D0000}"/>
    <cellStyle name="Comma 6 9 2 4 2" xfId="44774" xr:uid="{00000000-0005-0000-0000-0000742D0000}"/>
    <cellStyle name="Comma 6 9 2 5" xfId="30711" xr:uid="{00000000-0005-0000-0000-0000752D0000}"/>
    <cellStyle name="Comma 6 9 3" xfId="6595" xr:uid="{00000000-0005-0000-0000-0000762D0000}"/>
    <cellStyle name="Comma 6 9 3 2" xfId="15422" xr:uid="{00000000-0005-0000-0000-0000772D0000}"/>
    <cellStyle name="Comma 6 9 3 2 2" xfId="40977" xr:uid="{00000000-0005-0000-0000-0000782D0000}"/>
    <cellStyle name="Comma 6 9 3 3" xfId="25673" xr:uid="{00000000-0005-0000-0000-0000792D0000}"/>
    <cellStyle name="Comma 6 9 3 3 2" xfId="51226" xr:uid="{00000000-0005-0000-0000-00007A2D0000}"/>
    <cellStyle name="Comma 6 9 3 4" xfId="32156" xr:uid="{00000000-0005-0000-0000-00007B2D0000}"/>
    <cellStyle name="Comma 6 9 4" xfId="8041" xr:uid="{00000000-0005-0000-0000-00007C2D0000}"/>
    <cellStyle name="Comma 6 9 4 2" xfId="21988" xr:uid="{00000000-0005-0000-0000-00007D2D0000}"/>
    <cellStyle name="Comma 6 9 4 2 2" xfId="47541" xr:uid="{00000000-0005-0000-0000-00007E2D0000}"/>
    <cellStyle name="Comma 6 9 4 3" xfId="33598" xr:uid="{00000000-0005-0000-0000-00007F2D0000}"/>
    <cellStyle name="Comma 6 9 5" xfId="16981" xr:uid="{00000000-0005-0000-0000-0000802D0000}"/>
    <cellStyle name="Comma 6 9 5 2" xfId="42534" xr:uid="{00000000-0005-0000-0000-0000812D0000}"/>
    <cellStyle name="Comma 6 9 6" xfId="28471" xr:uid="{00000000-0005-0000-0000-0000822D0000}"/>
    <cellStyle name="Comma 7" xfId="117" xr:uid="{00000000-0005-0000-0000-0000832D0000}"/>
    <cellStyle name="DataNew" xfId="51602" xr:uid="{F35A38D5-2C9F-4B01-B402-5116FA1C80C6}"/>
    <cellStyle name="DataOld" xfId="51601" xr:uid="{3EC78CC2-822B-4D51-9C81-58E3C30FB748}"/>
    <cellStyle name="Explanatory Text 2" xfId="1012" xr:uid="{00000000-0005-0000-0000-0000842D0000}"/>
    <cellStyle name="Good 2" xfId="1013" xr:uid="{00000000-0005-0000-0000-0000852D0000}"/>
    <cellStyle name="Heading 1 2" xfId="1014" xr:uid="{00000000-0005-0000-0000-0000862D0000}"/>
    <cellStyle name="Heading 2 2" xfId="1015" xr:uid="{00000000-0005-0000-0000-0000872D0000}"/>
    <cellStyle name="Heading 3 2" xfId="1016" xr:uid="{00000000-0005-0000-0000-0000882D0000}"/>
    <cellStyle name="Heading 4 2" xfId="1017" xr:uid="{00000000-0005-0000-0000-0000892D0000}"/>
    <cellStyle name="Input 2" xfId="1018" xr:uid="{00000000-0005-0000-0000-00008A2D0000}"/>
    <cellStyle name="Input 3" xfId="1032" xr:uid="{00000000-0005-0000-0000-00008B2D0000}"/>
    <cellStyle name="Linked Cell 2" xfId="1019" xr:uid="{00000000-0005-0000-0000-00008C2D0000}"/>
    <cellStyle name="Neutral 2" xfId="1020" xr:uid="{00000000-0005-0000-0000-00008D2D0000}"/>
    <cellStyle name="Normal" xfId="0" builtinId="0"/>
    <cellStyle name="Normal 10" xfId="16" xr:uid="{00000000-0005-0000-0000-00008F2D0000}"/>
    <cellStyle name="Normal 10 10" xfId="5500" xr:uid="{00000000-0005-0000-0000-0000902D0000}"/>
    <cellStyle name="Normal 10 10 2" xfId="14327" xr:uid="{00000000-0005-0000-0000-0000912D0000}"/>
    <cellStyle name="Normal 10 10 2 2" xfId="39882" xr:uid="{00000000-0005-0000-0000-0000922D0000}"/>
    <cellStyle name="Normal 10 10 3" xfId="24578" xr:uid="{00000000-0005-0000-0000-0000932D0000}"/>
    <cellStyle name="Normal 10 10 3 2" xfId="50131" xr:uid="{00000000-0005-0000-0000-0000942D0000}"/>
    <cellStyle name="Normal 10 10 4" xfId="31061" xr:uid="{00000000-0005-0000-0000-0000952D0000}"/>
    <cellStyle name="Normal 10 11" xfId="6938" xr:uid="{00000000-0005-0000-0000-0000962D0000}"/>
    <cellStyle name="Normal 10 11 2" xfId="32496" xr:uid="{00000000-0005-0000-0000-0000972D0000}"/>
    <cellStyle name="Normal 10 2" xfId="106" xr:uid="{00000000-0005-0000-0000-0000982D0000}"/>
    <cellStyle name="Normal 10 2 10" xfId="4105" xr:uid="{00000000-0005-0000-0000-0000992D0000}"/>
    <cellStyle name="Normal 10 2 10 2" xfId="5563" xr:uid="{00000000-0005-0000-0000-00009A2D0000}"/>
    <cellStyle name="Normal 10 2 10 2 2" xfId="14390" xr:uid="{00000000-0005-0000-0000-00009B2D0000}"/>
    <cellStyle name="Normal 10 2 10 2 2 2" xfId="39945" xr:uid="{00000000-0005-0000-0000-00009C2D0000}"/>
    <cellStyle name="Normal 10 2 10 2 3" xfId="24641" xr:uid="{00000000-0005-0000-0000-00009D2D0000}"/>
    <cellStyle name="Normal 10 2 10 2 3 2" xfId="50194" xr:uid="{00000000-0005-0000-0000-00009E2D0000}"/>
    <cellStyle name="Normal 10 2 10 2 4" xfId="31124" xr:uid="{00000000-0005-0000-0000-00009F2D0000}"/>
    <cellStyle name="Normal 10 2 10 3" xfId="7007" xr:uid="{00000000-0005-0000-0000-0000A02D0000}"/>
    <cellStyle name="Normal 10 2 10 3 2" xfId="23194" xr:uid="{00000000-0005-0000-0000-0000A12D0000}"/>
    <cellStyle name="Normal 10 2 10 3 2 2" xfId="48747" xr:uid="{00000000-0005-0000-0000-0000A22D0000}"/>
    <cellStyle name="Normal 10 2 10 3 3" xfId="32564" xr:uid="{00000000-0005-0000-0000-0000A32D0000}"/>
    <cellStyle name="Normal 10 2 10 4" xfId="18187" xr:uid="{00000000-0005-0000-0000-0000A42D0000}"/>
    <cellStyle name="Normal 10 2 10 4 2" xfId="43740" xr:uid="{00000000-0005-0000-0000-0000A52D0000}"/>
    <cellStyle name="Normal 10 2 10 5" xfId="29677" xr:uid="{00000000-0005-0000-0000-0000A62D0000}"/>
    <cellStyle name="Normal 10 2 11" xfId="1399" xr:uid="{00000000-0005-0000-0000-0000A72D0000}"/>
    <cellStyle name="Normal 10 2 11 2" xfId="10776" xr:uid="{00000000-0005-0000-0000-0000A82D0000}"/>
    <cellStyle name="Normal 10 2 11 2 2" xfId="36331" xr:uid="{00000000-0005-0000-0000-0000A92D0000}"/>
    <cellStyle name="Normal 10 2 11 3" xfId="20780" xr:uid="{00000000-0005-0000-0000-0000AA2D0000}"/>
    <cellStyle name="Normal 10 2 11 3 2" xfId="46333" xr:uid="{00000000-0005-0000-0000-0000AB2D0000}"/>
    <cellStyle name="Normal 10 2 11 4" xfId="27263" xr:uid="{00000000-0005-0000-0000-0000AC2D0000}"/>
    <cellStyle name="Normal 10 2 12" xfId="5504" xr:uid="{00000000-0005-0000-0000-0000AD2D0000}"/>
    <cellStyle name="Normal 10 2 12 2" xfId="14331" xr:uid="{00000000-0005-0000-0000-0000AE2D0000}"/>
    <cellStyle name="Normal 10 2 12 2 2" xfId="39886" xr:uid="{00000000-0005-0000-0000-0000AF2D0000}"/>
    <cellStyle name="Normal 10 2 12 3" xfId="24582" xr:uid="{00000000-0005-0000-0000-0000B02D0000}"/>
    <cellStyle name="Normal 10 2 12 3 2" xfId="50135" xr:uid="{00000000-0005-0000-0000-0000B12D0000}"/>
    <cellStyle name="Normal 10 2 12 4" xfId="31065" xr:uid="{00000000-0005-0000-0000-0000B22D0000}"/>
    <cellStyle name="Normal 10 2 13" xfId="6943" xr:uid="{00000000-0005-0000-0000-0000B32D0000}"/>
    <cellStyle name="Normal 10 2 13 2" xfId="19581" xr:uid="{00000000-0005-0000-0000-0000B42D0000}"/>
    <cellStyle name="Normal 10 2 13 2 2" xfId="45134" xr:uid="{00000000-0005-0000-0000-0000B52D0000}"/>
    <cellStyle name="Normal 10 2 13 3" xfId="32501" xr:uid="{00000000-0005-0000-0000-0000B62D0000}"/>
    <cellStyle name="Normal 10 2 14" xfId="15773" xr:uid="{00000000-0005-0000-0000-0000B72D0000}"/>
    <cellStyle name="Normal 10 2 14 2" xfId="41326" xr:uid="{00000000-0005-0000-0000-0000B82D0000}"/>
    <cellStyle name="Normal 10 2 15" xfId="26064" xr:uid="{00000000-0005-0000-0000-0000B92D0000}"/>
    <cellStyle name="Normal 10 2 2" xfId="159" xr:uid="{00000000-0005-0000-0000-0000BA2D0000}"/>
    <cellStyle name="Normal 10 2 2 10" xfId="1424" xr:uid="{00000000-0005-0000-0000-0000BB2D0000}"/>
    <cellStyle name="Normal 10 2 2 10 2" xfId="10801" xr:uid="{00000000-0005-0000-0000-0000BC2D0000}"/>
    <cellStyle name="Normal 10 2 2 10 2 2" xfId="36356" xr:uid="{00000000-0005-0000-0000-0000BD2D0000}"/>
    <cellStyle name="Normal 10 2 2 10 3" xfId="20805" xr:uid="{00000000-0005-0000-0000-0000BE2D0000}"/>
    <cellStyle name="Normal 10 2 2 10 3 2" xfId="46358" xr:uid="{00000000-0005-0000-0000-0000BF2D0000}"/>
    <cellStyle name="Normal 10 2 2 10 4" xfId="27288" xr:uid="{00000000-0005-0000-0000-0000C02D0000}"/>
    <cellStyle name="Normal 10 2 2 11" xfId="5533" xr:uid="{00000000-0005-0000-0000-0000C12D0000}"/>
    <cellStyle name="Normal 10 2 2 11 2" xfId="14360" xr:uid="{00000000-0005-0000-0000-0000C22D0000}"/>
    <cellStyle name="Normal 10 2 2 11 2 2" xfId="39915" xr:uid="{00000000-0005-0000-0000-0000C32D0000}"/>
    <cellStyle name="Normal 10 2 2 11 3" xfId="24611" xr:uid="{00000000-0005-0000-0000-0000C42D0000}"/>
    <cellStyle name="Normal 10 2 2 11 3 2" xfId="50164" xr:uid="{00000000-0005-0000-0000-0000C52D0000}"/>
    <cellStyle name="Normal 10 2 2 11 4" xfId="31094" xr:uid="{00000000-0005-0000-0000-0000C62D0000}"/>
    <cellStyle name="Normal 10 2 2 12" xfId="6977" xr:uid="{00000000-0005-0000-0000-0000C72D0000}"/>
    <cellStyle name="Normal 10 2 2 12 2" xfId="19618" xr:uid="{00000000-0005-0000-0000-0000C82D0000}"/>
    <cellStyle name="Normal 10 2 2 12 2 2" xfId="45171" xr:uid="{00000000-0005-0000-0000-0000C92D0000}"/>
    <cellStyle name="Normal 10 2 2 12 3" xfId="32534" xr:uid="{00000000-0005-0000-0000-0000CA2D0000}"/>
    <cellStyle name="Normal 10 2 2 13" xfId="15798" xr:uid="{00000000-0005-0000-0000-0000CB2D0000}"/>
    <cellStyle name="Normal 10 2 2 13 2" xfId="41351" xr:uid="{00000000-0005-0000-0000-0000CC2D0000}"/>
    <cellStyle name="Normal 10 2 2 14" xfId="26101" xr:uid="{00000000-0005-0000-0000-0000CD2D0000}"/>
    <cellStyle name="Normal 10 2 2 2" xfId="206" xr:uid="{00000000-0005-0000-0000-0000CE2D0000}"/>
    <cellStyle name="Normal 10 2 2 2 10" xfId="7152" xr:uid="{00000000-0005-0000-0000-0000CF2D0000}"/>
    <cellStyle name="Normal 10 2 2 2 10 2" xfId="19661" xr:uid="{00000000-0005-0000-0000-0000D02D0000}"/>
    <cellStyle name="Normal 10 2 2 2 10 2 2" xfId="45214" xr:uid="{00000000-0005-0000-0000-0000D12D0000}"/>
    <cellStyle name="Normal 10 2 2 2 10 3" xfId="32709" xr:uid="{00000000-0005-0000-0000-0000D22D0000}"/>
    <cellStyle name="Normal 10 2 2 2 11" xfId="15898" xr:uid="{00000000-0005-0000-0000-0000D32D0000}"/>
    <cellStyle name="Normal 10 2 2 2 11 2" xfId="41451" xr:uid="{00000000-0005-0000-0000-0000D42D0000}"/>
    <cellStyle name="Normal 10 2 2 2 12" xfId="26144" xr:uid="{00000000-0005-0000-0000-0000D52D0000}"/>
    <cellStyle name="Normal 10 2 2 2 2" xfId="532" xr:uid="{00000000-0005-0000-0000-0000D62D0000}"/>
    <cellStyle name="Normal 10 2 2 2 2 10" xfId="26461" xr:uid="{00000000-0005-0000-0000-0000D72D0000}"/>
    <cellStyle name="Normal 10 2 2 2 2 2" xfId="701" xr:uid="{00000000-0005-0000-0000-0000D82D0000}"/>
    <cellStyle name="Normal 10 2 2 2 2 2 2" xfId="3187" xr:uid="{00000000-0005-0000-0000-0000D92D0000}"/>
    <cellStyle name="Normal 10 2 2 2 2 2 2 2" xfId="12330" xr:uid="{00000000-0005-0000-0000-0000DA2D0000}"/>
    <cellStyle name="Normal 10 2 2 2 2 2 2 2 2" xfId="22548" xr:uid="{00000000-0005-0000-0000-0000DB2D0000}"/>
    <cellStyle name="Normal 10 2 2 2 2 2 2 2 2 2" xfId="48101" xr:uid="{00000000-0005-0000-0000-0000DC2D0000}"/>
    <cellStyle name="Normal 10 2 2 2 2 2 2 2 3" xfId="37885" xr:uid="{00000000-0005-0000-0000-0000DD2D0000}"/>
    <cellStyle name="Normal 10 2 2 2 2 2 2 3" xfId="8752" xr:uid="{00000000-0005-0000-0000-0000DE2D0000}"/>
    <cellStyle name="Normal 10 2 2 2 2 2 2 3 2" xfId="34309" xr:uid="{00000000-0005-0000-0000-0000DF2D0000}"/>
    <cellStyle name="Normal 10 2 2 2 2 2 2 4" xfId="17541" xr:uid="{00000000-0005-0000-0000-0000E02D0000}"/>
    <cellStyle name="Normal 10 2 2 2 2 2 2 4 2" xfId="43094" xr:uid="{00000000-0005-0000-0000-0000E12D0000}"/>
    <cellStyle name="Normal 10 2 2 2 2 2 2 5" xfId="29031" xr:uid="{00000000-0005-0000-0000-0000E22D0000}"/>
    <cellStyle name="Normal 10 2 2 2 2 2 3" xfId="4516" xr:uid="{00000000-0005-0000-0000-0000E32D0000}"/>
    <cellStyle name="Normal 10 2 2 2 2 2 3 2" xfId="13354" xr:uid="{00000000-0005-0000-0000-0000E42D0000}"/>
    <cellStyle name="Normal 10 2 2 2 2 2 3 2 2" xfId="23605" xr:uid="{00000000-0005-0000-0000-0000E52D0000}"/>
    <cellStyle name="Normal 10 2 2 2 2 2 3 2 2 2" xfId="49158" xr:uid="{00000000-0005-0000-0000-0000E62D0000}"/>
    <cellStyle name="Normal 10 2 2 2 2 2 3 2 3" xfId="38909" xr:uid="{00000000-0005-0000-0000-0000E72D0000}"/>
    <cellStyle name="Normal 10 2 2 2 2 2 3 3" xfId="9775" xr:uid="{00000000-0005-0000-0000-0000E82D0000}"/>
    <cellStyle name="Normal 10 2 2 2 2 2 3 3 2" xfId="35332" xr:uid="{00000000-0005-0000-0000-0000E92D0000}"/>
    <cellStyle name="Normal 10 2 2 2 2 2 3 4" xfId="18598" xr:uid="{00000000-0005-0000-0000-0000EA2D0000}"/>
    <cellStyle name="Normal 10 2 2 2 2 2 3 4 2" xfId="44151" xr:uid="{00000000-0005-0000-0000-0000EB2D0000}"/>
    <cellStyle name="Normal 10 2 2 2 2 2 3 5" xfId="30088" xr:uid="{00000000-0005-0000-0000-0000EC2D0000}"/>
    <cellStyle name="Normal 10 2 2 2 2 2 4" xfId="2296" xr:uid="{00000000-0005-0000-0000-0000ED2D0000}"/>
    <cellStyle name="Normal 10 2 2 2 2 2 4 2" xfId="11661" xr:uid="{00000000-0005-0000-0000-0000EE2D0000}"/>
    <cellStyle name="Normal 10 2 2 2 2 2 4 2 2" xfId="37216" xr:uid="{00000000-0005-0000-0000-0000EF2D0000}"/>
    <cellStyle name="Normal 10 2 2 2 2 2 4 3" xfId="21665" xr:uid="{00000000-0005-0000-0000-0000F02D0000}"/>
    <cellStyle name="Normal 10 2 2 2 2 2 4 3 2" xfId="47218" xr:uid="{00000000-0005-0000-0000-0000F12D0000}"/>
    <cellStyle name="Normal 10 2 2 2 2 2 4 4" xfId="28148" xr:uid="{00000000-0005-0000-0000-0000F22D0000}"/>
    <cellStyle name="Normal 10 2 2 2 2 2 5" xfId="5972" xr:uid="{00000000-0005-0000-0000-0000F32D0000}"/>
    <cellStyle name="Normal 10 2 2 2 2 2 5 2" xfId="14799" xr:uid="{00000000-0005-0000-0000-0000F42D0000}"/>
    <cellStyle name="Normal 10 2 2 2 2 2 5 2 2" xfId="40354" xr:uid="{00000000-0005-0000-0000-0000F52D0000}"/>
    <cellStyle name="Normal 10 2 2 2 2 2 5 3" xfId="25050" xr:uid="{00000000-0005-0000-0000-0000F62D0000}"/>
    <cellStyle name="Normal 10 2 2 2 2 2 5 3 2" xfId="50603" xr:uid="{00000000-0005-0000-0000-0000F72D0000}"/>
    <cellStyle name="Normal 10 2 2 2 2 2 5 4" xfId="31533" xr:uid="{00000000-0005-0000-0000-0000F82D0000}"/>
    <cellStyle name="Normal 10 2 2 2 2 2 6" xfId="7416" xr:uid="{00000000-0005-0000-0000-0000F92D0000}"/>
    <cellStyle name="Normal 10 2 2 2 2 2 6 2" xfId="20147" xr:uid="{00000000-0005-0000-0000-0000FA2D0000}"/>
    <cellStyle name="Normal 10 2 2 2 2 2 6 2 2" xfId="45700" xr:uid="{00000000-0005-0000-0000-0000FB2D0000}"/>
    <cellStyle name="Normal 10 2 2 2 2 2 6 3" xfId="32973" xr:uid="{00000000-0005-0000-0000-0000FC2D0000}"/>
    <cellStyle name="Normal 10 2 2 2 2 2 7" xfId="16658" xr:uid="{00000000-0005-0000-0000-0000FD2D0000}"/>
    <cellStyle name="Normal 10 2 2 2 2 2 7 2" xfId="42211" xr:uid="{00000000-0005-0000-0000-0000FE2D0000}"/>
    <cellStyle name="Normal 10 2 2 2 2 2 8" xfId="26630" xr:uid="{00000000-0005-0000-0000-0000FF2D0000}"/>
    <cellStyle name="Normal 10 2 2 2 2 3" xfId="1304" xr:uid="{00000000-0005-0000-0000-0000002E0000}"/>
    <cellStyle name="Normal 10 2 2 2 2 3 2" xfId="3733" xr:uid="{00000000-0005-0000-0000-0000012E0000}"/>
    <cellStyle name="Normal 10 2 2 2 2 3 2 2" xfId="12869" xr:uid="{00000000-0005-0000-0000-0000022E0000}"/>
    <cellStyle name="Normal 10 2 2 2 2 3 2 2 2" xfId="23088" xr:uid="{00000000-0005-0000-0000-0000032E0000}"/>
    <cellStyle name="Normal 10 2 2 2 2 3 2 2 2 2" xfId="48641" xr:uid="{00000000-0005-0000-0000-0000042E0000}"/>
    <cellStyle name="Normal 10 2 2 2 2 3 2 2 3" xfId="38424" xr:uid="{00000000-0005-0000-0000-0000052E0000}"/>
    <cellStyle name="Normal 10 2 2 2 2 3 2 3" xfId="9290" xr:uid="{00000000-0005-0000-0000-0000062E0000}"/>
    <cellStyle name="Normal 10 2 2 2 2 3 2 3 2" xfId="34847" xr:uid="{00000000-0005-0000-0000-0000072E0000}"/>
    <cellStyle name="Normal 10 2 2 2 2 3 2 4" xfId="18081" xr:uid="{00000000-0005-0000-0000-0000082E0000}"/>
    <cellStyle name="Normal 10 2 2 2 2 3 2 4 2" xfId="43634" xr:uid="{00000000-0005-0000-0000-0000092E0000}"/>
    <cellStyle name="Normal 10 2 2 2 2 3 2 5" xfId="29571" xr:uid="{00000000-0005-0000-0000-00000A2E0000}"/>
    <cellStyle name="Normal 10 2 2 2 2 3 3" xfId="4865" xr:uid="{00000000-0005-0000-0000-00000B2E0000}"/>
    <cellStyle name="Normal 10 2 2 2 2 3 3 2" xfId="13702" xr:uid="{00000000-0005-0000-0000-00000C2E0000}"/>
    <cellStyle name="Normal 10 2 2 2 2 3 3 2 2" xfId="23953" xr:uid="{00000000-0005-0000-0000-00000D2E0000}"/>
    <cellStyle name="Normal 10 2 2 2 2 3 3 2 2 2" xfId="49506" xr:uid="{00000000-0005-0000-0000-00000E2E0000}"/>
    <cellStyle name="Normal 10 2 2 2 2 3 3 2 3" xfId="39257" xr:uid="{00000000-0005-0000-0000-00000F2E0000}"/>
    <cellStyle name="Normal 10 2 2 2 2 3 3 3" xfId="10123" xr:uid="{00000000-0005-0000-0000-0000102E0000}"/>
    <cellStyle name="Normal 10 2 2 2 2 3 3 3 2" xfId="35680" xr:uid="{00000000-0005-0000-0000-0000112E0000}"/>
    <cellStyle name="Normal 10 2 2 2 2 3 3 4" xfId="18946" xr:uid="{00000000-0005-0000-0000-0000122E0000}"/>
    <cellStyle name="Normal 10 2 2 2 2 3 3 4 2" xfId="44499" xr:uid="{00000000-0005-0000-0000-0000132E0000}"/>
    <cellStyle name="Normal 10 2 2 2 2 3 3 5" xfId="30436" xr:uid="{00000000-0005-0000-0000-0000142E0000}"/>
    <cellStyle name="Normal 10 2 2 2 2 3 4" xfId="2127" xr:uid="{00000000-0005-0000-0000-0000152E0000}"/>
    <cellStyle name="Normal 10 2 2 2 2 3 4 2" xfId="11492" xr:uid="{00000000-0005-0000-0000-0000162E0000}"/>
    <cellStyle name="Normal 10 2 2 2 2 3 4 2 2" xfId="37047" xr:uid="{00000000-0005-0000-0000-0000172E0000}"/>
    <cellStyle name="Normal 10 2 2 2 2 3 4 3" xfId="21496" xr:uid="{00000000-0005-0000-0000-0000182E0000}"/>
    <cellStyle name="Normal 10 2 2 2 2 3 4 3 2" xfId="47049" xr:uid="{00000000-0005-0000-0000-0000192E0000}"/>
    <cellStyle name="Normal 10 2 2 2 2 3 4 4" xfId="27979" xr:uid="{00000000-0005-0000-0000-00001A2E0000}"/>
    <cellStyle name="Normal 10 2 2 2 2 3 5" xfId="6320" xr:uid="{00000000-0005-0000-0000-00001B2E0000}"/>
    <cellStyle name="Normal 10 2 2 2 2 3 5 2" xfId="15147" xr:uid="{00000000-0005-0000-0000-00001C2E0000}"/>
    <cellStyle name="Normal 10 2 2 2 2 3 5 2 2" xfId="40702" xr:uid="{00000000-0005-0000-0000-00001D2E0000}"/>
    <cellStyle name="Normal 10 2 2 2 2 3 5 3" xfId="25398" xr:uid="{00000000-0005-0000-0000-00001E2E0000}"/>
    <cellStyle name="Normal 10 2 2 2 2 3 5 3 2" xfId="50951" xr:uid="{00000000-0005-0000-0000-00001F2E0000}"/>
    <cellStyle name="Normal 10 2 2 2 2 3 5 4" xfId="31881" xr:uid="{00000000-0005-0000-0000-0000202E0000}"/>
    <cellStyle name="Normal 10 2 2 2 2 3 6" xfId="7766" xr:uid="{00000000-0005-0000-0000-0000212E0000}"/>
    <cellStyle name="Normal 10 2 2 2 2 3 6 2" xfId="20687" xr:uid="{00000000-0005-0000-0000-0000222E0000}"/>
    <cellStyle name="Normal 10 2 2 2 2 3 6 2 2" xfId="46240" xr:uid="{00000000-0005-0000-0000-0000232E0000}"/>
    <cellStyle name="Normal 10 2 2 2 2 3 6 3" xfId="33323" xr:uid="{00000000-0005-0000-0000-0000242E0000}"/>
    <cellStyle name="Normal 10 2 2 2 2 3 7" xfId="16489" xr:uid="{00000000-0005-0000-0000-0000252E0000}"/>
    <cellStyle name="Normal 10 2 2 2 2 3 7 2" xfId="42042" xr:uid="{00000000-0005-0000-0000-0000262E0000}"/>
    <cellStyle name="Normal 10 2 2 2 2 3 8" xfId="27170" xr:uid="{00000000-0005-0000-0000-0000272E0000}"/>
    <cellStyle name="Normal 10 2 2 2 2 4" xfId="3018" xr:uid="{00000000-0005-0000-0000-0000282E0000}"/>
    <cellStyle name="Normal 10 2 2 2 2 4 2" xfId="5396" xr:uid="{00000000-0005-0000-0000-0000292E0000}"/>
    <cellStyle name="Normal 10 2 2 2 2 4 2 2" xfId="14233" xr:uid="{00000000-0005-0000-0000-00002A2E0000}"/>
    <cellStyle name="Normal 10 2 2 2 2 4 2 2 2" xfId="24484" xr:uid="{00000000-0005-0000-0000-00002B2E0000}"/>
    <cellStyle name="Normal 10 2 2 2 2 4 2 2 2 2" xfId="50037" xr:uid="{00000000-0005-0000-0000-00002C2E0000}"/>
    <cellStyle name="Normal 10 2 2 2 2 4 2 2 3" xfId="39788" xr:uid="{00000000-0005-0000-0000-00002D2E0000}"/>
    <cellStyle name="Normal 10 2 2 2 2 4 2 3" xfId="10654" xr:uid="{00000000-0005-0000-0000-00002E2E0000}"/>
    <cellStyle name="Normal 10 2 2 2 2 4 2 3 2" xfId="36211" xr:uid="{00000000-0005-0000-0000-00002F2E0000}"/>
    <cellStyle name="Normal 10 2 2 2 2 4 2 4" xfId="19477" xr:uid="{00000000-0005-0000-0000-0000302E0000}"/>
    <cellStyle name="Normal 10 2 2 2 2 4 2 4 2" xfId="45030" xr:uid="{00000000-0005-0000-0000-0000312E0000}"/>
    <cellStyle name="Normal 10 2 2 2 2 4 2 5" xfId="30967" xr:uid="{00000000-0005-0000-0000-0000322E0000}"/>
    <cellStyle name="Normal 10 2 2 2 2 4 3" xfId="6851" xr:uid="{00000000-0005-0000-0000-0000332E0000}"/>
    <cellStyle name="Normal 10 2 2 2 2 4 3 2" xfId="15678" xr:uid="{00000000-0005-0000-0000-0000342E0000}"/>
    <cellStyle name="Normal 10 2 2 2 2 4 3 2 2" xfId="41233" xr:uid="{00000000-0005-0000-0000-0000352E0000}"/>
    <cellStyle name="Normal 10 2 2 2 2 4 3 3" xfId="25929" xr:uid="{00000000-0005-0000-0000-0000362E0000}"/>
    <cellStyle name="Normal 10 2 2 2 2 4 3 3 2" xfId="51482" xr:uid="{00000000-0005-0000-0000-0000372E0000}"/>
    <cellStyle name="Normal 10 2 2 2 2 4 3 4" xfId="32412" xr:uid="{00000000-0005-0000-0000-0000382E0000}"/>
    <cellStyle name="Normal 10 2 2 2 2 4 4" xfId="8297" xr:uid="{00000000-0005-0000-0000-0000392E0000}"/>
    <cellStyle name="Normal 10 2 2 2 2 4 4 2" xfId="22379" xr:uid="{00000000-0005-0000-0000-00003A2E0000}"/>
    <cellStyle name="Normal 10 2 2 2 2 4 4 2 2" xfId="47932" xr:uid="{00000000-0005-0000-0000-00003B2E0000}"/>
    <cellStyle name="Normal 10 2 2 2 2 4 4 3" xfId="33854" xr:uid="{00000000-0005-0000-0000-00003C2E0000}"/>
    <cellStyle name="Normal 10 2 2 2 2 4 5" xfId="17372" xr:uid="{00000000-0005-0000-0000-00003D2E0000}"/>
    <cellStyle name="Normal 10 2 2 2 2 4 5 2" xfId="42925" xr:uid="{00000000-0005-0000-0000-00003E2E0000}"/>
    <cellStyle name="Normal 10 2 2 2 2 4 6" xfId="28862" xr:uid="{00000000-0005-0000-0000-00003F2E0000}"/>
    <cellStyle name="Normal 10 2 2 2 2 5" xfId="4352" xr:uid="{00000000-0005-0000-0000-0000402E0000}"/>
    <cellStyle name="Normal 10 2 2 2 2 5 2" xfId="13190" xr:uid="{00000000-0005-0000-0000-0000412E0000}"/>
    <cellStyle name="Normal 10 2 2 2 2 5 2 2" xfId="23441" xr:uid="{00000000-0005-0000-0000-0000422E0000}"/>
    <cellStyle name="Normal 10 2 2 2 2 5 2 2 2" xfId="48994" xr:uid="{00000000-0005-0000-0000-0000432E0000}"/>
    <cellStyle name="Normal 10 2 2 2 2 5 2 3" xfId="38745" xr:uid="{00000000-0005-0000-0000-0000442E0000}"/>
    <cellStyle name="Normal 10 2 2 2 2 5 3" xfId="9611" xr:uid="{00000000-0005-0000-0000-0000452E0000}"/>
    <cellStyle name="Normal 10 2 2 2 2 5 3 2" xfId="35168" xr:uid="{00000000-0005-0000-0000-0000462E0000}"/>
    <cellStyle name="Normal 10 2 2 2 2 5 4" xfId="18434" xr:uid="{00000000-0005-0000-0000-0000472E0000}"/>
    <cellStyle name="Normal 10 2 2 2 2 5 4 2" xfId="43987" xr:uid="{00000000-0005-0000-0000-0000482E0000}"/>
    <cellStyle name="Normal 10 2 2 2 2 5 5" xfId="29924" xr:uid="{00000000-0005-0000-0000-0000492E0000}"/>
    <cellStyle name="Normal 10 2 2 2 2 6" xfId="1624" xr:uid="{00000000-0005-0000-0000-00004A2E0000}"/>
    <cellStyle name="Normal 10 2 2 2 2 6 2" xfId="11001" xr:uid="{00000000-0005-0000-0000-00004B2E0000}"/>
    <cellStyle name="Normal 10 2 2 2 2 6 2 2" xfId="36556" xr:uid="{00000000-0005-0000-0000-00004C2E0000}"/>
    <cellStyle name="Normal 10 2 2 2 2 6 3" xfId="21005" xr:uid="{00000000-0005-0000-0000-00004D2E0000}"/>
    <cellStyle name="Normal 10 2 2 2 2 6 3 2" xfId="46558" xr:uid="{00000000-0005-0000-0000-00004E2E0000}"/>
    <cellStyle name="Normal 10 2 2 2 2 6 4" xfId="27488" xr:uid="{00000000-0005-0000-0000-00004F2E0000}"/>
    <cellStyle name="Normal 10 2 2 2 2 7" xfId="5808" xr:uid="{00000000-0005-0000-0000-0000502E0000}"/>
    <cellStyle name="Normal 10 2 2 2 2 7 2" xfId="14635" xr:uid="{00000000-0005-0000-0000-0000512E0000}"/>
    <cellStyle name="Normal 10 2 2 2 2 7 2 2" xfId="40190" xr:uid="{00000000-0005-0000-0000-0000522E0000}"/>
    <cellStyle name="Normal 10 2 2 2 2 7 3" xfId="24886" xr:uid="{00000000-0005-0000-0000-0000532E0000}"/>
    <cellStyle name="Normal 10 2 2 2 2 7 3 2" xfId="50439" xr:uid="{00000000-0005-0000-0000-0000542E0000}"/>
    <cellStyle name="Normal 10 2 2 2 2 7 4" xfId="31369" xr:uid="{00000000-0005-0000-0000-0000552E0000}"/>
    <cellStyle name="Normal 10 2 2 2 2 8" xfId="7252" xr:uid="{00000000-0005-0000-0000-0000562E0000}"/>
    <cellStyle name="Normal 10 2 2 2 2 8 2" xfId="19978" xr:uid="{00000000-0005-0000-0000-0000572E0000}"/>
    <cellStyle name="Normal 10 2 2 2 2 8 2 2" xfId="45531" xr:uid="{00000000-0005-0000-0000-0000582E0000}"/>
    <cellStyle name="Normal 10 2 2 2 2 8 3" xfId="32809" xr:uid="{00000000-0005-0000-0000-0000592E0000}"/>
    <cellStyle name="Normal 10 2 2 2 2 9" xfId="15998" xr:uid="{00000000-0005-0000-0000-00005A2E0000}"/>
    <cellStyle name="Normal 10 2 2 2 2 9 2" xfId="41551" xr:uid="{00000000-0005-0000-0000-00005B2E0000}"/>
    <cellStyle name="Normal 10 2 2 2 2_Degree data" xfId="3898" xr:uid="{00000000-0005-0000-0000-00005C2E0000}"/>
    <cellStyle name="Normal 10 2 2 2 3" xfId="432" xr:uid="{00000000-0005-0000-0000-00005D2E0000}"/>
    <cellStyle name="Normal 10 2 2 2 3 2" xfId="2918" xr:uid="{00000000-0005-0000-0000-00005E2E0000}"/>
    <cellStyle name="Normal 10 2 2 2 3 2 2" xfId="12206" xr:uid="{00000000-0005-0000-0000-00005F2E0000}"/>
    <cellStyle name="Normal 10 2 2 2 3 2 2 2" xfId="22279" xr:uid="{00000000-0005-0000-0000-0000602E0000}"/>
    <cellStyle name="Normal 10 2 2 2 3 2 2 2 2" xfId="47832" xr:uid="{00000000-0005-0000-0000-0000612E0000}"/>
    <cellStyle name="Normal 10 2 2 2 3 2 2 3" xfId="37761" xr:uid="{00000000-0005-0000-0000-0000622E0000}"/>
    <cellStyle name="Normal 10 2 2 2 3 2 3" xfId="8444" xr:uid="{00000000-0005-0000-0000-0000632E0000}"/>
    <cellStyle name="Normal 10 2 2 2 3 2 3 2" xfId="34001" xr:uid="{00000000-0005-0000-0000-0000642E0000}"/>
    <cellStyle name="Normal 10 2 2 2 3 2 4" xfId="17272" xr:uid="{00000000-0005-0000-0000-0000652E0000}"/>
    <cellStyle name="Normal 10 2 2 2 3 2 4 2" xfId="42825" xr:uid="{00000000-0005-0000-0000-0000662E0000}"/>
    <cellStyle name="Normal 10 2 2 2 3 2 5" xfId="28762" xr:uid="{00000000-0005-0000-0000-0000672E0000}"/>
    <cellStyle name="Normal 10 2 2 2 3 3" xfId="4515" xr:uid="{00000000-0005-0000-0000-0000682E0000}"/>
    <cellStyle name="Normal 10 2 2 2 3 3 2" xfId="13353" xr:uid="{00000000-0005-0000-0000-0000692E0000}"/>
    <cellStyle name="Normal 10 2 2 2 3 3 2 2" xfId="23604" xr:uid="{00000000-0005-0000-0000-00006A2E0000}"/>
    <cellStyle name="Normal 10 2 2 2 3 3 2 2 2" xfId="49157" xr:uid="{00000000-0005-0000-0000-00006B2E0000}"/>
    <cellStyle name="Normal 10 2 2 2 3 3 2 3" xfId="38908" xr:uid="{00000000-0005-0000-0000-00006C2E0000}"/>
    <cellStyle name="Normal 10 2 2 2 3 3 3" xfId="9774" xr:uid="{00000000-0005-0000-0000-00006D2E0000}"/>
    <cellStyle name="Normal 10 2 2 2 3 3 3 2" xfId="35331" xr:uid="{00000000-0005-0000-0000-00006E2E0000}"/>
    <cellStyle name="Normal 10 2 2 2 3 3 4" xfId="18597" xr:uid="{00000000-0005-0000-0000-00006F2E0000}"/>
    <cellStyle name="Normal 10 2 2 2 3 3 4 2" xfId="44150" xr:uid="{00000000-0005-0000-0000-0000702E0000}"/>
    <cellStyle name="Normal 10 2 2 2 3 3 5" xfId="30087" xr:uid="{00000000-0005-0000-0000-0000712E0000}"/>
    <cellStyle name="Normal 10 2 2 2 3 4" xfId="2027" xr:uid="{00000000-0005-0000-0000-0000722E0000}"/>
    <cellStyle name="Normal 10 2 2 2 3 4 2" xfId="11392" xr:uid="{00000000-0005-0000-0000-0000732E0000}"/>
    <cellStyle name="Normal 10 2 2 2 3 4 2 2" xfId="36947" xr:uid="{00000000-0005-0000-0000-0000742E0000}"/>
    <cellStyle name="Normal 10 2 2 2 3 4 3" xfId="21396" xr:uid="{00000000-0005-0000-0000-0000752E0000}"/>
    <cellStyle name="Normal 10 2 2 2 3 4 3 2" xfId="46949" xr:uid="{00000000-0005-0000-0000-0000762E0000}"/>
    <cellStyle name="Normal 10 2 2 2 3 4 4" xfId="27879" xr:uid="{00000000-0005-0000-0000-0000772E0000}"/>
    <cellStyle name="Normal 10 2 2 2 3 5" xfId="5971" xr:uid="{00000000-0005-0000-0000-0000782E0000}"/>
    <cellStyle name="Normal 10 2 2 2 3 5 2" xfId="14798" xr:uid="{00000000-0005-0000-0000-0000792E0000}"/>
    <cellStyle name="Normal 10 2 2 2 3 5 2 2" xfId="40353" xr:uid="{00000000-0005-0000-0000-00007A2E0000}"/>
    <cellStyle name="Normal 10 2 2 2 3 5 3" xfId="25049" xr:uid="{00000000-0005-0000-0000-00007B2E0000}"/>
    <cellStyle name="Normal 10 2 2 2 3 5 3 2" xfId="50602" xr:uid="{00000000-0005-0000-0000-00007C2E0000}"/>
    <cellStyle name="Normal 10 2 2 2 3 5 4" xfId="31532" xr:uid="{00000000-0005-0000-0000-00007D2E0000}"/>
    <cellStyle name="Normal 10 2 2 2 3 6" xfId="7415" xr:uid="{00000000-0005-0000-0000-00007E2E0000}"/>
    <cellStyle name="Normal 10 2 2 2 3 6 2" xfId="19878" xr:uid="{00000000-0005-0000-0000-00007F2E0000}"/>
    <cellStyle name="Normal 10 2 2 2 3 6 2 2" xfId="45431" xr:uid="{00000000-0005-0000-0000-0000802E0000}"/>
    <cellStyle name="Normal 10 2 2 2 3 6 3" xfId="32972" xr:uid="{00000000-0005-0000-0000-0000812E0000}"/>
    <cellStyle name="Normal 10 2 2 2 3 7" xfId="16389" xr:uid="{00000000-0005-0000-0000-0000822E0000}"/>
    <cellStyle name="Normal 10 2 2 2 3 7 2" xfId="41942" xr:uid="{00000000-0005-0000-0000-0000832E0000}"/>
    <cellStyle name="Normal 10 2 2 2 3 8" xfId="26361" xr:uid="{00000000-0005-0000-0000-0000842E0000}"/>
    <cellStyle name="Normal 10 2 2 2 4" xfId="700" xr:uid="{00000000-0005-0000-0000-0000852E0000}"/>
    <cellStyle name="Normal 10 2 2 2 4 2" xfId="3186" xr:uid="{00000000-0005-0000-0000-0000862E0000}"/>
    <cellStyle name="Normal 10 2 2 2 4 2 2" xfId="12329" xr:uid="{00000000-0005-0000-0000-0000872E0000}"/>
    <cellStyle name="Normal 10 2 2 2 4 2 2 2" xfId="22547" xr:uid="{00000000-0005-0000-0000-0000882E0000}"/>
    <cellStyle name="Normal 10 2 2 2 4 2 2 2 2" xfId="48100" xr:uid="{00000000-0005-0000-0000-0000892E0000}"/>
    <cellStyle name="Normal 10 2 2 2 4 2 2 3" xfId="37884" xr:uid="{00000000-0005-0000-0000-00008A2E0000}"/>
    <cellStyle name="Normal 10 2 2 2 4 2 3" xfId="8751" xr:uid="{00000000-0005-0000-0000-00008B2E0000}"/>
    <cellStyle name="Normal 10 2 2 2 4 2 3 2" xfId="34308" xr:uid="{00000000-0005-0000-0000-00008C2E0000}"/>
    <cellStyle name="Normal 10 2 2 2 4 2 4" xfId="17540" xr:uid="{00000000-0005-0000-0000-00008D2E0000}"/>
    <cellStyle name="Normal 10 2 2 2 4 2 4 2" xfId="43093" xr:uid="{00000000-0005-0000-0000-00008E2E0000}"/>
    <cellStyle name="Normal 10 2 2 2 4 2 5" xfId="29030" xr:uid="{00000000-0005-0000-0000-00008F2E0000}"/>
    <cellStyle name="Normal 10 2 2 2 4 3" xfId="4864" xr:uid="{00000000-0005-0000-0000-0000902E0000}"/>
    <cellStyle name="Normal 10 2 2 2 4 3 2" xfId="13701" xr:uid="{00000000-0005-0000-0000-0000912E0000}"/>
    <cellStyle name="Normal 10 2 2 2 4 3 2 2" xfId="23952" xr:uid="{00000000-0005-0000-0000-0000922E0000}"/>
    <cellStyle name="Normal 10 2 2 2 4 3 2 2 2" xfId="49505" xr:uid="{00000000-0005-0000-0000-0000932E0000}"/>
    <cellStyle name="Normal 10 2 2 2 4 3 2 3" xfId="39256" xr:uid="{00000000-0005-0000-0000-0000942E0000}"/>
    <cellStyle name="Normal 10 2 2 2 4 3 3" xfId="10122" xr:uid="{00000000-0005-0000-0000-0000952E0000}"/>
    <cellStyle name="Normal 10 2 2 2 4 3 3 2" xfId="35679" xr:uid="{00000000-0005-0000-0000-0000962E0000}"/>
    <cellStyle name="Normal 10 2 2 2 4 3 4" xfId="18945" xr:uid="{00000000-0005-0000-0000-0000972E0000}"/>
    <cellStyle name="Normal 10 2 2 2 4 3 4 2" xfId="44498" xr:uid="{00000000-0005-0000-0000-0000982E0000}"/>
    <cellStyle name="Normal 10 2 2 2 4 3 5" xfId="30435" xr:uid="{00000000-0005-0000-0000-0000992E0000}"/>
    <cellStyle name="Normal 10 2 2 2 4 4" xfId="2295" xr:uid="{00000000-0005-0000-0000-00009A2E0000}"/>
    <cellStyle name="Normal 10 2 2 2 4 4 2" xfId="11660" xr:uid="{00000000-0005-0000-0000-00009B2E0000}"/>
    <cellStyle name="Normal 10 2 2 2 4 4 2 2" xfId="37215" xr:uid="{00000000-0005-0000-0000-00009C2E0000}"/>
    <cellStyle name="Normal 10 2 2 2 4 4 3" xfId="21664" xr:uid="{00000000-0005-0000-0000-00009D2E0000}"/>
    <cellStyle name="Normal 10 2 2 2 4 4 3 2" xfId="47217" xr:uid="{00000000-0005-0000-0000-00009E2E0000}"/>
    <cellStyle name="Normal 10 2 2 2 4 4 4" xfId="28147" xr:uid="{00000000-0005-0000-0000-00009F2E0000}"/>
    <cellStyle name="Normal 10 2 2 2 4 5" xfId="6319" xr:uid="{00000000-0005-0000-0000-0000A02E0000}"/>
    <cellStyle name="Normal 10 2 2 2 4 5 2" xfId="15146" xr:uid="{00000000-0005-0000-0000-0000A12E0000}"/>
    <cellStyle name="Normal 10 2 2 2 4 5 2 2" xfId="40701" xr:uid="{00000000-0005-0000-0000-0000A22E0000}"/>
    <cellStyle name="Normal 10 2 2 2 4 5 3" xfId="25397" xr:uid="{00000000-0005-0000-0000-0000A32E0000}"/>
    <cellStyle name="Normal 10 2 2 2 4 5 3 2" xfId="50950" xr:uid="{00000000-0005-0000-0000-0000A42E0000}"/>
    <cellStyle name="Normal 10 2 2 2 4 5 4" xfId="31880" xr:uid="{00000000-0005-0000-0000-0000A52E0000}"/>
    <cellStyle name="Normal 10 2 2 2 4 6" xfId="7765" xr:uid="{00000000-0005-0000-0000-0000A62E0000}"/>
    <cellStyle name="Normal 10 2 2 2 4 6 2" xfId="20146" xr:uid="{00000000-0005-0000-0000-0000A72E0000}"/>
    <cellStyle name="Normal 10 2 2 2 4 6 2 2" xfId="45699" xr:uid="{00000000-0005-0000-0000-0000A82E0000}"/>
    <cellStyle name="Normal 10 2 2 2 4 6 3" xfId="33322" xr:uid="{00000000-0005-0000-0000-0000A92E0000}"/>
    <cellStyle name="Normal 10 2 2 2 4 7" xfId="16657" xr:uid="{00000000-0005-0000-0000-0000AA2E0000}"/>
    <cellStyle name="Normal 10 2 2 2 4 7 2" xfId="42210" xr:uid="{00000000-0005-0000-0000-0000AB2E0000}"/>
    <cellStyle name="Normal 10 2 2 2 4 8" xfId="26629" xr:uid="{00000000-0005-0000-0000-0000AC2E0000}"/>
    <cellStyle name="Normal 10 2 2 2 5" xfId="1204" xr:uid="{00000000-0005-0000-0000-0000AD2E0000}"/>
    <cellStyle name="Normal 10 2 2 2 5 2" xfId="3633" xr:uid="{00000000-0005-0000-0000-0000AE2E0000}"/>
    <cellStyle name="Normal 10 2 2 2 5 2 2" xfId="12769" xr:uid="{00000000-0005-0000-0000-0000AF2E0000}"/>
    <cellStyle name="Normal 10 2 2 2 5 2 2 2" xfId="22988" xr:uid="{00000000-0005-0000-0000-0000B02E0000}"/>
    <cellStyle name="Normal 10 2 2 2 5 2 2 2 2" xfId="48541" xr:uid="{00000000-0005-0000-0000-0000B12E0000}"/>
    <cellStyle name="Normal 10 2 2 2 5 2 2 3" xfId="38324" xr:uid="{00000000-0005-0000-0000-0000B22E0000}"/>
    <cellStyle name="Normal 10 2 2 2 5 2 3" xfId="9190" xr:uid="{00000000-0005-0000-0000-0000B32E0000}"/>
    <cellStyle name="Normal 10 2 2 2 5 2 3 2" xfId="34747" xr:uid="{00000000-0005-0000-0000-0000B42E0000}"/>
    <cellStyle name="Normal 10 2 2 2 5 2 4" xfId="17981" xr:uid="{00000000-0005-0000-0000-0000B52E0000}"/>
    <cellStyle name="Normal 10 2 2 2 5 2 4 2" xfId="43534" xr:uid="{00000000-0005-0000-0000-0000B62E0000}"/>
    <cellStyle name="Normal 10 2 2 2 5 2 5" xfId="29471" xr:uid="{00000000-0005-0000-0000-0000B72E0000}"/>
    <cellStyle name="Normal 10 2 2 2 5 3" xfId="5296" xr:uid="{00000000-0005-0000-0000-0000B82E0000}"/>
    <cellStyle name="Normal 10 2 2 2 5 3 2" xfId="14133" xr:uid="{00000000-0005-0000-0000-0000B92E0000}"/>
    <cellStyle name="Normal 10 2 2 2 5 3 2 2" xfId="24384" xr:uid="{00000000-0005-0000-0000-0000BA2E0000}"/>
    <cellStyle name="Normal 10 2 2 2 5 3 2 2 2" xfId="49937" xr:uid="{00000000-0005-0000-0000-0000BB2E0000}"/>
    <cellStyle name="Normal 10 2 2 2 5 3 2 3" xfId="39688" xr:uid="{00000000-0005-0000-0000-0000BC2E0000}"/>
    <cellStyle name="Normal 10 2 2 2 5 3 3" xfId="10554" xr:uid="{00000000-0005-0000-0000-0000BD2E0000}"/>
    <cellStyle name="Normal 10 2 2 2 5 3 3 2" xfId="36111" xr:uid="{00000000-0005-0000-0000-0000BE2E0000}"/>
    <cellStyle name="Normal 10 2 2 2 5 3 4" xfId="19377" xr:uid="{00000000-0005-0000-0000-0000BF2E0000}"/>
    <cellStyle name="Normal 10 2 2 2 5 3 4 2" xfId="44930" xr:uid="{00000000-0005-0000-0000-0000C02E0000}"/>
    <cellStyle name="Normal 10 2 2 2 5 3 5" xfId="30867" xr:uid="{00000000-0005-0000-0000-0000C12E0000}"/>
    <cellStyle name="Normal 10 2 2 2 5 4" xfId="1807" xr:uid="{00000000-0005-0000-0000-0000C22E0000}"/>
    <cellStyle name="Normal 10 2 2 2 5 4 2" xfId="11175" xr:uid="{00000000-0005-0000-0000-0000C32E0000}"/>
    <cellStyle name="Normal 10 2 2 2 5 4 2 2" xfId="36730" xr:uid="{00000000-0005-0000-0000-0000C42E0000}"/>
    <cellStyle name="Normal 10 2 2 2 5 4 3" xfId="21179" xr:uid="{00000000-0005-0000-0000-0000C52E0000}"/>
    <cellStyle name="Normal 10 2 2 2 5 4 3 2" xfId="46732" xr:uid="{00000000-0005-0000-0000-0000C62E0000}"/>
    <cellStyle name="Normal 10 2 2 2 5 4 4" xfId="27662" xr:uid="{00000000-0005-0000-0000-0000C72E0000}"/>
    <cellStyle name="Normal 10 2 2 2 5 5" xfId="6751" xr:uid="{00000000-0005-0000-0000-0000C82E0000}"/>
    <cellStyle name="Normal 10 2 2 2 5 5 2" xfId="15578" xr:uid="{00000000-0005-0000-0000-0000C92E0000}"/>
    <cellStyle name="Normal 10 2 2 2 5 5 2 2" xfId="41133" xr:uid="{00000000-0005-0000-0000-0000CA2E0000}"/>
    <cellStyle name="Normal 10 2 2 2 5 5 3" xfId="25829" xr:uid="{00000000-0005-0000-0000-0000CB2E0000}"/>
    <cellStyle name="Normal 10 2 2 2 5 5 3 2" xfId="51382" xr:uid="{00000000-0005-0000-0000-0000CC2E0000}"/>
    <cellStyle name="Normal 10 2 2 2 5 5 4" xfId="32312" xr:uid="{00000000-0005-0000-0000-0000CD2E0000}"/>
    <cellStyle name="Normal 10 2 2 2 5 6" xfId="8197" xr:uid="{00000000-0005-0000-0000-0000CE2E0000}"/>
    <cellStyle name="Normal 10 2 2 2 5 6 2" xfId="20587" xr:uid="{00000000-0005-0000-0000-0000CF2E0000}"/>
    <cellStyle name="Normal 10 2 2 2 5 6 2 2" xfId="46140" xr:uid="{00000000-0005-0000-0000-0000D02E0000}"/>
    <cellStyle name="Normal 10 2 2 2 5 6 3" xfId="33754" xr:uid="{00000000-0005-0000-0000-0000D12E0000}"/>
    <cellStyle name="Normal 10 2 2 2 5 7" xfId="16172" xr:uid="{00000000-0005-0000-0000-0000D22E0000}"/>
    <cellStyle name="Normal 10 2 2 2 5 7 2" xfId="41725" xr:uid="{00000000-0005-0000-0000-0000D32E0000}"/>
    <cellStyle name="Normal 10 2 2 2 5 8" xfId="27070" xr:uid="{00000000-0005-0000-0000-0000D42E0000}"/>
    <cellStyle name="Normal 10 2 2 2 6" xfId="2701" xr:uid="{00000000-0005-0000-0000-0000D52E0000}"/>
    <cellStyle name="Normal 10 2 2 2 6 2" xfId="12018" xr:uid="{00000000-0005-0000-0000-0000D62E0000}"/>
    <cellStyle name="Normal 10 2 2 2 6 2 2" xfId="22062" xr:uid="{00000000-0005-0000-0000-0000D72E0000}"/>
    <cellStyle name="Normal 10 2 2 2 6 2 2 2" xfId="47615" xr:uid="{00000000-0005-0000-0000-0000D82E0000}"/>
    <cellStyle name="Normal 10 2 2 2 6 2 3" xfId="37573" xr:uid="{00000000-0005-0000-0000-0000D92E0000}"/>
    <cellStyle name="Normal 10 2 2 2 6 3" xfId="8408" xr:uid="{00000000-0005-0000-0000-0000DA2E0000}"/>
    <cellStyle name="Normal 10 2 2 2 6 3 2" xfId="33965" xr:uid="{00000000-0005-0000-0000-0000DB2E0000}"/>
    <cellStyle name="Normal 10 2 2 2 6 4" xfId="17055" xr:uid="{00000000-0005-0000-0000-0000DC2E0000}"/>
    <cellStyle name="Normal 10 2 2 2 6 4 2" xfId="42608" xr:uid="{00000000-0005-0000-0000-0000DD2E0000}"/>
    <cellStyle name="Normal 10 2 2 2 6 5" xfId="28545" xr:uid="{00000000-0005-0000-0000-0000DE2E0000}"/>
    <cellStyle name="Normal 10 2 2 2 7" xfId="4252" xr:uid="{00000000-0005-0000-0000-0000DF2E0000}"/>
    <cellStyle name="Normal 10 2 2 2 7 2" xfId="13090" xr:uid="{00000000-0005-0000-0000-0000E02E0000}"/>
    <cellStyle name="Normal 10 2 2 2 7 2 2" xfId="23341" xr:uid="{00000000-0005-0000-0000-0000E12E0000}"/>
    <cellStyle name="Normal 10 2 2 2 7 2 2 2" xfId="48894" xr:uid="{00000000-0005-0000-0000-0000E22E0000}"/>
    <cellStyle name="Normal 10 2 2 2 7 2 3" xfId="38645" xr:uid="{00000000-0005-0000-0000-0000E32E0000}"/>
    <cellStyle name="Normal 10 2 2 2 7 3" xfId="9511" xr:uid="{00000000-0005-0000-0000-0000E42E0000}"/>
    <cellStyle name="Normal 10 2 2 2 7 3 2" xfId="35068" xr:uid="{00000000-0005-0000-0000-0000E52E0000}"/>
    <cellStyle name="Normal 10 2 2 2 7 4" xfId="18334" xr:uid="{00000000-0005-0000-0000-0000E62E0000}"/>
    <cellStyle name="Normal 10 2 2 2 7 4 2" xfId="43887" xr:uid="{00000000-0005-0000-0000-0000E72E0000}"/>
    <cellStyle name="Normal 10 2 2 2 7 5" xfId="29824" xr:uid="{00000000-0005-0000-0000-0000E82E0000}"/>
    <cellStyle name="Normal 10 2 2 2 8" xfId="1524" xr:uid="{00000000-0005-0000-0000-0000E92E0000}"/>
    <cellStyle name="Normal 10 2 2 2 8 2" xfId="10901" xr:uid="{00000000-0005-0000-0000-0000EA2E0000}"/>
    <cellStyle name="Normal 10 2 2 2 8 2 2" xfId="36456" xr:uid="{00000000-0005-0000-0000-0000EB2E0000}"/>
    <cellStyle name="Normal 10 2 2 2 8 3" xfId="20905" xr:uid="{00000000-0005-0000-0000-0000EC2E0000}"/>
    <cellStyle name="Normal 10 2 2 2 8 3 2" xfId="46458" xr:uid="{00000000-0005-0000-0000-0000ED2E0000}"/>
    <cellStyle name="Normal 10 2 2 2 8 4" xfId="27388" xr:uid="{00000000-0005-0000-0000-0000EE2E0000}"/>
    <cellStyle name="Normal 10 2 2 2 9" xfId="5708" xr:uid="{00000000-0005-0000-0000-0000EF2E0000}"/>
    <cellStyle name="Normal 10 2 2 2 9 2" xfId="14535" xr:uid="{00000000-0005-0000-0000-0000F02E0000}"/>
    <cellStyle name="Normal 10 2 2 2 9 2 2" xfId="40090" xr:uid="{00000000-0005-0000-0000-0000F12E0000}"/>
    <cellStyle name="Normal 10 2 2 2 9 3" xfId="24786" xr:uid="{00000000-0005-0000-0000-0000F22E0000}"/>
    <cellStyle name="Normal 10 2 2 2 9 3 2" xfId="50339" xr:uid="{00000000-0005-0000-0000-0000F32E0000}"/>
    <cellStyle name="Normal 10 2 2 2 9 4" xfId="31269" xr:uid="{00000000-0005-0000-0000-0000F42E0000}"/>
    <cellStyle name="Normal 10 2 2 2_Degree data" xfId="3894" xr:uid="{00000000-0005-0000-0000-0000F52E0000}"/>
    <cellStyle name="Normal 10 2 2 3" xfId="271" xr:uid="{00000000-0005-0000-0000-0000F62E0000}"/>
    <cellStyle name="Normal 10 2 2 3 10" xfId="7109" xr:uid="{00000000-0005-0000-0000-0000F72E0000}"/>
    <cellStyle name="Normal 10 2 2 3 10 2" xfId="19722" xr:uid="{00000000-0005-0000-0000-0000F82E0000}"/>
    <cellStyle name="Normal 10 2 2 3 10 2 2" xfId="45275" xr:uid="{00000000-0005-0000-0000-0000F92E0000}"/>
    <cellStyle name="Normal 10 2 2 3 10 3" xfId="32666" xr:uid="{00000000-0005-0000-0000-0000FA2E0000}"/>
    <cellStyle name="Normal 10 2 2 3 11" xfId="15855" xr:uid="{00000000-0005-0000-0000-0000FB2E0000}"/>
    <cellStyle name="Normal 10 2 2 3 11 2" xfId="41408" xr:uid="{00000000-0005-0000-0000-0000FC2E0000}"/>
    <cellStyle name="Normal 10 2 2 3 12" xfId="26205" xr:uid="{00000000-0005-0000-0000-0000FD2E0000}"/>
    <cellStyle name="Normal 10 2 2 3 2" xfId="593" xr:uid="{00000000-0005-0000-0000-0000FE2E0000}"/>
    <cellStyle name="Normal 10 2 2 3 2 10" xfId="26522" xr:uid="{00000000-0005-0000-0000-0000FF2E0000}"/>
    <cellStyle name="Normal 10 2 2 3 2 2" xfId="703" xr:uid="{00000000-0005-0000-0000-0000002F0000}"/>
    <cellStyle name="Normal 10 2 2 3 2 2 2" xfId="3189" xr:uid="{00000000-0005-0000-0000-0000012F0000}"/>
    <cellStyle name="Normal 10 2 2 3 2 2 2 2" xfId="12332" xr:uid="{00000000-0005-0000-0000-0000022F0000}"/>
    <cellStyle name="Normal 10 2 2 3 2 2 2 2 2" xfId="22550" xr:uid="{00000000-0005-0000-0000-0000032F0000}"/>
    <cellStyle name="Normal 10 2 2 3 2 2 2 2 2 2" xfId="48103" xr:uid="{00000000-0005-0000-0000-0000042F0000}"/>
    <cellStyle name="Normal 10 2 2 3 2 2 2 2 3" xfId="37887" xr:uid="{00000000-0005-0000-0000-0000052F0000}"/>
    <cellStyle name="Normal 10 2 2 3 2 2 2 3" xfId="8754" xr:uid="{00000000-0005-0000-0000-0000062F0000}"/>
    <cellStyle name="Normal 10 2 2 3 2 2 2 3 2" xfId="34311" xr:uid="{00000000-0005-0000-0000-0000072F0000}"/>
    <cellStyle name="Normal 10 2 2 3 2 2 2 4" xfId="17543" xr:uid="{00000000-0005-0000-0000-0000082F0000}"/>
    <cellStyle name="Normal 10 2 2 3 2 2 2 4 2" xfId="43096" xr:uid="{00000000-0005-0000-0000-0000092F0000}"/>
    <cellStyle name="Normal 10 2 2 3 2 2 2 5" xfId="29033" xr:uid="{00000000-0005-0000-0000-00000A2F0000}"/>
    <cellStyle name="Normal 10 2 2 3 2 2 3" xfId="4518" xr:uid="{00000000-0005-0000-0000-00000B2F0000}"/>
    <cellStyle name="Normal 10 2 2 3 2 2 3 2" xfId="13356" xr:uid="{00000000-0005-0000-0000-00000C2F0000}"/>
    <cellStyle name="Normal 10 2 2 3 2 2 3 2 2" xfId="23607" xr:uid="{00000000-0005-0000-0000-00000D2F0000}"/>
    <cellStyle name="Normal 10 2 2 3 2 2 3 2 2 2" xfId="49160" xr:uid="{00000000-0005-0000-0000-00000E2F0000}"/>
    <cellStyle name="Normal 10 2 2 3 2 2 3 2 3" xfId="38911" xr:uid="{00000000-0005-0000-0000-00000F2F0000}"/>
    <cellStyle name="Normal 10 2 2 3 2 2 3 3" xfId="9777" xr:uid="{00000000-0005-0000-0000-0000102F0000}"/>
    <cellStyle name="Normal 10 2 2 3 2 2 3 3 2" xfId="35334" xr:uid="{00000000-0005-0000-0000-0000112F0000}"/>
    <cellStyle name="Normal 10 2 2 3 2 2 3 4" xfId="18600" xr:uid="{00000000-0005-0000-0000-0000122F0000}"/>
    <cellStyle name="Normal 10 2 2 3 2 2 3 4 2" xfId="44153" xr:uid="{00000000-0005-0000-0000-0000132F0000}"/>
    <cellStyle name="Normal 10 2 2 3 2 2 3 5" xfId="30090" xr:uid="{00000000-0005-0000-0000-0000142F0000}"/>
    <cellStyle name="Normal 10 2 2 3 2 2 4" xfId="2298" xr:uid="{00000000-0005-0000-0000-0000152F0000}"/>
    <cellStyle name="Normal 10 2 2 3 2 2 4 2" xfId="11663" xr:uid="{00000000-0005-0000-0000-0000162F0000}"/>
    <cellStyle name="Normal 10 2 2 3 2 2 4 2 2" xfId="37218" xr:uid="{00000000-0005-0000-0000-0000172F0000}"/>
    <cellStyle name="Normal 10 2 2 3 2 2 4 3" xfId="21667" xr:uid="{00000000-0005-0000-0000-0000182F0000}"/>
    <cellStyle name="Normal 10 2 2 3 2 2 4 3 2" xfId="47220" xr:uid="{00000000-0005-0000-0000-0000192F0000}"/>
    <cellStyle name="Normal 10 2 2 3 2 2 4 4" xfId="28150" xr:uid="{00000000-0005-0000-0000-00001A2F0000}"/>
    <cellStyle name="Normal 10 2 2 3 2 2 5" xfId="5974" xr:uid="{00000000-0005-0000-0000-00001B2F0000}"/>
    <cellStyle name="Normal 10 2 2 3 2 2 5 2" xfId="14801" xr:uid="{00000000-0005-0000-0000-00001C2F0000}"/>
    <cellStyle name="Normal 10 2 2 3 2 2 5 2 2" xfId="40356" xr:uid="{00000000-0005-0000-0000-00001D2F0000}"/>
    <cellStyle name="Normal 10 2 2 3 2 2 5 3" xfId="25052" xr:uid="{00000000-0005-0000-0000-00001E2F0000}"/>
    <cellStyle name="Normal 10 2 2 3 2 2 5 3 2" xfId="50605" xr:uid="{00000000-0005-0000-0000-00001F2F0000}"/>
    <cellStyle name="Normal 10 2 2 3 2 2 5 4" xfId="31535" xr:uid="{00000000-0005-0000-0000-0000202F0000}"/>
    <cellStyle name="Normal 10 2 2 3 2 2 6" xfId="7418" xr:uid="{00000000-0005-0000-0000-0000212F0000}"/>
    <cellStyle name="Normal 10 2 2 3 2 2 6 2" xfId="20149" xr:uid="{00000000-0005-0000-0000-0000222F0000}"/>
    <cellStyle name="Normal 10 2 2 3 2 2 6 2 2" xfId="45702" xr:uid="{00000000-0005-0000-0000-0000232F0000}"/>
    <cellStyle name="Normal 10 2 2 3 2 2 6 3" xfId="32975" xr:uid="{00000000-0005-0000-0000-0000242F0000}"/>
    <cellStyle name="Normal 10 2 2 3 2 2 7" xfId="16660" xr:uid="{00000000-0005-0000-0000-0000252F0000}"/>
    <cellStyle name="Normal 10 2 2 3 2 2 7 2" xfId="42213" xr:uid="{00000000-0005-0000-0000-0000262F0000}"/>
    <cellStyle name="Normal 10 2 2 3 2 2 8" xfId="26632" xr:uid="{00000000-0005-0000-0000-0000272F0000}"/>
    <cellStyle name="Normal 10 2 2 3 2 3" xfId="1365" xr:uid="{00000000-0005-0000-0000-0000282F0000}"/>
    <cellStyle name="Normal 10 2 2 3 2 3 2" xfId="3794" xr:uid="{00000000-0005-0000-0000-0000292F0000}"/>
    <cellStyle name="Normal 10 2 2 3 2 3 2 2" xfId="12930" xr:uid="{00000000-0005-0000-0000-00002A2F0000}"/>
    <cellStyle name="Normal 10 2 2 3 2 3 2 2 2" xfId="23149" xr:uid="{00000000-0005-0000-0000-00002B2F0000}"/>
    <cellStyle name="Normal 10 2 2 3 2 3 2 2 2 2" xfId="48702" xr:uid="{00000000-0005-0000-0000-00002C2F0000}"/>
    <cellStyle name="Normal 10 2 2 3 2 3 2 2 3" xfId="38485" xr:uid="{00000000-0005-0000-0000-00002D2F0000}"/>
    <cellStyle name="Normal 10 2 2 3 2 3 2 3" xfId="9351" xr:uid="{00000000-0005-0000-0000-00002E2F0000}"/>
    <cellStyle name="Normal 10 2 2 3 2 3 2 3 2" xfId="34908" xr:uid="{00000000-0005-0000-0000-00002F2F0000}"/>
    <cellStyle name="Normal 10 2 2 3 2 3 2 4" xfId="18142" xr:uid="{00000000-0005-0000-0000-0000302F0000}"/>
    <cellStyle name="Normal 10 2 2 3 2 3 2 4 2" xfId="43695" xr:uid="{00000000-0005-0000-0000-0000312F0000}"/>
    <cellStyle name="Normal 10 2 2 3 2 3 2 5" xfId="29632" xr:uid="{00000000-0005-0000-0000-0000322F0000}"/>
    <cellStyle name="Normal 10 2 2 3 2 3 3" xfId="4867" xr:uid="{00000000-0005-0000-0000-0000332F0000}"/>
    <cellStyle name="Normal 10 2 2 3 2 3 3 2" xfId="13704" xr:uid="{00000000-0005-0000-0000-0000342F0000}"/>
    <cellStyle name="Normal 10 2 2 3 2 3 3 2 2" xfId="23955" xr:uid="{00000000-0005-0000-0000-0000352F0000}"/>
    <cellStyle name="Normal 10 2 2 3 2 3 3 2 2 2" xfId="49508" xr:uid="{00000000-0005-0000-0000-0000362F0000}"/>
    <cellStyle name="Normal 10 2 2 3 2 3 3 2 3" xfId="39259" xr:uid="{00000000-0005-0000-0000-0000372F0000}"/>
    <cellStyle name="Normal 10 2 2 3 2 3 3 3" xfId="10125" xr:uid="{00000000-0005-0000-0000-0000382F0000}"/>
    <cellStyle name="Normal 10 2 2 3 2 3 3 3 2" xfId="35682" xr:uid="{00000000-0005-0000-0000-0000392F0000}"/>
    <cellStyle name="Normal 10 2 2 3 2 3 3 4" xfId="18948" xr:uid="{00000000-0005-0000-0000-00003A2F0000}"/>
    <cellStyle name="Normal 10 2 2 3 2 3 3 4 2" xfId="44501" xr:uid="{00000000-0005-0000-0000-00003B2F0000}"/>
    <cellStyle name="Normal 10 2 2 3 2 3 3 5" xfId="30438" xr:uid="{00000000-0005-0000-0000-00003C2F0000}"/>
    <cellStyle name="Normal 10 2 2 3 2 3 4" xfId="2188" xr:uid="{00000000-0005-0000-0000-00003D2F0000}"/>
    <cellStyle name="Normal 10 2 2 3 2 3 4 2" xfId="11553" xr:uid="{00000000-0005-0000-0000-00003E2F0000}"/>
    <cellStyle name="Normal 10 2 2 3 2 3 4 2 2" xfId="37108" xr:uid="{00000000-0005-0000-0000-00003F2F0000}"/>
    <cellStyle name="Normal 10 2 2 3 2 3 4 3" xfId="21557" xr:uid="{00000000-0005-0000-0000-0000402F0000}"/>
    <cellStyle name="Normal 10 2 2 3 2 3 4 3 2" xfId="47110" xr:uid="{00000000-0005-0000-0000-0000412F0000}"/>
    <cellStyle name="Normal 10 2 2 3 2 3 4 4" xfId="28040" xr:uid="{00000000-0005-0000-0000-0000422F0000}"/>
    <cellStyle name="Normal 10 2 2 3 2 3 5" xfId="6322" xr:uid="{00000000-0005-0000-0000-0000432F0000}"/>
    <cellStyle name="Normal 10 2 2 3 2 3 5 2" xfId="15149" xr:uid="{00000000-0005-0000-0000-0000442F0000}"/>
    <cellStyle name="Normal 10 2 2 3 2 3 5 2 2" xfId="40704" xr:uid="{00000000-0005-0000-0000-0000452F0000}"/>
    <cellStyle name="Normal 10 2 2 3 2 3 5 3" xfId="25400" xr:uid="{00000000-0005-0000-0000-0000462F0000}"/>
    <cellStyle name="Normal 10 2 2 3 2 3 5 3 2" xfId="50953" xr:uid="{00000000-0005-0000-0000-0000472F0000}"/>
    <cellStyle name="Normal 10 2 2 3 2 3 5 4" xfId="31883" xr:uid="{00000000-0005-0000-0000-0000482F0000}"/>
    <cellStyle name="Normal 10 2 2 3 2 3 6" xfId="7768" xr:uid="{00000000-0005-0000-0000-0000492F0000}"/>
    <cellStyle name="Normal 10 2 2 3 2 3 6 2" xfId="20748" xr:uid="{00000000-0005-0000-0000-00004A2F0000}"/>
    <cellStyle name="Normal 10 2 2 3 2 3 6 2 2" xfId="46301" xr:uid="{00000000-0005-0000-0000-00004B2F0000}"/>
    <cellStyle name="Normal 10 2 2 3 2 3 6 3" xfId="33325" xr:uid="{00000000-0005-0000-0000-00004C2F0000}"/>
    <cellStyle name="Normal 10 2 2 3 2 3 7" xfId="16550" xr:uid="{00000000-0005-0000-0000-00004D2F0000}"/>
    <cellStyle name="Normal 10 2 2 3 2 3 7 2" xfId="42103" xr:uid="{00000000-0005-0000-0000-00004E2F0000}"/>
    <cellStyle name="Normal 10 2 2 3 2 3 8" xfId="27231" xr:uid="{00000000-0005-0000-0000-00004F2F0000}"/>
    <cellStyle name="Normal 10 2 2 3 2 4" xfId="3079" xr:uid="{00000000-0005-0000-0000-0000502F0000}"/>
    <cellStyle name="Normal 10 2 2 3 2 4 2" xfId="5457" xr:uid="{00000000-0005-0000-0000-0000512F0000}"/>
    <cellStyle name="Normal 10 2 2 3 2 4 2 2" xfId="14294" xr:uid="{00000000-0005-0000-0000-0000522F0000}"/>
    <cellStyle name="Normal 10 2 2 3 2 4 2 2 2" xfId="24545" xr:uid="{00000000-0005-0000-0000-0000532F0000}"/>
    <cellStyle name="Normal 10 2 2 3 2 4 2 2 2 2" xfId="50098" xr:uid="{00000000-0005-0000-0000-0000542F0000}"/>
    <cellStyle name="Normal 10 2 2 3 2 4 2 2 3" xfId="39849" xr:uid="{00000000-0005-0000-0000-0000552F0000}"/>
    <cellStyle name="Normal 10 2 2 3 2 4 2 3" xfId="10715" xr:uid="{00000000-0005-0000-0000-0000562F0000}"/>
    <cellStyle name="Normal 10 2 2 3 2 4 2 3 2" xfId="36272" xr:uid="{00000000-0005-0000-0000-0000572F0000}"/>
    <cellStyle name="Normal 10 2 2 3 2 4 2 4" xfId="19538" xr:uid="{00000000-0005-0000-0000-0000582F0000}"/>
    <cellStyle name="Normal 10 2 2 3 2 4 2 4 2" xfId="45091" xr:uid="{00000000-0005-0000-0000-0000592F0000}"/>
    <cellStyle name="Normal 10 2 2 3 2 4 2 5" xfId="31028" xr:uid="{00000000-0005-0000-0000-00005A2F0000}"/>
    <cellStyle name="Normal 10 2 2 3 2 4 3" xfId="6912" xr:uid="{00000000-0005-0000-0000-00005B2F0000}"/>
    <cellStyle name="Normal 10 2 2 3 2 4 3 2" xfId="15739" xr:uid="{00000000-0005-0000-0000-00005C2F0000}"/>
    <cellStyle name="Normal 10 2 2 3 2 4 3 2 2" xfId="41294" xr:uid="{00000000-0005-0000-0000-00005D2F0000}"/>
    <cellStyle name="Normal 10 2 2 3 2 4 3 3" xfId="25990" xr:uid="{00000000-0005-0000-0000-00005E2F0000}"/>
    <cellStyle name="Normal 10 2 2 3 2 4 3 3 2" xfId="51543" xr:uid="{00000000-0005-0000-0000-00005F2F0000}"/>
    <cellStyle name="Normal 10 2 2 3 2 4 3 4" xfId="32473" xr:uid="{00000000-0005-0000-0000-0000602F0000}"/>
    <cellStyle name="Normal 10 2 2 3 2 4 4" xfId="8358" xr:uid="{00000000-0005-0000-0000-0000612F0000}"/>
    <cellStyle name="Normal 10 2 2 3 2 4 4 2" xfId="22440" xr:uid="{00000000-0005-0000-0000-0000622F0000}"/>
    <cellStyle name="Normal 10 2 2 3 2 4 4 2 2" xfId="47993" xr:uid="{00000000-0005-0000-0000-0000632F0000}"/>
    <cellStyle name="Normal 10 2 2 3 2 4 4 3" xfId="33915" xr:uid="{00000000-0005-0000-0000-0000642F0000}"/>
    <cellStyle name="Normal 10 2 2 3 2 4 5" xfId="17433" xr:uid="{00000000-0005-0000-0000-0000652F0000}"/>
    <cellStyle name="Normal 10 2 2 3 2 4 5 2" xfId="42986" xr:uid="{00000000-0005-0000-0000-0000662F0000}"/>
    <cellStyle name="Normal 10 2 2 3 2 4 6" xfId="28923" xr:uid="{00000000-0005-0000-0000-0000672F0000}"/>
    <cellStyle name="Normal 10 2 2 3 2 5" xfId="4413" xr:uid="{00000000-0005-0000-0000-0000682F0000}"/>
    <cellStyle name="Normal 10 2 2 3 2 5 2" xfId="13251" xr:uid="{00000000-0005-0000-0000-0000692F0000}"/>
    <cellStyle name="Normal 10 2 2 3 2 5 2 2" xfId="23502" xr:uid="{00000000-0005-0000-0000-00006A2F0000}"/>
    <cellStyle name="Normal 10 2 2 3 2 5 2 2 2" xfId="49055" xr:uid="{00000000-0005-0000-0000-00006B2F0000}"/>
    <cellStyle name="Normal 10 2 2 3 2 5 2 3" xfId="38806" xr:uid="{00000000-0005-0000-0000-00006C2F0000}"/>
    <cellStyle name="Normal 10 2 2 3 2 5 3" xfId="9672" xr:uid="{00000000-0005-0000-0000-00006D2F0000}"/>
    <cellStyle name="Normal 10 2 2 3 2 5 3 2" xfId="35229" xr:uid="{00000000-0005-0000-0000-00006E2F0000}"/>
    <cellStyle name="Normal 10 2 2 3 2 5 4" xfId="18495" xr:uid="{00000000-0005-0000-0000-00006F2F0000}"/>
    <cellStyle name="Normal 10 2 2 3 2 5 4 2" xfId="44048" xr:uid="{00000000-0005-0000-0000-0000702F0000}"/>
    <cellStyle name="Normal 10 2 2 3 2 5 5" xfId="29985" xr:uid="{00000000-0005-0000-0000-0000712F0000}"/>
    <cellStyle name="Normal 10 2 2 3 2 6" xfId="1685" xr:uid="{00000000-0005-0000-0000-0000722F0000}"/>
    <cellStyle name="Normal 10 2 2 3 2 6 2" xfId="11062" xr:uid="{00000000-0005-0000-0000-0000732F0000}"/>
    <cellStyle name="Normal 10 2 2 3 2 6 2 2" xfId="36617" xr:uid="{00000000-0005-0000-0000-0000742F0000}"/>
    <cellStyle name="Normal 10 2 2 3 2 6 3" xfId="21066" xr:uid="{00000000-0005-0000-0000-0000752F0000}"/>
    <cellStyle name="Normal 10 2 2 3 2 6 3 2" xfId="46619" xr:uid="{00000000-0005-0000-0000-0000762F0000}"/>
    <cellStyle name="Normal 10 2 2 3 2 6 4" xfId="27549" xr:uid="{00000000-0005-0000-0000-0000772F0000}"/>
    <cellStyle name="Normal 10 2 2 3 2 7" xfId="5869" xr:uid="{00000000-0005-0000-0000-0000782F0000}"/>
    <cellStyle name="Normal 10 2 2 3 2 7 2" xfId="14696" xr:uid="{00000000-0005-0000-0000-0000792F0000}"/>
    <cellStyle name="Normal 10 2 2 3 2 7 2 2" xfId="40251" xr:uid="{00000000-0005-0000-0000-00007A2F0000}"/>
    <cellStyle name="Normal 10 2 2 3 2 7 3" xfId="24947" xr:uid="{00000000-0005-0000-0000-00007B2F0000}"/>
    <cellStyle name="Normal 10 2 2 3 2 7 3 2" xfId="50500" xr:uid="{00000000-0005-0000-0000-00007C2F0000}"/>
    <cellStyle name="Normal 10 2 2 3 2 7 4" xfId="31430" xr:uid="{00000000-0005-0000-0000-00007D2F0000}"/>
    <cellStyle name="Normal 10 2 2 3 2 8" xfId="7313" xr:uid="{00000000-0005-0000-0000-00007E2F0000}"/>
    <cellStyle name="Normal 10 2 2 3 2 8 2" xfId="20039" xr:uid="{00000000-0005-0000-0000-00007F2F0000}"/>
    <cellStyle name="Normal 10 2 2 3 2 8 2 2" xfId="45592" xr:uid="{00000000-0005-0000-0000-0000802F0000}"/>
    <cellStyle name="Normal 10 2 2 3 2 8 3" xfId="32870" xr:uid="{00000000-0005-0000-0000-0000812F0000}"/>
    <cellStyle name="Normal 10 2 2 3 2 9" xfId="16059" xr:uid="{00000000-0005-0000-0000-0000822F0000}"/>
    <cellStyle name="Normal 10 2 2 3 2 9 2" xfId="41612" xr:uid="{00000000-0005-0000-0000-0000832F0000}"/>
    <cellStyle name="Normal 10 2 2 3 2_Degree data" xfId="2605" xr:uid="{00000000-0005-0000-0000-0000842F0000}"/>
    <cellStyle name="Normal 10 2 2 3 3" xfId="389" xr:uid="{00000000-0005-0000-0000-0000852F0000}"/>
    <cellStyle name="Normal 10 2 2 3 3 2" xfId="2875" xr:uid="{00000000-0005-0000-0000-0000862F0000}"/>
    <cellStyle name="Normal 10 2 2 3 3 2 2" xfId="12163" xr:uid="{00000000-0005-0000-0000-0000872F0000}"/>
    <cellStyle name="Normal 10 2 2 3 3 2 2 2" xfId="22236" xr:uid="{00000000-0005-0000-0000-0000882F0000}"/>
    <cellStyle name="Normal 10 2 2 3 3 2 2 2 2" xfId="47789" xr:uid="{00000000-0005-0000-0000-0000892F0000}"/>
    <cellStyle name="Normal 10 2 2 3 3 2 2 3" xfId="37718" xr:uid="{00000000-0005-0000-0000-00008A2F0000}"/>
    <cellStyle name="Normal 10 2 2 3 3 2 3" xfId="8455" xr:uid="{00000000-0005-0000-0000-00008B2F0000}"/>
    <cellStyle name="Normal 10 2 2 3 3 2 3 2" xfId="34012" xr:uid="{00000000-0005-0000-0000-00008C2F0000}"/>
    <cellStyle name="Normal 10 2 2 3 3 2 4" xfId="17229" xr:uid="{00000000-0005-0000-0000-00008D2F0000}"/>
    <cellStyle name="Normal 10 2 2 3 3 2 4 2" xfId="42782" xr:uid="{00000000-0005-0000-0000-00008E2F0000}"/>
    <cellStyle name="Normal 10 2 2 3 3 2 5" xfId="28719" xr:uid="{00000000-0005-0000-0000-00008F2F0000}"/>
    <cellStyle name="Normal 10 2 2 3 3 3" xfId="4517" xr:uid="{00000000-0005-0000-0000-0000902F0000}"/>
    <cellStyle name="Normal 10 2 2 3 3 3 2" xfId="13355" xr:uid="{00000000-0005-0000-0000-0000912F0000}"/>
    <cellStyle name="Normal 10 2 2 3 3 3 2 2" xfId="23606" xr:uid="{00000000-0005-0000-0000-0000922F0000}"/>
    <cellStyle name="Normal 10 2 2 3 3 3 2 2 2" xfId="49159" xr:uid="{00000000-0005-0000-0000-0000932F0000}"/>
    <cellStyle name="Normal 10 2 2 3 3 3 2 3" xfId="38910" xr:uid="{00000000-0005-0000-0000-0000942F0000}"/>
    <cellStyle name="Normal 10 2 2 3 3 3 3" xfId="9776" xr:uid="{00000000-0005-0000-0000-0000952F0000}"/>
    <cellStyle name="Normal 10 2 2 3 3 3 3 2" xfId="35333" xr:uid="{00000000-0005-0000-0000-0000962F0000}"/>
    <cellStyle name="Normal 10 2 2 3 3 3 4" xfId="18599" xr:uid="{00000000-0005-0000-0000-0000972F0000}"/>
    <cellStyle name="Normal 10 2 2 3 3 3 4 2" xfId="44152" xr:uid="{00000000-0005-0000-0000-0000982F0000}"/>
    <cellStyle name="Normal 10 2 2 3 3 3 5" xfId="30089" xr:uid="{00000000-0005-0000-0000-0000992F0000}"/>
    <cellStyle name="Normal 10 2 2 3 3 4" xfId="1984" xr:uid="{00000000-0005-0000-0000-00009A2F0000}"/>
    <cellStyle name="Normal 10 2 2 3 3 4 2" xfId="11349" xr:uid="{00000000-0005-0000-0000-00009B2F0000}"/>
    <cellStyle name="Normal 10 2 2 3 3 4 2 2" xfId="36904" xr:uid="{00000000-0005-0000-0000-00009C2F0000}"/>
    <cellStyle name="Normal 10 2 2 3 3 4 3" xfId="21353" xr:uid="{00000000-0005-0000-0000-00009D2F0000}"/>
    <cellStyle name="Normal 10 2 2 3 3 4 3 2" xfId="46906" xr:uid="{00000000-0005-0000-0000-00009E2F0000}"/>
    <cellStyle name="Normal 10 2 2 3 3 4 4" xfId="27836" xr:uid="{00000000-0005-0000-0000-00009F2F0000}"/>
    <cellStyle name="Normal 10 2 2 3 3 5" xfId="5973" xr:uid="{00000000-0005-0000-0000-0000A02F0000}"/>
    <cellStyle name="Normal 10 2 2 3 3 5 2" xfId="14800" xr:uid="{00000000-0005-0000-0000-0000A12F0000}"/>
    <cellStyle name="Normal 10 2 2 3 3 5 2 2" xfId="40355" xr:uid="{00000000-0005-0000-0000-0000A22F0000}"/>
    <cellStyle name="Normal 10 2 2 3 3 5 3" xfId="25051" xr:uid="{00000000-0005-0000-0000-0000A32F0000}"/>
    <cellStyle name="Normal 10 2 2 3 3 5 3 2" xfId="50604" xr:uid="{00000000-0005-0000-0000-0000A42F0000}"/>
    <cellStyle name="Normal 10 2 2 3 3 5 4" xfId="31534" xr:uid="{00000000-0005-0000-0000-0000A52F0000}"/>
    <cellStyle name="Normal 10 2 2 3 3 6" xfId="7417" xr:uid="{00000000-0005-0000-0000-0000A62F0000}"/>
    <cellStyle name="Normal 10 2 2 3 3 6 2" xfId="19835" xr:uid="{00000000-0005-0000-0000-0000A72F0000}"/>
    <cellStyle name="Normal 10 2 2 3 3 6 2 2" xfId="45388" xr:uid="{00000000-0005-0000-0000-0000A82F0000}"/>
    <cellStyle name="Normal 10 2 2 3 3 6 3" xfId="32974" xr:uid="{00000000-0005-0000-0000-0000A92F0000}"/>
    <cellStyle name="Normal 10 2 2 3 3 7" xfId="16346" xr:uid="{00000000-0005-0000-0000-0000AA2F0000}"/>
    <cellStyle name="Normal 10 2 2 3 3 7 2" xfId="41899" xr:uid="{00000000-0005-0000-0000-0000AB2F0000}"/>
    <cellStyle name="Normal 10 2 2 3 3 8" xfId="26318" xr:uid="{00000000-0005-0000-0000-0000AC2F0000}"/>
    <cellStyle name="Normal 10 2 2 3 4" xfId="702" xr:uid="{00000000-0005-0000-0000-0000AD2F0000}"/>
    <cellStyle name="Normal 10 2 2 3 4 2" xfId="3188" xr:uid="{00000000-0005-0000-0000-0000AE2F0000}"/>
    <cellStyle name="Normal 10 2 2 3 4 2 2" xfId="12331" xr:uid="{00000000-0005-0000-0000-0000AF2F0000}"/>
    <cellStyle name="Normal 10 2 2 3 4 2 2 2" xfId="22549" xr:uid="{00000000-0005-0000-0000-0000B02F0000}"/>
    <cellStyle name="Normal 10 2 2 3 4 2 2 2 2" xfId="48102" xr:uid="{00000000-0005-0000-0000-0000B12F0000}"/>
    <cellStyle name="Normal 10 2 2 3 4 2 2 3" xfId="37886" xr:uid="{00000000-0005-0000-0000-0000B22F0000}"/>
    <cellStyle name="Normal 10 2 2 3 4 2 3" xfId="8753" xr:uid="{00000000-0005-0000-0000-0000B32F0000}"/>
    <cellStyle name="Normal 10 2 2 3 4 2 3 2" xfId="34310" xr:uid="{00000000-0005-0000-0000-0000B42F0000}"/>
    <cellStyle name="Normal 10 2 2 3 4 2 4" xfId="17542" xr:uid="{00000000-0005-0000-0000-0000B52F0000}"/>
    <cellStyle name="Normal 10 2 2 3 4 2 4 2" xfId="43095" xr:uid="{00000000-0005-0000-0000-0000B62F0000}"/>
    <cellStyle name="Normal 10 2 2 3 4 2 5" xfId="29032" xr:uid="{00000000-0005-0000-0000-0000B72F0000}"/>
    <cellStyle name="Normal 10 2 2 3 4 3" xfId="4866" xr:uid="{00000000-0005-0000-0000-0000B82F0000}"/>
    <cellStyle name="Normal 10 2 2 3 4 3 2" xfId="13703" xr:uid="{00000000-0005-0000-0000-0000B92F0000}"/>
    <cellStyle name="Normal 10 2 2 3 4 3 2 2" xfId="23954" xr:uid="{00000000-0005-0000-0000-0000BA2F0000}"/>
    <cellStyle name="Normal 10 2 2 3 4 3 2 2 2" xfId="49507" xr:uid="{00000000-0005-0000-0000-0000BB2F0000}"/>
    <cellStyle name="Normal 10 2 2 3 4 3 2 3" xfId="39258" xr:uid="{00000000-0005-0000-0000-0000BC2F0000}"/>
    <cellStyle name="Normal 10 2 2 3 4 3 3" xfId="10124" xr:uid="{00000000-0005-0000-0000-0000BD2F0000}"/>
    <cellStyle name="Normal 10 2 2 3 4 3 3 2" xfId="35681" xr:uid="{00000000-0005-0000-0000-0000BE2F0000}"/>
    <cellStyle name="Normal 10 2 2 3 4 3 4" xfId="18947" xr:uid="{00000000-0005-0000-0000-0000BF2F0000}"/>
    <cellStyle name="Normal 10 2 2 3 4 3 4 2" xfId="44500" xr:uid="{00000000-0005-0000-0000-0000C02F0000}"/>
    <cellStyle name="Normal 10 2 2 3 4 3 5" xfId="30437" xr:uid="{00000000-0005-0000-0000-0000C12F0000}"/>
    <cellStyle name="Normal 10 2 2 3 4 4" xfId="2297" xr:uid="{00000000-0005-0000-0000-0000C22F0000}"/>
    <cellStyle name="Normal 10 2 2 3 4 4 2" xfId="11662" xr:uid="{00000000-0005-0000-0000-0000C32F0000}"/>
    <cellStyle name="Normal 10 2 2 3 4 4 2 2" xfId="37217" xr:uid="{00000000-0005-0000-0000-0000C42F0000}"/>
    <cellStyle name="Normal 10 2 2 3 4 4 3" xfId="21666" xr:uid="{00000000-0005-0000-0000-0000C52F0000}"/>
    <cellStyle name="Normal 10 2 2 3 4 4 3 2" xfId="47219" xr:uid="{00000000-0005-0000-0000-0000C62F0000}"/>
    <cellStyle name="Normal 10 2 2 3 4 4 4" xfId="28149" xr:uid="{00000000-0005-0000-0000-0000C72F0000}"/>
    <cellStyle name="Normal 10 2 2 3 4 5" xfId="6321" xr:uid="{00000000-0005-0000-0000-0000C82F0000}"/>
    <cellStyle name="Normal 10 2 2 3 4 5 2" xfId="15148" xr:uid="{00000000-0005-0000-0000-0000C92F0000}"/>
    <cellStyle name="Normal 10 2 2 3 4 5 2 2" xfId="40703" xr:uid="{00000000-0005-0000-0000-0000CA2F0000}"/>
    <cellStyle name="Normal 10 2 2 3 4 5 3" xfId="25399" xr:uid="{00000000-0005-0000-0000-0000CB2F0000}"/>
    <cellStyle name="Normal 10 2 2 3 4 5 3 2" xfId="50952" xr:uid="{00000000-0005-0000-0000-0000CC2F0000}"/>
    <cellStyle name="Normal 10 2 2 3 4 5 4" xfId="31882" xr:uid="{00000000-0005-0000-0000-0000CD2F0000}"/>
    <cellStyle name="Normal 10 2 2 3 4 6" xfId="7767" xr:uid="{00000000-0005-0000-0000-0000CE2F0000}"/>
    <cellStyle name="Normal 10 2 2 3 4 6 2" xfId="20148" xr:uid="{00000000-0005-0000-0000-0000CF2F0000}"/>
    <cellStyle name="Normal 10 2 2 3 4 6 2 2" xfId="45701" xr:uid="{00000000-0005-0000-0000-0000D02F0000}"/>
    <cellStyle name="Normal 10 2 2 3 4 6 3" xfId="33324" xr:uid="{00000000-0005-0000-0000-0000D12F0000}"/>
    <cellStyle name="Normal 10 2 2 3 4 7" xfId="16659" xr:uid="{00000000-0005-0000-0000-0000D22F0000}"/>
    <cellStyle name="Normal 10 2 2 3 4 7 2" xfId="42212" xr:uid="{00000000-0005-0000-0000-0000D32F0000}"/>
    <cellStyle name="Normal 10 2 2 3 4 8" xfId="26631" xr:uid="{00000000-0005-0000-0000-0000D42F0000}"/>
    <cellStyle name="Normal 10 2 2 3 5" xfId="1161" xr:uid="{00000000-0005-0000-0000-0000D52F0000}"/>
    <cellStyle name="Normal 10 2 2 3 5 2" xfId="3590" xr:uid="{00000000-0005-0000-0000-0000D62F0000}"/>
    <cellStyle name="Normal 10 2 2 3 5 2 2" xfId="12726" xr:uid="{00000000-0005-0000-0000-0000D72F0000}"/>
    <cellStyle name="Normal 10 2 2 3 5 2 2 2" xfId="22945" xr:uid="{00000000-0005-0000-0000-0000D82F0000}"/>
    <cellStyle name="Normal 10 2 2 3 5 2 2 2 2" xfId="48498" xr:uid="{00000000-0005-0000-0000-0000D92F0000}"/>
    <cellStyle name="Normal 10 2 2 3 5 2 2 3" xfId="38281" xr:uid="{00000000-0005-0000-0000-0000DA2F0000}"/>
    <cellStyle name="Normal 10 2 2 3 5 2 3" xfId="9147" xr:uid="{00000000-0005-0000-0000-0000DB2F0000}"/>
    <cellStyle name="Normal 10 2 2 3 5 2 3 2" xfId="34704" xr:uid="{00000000-0005-0000-0000-0000DC2F0000}"/>
    <cellStyle name="Normal 10 2 2 3 5 2 4" xfId="17938" xr:uid="{00000000-0005-0000-0000-0000DD2F0000}"/>
    <cellStyle name="Normal 10 2 2 3 5 2 4 2" xfId="43491" xr:uid="{00000000-0005-0000-0000-0000DE2F0000}"/>
    <cellStyle name="Normal 10 2 2 3 5 2 5" xfId="29428" xr:uid="{00000000-0005-0000-0000-0000DF2F0000}"/>
    <cellStyle name="Normal 10 2 2 3 5 3" xfId="5253" xr:uid="{00000000-0005-0000-0000-0000E02F0000}"/>
    <cellStyle name="Normal 10 2 2 3 5 3 2" xfId="14090" xr:uid="{00000000-0005-0000-0000-0000E12F0000}"/>
    <cellStyle name="Normal 10 2 2 3 5 3 2 2" xfId="24341" xr:uid="{00000000-0005-0000-0000-0000E22F0000}"/>
    <cellStyle name="Normal 10 2 2 3 5 3 2 2 2" xfId="49894" xr:uid="{00000000-0005-0000-0000-0000E32F0000}"/>
    <cellStyle name="Normal 10 2 2 3 5 3 2 3" xfId="39645" xr:uid="{00000000-0005-0000-0000-0000E42F0000}"/>
    <cellStyle name="Normal 10 2 2 3 5 3 3" xfId="10511" xr:uid="{00000000-0005-0000-0000-0000E52F0000}"/>
    <cellStyle name="Normal 10 2 2 3 5 3 3 2" xfId="36068" xr:uid="{00000000-0005-0000-0000-0000E62F0000}"/>
    <cellStyle name="Normal 10 2 2 3 5 3 4" xfId="19334" xr:uid="{00000000-0005-0000-0000-0000E72F0000}"/>
    <cellStyle name="Normal 10 2 2 3 5 3 4 2" xfId="44887" xr:uid="{00000000-0005-0000-0000-0000E82F0000}"/>
    <cellStyle name="Normal 10 2 2 3 5 3 5" xfId="30824" xr:uid="{00000000-0005-0000-0000-0000E92F0000}"/>
    <cellStyle name="Normal 10 2 2 3 5 4" xfId="1868" xr:uid="{00000000-0005-0000-0000-0000EA2F0000}"/>
    <cellStyle name="Normal 10 2 2 3 5 4 2" xfId="11236" xr:uid="{00000000-0005-0000-0000-0000EB2F0000}"/>
    <cellStyle name="Normal 10 2 2 3 5 4 2 2" xfId="36791" xr:uid="{00000000-0005-0000-0000-0000EC2F0000}"/>
    <cellStyle name="Normal 10 2 2 3 5 4 3" xfId="21240" xr:uid="{00000000-0005-0000-0000-0000ED2F0000}"/>
    <cellStyle name="Normal 10 2 2 3 5 4 3 2" xfId="46793" xr:uid="{00000000-0005-0000-0000-0000EE2F0000}"/>
    <cellStyle name="Normal 10 2 2 3 5 4 4" xfId="27723" xr:uid="{00000000-0005-0000-0000-0000EF2F0000}"/>
    <cellStyle name="Normal 10 2 2 3 5 5" xfId="6708" xr:uid="{00000000-0005-0000-0000-0000F02F0000}"/>
    <cellStyle name="Normal 10 2 2 3 5 5 2" xfId="15535" xr:uid="{00000000-0005-0000-0000-0000F12F0000}"/>
    <cellStyle name="Normal 10 2 2 3 5 5 2 2" xfId="41090" xr:uid="{00000000-0005-0000-0000-0000F22F0000}"/>
    <cellStyle name="Normal 10 2 2 3 5 5 3" xfId="25786" xr:uid="{00000000-0005-0000-0000-0000F32F0000}"/>
    <cellStyle name="Normal 10 2 2 3 5 5 3 2" xfId="51339" xr:uid="{00000000-0005-0000-0000-0000F42F0000}"/>
    <cellStyle name="Normal 10 2 2 3 5 5 4" xfId="32269" xr:uid="{00000000-0005-0000-0000-0000F52F0000}"/>
    <cellStyle name="Normal 10 2 2 3 5 6" xfId="8154" xr:uid="{00000000-0005-0000-0000-0000F62F0000}"/>
    <cellStyle name="Normal 10 2 2 3 5 6 2" xfId="20544" xr:uid="{00000000-0005-0000-0000-0000F72F0000}"/>
    <cellStyle name="Normal 10 2 2 3 5 6 2 2" xfId="46097" xr:uid="{00000000-0005-0000-0000-0000F82F0000}"/>
    <cellStyle name="Normal 10 2 2 3 5 6 3" xfId="33711" xr:uid="{00000000-0005-0000-0000-0000F92F0000}"/>
    <cellStyle name="Normal 10 2 2 3 5 7" xfId="16233" xr:uid="{00000000-0005-0000-0000-0000FA2F0000}"/>
    <cellStyle name="Normal 10 2 2 3 5 7 2" xfId="41786" xr:uid="{00000000-0005-0000-0000-0000FB2F0000}"/>
    <cellStyle name="Normal 10 2 2 3 5 8" xfId="27027" xr:uid="{00000000-0005-0000-0000-0000FC2F0000}"/>
    <cellStyle name="Normal 10 2 2 3 6" xfId="2762" xr:uid="{00000000-0005-0000-0000-0000FD2F0000}"/>
    <cellStyle name="Normal 10 2 2 3 6 2" xfId="12079" xr:uid="{00000000-0005-0000-0000-0000FE2F0000}"/>
    <cellStyle name="Normal 10 2 2 3 6 2 2" xfId="22123" xr:uid="{00000000-0005-0000-0000-0000FF2F0000}"/>
    <cellStyle name="Normal 10 2 2 3 6 2 2 2" xfId="47676" xr:uid="{00000000-0005-0000-0000-000000300000}"/>
    <cellStyle name="Normal 10 2 2 3 6 2 3" xfId="37634" xr:uid="{00000000-0005-0000-0000-000001300000}"/>
    <cellStyle name="Normal 10 2 2 3 6 3" xfId="8477" xr:uid="{00000000-0005-0000-0000-000002300000}"/>
    <cellStyle name="Normal 10 2 2 3 6 3 2" xfId="34034" xr:uid="{00000000-0005-0000-0000-000003300000}"/>
    <cellStyle name="Normal 10 2 2 3 6 4" xfId="17116" xr:uid="{00000000-0005-0000-0000-000004300000}"/>
    <cellStyle name="Normal 10 2 2 3 6 4 2" xfId="42669" xr:uid="{00000000-0005-0000-0000-000005300000}"/>
    <cellStyle name="Normal 10 2 2 3 6 5" xfId="28606" xr:uid="{00000000-0005-0000-0000-000006300000}"/>
    <cellStyle name="Normal 10 2 2 3 7" xfId="4209" xr:uid="{00000000-0005-0000-0000-000007300000}"/>
    <cellStyle name="Normal 10 2 2 3 7 2" xfId="13047" xr:uid="{00000000-0005-0000-0000-000008300000}"/>
    <cellStyle name="Normal 10 2 2 3 7 2 2" xfId="23298" xr:uid="{00000000-0005-0000-0000-000009300000}"/>
    <cellStyle name="Normal 10 2 2 3 7 2 2 2" xfId="48851" xr:uid="{00000000-0005-0000-0000-00000A300000}"/>
    <cellStyle name="Normal 10 2 2 3 7 2 3" xfId="38602" xr:uid="{00000000-0005-0000-0000-00000B300000}"/>
    <cellStyle name="Normal 10 2 2 3 7 3" xfId="9468" xr:uid="{00000000-0005-0000-0000-00000C300000}"/>
    <cellStyle name="Normal 10 2 2 3 7 3 2" xfId="35025" xr:uid="{00000000-0005-0000-0000-00000D300000}"/>
    <cellStyle name="Normal 10 2 2 3 7 4" xfId="18291" xr:uid="{00000000-0005-0000-0000-00000E300000}"/>
    <cellStyle name="Normal 10 2 2 3 7 4 2" xfId="43844" xr:uid="{00000000-0005-0000-0000-00000F300000}"/>
    <cellStyle name="Normal 10 2 2 3 7 5" xfId="29781" xr:uid="{00000000-0005-0000-0000-000010300000}"/>
    <cellStyle name="Normal 10 2 2 3 8" xfId="1481" xr:uid="{00000000-0005-0000-0000-000011300000}"/>
    <cellStyle name="Normal 10 2 2 3 8 2" xfId="10858" xr:uid="{00000000-0005-0000-0000-000012300000}"/>
    <cellStyle name="Normal 10 2 2 3 8 2 2" xfId="36413" xr:uid="{00000000-0005-0000-0000-000013300000}"/>
    <cellStyle name="Normal 10 2 2 3 8 3" xfId="20862" xr:uid="{00000000-0005-0000-0000-000014300000}"/>
    <cellStyle name="Normal 10 2 2 3 8 3 2" xfId="46415" xr:uid="{00000000-0005-0000-0000-000015300000}"/>
    <cellStyle name="Normal 10 2 2 3 8 4" xfId="27345" xr:uid="{00000000-0005-0000-0000-000016300000}"/>
    <cellStyle name="Normal 10 2 2 3 9" xfId="5665" xr:uid="{00000000-0005-0000-0000-000017300000}"/>
    <cellStyle name="Normal 10 2 2 3 9 2" xfId="14492" xr:uid="{00000000-0005-0000-0000-000018300000}"/>
    <cellStyle name="Normal 10 2 2 3 9 2 2" xfId="40047" xr:uid="{00000000-0005-0000-0000-000019300000}"/>
    <cellStyle name="Normal 10 2 2 3 9 3" xfId="24743" xr:uid="{00000000-0005-0000-0000-00001A300000}"/>
    <cellStyle name="Normal 10 2 2 3 9 3 2" xfId="50296" xr:uid="{00000000-0005-0000-0000-00001B300000}"/>
    <cellStyle name="Normal 10 2 2 3 9 4" xfId="31226" xr:uid="{00000000-0005-0000-0000-00001C300000}"/>
    <cellStyle name="Normal 10 2 2 3_Degree data" xfId="3848" xr:uid="{00000000-0005-0000-0000-00001D300000}"/>
    <cellStyle name="Normal 10 2 2 4" xfId="489" xr:uid="{00000000-0005-0000-0000-00001E300000}"/>
    <cellStyle name="Normal 10 2 2 4 10" xfId="26418" xr:uid="{00000000-0005-0000-0000-00001F300000}"/>
    <cellStyle name="Normal 10 2 2 4 2" xfId="704" xr:uid="{00000000-0005-0000-0000-000020300000}"/>
    <cellStyle name="Normal 10 2 2 4 2 2" xfId="3190" xr:uid="{00000000-0005-0000-0000-000021300000}"/>
    <cellStyle name="Normal 10 2 2 4 2 2 2" xfId="12333" xr:uid="{00000000-0005-0000-0000-000022300000}"/>
    <cellStyle name="Normal 10 2 2 4 2 2 2 2" xfId="22551" xr:uid="{00000000-0005-0000-0000-000023300000}"/>
    <cellStyle name="Normal 10 2 2 4 2 2 2 2 2" xfId="48104" xr:uid="{00000000-0005-0000-0000-000024300000}"/>
    <cellStyle name="Normal 10 2 2 4 2 2 2 3" xfId="37888" xr:uid="{00000000-0005-0000-0000-000025300000}"/>
    <cellStyle name="Normal 10 2 2 4 2 2 3" xfId="8755" xr:uid="{00000000-0005-0000-0000-000026300000}"/>
    <cellStyle name="Normal 10 2 2 4 2 2 3 2" xfId="34312" xr:uid="{00000000-0005-0000-0000-000027300000}"/>
    <cellStyle name="Normal 10 2 2 4 2 2 4" xfId="17544" xr:uid="{00000000-0005-0000-0000-000028300000}"/>
    <cellStyle name="Normal 10 2 2 4 2 2 4 2" xfId="43097" xr:uid="{00000000-0005-0000-0000-000029300000}"/>
    <cellStyle name="Normal 10 2 2 4 2 2 5" xfId="29034" xr:uid="{00000000-0005-0000-0000-00002A300000}"/>
    <cellStyle name="Normal 10 2 2 4 2 3" xfId="4519" xr:uid="{00000000-0005-0000-0000-00002B300000}"/>
    <cellStyle name="Normal 10 2 2 4 2 3 2" xfId="13357" xr:uid="{00000000-0005-0000-0000-00002C300000}"/>
    <cellStyle name="Normal 10 2 2 4 2 3 2 2" xfId="23608" xr:uid="{00000000-0005-0000-0000-00002D300000}"/>
    <cellStyle name="Normal 10 2 2 4 2 3 2 2 2" xfId="49161" xr:uid="{00000000-0005-0000-0000-00002E300000}"/>
    <cellStyle name="Normal 10 2 2 4 2 3 2 3" xfId="38912" xr:uid="{00000000-0005-0000-0000-00002F300000}"/>
    <cellStyle name="Normal 10 2 2 4 2 3 3" xfId="9778" xr:uid="{00000000-0005-0000-0000-000030300000}"/>
    <cellStyle name="Normal 10 2 2 4 2 3 3 2" xfId="35335" xr:uid="{00000000-0005-0000-0000-000031300000}"/>
    <cellStyle name="Normal 10 2 2 4 2 3 4" xfId="18601" xr:uid="{00000000-0005-0000-0000-000032300000}"/>
    <cellStyle name="Normal 10 2 2 4 2 3 4 2" xfId="44154" xr:uid="{00000000-0005-0000-0000-000033300000}"/>
    <cellStyle name="Normal 10 2 2 4 2 3 5" xfId="30091" xr:uid="{00000000-0005-0000-0000-000034300000}"/>
    <cellStyle name="Normal 10 2 2 4 2 4" xfId="2299" xr:uid="{00000000-0005-0000-0000-000035300000}"/>
    <cellStyle name="Normal 10 2 2 4 2 4 2" xfId="11664" xr:uid="{00000000-0005-0000-0000-000036300000}"/>
    <cellStyle name="Normal 10 2 2 4 2 4 2 2" xfId="37219" xr:uid="{00000000-0005-0000-0000-000037300000}"/>
    <cellStyle name="Normal 10 2 2 4 2 4 3" xfId="21668" xr:uid="{00000000-0005-0000-0000-000038300000}"/>
    <cellStyle name="Normal 10 2 2 4 2 4 3 2" xfId="47221" xr:uid="{00000000-0005-0000-0000-000039300000}"/>
    <cellStyle name="Normal 10 2 2 4 2 4 4" xfId="28151" xr:uid="{00000000-0005-0000-0000-00003A300000}"/>
    <cellStyle name="Normal 10 2 2 4 2 5" xfId="5975" xr:uid="{00000000-0005-0000-0000-00003B300000}"/>
    <cellStyle name="Normal 10 2 2 4 2 5 2" xfId="14802" xr:uid="{00000000-0005-0000-0000-00003C300000}"/>
    <cellStyle name="Normal 10 2 2 4 2 5 2 2" xfId="40357" xr:uid="{00000000-0005-0000-0000-00003D300000}"/>
    <cellStyle name="Normal 10 2 2 4 2 5 3" xfId="25053" xr:uid="{00000000-0005-0000-0000-00003E300000}"/>
    <cellStyle name="Normal 10 2 2 4 2 5 3 2" xfId="50606" xr:uid="{00000000-0005-0000-0000-00003F300000}"/>
    <cellStyle name="Normal 10 2 2 4 2 5 4" xfId="31536" xr:uid="{00000000-0005-0000-0000-000040300000}"/>
    <cellStyle name="Normal 10 2 2 4 2 6" xfId="7419" xr:uid="{00000000-0005-0000-0000-000041300000}"/>
    <cellStyle name="Normal 10 2 2 4 2 6 2" xfId="20150" xr:uid="{00000000-0005-0000-0000-000042300000}"/>
    <cellStyle name="Normal 10 2 2 4 2 6 2 2" xfId="45703" xr:uid="{00000000-0005-0000-0000-000043300000}"/>
    <cellStyle name="Normal 10 2 2 4 2 6 3" xfId="32976" xr:uid="{00000000-0005-0000-0000-000044300000}"/>
    <cellStyle name="Normal 10 2 2 4 2 7" xfId="16661" xr:uid="{00000000-0005-0000-0000-000045300000}"/>
    <cellStyle name="Normal 10 2 2 4 2 7 2" xfId="42214" xr:uid="{00000000-0005-0000-0000-000046300000}"/>
    <cellStyle name="Normal 10 2 2 4 2 8" xfId="26633" xr:uid="{00000000-0005-0000-0000-000047300000}"/>
    <cellStyle name="Normal 10 2 2 4 3" xfId="1261" xr:uid="{00000000-0005-0000-0000-000048300000}"/>
    <cellStyle name="Normal 10 2 2 4 3 2" xfId="3690" xr:uid="{00000000-0005-0000-0000-000049300000}"/>
    <cellStyle name="Normal 10 2 2 4 3 2 2" xfId="12826" xr:uid="{00000000-0005-0000-0000-00004A300000}"/>
    <cellStyle name="Normal 10 2 2 4 3 2 2 2" xfId="23045" xr:uid="{00000000-0005-0000-0000-00004B300000}"/>
    <cellStyle name="Normal 10 2 2 4 3 2 2 2 2" xfId="48598" xr:uid="{00000000-0005-0000-0000-00004C300000}"/>
    <cellStyle name="Normal 10 2 2 4 3 2 2 3" xfId="38381" xr:uid="{00000000-0005-0000-0000-00004D300000}"/>
    <cellStyle name="Normal 10 2 2 4 3 2 3" xfId="9247" xr:uid="{00000000-0005-0000-0000-00004E300000}"/>
    <cellStyle name="Normal 10 2 2 4 3 2 3 2" xfId="34804" xr:uid="{00000000-0005-0000-0000-00004F300000}"/>
    <cellStyle name="Normal 10 2 2 4 3 2 4" xfId="18038" xr:uid="{00000000-0005-0000-0000-000050300000}"/>
    <cellStyle name="Normal 10 2 2 4 3 2 4 2" xfId="43591" xr:uid="{00000000-0005-0000-0000-000051300000}"/>
    <cellStyle name="Normal 10 2 2 4 3 2 5" xfId="29528" xr:uid="{00000000-0005-0000-0000-000052300000}"/>
    <cellStyle name="Normal 10 2 2 4 3 3" xfId="4868" xr:uid="{00000000-0005-0000-0000-000053300000}"/>
    <cellStyle name="Normal 10 2 2 4 3 3 2" xfId="13705" xr:uid="{00000000-0005-0000-0000-000054300000}"/>
    <cellStyle name="Normal 10 2 2 4 3 3 2 2" xfId="23956" xr:uid="{00000000-0005-0000-0000-000055300000}"/>
    <cellStyle name="Normal 10 2 2 4 3 3 2 2 2" xfId="49509" xr:uid="{00000000-0005-0000-0000-000056300000}"/>
    <cellStyle name="Normal 10 2 2 4 3 3 2 3" xfId="39260" xr:uid="{00000000-0005-0000-0000-000057300000}"/>
    <cellStyle name="Normal 10 2 2 4 3 3 3" xfId="10126" xr:uid="{00000000-0005-0000-0000-000058300000}"/>
    <cellStyle name="Normal 10 2 2 4 3 3 3 2" xfId="35683" xr:uid="{00000000-0005-0000-0000-000059300000}"/>
    <cellStyle name="Normal 10 2 2 4 3 3 4" xfId="18949" xr:uid="{00000000-0005-0000-0000-00005A300000}"/>
    <cellStyle name="Normal 10 2 2 4 3 3 4 2" xfId="44502" xr:uid="{00000000-0005-0000-0000-00005B300000}"/>
    <cellStyle name="Normal 10 2 2 4 3 3 5" xfId="30439" xr:uid="{00000000-0005-0000-0000-00005C300000}"/>
    <cellStyle name="Normal 10 2 2 4 3 4" xfId="2084" xr:uid="{00000000-0005-0000-0000-00005D300000}"/>
    <cellStyle name="Normal 10 2 2 4 3 4 2" xfId="11449" xr:uid="{00000000-0005-0000-0000-00005E300000}"/>
    <cellStyle name="Normal 10 2 2 4 3 4 2 2" xfId="37004" xr:uid="{00000000-0005-0000-0000-00005F300000}"/>
    <cellStyle name="Normal 10 2 2 4 3 4 3" xfId="21453" xr:uid="{00000000-0005-0000-0000-000060300000}"/>
    <cellStyle name="Normal 10 2 2 4 3 4 3 2" xfId="47006" xr:uid="{00000000-0005-0000-0000-000061300000}"/>
    <cellStyle name="Normal 10 2 2 4 3 4 4" xfId="27936" xr:uid="{00000000-0005-0000-0000-000062300000}"/>
    <cellStyle name="Normal 10 2 2 4 3 5" xfId="6323" xr:uid="{00000000-0005-0000-0000-000063300000}"/>
    <cellStyle name="Normal 10 2 2 4 3 5 2" xfId="15150" xr:uid="{00000000-0005-0000-0000-000064300000}"/>
    <cellStyle name="Normal 10 2 2 4 3 5 2 2" xfId="40705" xr:uid="{00000000-0005-0000-0000-000065300000}"/>
    <cellStyle name="Normal 10 2 2 4 3 5 3" xfId="25401" xr:uid="{00000000-0005-0000-0000-000066300000}"/>
    <cellStyle name="Normal 10 2 2 4 3 5 3 2" xfId="50954" xr:uid="{00000000-0005-0000-0000-000067300000}"/>
    <cellStyle name="Normal 10 2 2 4 3 5 4" xfId="31884" xr:uid="{00000000-0005-0000-0000-000068300000}"/>
    <cellStyle name="Normal 10 2 2 4 3 6" xfId="7769" xr:uid="{00000000-0005-0000-0000-000069300000}"/>
    <cellStyle name="Normal 10 2 2 4 3 6 2" xfId="20644" xr:uid="{00000000-0005-0000-0000-00006A300000}"/>
    <cellStyle name="Normal 10 2 2 4 3 6 2 2" xfId="46197" xr:uid="{00000000-0005-0000-0000-00006B300000}"/>
    <cellStyle name="Normal 10 2 2 4 3 6 3" xfId="33326" xr:uid="{00000000-0005-0000-0000-00006C300000}"/>
    <cellStyle name="Normal 10 2 2 4 3 7" xfId="16446" xr:uid="{00000000-0005-0000-0000-00006D300000}"/>
    <cellStyle name="Normal 10 2 2 4 3 7 2" xfId="41999" xr:uid="{00000000-0005-0000-0000-00006E300000}"/>
    <cellStyle name="Normal 10 2 2 4 3 8" xfId="27127" xr:uid="{00000000-0005-0000-0000-00006F300000}"/>
    <cellStyle name="Normal 10 2 2 4 4" xfId="2975" xr:uid="{00000000-0005-0000-0000-000070300000}"/>
    <cellStyle name="Normal 10 2 2 4 4 2" xfId="5353" xr:uid="{00000000-0005-0000-0000-000071300000}"/>
    <cellStyle name="Normal 10 2 2 4 4 2 2" xfId="14190" xr:uid="{00000000-0005-0000-0000-000072300000}"/>
    <cellStyle name="Normal 10 2 2 4 4 2 2 2" xfId="24441" xr:uid="{00000000-0005-0000-0000-000073300000}"/>
    <cellStyle name="Normal 10 2 2 4 4 2 2 2 2" xfId="49994" xr:uid="{00000000-0005-0000-0000-000074300000}"/>
    <cellStyle name="Normal 10 2 2 4 4 2 2 3" xfId="39745" xr:uid="{00000000-0005-0000-0000-000075300000}"/>
    <cellStyle name="Normal 10 2 2 4 4 2 3" xfId="10611" xr:uid="{00000000-0005-0000-0000-000076300000}"/>
    <cellStyle name="Normal 10 2 2 4 4 2 3 2" xfId="36168" xr:uid="{00000000-0005-0000-0000-000077300000}"/>
    <cellStyle name="Normal 10 2 2 4 4 2 4" xfId="19434" xr:uid="{00000000-0005-0000-0000-000078300000}"/>
    <cellStyle name="Normal 10 2 2 4 4 2 4 2" xfId="44987" xr:uid="{00000000-0005-0000-0000-000079300000}"/>
    <cellStyle name="Normal 10 2 2 4 4 2 5" xfId="30924" xr:uid="{00000000-0005-0000-0000-00007A300000}"/>
    <cellStyle name="Normal 10 2 2 4 4 3" xfId="6808" xr:uid="{00000000-0005-0000-0000-00007B300000}"/>
    <cellStyle name="Normal 10 2 2 4 4 3 2" xfId="15635" xr:uid="{00000000-0005-0000-0000-00007C300000}"/>
    <cellStyle name="Normal 10 2 2 4 4 3 2 2" xfId="41190" xr:uid="{00000000-0005-0000-0000-00007D300000}"/>
    <cellStyle name="Normal 10 2 2 4 4 3 3" xfId="25886" xr:uid="{00000000-0005-0000-0000-00007E300000}"/>
    <cellStyle name="Normal 10 2 2 4 4 3 3 2" xfId="51439" xr:uid="{00000000-0005-0000-0000-00007F300000}"/>
    <cellStyle name="Normal 10 2 2 4 4 3 4" xfId="32369" xr:uid="{00000000-0005-0000-0000-000080300000}"/>
    <cellStyle name="Normal 10 2 2 4 4 4" xfId="8254" xr:uid="{00000000-0005-0000-0000-000081300000}"/>
    <cellStyle name="Normal 10 2 2 4 4 4 2" xfId="22336" xr:uid="{00000000-0005-0000-0000-000082300000}"/>
    <cellStyle name="Normal 10 2 2 4 4 4 2 2" xfId="47889" xr:uid="{00000000-0005-0000-0000-000083300000}"/>
    <cellStyle name="Normal 10 2 2 4 4 4 3" xfId="33811" xr:uid="{00000000-0005-0000-0000-000084300000}"/>
    <cellStyle name="Normal 10 2 2 4 4 5" xfId="17329" xr:uid="{00000000-0005-0000-0000-000085300000}"/>
    <cellStyle name="Normal 10 2 2 4 4 5 2" xfId="42882" xr:uid="{00000000-0005-0000-0000-000086300000}"/>
    <cellStyle name="Normal 10 2 2 4 4 6" xfId="28819" xr:uid="{00000000-0005-0000-0000-000087300000}"/>
    <cellStyle name="Normal 10 2 2 4 5" xfId="4309" xr:uid="{00000000-0005-0000-0000-000088300000}"/>
    <cellStyle name="Normal 10 2 2 4 5 2" xfId="13147" xr:uid="{00000000-0005-0000-0000-000089300000}"/>
    <cellStyle name="Normal 10 2 2 4 5 2 2" xfId="23398" xr:uid="{00000000-0005-0000-0000-00008A300000}"/>
    <cellStyle name="Normal 10 2 2 4 5 2 2 2" xfId="48951" xr:uid="{00000000-0005-0000-0000-00008B300000}"/>
    <cellStyle name="Normal 10 2 2 4 5 2 3" xfId="38702" xr:uid="{00000000-0005-0000-0000-00008C300000}"/>
    <cellStyle name="Normal 10 2 2 4 5 3" xfId="9568" xr:uid="{00000000-0005-0000-0000-00008D300000}"/>
    <cellStyle name="Normal 10 2 2 4 5 3 2" xfId="35125" xr:uid="{00000000-0005-0000-0000-00008E300000}"/>
    <cellStyle name="Normal 10 2 2 4 5 4" xfId="18391" xr:uid="{00000000-0005-0000-0000-00008F300000}"/>
    <cellStyle name="Normal 10 2 2 4 5 4 2" xfId="43944" xr:uid="{00000000-0005-0000-0000-000090300000}"/>
    <cellStyle name="Normal 10 2 2 4 5 5" xfId="29881" xr:uid="{00000000-0005-0000-0000-000091300000}"/>
    <cellStyle name="Normal 10 2 2 4 6" xfId="1581" xr:uid="{00000000-0005-0000-0000-000092300000}"/>
    <cellStyle name="Normal 10 2 2 4 6 2" xfId="10958" xr:uid="{00000000-0005-0000-0000-000093300000}"/>
    <cellStyle name="Normal 10 2 2 4 6 2 2" xfId="36513" xr:uid="{00000000-0005-0000-0000-000094300000}"/>
    <cellStyle name="Normal 10 2 2 4 6 3" xfId="20962" xr:uid="{00000000-0005-0000-0000-000095300000}"/>
    <cellStyle name="Normal 10 2 2 4 6 3 2" xfId="46515" xr:uid="{00000000-0005-0000-0000-000096300000}"/>
    <cellStyle name="Normal 10 2 2 4 6 4" xfId="27445" xr:uid="{00000000-0005-0000-0000-000097300000}"/>
    <cellStyle name="Normal 10 2 2 4 7" xfId="5765" xr:uid="{00000000-0005-0000-0000-000098300000}"/>
    <cellStyle name="Normal 10 2 2 4 7 2" xfId="14592" xr:uid="{00000000-0005-0000-0000-000099300000}"/>
    <cellStyle name="Normal 10 2 2 4 7 2 2" xfId="40147" xr:uid="{00000000-0005-0000-0000-00009A300000}"/>
    <cellStyle name="Normal 10 2 2 4 7 3" xfId="24843" xr:uid="{00000000-0005-0000-0000-00009B300000}"/>
    <cellStyle name="Normal 10 2 2 4 7 3 2" xfId="50396" xr:uid="{00000000-0005-0000-0000-00009C300000}"/>
    <cellStyle name="Normal 10 2 2 4 7 4" xfId="31326" xr:uid="{00000000-0005-0000-0000-00009D300000}"/>
    <cellStyle name="Normal 10 2 2 4 8" xfId="7209" xr:uid="{00000000-0005-0000-0000-00009E300000}"/>
    <cellStyle name="Normal 10 2 2 4 8 2" xfId="19935" xr:uid="{00000000-0005-0000-0000-00009F300000}"/>
    <cellStyle name="Normal 10 2 2 4 8 2 2" xfId="45488" xr:uid="{00000000-0005-0000-0000-0000A0300000}"/>
    <cellStyle name="Normal 10 2 2 4 8 3" xfId="32766" xr:uid="{00000000-0005-0000-0000-0000A1300000}"/>
    <cellStyle name="Normal 10 2 2 4 9" xfId="15955" xr:uid="{00000000-0005-0000-0000-0000A2300000}"/>
    <cellStyle name="Normal 10 2 2 4 9 2" xfId="41508" xr:uid="{00000000-0005-0000-0000-0000A3300000}"/>
    <cellStyle name="Normal 10 2 2 4_Degree data" xfId="3847" xr:uid="{00000000-0005-0000-0000-0000A4300000}"/>
    <cellStyle name="Normal 10 2 2 5" xfId="332" xr:uid="{00000000-0005-0000-0000-0000A5300000}"/>
    <cellStyle name="Normal 10 2 2 5 2" xfId="2818" xr:uid="{00000000-0005-0000-0000-0000A6300000}"/>
    <cellStyle name="Normal 10 2 2 5 2 2" xfId="12113" xr:uid="{00000000-0005-0000-0000-0000A7300000}"/>
    <cellStyle name="Normal 10 2 2 5 2 2 2" xfId="22179" xr:uid="{00000000-0005-0000-0000-0000A8300000}"/>
    <cellStyle name="Normal 10 2 2 5 2 2 2 2" xfId="47732" xr:uid="{00000000-0005-0000-0000-0000A9300000}"/>
    <cellStyle name="Normal 10 2 2 5 2 2 3" xfId="37668" xr:uid="{00000000-0005-0000-0000-0000AA300000}"/>
    <cellStyle name="Normal 10 2 2 5 2 3" xfId="8469" xr:uid="{00000000-0005-0000-0000-0000AB300000}"/>
    <cellStyle name="Normal 10 2 2 5 2 3 2" xfId="34026" xr:uid="{00000000-0005-0000-0000-0000AC300000}"/>
    <cellStyle name="Normal 10 2 2 5 2 4" xfId="17172" xr:uid="{00000000-0005-0000-0000-0000AD300000}"/>
    <cellStyle name="Normal 10 2 2 5 2 4 2" xfId="42725" xr:uid="{00000000-0005-0000-0000-0000AE300000}"/>
    <cellStyle name="Normal 10 2 2 5 2 5" xfId="28662" xr:uid="{00000000-0005-0000-0000-0000AF300000}"/>
    <cellStyle name="Normal 10 2 2 5 3" xfId="4514" xr:uid="{00000000-0005-0000-0000-0000B0300000}"/>
    <cellStyle name="Normal 10 2 2 5 3 2" xfId="13352" xr:uid="{00000000-0005-0000-0000-0000B1300000}"/>
    <cellStyle name="Normal 10 2 2 5 3 2 2" xfId="23603" xr:uid="{00000000-0005-0000-0000-0000B2300000}"/>
    <cellStyle name="Normal 10 2 2 5 3 2 2 2" xfId="49156" xr:uid="{00000000-0005-0000-0000-0000B3300000}"/>
    <cellStyle name="Normal 10 2 2 5 3 2 3" xfId="38907" xr:uid="{00000000-0005-0000-0000-0000B4300000}"/>
    <cellStyle name="Normal 10 2 2 5 3 3" xfId="9773" xr:uid="{00000000-0005-0000-0000-0000B5300000}"/>
    <cellStyle name="Normal 10 2 2 5 3 3 2" xfId="35330" xr:uid="{00000000-0005-0000-0000-0000B6300000}"/>
    <cellStyle name="Normal 10 2 2 5 3 4" xfId="18596" xr:uid="{00000000-0005-0000-0000-0000B7300000}"/>
    <cellStyle name="Normal 10 2 2 5 3 4 2" xfId="44149" xr:uid="{00000000-0005-0000-0000-0000B8300000}"/>
    <cellStyle name="Normal 10 2 2 5 3 5" xfId="30086" xr:uid="{00000000-0005-0000-0000-0000B9300000}"/>
    <cellStyle name="Normal 10 2 2 5 4" xfId="1927" xr:uid="{00000000-0005-0000-0000-0000BA300000}"/>
    <cellStyle name="Normal 10 2 2 5 4 2" xfId="11292" xr:uid="{00000000-0005-0000-0000-0000BB300000}"/>
    <cellStyle name="Normal 10 2 2 5 4 2 2" xfId="36847" xr:uid="{00000000-0005-0000-0000-0000BC300000}"/>
    <cellStyle name="Normal 10 2 2 5 4 3" xfId="21296" xr:uid="{00000000-0005-0000-0000-0000BD300000}"/>
    <cellStyle name="Normal 10 2 2 5 4 3 2" xfId="46849" xr:uid="{00000000-0005-0000-0000-0000BE300000}"/>
    <cellStyle name="Normal 10 2 2 5 4 4" xfId="27779" xr:uid="{00000000-0005-0000-0000-0000BF300000}"/>
    <cellStyle name="Normal 10 2 2 5 5" xfId="5970" xr:uid="{00000000-0005-0000-0000-0000C0300000}"/>
    <cellStyle name="Normal 10 2 2 5 5 2" xfId="14797" xr:uid="{00000000-0005-0000-0000-0000C1300000}"/>
    <cellStyle name="Normal 10 2 2 5 5 2 2" xfId="40352" xr:uid="{00000000-0005-0000-0000-0000C2300000}"/>
    <cellStyle name="Normal 10 2 2 5 5 3" xfId="25048" xr:uid="{00000000-0005-0000-0000-0000C3300000}"/>
    <cellStyle name="Normal 10 2 2 5 5 3 2" xfId="50601" xr:uid="{00000000-0005-0000-0000-0000C4300000}"/>
    <cellStyle name="Normal 10 2 2 5 5 4" xfId="31531" xr:uid="{00000000-0005-0000-0000-0000C5300000}"/>
    <cellStyle name="Normal 10 2 2 5 6" xfId="7414" xr:uid="{00000000-0005-0000-0000-0000C6300000}"/>
    <cellStyle name="Normal 10 2 2 5 6 2" xfId="19778" xr:uid="{00000000-0005-0000-0000-0000C7300000}"/>
    <cellStyle name="Normal 10 2 2 5 6 2 2" xfId="45331" xr:uid="{00000000-0005-0000-0000-0000C8300000}"/>
    <cellStyle name="Normal 10 2 2 5 6 3" xfId="32971" xr:uid="{00000000-0005-0000-0000-0000C9300000}"/>
    <cellStyle name="Normal 10 2 2 5 7" xfId="16289" xr:uid="{00000000-0005-0000-0000-0000CA300000}"/>
    <cellStyle name="Normal 10 2 2 5 7 2" xfId="41842" xr:uid="{00000000-0005-0000-0000-0000CB300000}"/>
    <cellStyle name="Normal 10 2 2 5 8" xfId="26261" xr:uid="{00000000-0005-0000-0000-0000CC300000}"/>
    <cellStyle name="Normal 10 2 2 6" xfId="699" xr:uid="{00000000-0005-0000-0000-0000CD300000}"/>
    <cellStyle name="Normal 10 2 2 6 2" xfId="3185" xr:uid="{00000000-0005-0000-0000-0000CE300000}"/>
    <cellStyle name="Normal 10 2 2 6 2 2" xfId="12328" xr:uid="{00000000-0005-0000-0000-0000CF300000}"/>
    <cellStyle name="Normal 10 2 2 6 2 2 2" xfId="22546" xr:uid="{00000000-0005-0000-0000-0000D0300000}"/>
    <cellStyle name="Normal 10 2 2 6 2 2 2 2" xfId="48099" xr:uid="{00000000-0005-0000-0000-0000D1300000}"/>
    <cellStyle name="Normal 10 2 2 6 2 2 3" xfId="37883" xr:uid="{00000000-0005-0000-0000-0000D2300000}"/>
    <cellStyle name="Normal 10 2 2 6 2 3" xfId="8750" xr:uid="{00000000-0005-0000-0000-0000D3300000}"/>
    <cellStyle name="Normal 10 2 2 6 2 3 2" xfId="34307" xr:uid="{00000000-0005-0000-0000-0000D4300000}"/>
    <cellStyle name="Normal 10 2 2 6 2 4" xfId="17539" xr:uid="{00000000-0005-0000-0000-0000D5300000}"/>
    <cellStyle name="Normal 10 2 2 6 2 4 2" xfId="43092" xr:uid="{00000000-0005-0000-0000-0000D6300000}"/>
    <cellStyle name="Normal 10 2 2 6 2 5" xfId="29029" xr:uid="{00000000-0005-0000-0000-0000D7300000}"/>
    <cellStyle name="Normal 10 2 2 6 3" xfId="4863" xr:uid="{00000000-0005-0000-0000-0000D8300000}"/>
    <cellStyle name="Normal 10 2 2 6 3 2" xfId="13700" xr:uid="{00000000-0005-0000-0000-0000D9300000}"/>
    <cellStyle name="Normal 10 2 2 6 3 2 2" xfId="23951" xr:uid="{00000000-0005-0000-0000-0000DA300000}"/>
    <cellStyle name="Normal 10 2 2 6 3 2 2 2" xfId="49504" xr:uid="{00000000-0005-0000-0000-0000DB300000}"/>
    <cellStyle name="Normal 10 2 2 6 3 2 3" xfId="39255" xr:uid="{00000000-0005-0000-0000-0000DC300000}"/>
    <cellStyle name="Normal 10 2 2 6 3 3" xfId="10121" xr:uid="{00000000-0005-0000-0000-0000DD300000}"/>
    <cellStyle name="Normal 10 2 2 6 3 3 2" xfId="35678" xr:uid="{00000000-0005-0000-0000-0000DE300000}"/>
    <cellStyle name="Normal 10 2 2 6 3 4" xfId="18944" xr:uid="{00000000-0005-0000-0000-0000DF300000}"/>
    <cellStyle name="Normal 10 2 2 6 3 4 2" xfId="44497" xr:uid="{00000000-0005-0000-0000-0000E0300000}"/>
    <cellStyle name="Normal 10 2 2 6 3 5" xfId="30434" xr:uid="{00000000-0005-0000-0000-0000E1300000}"/>
    <cellStyle name="Normal 10 2 2 6 4" xfId="2294" xr:uid="{00000000-0005-0000-0000-0000E2300000}"/>
    <cellStyle name="Normal 10 2 2 6 4 2" xfId="11659" xr:uid="{00000000-0005-0000-0000-0000E3300000}"/>
    <cellStyle name="Normal 10 2 2 6 4 2 2" xfId="37214" xr:uid="{00000000-0005-0000-0000-0000E4300000}"/>
    <cellStyle name="Normal 10 2 2 6 4 3" xfId="21663" xr:uid="{00000000-0005-0000-0000-0000E5300000}"/>
    <cellStyle name="Normal 10 2 2 6 4 3 2" xfId="47216" xr:uid="{00000000-0005-0000-0000-0000E6300000}"/>
    <cellStyle name="Normal 10 2 2 6 4 4" xfId="28146" xr:uid="{00000000-0005-0000-0000-0000E7300000}"/>
    <cellStyle name="Normal 10 2 2 6 5" xfId="6318" xr:uid="{00000000-0005-0000-0000-0000E8300000}"/>
    <cellStyle name="Normal 10 2 2 6 5 2" xfId="15145" xr:uid="{00000000-0005-0000-0000-0000E9300000}"/>
    <cellStyle name="Normal 10 2 2 6 5 2 2" xfId="40700" xr:uid="{00000000-0005-0000-0000-0000EA300000}"/>
    <cellStyle name="Normal 10 2 2 6 5 3" xfId="25396" xr:uid="{00000000-0005-0000-0000-0000EB300000}"/>
    <cellStyle name="Normal 10 2 2 6 5 3 2" xfId="50949" xr:uid="{00000000-0005-0000-0000-0000EC300000}"/>
    <cellStyle name="Normal 10 2 2 6 5 4" xfId="31879" xr:uid="{00000000-0005-0000-0000-0000ED300000}"/>
    <cellStyle name="Normal 10 2 2 6 6" xfId="7764" xr:uid="{00000000-0005-0000-0000-0000EE300000}"/>
    <cellStyle name="Normal 10 2 2 6 6 2" xfId="20145" xr:uid="{00000000-0005-0000-0000-0000EF300000}"/>
    <cellStyle name="Normal 10 2 2 6 6 2 2" xfId="45698" xr:uid="{00000000-0005-0000-0000-0000F0300000}"/>
    <cellStyle name="Normal 10 2 2 6 6 3" xfId="33321" xr:uid="{00000000-0005-0000-0000-0000F1300000}"/>
    <cellStyle name="Normal 10 2 2 6 7" xfId="16656" xr:uid="{00000000-0005-0000-0000-0000F2300000}"/>
    <cellStyle name="Normal 10 2 2 6 7 2" xfId="42209" xr:uid="{00000000-0005-0000-0000-0000F3300000}"/>
    <cellStyle name="Normal 10 2 2 6 8" xfId="26628" xr:uid="{00000000-0005-0000-0000-0000F4300000}"/>
    <cellStyle name="Normal 10 2 2 7" xfId="1104" xr:uid="{00000000-0005-0000-0000-0000F5300000}"/>
    <cellStyle name="Normal 10 2 2 7 2" xfId="3533" xr:uid="{00000000-0005-0000-0000-0000F6300000}"/>
    <cellStyle name="Normal 10 2 2 7 2 2" xfId="12669" xr:uid="{00000000-0005-0000-0000-0000F7300000}"/>
    <cellStyle name="Normal 10 2 2 7 2 2 2" xfId="22888" xr:uid="{00000000-0005-0000-0000-0000F8300000}"/>
    <cellStyle name="Normal 10 2 2 7 2 2 2 2" xfId="48441" xr:uid="{00000000-0005-0000-0000-0000F9300000}"/>
    <cellStyle name="Normal 10 2 2 7 2 2 3" xfId="38224" xr:uid="{00000000-0005-0000-0000-0000FA300000}"/>
    <cellStyle name="Normal 10 2 2 7 2 3" xfId="9090" xr:uid="{00000000-0005-0000-0000-0000FB300000}"/>
    <cellStyle name="Normal 10 2 2 7 2 3 2" xfId="34647" xr:uid="{00000000-0005-0000-0000-0000FC300000}"/>
    <cellStyle name="Normal 10 2 2 7 2 4" xfId="17881" xr:uid="{00000000-0005-0000-0000-0000FD300000}"/>
    <cellStyle name="Normal 10 2 2 7 2 4 2" xfId="43434" xr:uid="{00000000-0005-0000-0000-0000FE300000}"/>
    <cellStyle name="Normal 10 2 2 7 2 5" xfId="29371" xr:uid="{00000000-0005-0000-0000-0000FF300000}"/>
    <cellStyle name="Normal 10 2 2 7 3" xfId="5196" xr:uid="{00000000-0005-0000-0000-000000310000}"/>
    <cellStyle name="Normal 10 2 2 7 3 2" xfId="14033" xr:uid="{00000000-0005-0000-0000-000001310000}"/>
    <cellStyle name="Normal 10 2 2 7 3 2 2" xfId="24284" xr:uid="{00000000-0005-0000-0000-000002310000}"/>
    <cellStyle name="Normal 10 2 2 7 3 2 2 2" xfId="49837" xr:uid="{00000000-0005-0000-0000-000003310000}"/>
    <cellStyle name="Normal 10 2 2 7 3 2 3" xfId="39588" xr:uid="{00000000-0005-0000-0000-000004310000}"/>
    <cellStyle name="Normal 10 2 2 7 3 3" xfId="10454" xr:uid="{00000000-0005-0000-0000-000005310000}"/>
    <cellStyle name="Normal 10 2 2 7 3 3 2" xfId="36011" xr:uid="{00000000-0005-0000-0000-000006310000}"/>
    <cellStyle name="Normal 10 2 2 7 3 4" xfId="19277" xr:uid="{00000000-0005-0000-0000-000007310000}"/>
    <cellStyle name="Normal 10 2 2 7 3 4 2" xfId="44830" xr:uid="{00000000-0005-0000-0000-000008310000}"/>
    <cellStyle name="Normal 10 2 2 7 3 5" xfId="30767" xr:uid="{00000000-0005-0000-0000-000009310000}"/>
    <cellStyle name="Normal 10 2 2 7 4" xfId="1761" xr:uid="{00000000-0005-0000-0000-00000A310000}"/>
    <cellStyle name="Normal 10 2 2 7 4 2" xfId="11132" xr:uid="{00000000-0005-0000-0000-00000B310000}"/>
    <cellStyle name="Normal 10 2 2 7 4 2 2" xfId="36687" xr:uid="{00000000-0005-0000-0000-00000C310000}"/>
    <cellStyle name="Normal 10 2 2 7 4 3" xfId="21136" xr:uid="{00000000-0005-0000-0000-00000D310000}"/>
    <cellStyle name="Normal 10 2 2 7 4 3 2" xfId="46689" xr:uid="{00000000-0005-0000-0000-00000E310000}"/>
    <cellStyle name="Normal 10 2 2 7 4 4" xfId="27619" xr:uid="{00000000-0005-0000-0000-00000F310000}"/>
    <cellStyle name="Normal 10 2 2 7 5" xfId="6651" xr:uid="{00000000-0005-0000-0000-000010310000}"/>
    <cellStyle name="Normal 10 2 2 7 5 2" xfId="15478" xr:uid="{00000000-0005-0000-0000-000011310000}"/>
    <cellStyle name="Normal 10 2 2 7 5 2 2" xfId="41033" xr:uid="{00000000-0005-0000-0000-000012310000}"/>
    <cellStyle name="Normal 10 2 2 7 5 3" xfId="25729" xr:uid="{00000000-0005-0000-0000-000013310000}"/>
    <cellStyle name="Normal 10 2 2 7 5 3 2" xfId="51282" xr:uid="{00000000-0005-0000-0000-000014310000}"/>
    <cellStyle name="Normal 10 2 2 7 5 4" xfId="32212" xr:uid="{00000000-0005-0000-0000-000015310000}"/>
    <cellStyle name="Normal 10 2 2 7 6" xfId="8097" xr:uid="{00000000-0005-0000-0000-000016310000}"/>
    <cellStyle name="Normal 10 2 2 7 6 2" xfId="20487" xr:uid="{00000000-0005-0000-0000-000017310000}"/>
    <cellStyle name="Normal 10 2 2 7 6 2 2" xfId="46040" xr:uid="{00000000-0005-0000-0000-000018310000}"/>
    <cellStyle name="Normal 10 2 2 7 6 3" xfId="33654" xr:uid="{00000000-0005-0000-0000-000019310000}"/>
    <cellStyle name="Normal 10 2 2 7 7" xfId="16129" xr:uid="{00000000-0005-0000-0000-00001A310000}"/>
    <cellStyle name="Normal 10 2 2 7 7 2" xfId="41682" xr:uid="{00000000-0005-0000-0000-00001B310000}"/>
    <cellStyle name="Normal 10 2 2 7 8" xfId="26970" xr:uid="{00000000-0005-0000-0000-00001C310000}"/>
    <cellStyle name="Normal 10 2 2 8" xfId="2658" xr:uid="{00000000-0005-0000-0000-00001D310000}"/>
    <cellStyle name="Normal 10 2 2 8 2" xfId="5608" xr:uid="{00000000-0005-0000-0000-00001E310000}"/>
    <cellStyle name="Normal 10 2 2 8 2 2" xfId="14435" xr:uid="{00000000-0005-0000-0000-00001F310000}"/>
    <cellStyle name="Normal 10 2 2 8 2 2 2" xfId="39990" xr:uid="{00000000-0005-0000-0000-000020310000}"/>
    <cellStyle name="Normal 10 2 2 8 2 3" xfId="24686" xr:uid="{00000000-0005-0000-0000-000021310000}"/>
    <cellStyle name="Normal 10 2 2 8 2 3 2" xfId="50239" xr:uid="{00000000-0005-0000-0000-000022310000}"/>
    <cellStyle name="Normal 10 2 2 8 2 4" xfId="31169" xr:uid="{00000000-0005-0000-0000-000023310000}"/>
    <cellStyle name="Normal 10 2 2 8 3" xfId="7052" xr:uid="{00000000-0005-0000-0000-000024310000}"/>
    <cellStyle name="Normal 10 2 2 8 3 2" xfId="22019" xr:uid="{00000000-0005-0000-0000-000025310000}"/>
    <cellStyle name="Normal 10 2 2 8 3 2 2" xfId="47572" xr:uid="{00000000-0005-0000-0000-000026310000}"/>
    <cellStyle name="Normal 10 2 2 8 3 3" xfId="32609" xr:uid="{00000000-0005-0000-0000-000027310000}"/>
    <cellStyle name="Normal 10 2 2 8 4" xfId="17012" xr:uid="{00000000-0005-0000-0000-000028310000}"/>
    <cellStyle name="Normal 10 2 2 8 4 2" xfId="42565" xr:uid="{00000000-0005-0000-0000-000029310000}"/>
    <cellStyle name="Normal 10 2 2 8 5" xfId="28502" xr:uid="{00000000-0005-0000-0000-00002A310000}"/>
    <cellStyle name="Normal 10 2 2 9" xfId="4150" xr:uid="{00000000-0005-0000-0000-00002B310000}"/>
    <cellStyle name="Normal 10 2 2 9 2" xfId="12988" xr:uid="{00000000-0005-0000-0000-00002C310000}"/>
    <cellStyle name="Normal 10 2 2 9 2 2" xfId="23239" xr:uid="{00000000-0005-0000-0000-00002D310000}"/>
    <cellStyle name="Normal 10 2 2 9 2 2 2" xfId="48792" xr:uid="{00000000-0005-0000-0000-00002E310000}"/>
    <cellStyle name="Normal 10 2 2 9 2 3" xfId="38543" xr:uid="{00000000-0005-0000-0000-00002F310000}"/>
    <cellStyle name="Normal 10 2 2 9 3" xfId="9409" xr:uid="{00000000-0005-0000-0000-000030310000}"/>
    <cellStyle name="Normal 10 2 2 9 3 2" xfId="34966" xr:uid="{00000000-0005-0000-0000-000031310000}"/>
    <cellStyle name="Normal 10 2 2 9 4" xfId="18232" xr:uid="{00000000-0005-0000-0000-000032310000}"/>
    <cellStyle name="Normal 10 2 2 9 4 2" xfId="43785" xr:uid="{00000000-0005-0000-0000-000033310000}"/>
    <cellStyle name="Normal 10 2 2 9 5" xfId="29722" xr:uid="{00000000-0005-0000-0000-000034310000}"/>
    <cellStyle name="Normal 10 2 2_Degree data" xfId="3866" xr:uid="{00000000-0005-0000-0000-000035310000}"/>
    <cellStyle name="Normal 10 2 3" xfId="179" xr:uid="{00000000-0005-0000-0000-000036310000}"/>
    <cellStyle name="Normal 10 2 3 10" xfId="7127" xr:uid="{00000000-0005-0000-0000-000037310000}"/>
    <cellStyle name="Normal 10 2 3 10 2" xfId="19636" xr:uid="{00000000-0005-0000-0000-000038310000}"/>
    <cellStyle name="Normal 10 2 3 10 2 2" xfId="45189" xr:uid="{00000000-0005-0000-0000-000039310000}"/>
    <cellStyle name="Normal 10 2 3 10 3" xfId="32684" xr:uid="{00000000-0005-0000-0000-00003A310000}"/>
    <cellStyle name="Normal 10 2 3 11" xfId="15873" xr:uid="{00000000-0005-0000-0000-00003B310000}"/>
    <cellStyle name="Normal 10 2 3 11 2" xfId="41426" xr:uid="{00000000-0005-0000-0000-00003C310000}"/>
    <cellStyle name="Normal 10 2 3 12" xfId="26119" xr:uid="{00000000-0005-0000-0000-00003D310000}"/>
    <cellStyle name="Normal 10 2 3 2" xfId="507" xr:uid="{00000000-0005-0000-0000-00003E310000}"/>
    <cellStyle name="Normal 10 2 3 2 10" xfId="26436" xr:uid="{00000000-0005-0000-0000-00003F310000}"/>
    <cellStyle name="Normal 10 2 3 2 2" xfId="706" xr:uid="{00000000-0005-0000-0000-000040310000}"/>
    <cellStyle name="Normal 10 2 3 2 2 2" xfId="3192" xr:uid="{00000000-0005-0000-0000-000041310000}"/>
    <cellStyle name="Normal 10 2 3 2 2 2 2" xfId="12335" xr:uid="{00000000-0005-0000-0000-000042310000}"/>
    <cellStyle name="Normal 10 2 3 2 2 2 2 2" xfId="22553" xr:uid="{00000000-0005-0000-0000-000043310000}"/>
    <cellStyle name="Normal 10 2 3 2 2 2 2 2 2" xfId="48106" xr:uid="{00000000-0005-0000-0000-000044310000}"/>
    <cellStyle name="Normal 10 2 3 2 2 2 2 3" xfId="37890" xr:uid="{00000000-0005-0000-0000-000045310000}"/>
    <cellStyle name="Normal 10 2 3 2 2 2 3" xfId="8757" xr:uid="{00000000-0005-0000-0000-000046310000}"/>
    <cellStyle name="Normal 10 2 3 2 2 2 3 2" xfId="34314" xr:uid="{00000000-0005-0000-0000-000047310000}"/>
    <cellStyle name="Normal 10 2 3 2 2 2 4" xfId="17546" xr:uid="{00000000-0005-0000-0000-000048310000}"/>
    <cellStyle name="Normal 10 2 3 2 2 2 4 2" xfId="43099" xr:uid="{00000000-0005-0000-0000-000049310000}"/>
    <cellStyle name="Normal 10 2 3 2 2 2 5" xfId="29036" xr:uid="{00000000-0005-0000-0000-00004A310000}"/>
    <cellStyle name="Normal 10 2 3 2 2 3" xfId="4521" xr:uid="{00000000-0005-0000-0000-00004B310000}"/>
    <cellStyle name="Normal 10 2 3 2 2 3 2" xfId="13359" xr:uid="{00000000-0005-0000-0000-00004C310000}"/>
    <cellStyle name="Normal 10 2 3 2 2 3 2 2" xfId="23610" xr:uid="{00000000-0005-0000-0000-00004D310000}"/>
    <cellStyle name="Normal 10 2 3 2 2 3 2 2 2" xfId="49163" xr:uid="{00000000-0005-0000-0000-00004E310000}"/>
    <cellStyle name="Normal 10 2 3 2 2 3 2 3" xfId="38914" xr:uid="{00000000-0005-0000-0000-00004F310000}"/>
    <cellStyle name="Normal 10 2 3 2 2 3 3" xfId="9780" xr:uid="{00000000-0005-0000-0000-000050310000}"/>
    <cellStyle name="Normal 10 2 3 2 2 3 3 2" xfId="35337" xr:uid="{00000000-0005-0000-0000-000051310000}"/>
    <cellStyle name="Normal 10 2 3 2 2 3 4" xfId="18603" xr:uid="{00000000-0005-0000-0000-000052310000}"/>
    <cellStyle name="Normal 10 2 3 2 2 3 4 2" xfId="44156" xr:uid="{00000000-0005-0000-0000-000053310000}"/>
    <cellStyle name="Normal 10 2 3 2 2 3 5" xfId="30093" xr:uid="{00000000-0005-0000-0000-000054310000}"/>
    <cellStyle name="Normal 10 2 3 2 2 4" xfId="2301" xr:uid="{00000000-0005-0000-0000-000055310000}"/>
    <cellStyle name="Normal 10 2 3 2 2 4 2" xfId="11666" xr:uid="{00000000-0005-0000-0000-000056310000}"/>
    <cellStyle name="Normal 10 2 3 2 2 4 2 2" xfId="37221" xr:uid="{00000000-0005-0000-0000-000057310000}"/>
    <cellStyle name="Normal 10 2 3 2 2 4 3" xfId="21670" xr:uid="{00000000-0005-0000-0000-000058310000}"/>
    <cellStyle name="Normal 10 2 3 2 2 4 3 2" xfId="47223" xr:uid="{00000000-0005-0000-0000-000059310000}"/>
    <cellStyle name="Normal 10 2 3 2 2 4 4" xfId="28153" xr:uid="{00000000-0005-0000-0000-00005A310000}"/>
    <cellStyle name="Normal 10 2 3 2 2 5" xfId="5977" xr:uid="{00000000-0005-0000-0000-00005B310000}"/>
    <cellStyle name="Normal 10 2 3 2 2 5 2" xfId="14804" xr:uid="{00000000-0005-0000-0000-00005C310000}"/>
    <cellStyle name="Normal 10 2 3 2 2 5 2 2" xfId="40359" xr:uid="{00000000-0005-0000-0000-00005D310000}"/>
    <cellStyle name="Normal 10 2 3 2 2 5 3" xfId="25055" xr:uid="{00000000-0005-0000-0000-00005E310000}"/>
    <cellStyle name="Normal 10 2 3 2 2 5 3 2" xfId="50608" xr:uid="{00000000-0005-0000-0000-00005F310000}"/>
    <cellStyle name="Normal 10 2 3 2 2 5 4" xfId="31538" xr:uid="{00000000-0005-0000-0000-000060310000}"/>
    <cellStyle name="Normal 10 2 3 2 2 6" xfId="7421" xr:uid="{00000000-0005-0000-0000-000061310000}"/>
    <cellStyle name="Normal 10 2 3 2 2 6 2" xfId="20152" xr:uid="{00000000-0005-0000-0000-000062310000}"/>
    <cellStyle name="Normal 10 2 3 2 2 6 2 2" xfId="45705" xr:uid="{00000000-0005-0000-0000-000063310000}"/>
    <cellStyle name="Normal 10 2 3 2 2 6 3" xfId="32978" xr:uid="{00000000-0005-0000-0000-000064310000}"/>
    <cellStyle name="Normal 10 2 3 2 2 7" xfId="16663" xr:uid="{00000000-0005-0000-0000-000065310000}"/>
    <cellStyle name="Normal 10 2 3 2 2 7 2" xfId="42216" xr:uid="{00000000-0005-0000-0000-000066310000}"/>
    <cellStyle name="Normal 10 2 3 2 2 8" xfId="26635" xr:uid="{00000000-0005-0000-0000-000067310000}"/>
    <cellStyle name="Normal 10 2 3 2 3" xfId="1279" xr:uid="{00000000-0005-0000-0000-000068310000}"/>
    <cellStyle name="Normal 10 2 3 2 3 2" xfId="3708" xr:uid="{00000000-0005-0000-0000-000069310000}"/>
    <cellStyle name="Normal 10 2 3 2 3 2 2" xfId="12844" xr:uid="{00000000-0005-0000-0000-00006A310000}"/>
    <cellStyle name="Normal 10 2 3 2 3 2 2 2" xfId="23063" xr:uid="{00000000-0005-0000-0000-00006B310000}"/>
    <cellStyle name="Normal 10 2 3 2 3 2 2 2 2" xfId="48616" xr:uid="{00000000-0005-0000-0000-00006C310000}"/>
    <cellStyle name="Normal 10 2 3 2 3 2 2 3" xfId="38399" xr:uid="{00000000-0005-0000-0000-00006D310000}"/>
    <cellStyle name="Normal 10 2 3 2 3 2 3" xfId="9265" xr:uid="{00000000-0005-0000-0000-00006E310000}"/>
    <cellStyle name="Normal 10 2 3 2 3 2 3 2" xfId="34822" xr:uid="{00000000-0005-0000-0000-00006F310000}"/>
    <cellStyle name="Normal 10 2 3 2 3 2 4" xfId="18056" xr:uid="{00000000-0005-0000-0000-000070310000}"/>
    <cellStyle name="Normal 10 2 3 2 3 2 4 2" xfId="43609" xr:uid="{00000000-0005-0000-0000-000071310000}"/>
    <cellStyle name="Normal 10 2 3 2 3 2 5" xfId="29546" xr:uid="{00000000-0005-0000-0000-000072310000}"/>
    <cellStyle name="Normal 10 2 3 2 3 3" xfId="4870" xr:uid="{00000000-0005-0000-0000-000073310000}"/>
    <cellStyle name="Normal 10 2 3 2 3 3 2" xfId="13707" xr:uid="{00000000-0005-0000-0000-000074310000}"/>
    <cellStyle name="Normal 10 2 3 2 3 3 2 2" xfId="23958" xr:uid="{00000000-0005-0000-0000-000075310000}"/>
    <cellStyle name="Normal 10 2 3 2 3 3 2 2 2" xfId="49511" xr:uid="{00000000-0005-0000-0000-000076310000}"/>
    <cellStyle name="Normal 10 2 3 2 3 3 2 3" xfId="39262" xr:uid="{00000000-0005-0000-0000-000077310000}"/>
    <cellStyle name="Normal 10 2 3 2 3 3 3" xfId="10128" xr:uid="{00000000-0005-0000-0000-000078310000}"/>
    <cellStyle name="Normal 10 2 3 2 3 3 3 2" xfId="35685" xr:uid="{00000000-0005-0000-0000-000079310000}"/>
    <cellStyle name="Normal 10 2 3 2 3 3 4" xfId="18951" xr:uid="{00000000-0005-0000-0000-00007A310000}"/>
    <cellStyle name="Normal 10 2 3 2 3 3 4 2" xfId="44504" xr:uid="{00000000-0005-0000-0000-00007B310000}"/>
    <cellStyle name="Normal 10 2 3 2 3 3 5" xfId="30441" xr:uid="{00000000-0005-0000-0000-00007C310000}"/>
    <cellStyle name="Normal 10 2 3 2 3 4" xfId="2102" xr:uid="{00000000-0005-0000-0000-00007D310000}"/>
    <cellStyle name="Normal 10 2 3 2 3 4 2" xfId="11467" xr:uid="{00000000-0005-0000-0000-00007E310000}"/>
    <cellStyle name="Normal 10 2 3 2 3 4 2 2" xfId="37022" xr:uid="{00000000-0005-0000-0000-00007F310000}"/>
    <cellStyle name="Normal 10 2 3 2 3 4 3" xfId="21471" xr:uid="{00000000-0005-0000-0000-000080310000}"/>
    <cellStyle name="Normal 10 2 3 2 3 4 3 2" xfId="47024" xr:uid="{00000000-0005-0000-0000-000081310000}"/>
    <cellStyle name="Normal 10 2 3 2 3 4 4" xfId="27954" xr:uid="{00000000-0005-0000-0000-000082310000}"/>
    <cellStyle name="Normal 10 2 3 2 3 5" xfId="6325" xr:uid="{00000000-0005-0000-0000-000083310000}"/>
    <cellStyle name="Normal 10 2 3 2 3 5 2" xfId="15152" xr:uid="{00000000-0005-0000-0000-000084310000}"/>
    <cellStyle name="Normal 10 2 3 2 3 5 2 2" xfId="40707" xr:uid="{00000000-0005-0000-0000-000085310000}"/>
    <cellStyle name="Normal 10 2 3 2 3 5 3" xfId="25403" xr:uid="{00000000-0005-0000-0000-000086310000}"/>
    <cellStyle name="Normal 10 2 3 2 3 5 3 2" xfId="50956" xr:uid="{00000000-0005-0000-0000-000087310000}"/>
    <cellStyle name="Normal 10 2 3 2 3 5 4" xfId="31886" xr:uid="{00000000-0005-0000-0000-000088310000}"/>
    <cellStyle name="Normal 10 2 3 2 3 6" xfId="7771" xr:uid="{00000000-0005-0000-0000-000089310000}"/>
    <cellStyle name="Normal 10 2 3 2 3 6 2" xfId="20662" xr:uid="{00000000-0005-0000-0000-00008A310000}"/>
    <cellStyle name="Normal 10 2 3 2 3 6 2 2" xfId="46215" xr:uid="{00000000-0005-0000-0000-00008B310000}"/>
    <cellStyle name="Normal 10 2 3 2 3 6 3" xfId="33328" xr:uid="{00000000-0005-0000-0000-00008C310000}"/>
    <cellStyle name="Normal 10 2 3 2 3 7" xfId="16464" xr:uid="{00000000-0005-0000-0000-00008D310000}"/>
    <cellStyle name="Normal 10 2 3 2 3 7 2" xfId="42017" xr:uid="{00000000-0005-0000-0000-00008E310000}"/>
    <cellStyle name="Normal 10 2 3 2 3 8" xfId="27145" xr:uid="{00000000-0005-0000-0000-00008F310000}"/>
    <cellStyle name="Normal 10 2 3 2 4" xfId="2993" xr:uid="{00000000-0005-0000-0000-000090310000}"/>
    <cellStyle name="Normal 10 2 3 2 4 2" xfId="5371" xr:uid="{00000000-0005-0000-0000-000091310000}"/>
    <cellStyle name="Normal 10 2 3 2 4 2 2" xfId="14208" xr:uid="{00000000-0005-0000-0000-000092310000}"/>
    <cellStyle name="Normal 10 2 3 2 4 2 2 2" xfId="24459" xr:uid="{00000000-0005-0000-0000-000093310000}"/>
    <cellStyle name="Normal 10 2 3 2 4 2 2 2 2" xfId="50012" xr:uid="{00000000-0005-0000-0000-000094310000}"/>
    <cellStyle name="Normal 10 2 3 2 4 2 2 3" xfId="39763" xr:uid="{00000000-0005-0000-0000-000095310000}"/>
    <cellStyle name="Normal 10 2 3 2 4 2 3" xfId="10629" xr:uid="{00000000-0005-0000-0000-000096310000}"/>
    <cellStyle name="Normal 10 2 3 2 4 2 3 2" xfId="36186" xr:uid="{00000000-0005-0000-0000-000097310000}"/>
    <cellStyle name="Normal 10 2 3 2 4 2 4" xfId="19452" xr:uid="{00000000-0005-0000-0000-000098310000}"/>
    <cellStyle name="Normal 10 2 3 2 4 2 4 2" xfId="45005" xr:uid="{00000000-0005-0000-0000-000099310000}"/>
    <cellStyle name="Normal 10 2 3 2 4 2 5" xfId="30942" xr:uid="{00000000-0005-0000-0000-00009A310000}"/>
    <cellStyle name="Normal 10 2 3 2 4 3" xfId="6826" xr:uid="{00000000-0005-0000-0000-00009B310000}"/>
    <cellStyle name="Normal 10 2 3 2 4 3 2" xfId="15653" xr:uid="{00000000-0005-0000-0000-00009C310000}"/>
    <cellStyle name="Normal 10 2 3 2 4 3 2 2" xfId="41208" xr:uid="{00000000-0005-0000-0000-00009D310000}"/>
    <cellStyle name="Normal 10 2 3 2 4 3 3" xfId="25904" xr:uid="{00000000-0005-0000-0000-00009E310000}"/>
    <cellStyle name="Normal 10 2 3 2 4 3 3 2" xfId="51457" xr:uid="{00000000-0005-0000-0000-00009F310000}"/>
    <cellStyle name="Normal 10 2 3 2 4 3 4" xfId="32387" xr:uid="{00000000-0005-0000-0000-0000A0310000}"/>
    <cellStyle name="Normal 10 2 3 2 4 4" xfId="8272" xr:uid="{00000000-0005-0000-0000-0000A1310000}"/>
    <cellStyle name="Normal 10 2 3 2 4 4 2" xfId="22354" xr:uid="{00000000-0005-0000-0000-0000A2310000}"/>
    <cellStyle name="Normal 10 2 3 2 4 4 2 2" xfId="47907" xr:uid="{00000000-0005-0000-0000-0000A3310000}"/>
    <cellStyle name="Normal 10 2 3 2 4 4 3" xfId="33829" xr:uid="{00000000-0005-0000-0000-0000A4310000}"/>
    <cellStyle name="Normal 10 2 3 2 4 5" xfId="17347" xr:uid="{00000000-0005-0000-0000-0000A5310000}"/>
    <cellStyle name="Normal 10 2 3 2 4 5 2" xfId="42900" xr:uid="{00000000-0005-0000-0000-0000A6310000}"/>
    <cellStyle name="Normal 10 2 3 2 4 6" xfId="28837" xr:uid="{00000000-0005-0000-0000-0000A7310000}"/>
    <cellStyle name="Normal 10 2 3 2 5" xfId="4327" xr:uid="{00000000-0005-0000-0000-0000A8310000}"/>
    <cellStyle name="Normal 10 2 3 2 5 2" xfId="13165" xr:uid="{00000000-0005-0000-0000-0000A9310000}"/>
    <cellStyle name="Normal 10 2 3 2 5 2 2" xfId="23416" xr:uid="{00000000-0005-0000-0000-0000AA310000}"/>
    <cellStyle name="Normal 10 2 3 2 5 2 2 2" xfId="48969" xr:uid="{00000000-0005-0000-0000-0000AB310000}"/>
    <cellStyle name="Normal 10 2 3 2 5 2 3" xfId="38720" xr:uid="{00000000-0005-0000-0000-0000AC310000}"/>
    <cellStyle name="Normal 10 2 3 2 5 3" xfId="9586" xr:uid="{00000000-0005-0000-0000-0000AD310000}"/>
    <cellStyle name="Normal 10 2 3 2 5 3 2" xfId="35143" xr:uid="{00000000-0005-0000-0000-0000AE310000}"/>
    <cellStyle name="Normal 10 2 3 2 5 4" xfId="18409" xr:uid="{00000000-0005-0000-0000-0000AF310000}"/>
    <cellStyle name="Normal 10 2 3 2 5 4 2" xfId="43962" xr:uid="{00000000-0005-0000-0000-0000B0310000}"/>
    <cellStyle name="Normal 10 2 3 2 5 5" xfId="29899" xr:uid="{00000000-0005-0000-0000-0000B1310000}"/>
    <cellStyle name="Normal 10 2 3 2 6" xfId="1599" xr:uid="{00000000-0005-0000-0000-0000B2310000}"/>
    <cellStyle name="Normal 10 2 3 2 6 2" xfId="10976" xr:uid="{00000000-0005-0000-0000-0000B3310000}"/>
    <cellStyle name="Normal 10 2 3 2 6 2 2" xfId="36531" xr:uid="{00000000-0005-0000-0000-0000B4310000}"/>
    <cellStyle name="Normal 10 2 3 2 6 3" xfId="20980" xr:uid="{00000000-0005-0000-0000-0000B5310000}"/>
    <cellStyle name="Normal 10 2 3 2 6 3 2" xfId="46533" xr:uid="{00000000-0005-0000-0000-0000B6310000}"/>
    <cellStyle name="Normal 10 2 3 2 6 4" xfId="27463" xr:uid="{00000000-0005-0000-0000-0000B7310000}"/>
    <cellStyle name="Normal 10 2 3 2 7" xfId="5783" xr:uid="{00000000-0005-0000-0000-0000B8310000}"/>
    <cellStyle name="Normal 10 2 3 2 7 2" xfId="14610" xr:uid="{00000000-0005-0000-0000-0000B9310000}"/>
    <cellStyle name="Normal 10 2 3 2 7 2 2" xfId="40165" xr:uid="{00000000-0005-0000-0000-0000BA310000}"/>
    <cellStyle name="Normal 10 2 3 2 7 3" xfId="24861" xr:uid="{00000000-0005-0000-0000-0000BB310000}"/>
    <cellStyle name="Normal 10 2 3 2 7 3 2" xfId="50414" xr:uid="{00000000-0005-0000-0000-0000BC310000}"/>
    <cellStyle name="Normal 10 2 3 2 7 4" xfId="31344" xr:uid="{00000000-0005-0000-0000-0000BD310000}"/>
    <cellStyle name="Normal 10 2 3 2 8" xfId="7227" xr:uid="{00000000-0005-0000-0000-0000BE310000}"/>
    <cellStyle name="Normal 10 2 3 2 8 2" xfId="19953" xr:uid="{00000000-0005-0000-0000-0000BF310000}"/>
    <cellStyle name="Normal 10 2 3 2 8 2 2" xfId="45506" xr:uid="{00000000-0005-0000-0000-0000C0310000}"/>
    <cellStyle name="Normal 10 2 3 2 8 3" xfId="32784" xr:uid="{00000000-0005-0000-0000-0000C1310000}"/>
    <cellStyle name="Normal 10 2 3 2 9" xfId="15973" xr:uid="{00000000-0005-0000-0000-0000C2310000}"/>
    <cellStyle name="Normal 10 2 3 2 9 2" xfId="41526" xr:uid="{00000000-0005-0000-0000-0000C3310000}"/>
    <cellStyle name="Normal 10 2 3 2_Degree data" xfId="3837" xr:uid="{00000000-0005-0000-0000-0000C4310000}"/>
    <cellStyle name="Normal 10 2 3 3" xfId="407" xr:uid="{00000000-0005-0000-0000-0000C5310000}"/>
    <cellStyle name="Normal 10 2 3 3 2" xfId="2893" xr:uid="{00000000-0005-0000-0000-0000C6310000}"/>
    <cellStyle name="Normal 10 2 3 3 2 2" xfId="12181" xr:uid="{00000000-0005-0000-0000-0000C7310000}"/>
    <cellStyle name="Normal 10 2 3 3 2 2 2" xfId="22254" xr:uid="{00000000-0005-0000-0000-0000C8310000}"/>
    <cellStyle name="Normal 10 2 3 3 2 2 2 2" xfId="47807" xr:uid="{00000000-0005-0000-0000-0000C9310000}"/>
    <cellStyle name="Normal 10 2 3 3 2 2 3" xfId="37736" xr:uid="{00000000-0005-0000-0000-0000CA310000}"/>
    <cellStyle name="Normal 10 2 3 3 2 3" xfId="8452" xr:uid="{00000000-0005-0000-0000-0000CB310000}"/>
    <cellStyle name="Normal 10 2 3 3 2 3 2" xfId="34009" xr:uid="{00000000-0005-0000-0000-0000CC310000}"/>
    <cellStyle name="Normal 10 2 3 3 2 4" xfId="17247" xr:uid="{00000000-0005-0000-0000-0000CD310000}"/>
    <cellStyle name="Normal 10 2 3 3 2 4 2" xfId="42800" xr:uid="{00000000-0005-0000-0000-0000CE310000}"/>
    <cellStyle name="Normal 10 2 3 3 2 5" xfId="28737" xr:uid="{00000000-0005-0000-0000-0000CF310000}"/>
    <cellStyle name="Normal 10 2 3 3 3" xfId="4520" xr:uid="{00000000-0005-0000-0000-0000D0310000}"/>
    <cellStyle name="Normal 10 2 3 3 3 2" xfId="13358" xr:uid="{00000000-0005-0000-0000-0000D1310000}"/>
    <cellStyle name="Normal 10 2 3 3 3 2 2" xfId="23609" xr:uid="{00000000-0005-0000-0000-0000D2310000}"/>
    <cellStyle name="Normal 10 2 3 3 3 2 2 2" xfId="49162" xr:uid="{00000000-0005-0000-0000-0000D3310000}"/>
    <cellStyle name="Normal 10 2 3 3 3 2 3" xfId="38913" xr:uid="{00000000-0005-0000-0000-0000D4310000}"/>
    <cellStyle name="Normal 10 2 3 3 3 3" xfId="9779" xr:uid="{00000000-0005-0000-0000-0000D5310000}"/>
    <cellStyle name="Normal 10 2 3 3 3 3 2" xfId="35336" xr:uid="{00000000-0005-0000-0000-0000D6310000}"/>
    <cellStyle name="Normal 10 2 3 3 3 4" xfId="18602" xr:uid="{00000000-0005-0000-0000-0000D7310000}"/>
    <cellStyle name="Normal 10 2 3 3 3 4 2" xfId="44155" xr:uid="{00000000-0005-0000-0000-0000D8310000}"/>
    <cellStyle name="Normal 10 2 3 3 3 5" xfId="30092" xr:uid="{00000000-0005-0000-0000-0000D9310000}"/>
    <cellStyle name="Normal 10 2 3 3 4" xfId="2002" xr:uid="{00000000-0005-0000-0000-0000DA310000}"/>
    <cellStyle name="Normal 10 2 3 3 4 2" xfId="11367" xr:uid="{00000000-0005-0000-0000-0000DB310000}"/>
    <cellStyle name="Normal 10 2 3 3 4 2 2" xfId="36922" xr:uid="{00000000-0005-0000-0000-0000DC310000}"/>
    <cellStyle name="Normal 10 2 3 3 4 3" xfId="21371" xr:uid="{00000000-0005-0000-0000-0000DD310000}"/>
    <cellStyle name="Normal 10 2 3 3 4 3 2" xfId="46924" xr:uid="{00000000-0005-0000-0000-0000DE310000}"/>
    <cellStyle name="Normal 10 2 3 3 4 4" xfId="27854" xr:uid="{00000000-0005-0000-0000-0000DF310000}"/>
    <cellStyle name="Normal 10 2 3 3 5" xfId="5976" xr:uid="{00000000-0005-0000-0000-0000E0310000}"/>
    <cellStyle name="Normal 10 2 3 3 5 2" xfId="14803" xr:uid="{00000000-0005-0000-0000-0000E1310000}"/>
    <cellStyle name="Normal 10 2 3 3 5 2 2" xfId="40358" xr:uid="{00000000-0005-0000-0000-0000E2310000}"/>
    <cellStyle name="Normal 10 2 3 3 5 3" xfId="25054" xr:uid="{00000000-0005-0000-0000-0000E3310000}"/>
    <cellStyle name="Normal 10 2 3 3 5 3 2" xfId="50607" xr:uid="{00000000-0005-0000-0000-0000E4310000}"/>
    <cellStyle name="Normal 10 2 3 3 5 4" xfId="31537" xr:uid="{00000000-0005-0000-0000-0000E5310000}"/>
    <cellStyle name="Normal 10 2 3 3 6" xfId="7420" xr:uid="{00000000-0005-0000-0000-0000E6310000}"/>
    <cellStyle name="Normal 10 2 3 3 6 2" xfId="19853" xr:uid="{00000000-0005-0000-0000-0000E7310000}"/>
    <cellStyle name="Normal 10 2 3 3 6 2 2" xfId="45406" xr:uid="{00000000-0005-0000-0000-0000E8310000}"/>
    <cellStyle name="Normal 10 2 3 3 6 3" xfId="32977" xr:uid="{00000000-0005-0000-0000-0000E9310000}"/>
    <cellStyle name="Normal 10 2 3 3 7" xfId="16364" xr:uid="{00000000-0005-0000-0000-0000EA310000}"/>
    <cellStyle name="Normal 10 2 3 3 7 2" xfId="41917" xr:uid="{00000000-0005-0000-0000-0000EB310000}"/>
    <cellStyle name="Normal 10 2 3 3 8" xfId="26336" xr:uid="{00000000-0005-0000-0000-0000EC310000}"/>
    <cellStyle name="Normal 10 2 3 4" xfId="705" xr:uid="{00000000-0005-0000-0000-0000ED310000}"/>
    <cellStyle name="Normal 10 2 3 4 2" xfId="3191" xr:uid="{00000000-0005-0000-0000-0000EE310000}"/>
    <cellStyle name="Normal 10 2 3 4 2 2" xfId="12334" xr:uid="{00000000-0005-0000-0000-0000EF310000}"/>
    <cellStyle name="Normal 10 2 3 4 2 2 2" xfId="22552" xr:uid="{00000000-0005-0000-0000-0000F0310000}"/>
    <cellStyle name="Normal 10 2 3 4 2 2 2 2" xfId="48105" xr:uid="{00000000-0005-0000-0000-0000F1310000}"/>
    <cellStyle name="Normal 10 2 3 4 2 2 3" xfId="37889" xr:uid="{00000000-0005-0000-0000-0000F2310000}"/>
    <cellStyle name="Normal 10 2 3 4 2 3" xfId="8756" xr:uid="{00000000-0005-0000-0000-0000F3310000}"/>
    <cellStyle name="Normal 10 2 3 4 2 3 2" xfId="34313" xr:uid="{00000000-0005-0000-0000-0000F4310000}"/>
    <cellStyle name="Normal 10 2 3 4 2 4" xfId="17545" xr:uid="{00000000-0005-0000-0000-0000F5310000}"/>
    <cellStyle name="Normal 10 2 3 4 2 4 2" xfId="43098" xr:uid="{00000000-0005-0000-0000-0000F6310000}"/>
    <cellStyle name="Normal 10 2 3 4 2 5" xfId="29035" xr:uid="{00000000-0005-0000-0000-0000F7310000}"/>
    <cellStyle name="Normal 10 2 3 4 3" xfId="4869" xr:uid="{00000000-0005-0000-0000-0000F8310000}"/>
    <cellStyle name="Normal 10 2 3 4 3 2" xfId="13706" xr:uid="{00000000-0005-0000-0000-0000F9310000}"/>
    <cellStyle name="Normal 10 2 3 4 3 2 2" xfId="23957" xr:uid="{00000000-0005-0000-0000-0000FA310000}"/>
    <cellStyle name="Normal 10 2 3 4 3 2 2 2" xfId="49510" xr:uid="{00000000-0005-0000-0000-0000FB310000}"/>
    <cellStyle name="Normal 10 2 3 4 3 2 3" xfId="39261" xr:uid="{00000000-0005-0000-0000-0000FC310000}"/>
    <cellStyle name="Normal 10 2 3 4 3 3" xfId="10127" xr:uid="{00000000-0005-0000-0000-0000FD310000}"/>
    <cellStyle name="Normal 10 2 3 4 3 3 2" xfId="35684" xr:uid="{00000000-0005-0000-0000-0000FE310000}"/>
    <cellStyle name="Normal 10 2 3 4 3 4" xfId="18950" xr:uid="{00000000-0005-0000-0000-0000FF310000}"/>
    <cellStyle name="Normal 10 2 3 4 3 4 2" xfId="44503" xr:uid="{00000000-0005-0000-0000-000000320000}"/>
    <cellStyle name="Normal 10 2 3 4 3 5" xfId="30440" xr:uid="{00000000-0005-0000-0000-000001320000}"/>
    <cellStyle name="Normal 10 2 3 4 4" xfId="2300" xr:uid="{00000000-0005-0000-0000-000002320000}"/>
    <cellStyle name="Normal 10 2 3 4 4 2" xfId="11665" xr:uid="{00000000-0005-0000-0000-000003320000}"/>
    <cellStyle name="Normal 10 2 3 4 4 2 2" xfId="37220" xr:uid="{00000000-0005-0000-0000-000004320000}"/>
    <cellStyle name="Normal 10 2 3 4 4 3" xfId="21669" xr:uid="{00000000-0005-0000-0000-000005320000}"/>
    <cellStyle name="Normal 10 2 3 4 4 3 2" xfId="47222" xr:uid="{00000000-0005-0000-0000-000006320000}"/>
    <cellStyle name="Normal 10 2 3 4 4 4" xfId="28152" xr:uid="{00000000-0005-0000-0000-000007320000}"/>
    <cellStyle name="Normal 10 2 3 4 5" xfId="6324" xr:uid="{00000000-0005-0000-0000-000008320000}"/>
    <cellStyle name="Normal 10 2 3 4 5 2" xfId="15151" xr:uid="{00000000-0005-0000-0000-000009320000}"/>
    <cellStyle name="Normal 10 2 3 4 5 2 2" xfId="40706" xr:uid="{00000000-0005-0000-0000-00000A320000}"/>
    <cellStyle name="Normal 10 2 3 4 5 3" xfId="25402" xr:uid="{00000000-0005-0000-0000-00000B320000}"/>
    <cellStyle name="Normal 10 2 3 4 5 3 2" xfId="50955" xr:uid="{00000000-0005-0000-0000-00000C320000}"/>
    <cellStyle name="Normal 10 2 3 4 5 4" xfId="31885" xr:uid="{00000000-0005-0000-0000-00000D320000}"/>
    <cellStyle name="Normal 10 2 3 4 6" xfId="7770" xr:uid="{00000000-0005-0000-0000-00000E320000}"/>
    <cellStyle name="Normal 10 2 3 4 6 2" xfId="20151" xr:uid="{00000000-0005-0000-0000-00000F320000}"/>
    <cellStyle name="Normal 10 2 3 4 6 2 2" xfId="45704" xr:uid="{00000000-0005-0000-0000-000010320000}"/>
    <cellStyle name="Normal 10 2 3 4 6 3" xfId="33327" xr:uid="{00000000-0005-0000-0000-000011320000}"/>
    <cellStyle name="Normal 10 2 3 4 7" xfId="16662" xr:uid="{00000000-0005-0000-0000-000012320000}"/>
    <cellStyle name="Normal 10 2 3 4 7 2" xfId="42215" xr:uid="{00000000-0005-0000-0000-000013320000}"/>
    <cellStyle name="Normal 10 2 3 4 8" xfId="26634" xr:uid="{00000000-0005-0000-0000-000014320000}"/>
    <cellStyle name="Normal 10 2 3 5" xfId="1179" xr:uid="{00000000-0005-0000-0000-000015320000}"/>
    <cellStyle name="Normal 10 2 3 5 2" xfId="3608" xr:uid="{00000000-0005-0000-0000-000016320000}"/>
    <cellStyle name="Normal 10 2 3 5 2 2" xfId="12744" xr:uid="{00000000-0005-0000-0000-000017320000}"/>
    <cellStyle name="Normal 10 2 3 5 2 2 2" xfId="22963" xr:uid="{00000000-0005-0000-0000-000018320000}"/>
    <cellStyle name="Normal 10 2 3 5 2 2 2 2" xfId="48516" xr:uid="{00000000-0005-0000-0000-000019320000}"/>
    <cellStyle name="Normal 10 2 3 5 2 2 3" xfId="38299" xr:uid="{00000000-0005-0000-0000-00001A320000}"/>
    <cellStyle name="Normal 10 2 3 5 2 3" xfId="9165" xr:uid="{00000000-0005-0000-0000-00001B320000}"/>
    <cellStyle name="Normal 10 2 3 5 2 3 2" xfId="34722" xr:uid="{00000000-0005-0000-0000-00001C320000}"/>
    <cellStyle name="Normal 10 2 3 5 2 4" xfId="17956" xr:uid="{00000000-0005-0000-0000-00001D320000}"/>
    <cellStyle name="Normal 10 2 3 5 2 4 2" xfId="43509" xr:uid="{00000000-0005-0000-0000-00001E320000}"/>
    <cellStyle name="Normal 10 2 3 5 2 5" xfId="29446" xr:uid="{00000000-0005-0000-0000-00001F320000}"/>
    <cellStyle name="Normal 10 2 3 5 3" xfId="5271" xr:uid="{00000000-0005-0000-0000-000020320000}"/>
    <cellStyle name="Normal 10 2 3 5 3 2" xfId="14108" xr:uid="{00000000-0005-0000-0000-000021320000}"/>
    <cellStyle name="Normal 10 2 3 5 3 2 2" xfId="24359" xr:uid="{00000000-0005-0000-0000-000022320000}"/>
    <cellStyle name="Normal 10 2 3 5 3 2 2 2" xfId="49912" xr:uid="{00000000-0005-0000-0000-000023320000}"/>
    <cellStyle name="Normal 10 2 3 5 3 2 3" xfId="39663" xr:uid="{00000000-0005-0000-0000-000024320000}"/>
    <cellStyle name="Normal 10 2 3 5 3 3" xfId="10529" xr:uid="{00000000-0005-0000-0000-000025320000}"/>
    <cellStyle name="Normal 10 2 3 5 3 3 2" xfId="36086" xr:uid="{00000000-0005-0000-0000-000026320000}"/>
    <cellStyle name="Normal 10 2 3 5 3 4" xfId="19352" xr:uid="{00000000-0005-0000-0000-000027320000}"/>
    <cellStyle name="Normal 10 2 3 5 3 4 2" xfId="44905" xr:uid="{00000000-0005-0000-0000-000028320000}"/>
    <cellStyle name="Normal 10 2 3 5 3 5" xfId="30842" xr:uid="{00000000-0005-0000-0000-000029320000}"/>
    <cellStyle name="Normal 10 2 3 5 4" xfId="1781" xr:uid="{00000000-0005-0000-0000-00002A320000}"/>
    <cellStyle name="Normal 10 2 3 5 4 2" xfId="11150" xr:uid="{00000000-0005-0000-0000-00002B320000}"/>
    <cellStyle name="Normal 10 2 3 5 4 2 2" xfId="36705" xr:uid="{00000000-0005-0000-0000-00002C320000}"/>
    <cellStyle name="Normal 10 2 3 5 4 3" xfId="21154" xr:uid="{00000000-0005-0000-0000-00002D320000}"/>
    <cellStyle name="Normal 10 2 3 5 4 3 2" xfId="46707" xr:uid="{00000000-0005-0000-0000-00002E320000}"/>
    <cellStyle name="Normal 10 2 3 5 4 4" xfId="27637" xr:uid="{00000000-0005-0000-0000-00002F320000}"/>
    <cellStyle name="Normal 10 2 3 5 5" xfId="6726" xr:uid="{00000000-0005-0000-0000-000030320000}"/>
    <cellStyle name="Normal 10 2 3 5 5 2" xfId="15553" xr:uid="{00000000-0005-0000-0000-000031320000}"/>
    <cellStyle name="Normal 10 2 3 5 5 2 2" xfId="41108" xr:uid="{00000000-0005-0000-0000-000032320000}"/>
    <cellStyle name="Normal 10 2 3 5 5 3" xfId="25804" xr:uid="{00000000-0005-0000-0000-000033320000}"/>
    <cellStyle name="Normal 10 2 3 5 5 3 2" xfId="51357" xr:uid="{00000000-0005-0000-0000-000034320000}"/>
    <cellStyle name="Normal 10 2 3 5 5 4" xfId="32287" xr:uid="{00000000-0005-0000-0000-000035320000}"/>
    <cellStyle name="Normal 10 2 3 5 6" xfId="8172" xr:uid="{00000000-0005-0000-0000-000036320000}"/>
    <cellStyle name="Normal 10 2 3 5 6 2" xfId="20562" xr:uid="{00000000-0005-0000-0000-000037320000}"/>
    <cellStyle name="Normal 10 2 3 5 6 2 2" xfId="46115" xr:uid="{00000000-0005-0000-0000-000038320000}"/>
    <cellStyle name="Normal 10 2 3 5 6 3" xfId="33729" xr:uid="{00000000-0005-0000-0000-000039320000}"/>
    <cellStyle name="Normal 10 2 3 5 7" xfId="16147" xr:uid="{00000000-0005-0000-0000-00003A320000}"/>
    <cellStyle name="Normal 10 2 3 5 7 2" xfId="41700" xr:uid="{00000000-0005-0000-0000-00003B320000}"/>
    <cellStyle name="Normal 10 2 3 5 8" xfId="27045" xr:uid="{00000000-0005-0000-0000-00003C320000}"/>
    <cellStyle name="Normal 10 2 3 6" xfId="2676" xr:uid="{00000000-0005-0000-0000-00003D320000}"/>
    <cellStyle name="Normal 10 2 3 6 2" xfId="11993" xr:uid="{00000000-0005-0000-0000-00003E320000}"/>
    <cellStyle name="Normal 10 2 3 6 2 2" xfId="22037" xr:uid="{00000000-0005-0000-0000-00003F320000}"/>
    <cellStyle name="Normal 10 2 3 6 2 2 2" xfId="47590" xr:uid="{00000000-0005-0000-0000-000040320000}"/>
    <cellStyle name="Normal 10 2 3 6 2 3" xfId="37548" xr:uid="{00000000-0005-0000-0000-000041320000}"/>
    <cellStyle name="Normal 10 2 3 6 3" xfId="8491" xr:uid="{00000000-0005-0000-0000-000042320000}"/>
    <cellStyle name="Normal 10 2 3 6 3 2" xfId="34048" xr:uid="{00000000-0005-0000-0000-000043320000}"/>
    <cellStyle name="Normal 10 2 3 6 4" xfId="17030" xr:uid="{00000000-0005-0000-0000-000044320000}"/>
    <cellStyle name="Normal 10 2 3 6 4 2" xfId="42583" xr:uid="{00000000-0005-0000-0000-000045320000}"/>
    <cellStyle name="Normal 10 2 3 6 5" xfId="28520" xr:uid="{00000000-0005-0000-0000-000046320000}"/>
    <cellStyle name="Normal 10 2 3 7" xfId="4227" xr:uid="{00000000-0005-0000-0000-000047320000}"/>
    <cellStyle name="Normal 10 2 3 7 2" xfId="13065" xr:uid="{00000000-0005-0000-0000-000048320000}"/>
    <cellStyle name="Normal 10 2 3 7 2 2" xfId="23316" xr:uid="{00000000-0005-0000-0000-000049320000}"/>
    <cellStyle name="Normal 10 2 3 7 2 2 2" xfId="48869" xr:uid="{00000000-0005-0000-0000-00004A320000}"/>
    <cellStyle name="Normal 10 2 3 7 2 3" xfId="38620" xr:uid="{00000000-0005-0000-0000-00004B320000}"/>
    <cellStyle name="Normal 10 2 3 7 3" xfId="9486" xr:uid="{00000000-0005-0000-0000-00004C320000}"/>
    <cellStyle name="Normal 10 2 3 7 3 2" xfId="35043" xr:uid="{00000000-0005-0000-0000-00004D320000}"/>
    <cellStyle name="Normal 10 2 3 7 4" xfId="18309" xr:uid="{00000000-0005-0000-0000-00004E320000}"/>
    <cellStyle name="Normal 10 2 3 7 4 2" xfId="43862" xr:uid="{00000000-0005-0000-0000-00004F320000}"/>
    <cellStyle name="Normal 10 2 3 7 5" xfId="29799" xr:uid="{00000000-0005-0000-0000-000050320000}"/>
    <cellStyle name="Normal 10 2 3 8" xfId="1499" xr:uid="{00000000-0005-0000-0000-000051320000}"/>
    <cellStyle name="Normal 10 2 3 8 2" xfId="10876" xr:uid="{00000000-0005-0000-0000-000052320000}"/>
    <cellStyle name="Normal 10 2 3 8 2 2" xfId="36431" xr:uid="{00000000-0005-0000-0000-000053320000}"/>
    <cellStyle name="Normal 10 2 3 8 3" xfId="20880" xr:uid="{00000000-0005-0000-0000-000054320000}"/>
    <cellStyle name="Normal 10 2 3 8 3 2" xfId="46433" xr:uid="{00000000-0005-0000-0000-000055320000}"/>
    <cellStyle name="Normal 10 2 3 8 4" xfId="27363" xr:uid="{00000000-0005-0000-0000-000056320000}"/>
    <cellStyle name="Normal 10 2 3 9" xfId="5683" xr:uid="{00000000-0005-0000-0000-000057320000}"/>
    <cellStyle name="Normal 10 2 3 9 2" xfId="14510" xr:uid="{00000000-0005-0000-0000-000058320000}"/>
    <cellStyle name="Normal 10 2 3 9 2 2" xfId="40065" xr:uid="{00000000-0005-0000-0000-000059320000}"/>
    <cellStyle name="Normal 10 2 3 9 3" xfId="24761" xr:uid="{00000000-0005-0000-0000-00005A320000}"/>
    <cellStyle name="Normal 10 2 3 9 3 2" xfId="50314" xr:uid="{00000000-0005-0000-0000-00005B320000}"/>
    <cellStyle name="Normal 10 2 3 9 4" xfId="31244" xr:uid="{00000000-0005-0000-0000-00005C320000}"/>
    <cellStyle name="Normal 10 2 3_Degree data" xfId="3891" xr:uid="{00000000-0005-0000-0000-00005D320000}"/>
    <cellStyle name="Normal 10 2 4" xfId="234" xr:uid="{00000000-0005-0000-0000-00005E320000}"/>
    <cellStyle name="Normal 10 2 4 10" xfId="7072" xr:uid="{00000000-0005-0000-0000-00005F320000}"/>
    <cellStyle name="Normal 10 2 4 10 2" xfId="19686" xr:uid="{00000000-0005-0000-0000-000060320000}"/>
    <cellStyle name="Normal 10 2 4 10 2 2" xfId="45239" xr:uid="{00000000-0005-0000-0000-000061320000}"/>
    <cellStyle name="Normal 10 2 4 10 3" xfId="32629" xr:uid="{00000000-0005-0000-0000-000062320000}"/>
    <cellStyle name="Normal 10 2 4 11" xfId="15818" xr:uid="{00000000-0005-0000-0000-000063320000}"/>
    <cellStyle name="Normal 10 2 4 11 2" xfId="41371" xr:uid="{00000000-0005-0000-0000-000064320000}"/>
    <cellStyle name="Normal 10 2 4 12" xfId="26169" xr:uid="{00000000-0005-0000-0000-000065320000}"/>
    <cellStyle name="Normal 10 2 4 2" xfId="557" xr:uid="{00000000-0005-0000-0000-000066320000}"/>
    <cellStyle name="Normal 10 2 4 2 10" xfId="26486" xr:uid="{00000000-0005-0000-0000-000067320000}"/>
    <cellStyle name="Normal 10 2 4 2 2" xfId="708" xr:uid="{00000000-0005-0000-0000-000068320000}"/>
    <cellStyle name="Normal 10 2 4 2 2 2" xfId="3194" xr:uid="{00000000-0005-0000-0000-000069320000}"/>
    <cellStyle name="Normal 10 2 4 2 2 2 2" xfId="12337" xr:uid="{00000000-0005-0000-0000-00006A320000}"/>
    <cellStyle name="Normal 10 2 4 2 2 2 2 2" xfId="22555" xr:uid="{00000000-0005-0000-0000-00006B320000}"/>
    <cellStyle name="Normal 10 2 4 2 2 2 2 2 2" xfId="48108" xr:uid="{00000000-0005-0000-0000-00006C320000}"/>
    <cellStyle name="Normal 10 2 4 2 2 2 2 3" xfId="37892" xr:uid="{00000000-0005-0000-0000-00006D320000}"/>
    <cellStyle name="Normal 10 2 4 2 2 2 3" xfId="8759" xr:uid="{00000000-0005-0000-0000-00006E320000}"/>
    <cellStyle name="Normal 10 2 4 2 2 2 3 2" xfId="34316" xr:uid="{00000000-0005-0000-0000-00006F320000}"/>
    <cellStyle name="Normal 10 2 4 2 2 2 4" xfId="17548" xr:uid="{00000000-0005-0000-0000-000070320000}"/>
    <cellStyle name="Normal 10 2 4 2 2 2 4 2" xfId="43101" xr:uid="{00000000-0005-0000-0000-000071320000}"/>
    <cellStyle name="Normal 10 2 4 2 2 2 5" xfId="29038" xr:uid="{00000000-0005-0000-0000-000072320000}"/>
    <cellStyle name="Normal 10 2 4 2 2 3" xfId="4523" xr:uid="{00000000-0005-0000-0000-000073320000}"/>
    <cellStyle name="Normal 10 2 4 2 2 3 2" xfId="13361" xr:uid="{00000000-0005-0000-0000-000074320000}"/>
    <cellStyle name="Normal 10 2 4 2 2 3 2 2" xfId="23612" xr:uid="{00000000-0005-0000-0000-000075320000}"/>
    <cellStyle name="Normal 10 2 4 2 2 3 2 2 2" xfId="49165" xr:uid="{00000000-0005-0000-0000-000076320000}"/>
    <cellStyle name="Normal 10 2 4 2 2 3 2 3" xfId="38916" xr:uid="{00000000-0005-0000-0000-000077320000}"/>
    <cellStyle name="Normal 10 2 4 2 2 3 3" xfId="9782" xr:uid="{00000000-0005-0000-0000-000078320000}"/>
    <cellStyle name="Normal 10 2 4 2 2 3 3 2" xfId="35339" xr:uid="{00000000-0005-0000-0000-000079320000}"/>
    <cellStyle name="Normal 10 2 4 2 2 3 4" xfId="18605" xr:uid="{00000000-0005-0000-0000-00007A320000}"/>
    <cellStyle name="Normal 10 2 4 2 2 3 4 2" xfId="44158" xr:uid="{00000000-0005-0000-0000-00007B320000}"/>
    <cellStyle name="Normal 10 2 4 2 2 3 5" xfId="30095" xr:uid="{00000000-0005-0000-0000-00007C320000}"/>
    <cellStyle name="Normal 10 2 4 2 2 4" xfId="2303" xr:uid="{00000000-0005-0000-0000-00007D320000}"/>
    <cellStyle name="Normal 10 2 4 2 2 4 2" xfId="11668" xr:uid="{00000000-0005-0000-0000-00007E320000}"/>
    <cellStyle name="Normal 10 2 4 2 2 4 2 2" xfId="37223" xr:uid="{00000000-0005-0000-0000-00007F320000}"/>
    <cellStyle name="Normal 10 2 4 2 2 4 3" xfId="21672" xr:uid="{00000000-0005-0000-0000-000080320000}"/>
    <cellStyle name="Normal 10 2 4 2 2 4 3 2" xfId="47225" xr:uid="{00000000-0005-0000-0000-000081320000}"/>
    <cellStyle name="Normal 10 2 4 2 2 4 4" xfId="28155" xr:uid="{00000000-0005-0000-0000-000082320000}"/>
    <cellStyle name="Normal 10 2 4 2 2 5" xfId="5979" xr:uid="{00000000-0005-0000-0000-000083320000}"/>
    <cellStyle name="Normal 10 2 4 2 2 5 2" xfId="14806" xr:uid="{00000000-0005-0000-0000-000084320000}"/>
    <cellStyle name="Normal 10 2 4 2 2 5 2 2" xfId="40361" xr:uid="{00000000-0005-0000-0000-000085320000}"/>
    <cellStyle name="Normal 10 2 4 2 2 5 3" xfId="25057" xr:uid="{00000000-0005-0000-0000-000086320000}"/>
    <cellStyle name="Normal 10 2 4 2 2 5 3 2" xfId="50610" xr:uid="{00000000-0005-0000-0000-000087320000}"/>
    <cellStyle name="Normal 10 2 4 2 2 5 4" xfId="31540" xr:uid="{00000000-0005-0000-0000-000088320000}"/>
    <cellStyle name="Normal 10 2 4 2 2 6" xfId="7423" xr:uid="{00000000-0005-0000-0000-000089320000}"/>
    <cellStyle name="Normal 10 2 4 2 2 6 2" xfId="20154" xr:uid="{00000000-0005-0000-0000-00008A320000}"/>
    <cellStyle name="Normal 10 2 4 2 2 6 2 2" xfId="45707" xr:uid="{00000000-0005-0000-0000-00008B320000}"/>
    <cellStyle name="Normal 10 2 4 2 2 6 3" xfId="32980" xr:uid="{00000000-0005-0000-0000-00008C320000}"/>
    <cellStyle name="Normal 10 2 4 2 2 7" xfId="16665" xr:uid="{00000000-0005-0000-0000-00008D320000}"/>
    <cellStyle name="Normal 10 2 4 2 2 7 2" xfId="42218" xr:uid="{00000000-0005-0000-0000-00008E320000}"/>
    <cellStyle name="Normal 10 2 4 2 2 8" xfId="26637" xr:uid="{00000000-0005-0000-0000-00008F320000}"/>
    <cellStyle name="Normal 10 2 4 2 3" xfId="1329" xr:uid="{00000000-0005-0000-0000-000090320000}"/>
    <cellStyle name="Normal 10 2 4 2 3 2" xfId="3758" xr:uid="{00000000-0005-0000-0000-000091320000}"/>
    <cellStyle name="Normal 10 2 4 2 3 2 2" xfId="12894" xr:uid="{00000000-0005-0000-0000-000092320000}"/>
    <cellStyle name="Normal 10 2 4 2 3 2 2 2" xfId="23113" xr:uid="{00000000-0005-0000-0000-000093320000}"/>
    <cellStyle name="Normal 10 2 4 2 3 2 2 2 2" xfId="48666" xr:uid="{00000000-0005-0000-0000-000094320000}"/>
    <cellStyle name="Normal 10 2 4 2 3 2 2 3" xfId="38449" xr:uid="{00000000-0005-0000-0000-000095320000}"/>
    <cellStyle name="Normal 10 2 4 2 3 2 3" xfId="9315" xr:uid="{00000000-0005-0000-0000-000096320000}"/>
    <cellStyle name="Normal 10 2 4 2 3 2 3 2" xfId="34872" xr:uid="{00000000-0005-0000-0000-000097320000}"/>
    <cellStyle name="Normal 10 2 4 2 3 2 4" xfId="18106" xr:uid="{00000000-0005-0000-0000-000098320000}"/>
    <cellStyle name="Normal 10 2 4 2 3 2 4 2" xfId="43659" xr:uid="{00000000-0005-0000-0000-000099320000}"/>
    <cellStyle name="Normal 10 2 4 2 3 2 5" xfId="29596" xr:uid="{00000000-0005-0000-0000-00009A320000}"/>
    <cellStyle name="Normal 10 2 4 2 3 3" xfId="4872" xr:uid="{00000000-0005-0000-0000-00009B320000}"/>
    <cellStyle name="Normal 10 2 4 2 3 3 2" xfId="13709" xr:uid="{00000000-0005-0000-0000-00009C320000}"/>
    <cellStyle name="Normal 10 2 4 2 3 3 2 2" xfId="23960" xr:uid="{00000000-0005-0000-0000-00009D320000}"/>
    <cellStyle name="Normal 10 2 4 2 3 3 2 2 2" xfId="49513" xr:uid="{00000000-0005-0000-0000-00009E320000}"/>
    <cellStyle name="Normal 10 2 4 2 3 3 2 3" xfId="39264" xr:uid="{00000000-0005-0000-0000-00009F320000}"/>
    <cellStyle name="Normal 10 2 4 2 3 3 3" xfId="10130" xr:uid="{00000000-0005-0000-0000-0000A0320000}"/>
    <cellStyle name="Normal 10 2 4 2 3 3 3 2" xfId="35687" xr:uid="{00000000-0005-0000-0000-0000A1320000}"/>
    <cellStyle name="Normal 10 2 4 2 3 3 4" xfId="18953" xr:uid="{00000000-0005-0000-0000-0000A2320000}"/>
    <cellStyle name="Normal 10 2 4 2 3 3 4 2" xfId="44506" xr:uid="{00000000-0005-0000-0000-0000A3320000}"/>
    <cellStyle name="Normal 10 2 4 2 3 3 5" xfId="30443" xr:uid="{00000000-0005-0000-0000-0000A4320000}"/>
    <cellStyle name="Normal 10 2 4 2 3 4" xfId="2152" xr:uid="{00000000-0005-0000-0000-0000A5320000}"/>
    <cellStyle name="Normal 10 2 4 2 3 4 2" xfId="11517" xr:uid="{00000000-0005-0000-0000-0000A6320000}"/>
    <cellStyle name="Normal 10 2 4 2 3 4 2 2" xfId="37072" xr:uid="{00000000-0005-0000-0000-0000A7320000}"/>
    <cellStyle name="Normal 10 2 4 2 3 4 3" xfId="21521" xr:uid="{00000000-0005-0000-0000-0000A8320000}"/>
    <cellStyle name="Normal 10 2 4 2 3 4 3 2" xfId="47074" xr:uid="{00000000-0005-0000-0000-0000A9320000}"/>
    <cellStyle name="Normal 10 2 4 2 3 4 4" xfId="28004" xr:uid="{00000000-0005-0000-0000-0000AA320000}"/>
    <cellStyle name="Normal 10 2 4 2 3 5" xfId="6327" xr:uid="{00000000-0005-0000-0000-0000AB320000}"/>
    <cellStyle name="Normal 10 2 4 2 3 5 2" xfId="15154" xr:uid="{00000000-0005-0000-0000-0000AC320000}"/>
    <cellStyle name="Normal 10 2 4 2 3 5 2 2" xfId="40709" xr:uid="{00000000-0005-0000-0000-0000AD320000}"/>
    <cellStyle name="Normal 10 2 4 2 3 5 3" xfId="25405" xr:uid="{00000000-0005-0000-0000-0000AE320000}"/>
    <cellStyle name="Normal 10 2 4 2 3 5 3 2" xfId="50958" xr:uid="{00000000-0005-0000-0000-0000AF320000}"/>
    <cellStyle name="Normal 10 2 4 2 3 5 4" xfId="31888" xr:uid="{00000000-0005-0000-0000-0000B0320000}"/>
    <cellStyle name="Normal 10 2 4 2 3 6" xfId="7773" xr:uid="{00000000-0005-0000-0000-0000B1320000}"/>
    <cellStyle name="Normal 10 2 4 2 3 6 2" xfId="20712" xr:uid="{00000000-0005-0000-0000-0000B2320000}"/>
    <cellStyle name="Normal 10 2 4 2 3 6 2 2" xfId="46265" xr:uid="{00000000-0005-0000-0000-0000B3320000}"/>
    <cellStyle name="Normal 10 2 4 2 3 6 3" xfId="33330" xr:uid="{00000000-0005-0000-0000-0000B4320000}"/>
    <cellStyle name="Normal 10 2 4 2 3 7" xfId="16514" xr:uid="{00000000-0005-0000-0000-0000B5320000}"/>
    <cellStyle name="Normal 10 2 4 2 3 7 2" xfId="42067" xr:uid="{00000000-0005-0000-0000-0000B6320000}"/>
    <cellStyle name="Normal 10 2 4 2 3 8" xfId="27195" xr:uid="{00000000-0005-0000-0000-0000B7320000}"/>
    <cellStyle name="Normal 10 2 4 2 4" xfId="3043" xr:uid="{00000000-0005-0000-0000-0000B8320000}"/>
    <cellStyle name="Normal 10 2 4 2 4 2" xfId="5421" xr:uid="{00000000-0005-0000-0000-0000B9320000}"/>
    <cellStyle name="Normal 10 2 4 2 4 2 2" xfId="14258" xr:uid="{00000000-0005-0000-0000-0000BA320000}"/>
    <cellStyle name="Normal 10 2 4 2 4 2 2 2" xfId="24509" xr:uid="{00000000-0005-0000-0000-0000BB320000}"/>
    <cellStyle name="Normal 10 2 4 2 4 2 2 2 2" xfId="50062" xr:uid="{00000000-0005-0000-0000-0000BC320000}"/>
    <cellStyle name="Normal 10 2 4 2 4 2 2 3" xfId="39813" xr:uid="{00000000-0005-0000-0000-0000BD320000}"/>
    <cellStyle name="Normal 10 2 4 2 4 2 3" xfId="10679" xr:uid="{00000000-0005-0000-0000-0000BE320000}"/>
    <cellStyle name="Normal 10 2 4 2 4 2 3 2" xfId="36236" xr:uid="{00000000-0005-0000-0000-0000BF320000}"/>
    <cellStyle name="Normal 10 2 4 2 4 2 4" xfId="19502" xr:uid="{00000000-0005-0000-0000-0000C0320000}"/>
    <cellStyle name="Normal 10 2 4 2 4 2 4 2" xfId="45055" xr:uid="{00000000-0005-0000-0000-0000C1320000}"/>
    <cellStyle name="Normal 10 2 4 2 4 2 5" xfId="30992" xr:uid="{00000000-0005-0000-0000-0000C2320000}"/>
    <cellStyle name="Normal 10 2 4 2 4 3" xfId="6876" xr:uid="{00000000-0005-0000-0000-0000C3320000}"/>
    <cellStyle name="Normal 10 2 4 2 4 3 2" xfId="15703" xr:uid="{00000000-0005-0000-0000-0000C4320000}"/>
    <cellStyle name="Normal 10 2 4 2 4 3 2 2" xfId="41258" xr:uid="{00000000-0005-0000-0000-0000C5320000}"/>
    <cellStyle name="Normal 10 2 4 2 4 3 3" xfId="25954" xr:uid="{00000000-0005-0000-0000-0000C6320000}"/>
    <cellStyle name="Normal 10 2 4 2 4 3 3 2" xfId="51507" xr:uid="{00000000-0005-0000-0000-0000C7320000}"/>
    <cellStyle name="Normal 10 2 4 2 4 3 4" xfId="32437" xr:uid="{00000000-0005-0000-0000-0000C8320000}"/>
    <cellStyle name="Normal 10 2 4 2 4 4" xfId="8322" xr:uid="{00000000-0005-0000-0000-0000C9320000}"/>
    <cellStyle name="Normal 10 2 4 2 4 4 2" xfId="22404" xr:uid="{00000000-0005-0000-0000-0000CA320000}"/>
    <cellStyle name="Normal 10 2 4 2 4 4 2 2" xfId="47957" xr:uid="{00000000-0005-0000-0000-0000CB320000}"/>
    <cellStyle name="Normal 10 2 4 2 4 4 3" xfId="33879" xr:uid="{00000000-0005-0000-0000-0000CC320000}"/>
    <cellStyle name="Normal 10 2 4 2 4 5" xfId="17397" xr:uid="{00000000-0005-0000-0000-0000CD320000}"/>
    <cellStyle name="Normal 10 2 4 2 4 5 2" xfId="42950" xr:uid="{00000000-0005-0000-0000-0000CE320000}"/>
    <cellStyle name="Normal 10 2 4 2 4 6" xfId="28887" xr:uid="{00000000-0005-0000-0000-0000CF320000}"/>
    <cellStyle name="Normal 10 2 4 2 5" xfId="4377" xr:uid="{00000000-0005-0000-0000-0000D0320000}"/>
    <cellStyle name="Normal 10 2 4 2 5 2" xfId="13215" xr:uid="{00000000-0005-0000-0000-0000D1320000}"/>
    <cellStyle name="Normal 10 2 4 2 5 2 2" xfId="23466" xr:uid="{00000000-0005-0000-0000-0000D2320000}"/>
    <cellStyle name="Normal 10 2 4 2 5 2 2 2" xfId="49019" xr:uid="{00000000-0005-0000-0000-0000D3320000}"/>
    <cellStyle name="Normal 10 2 4 2 5 2 3" xfId="38770" xr:uid="{00000000-0005-0000-0000-0000D4320000}"/>
    <cellStyle name="Normal 10 2 4 2 5 3" xfId="9636" xr:uid="{00000000-0005-0000-0000-0000D5320000}"/>
    <cellStyle name="Normal 10 2 4 2 5 3 2" xfId="35193" xr:uid="{00000000-0005-0000-0000-0000D6320000}"/>
    <cellStyle name="Normal 10 2 4 2 5 4" xfId="18459" xr:uid="{00000000-0005-0000-0000-0000D7320000}"/>
    <cellStyle name="Normal 10 2 4 2 5 4 2" xfId="44012" xr:uid="{00000000-0005-0000-0000-0000D8320000}"/>
    <cellStyle name="Normal 10 2 4 2 5 5" xfId="29949" xr:uid="{00000000-0005-0000-0000-0000D9320000}"/>
    <cellStyle name="Normal 10 2 4 2 6" xfId="1649" xr:uid="{00000000-0005-0000-0000-0000DA320000}"/>
    <cellStyle name="Normal 10 2 4 2 6 2" xfId="11026" xr:uid="{00000000-0005-0000-0000-0000DB320000}"/>
    <cellStyle name="Normal 10 2 4 2 6 2 2" xfId="36581" xr:uid="{00000000-0005-0000-0000-0000DC320000}"/>
    <cellStyle name="Normal 10 2 4 2 6 3" xfId="21030" xr:uid="{00000000-0005-0000-0000-0000DD320000}"/>
    <cellStyle name="Normal 10 2 4 2 6 3 2" xfId="46583" xr:uid="{00000000-0005-0000-0000-0000DE320000}"/>
    <cellStyle name="Normal 10 2 4 2 6 4" xfId="27513" xr:uid="{00000000-0005-0000-0000-0000DF320000}"/>
    <cellStyle name="Normal 10 2 4 2 7" xfId="5833" xr:uid="{00000000-0005-0000-0000-0000E0320000}"/>
    <cellStyle name="Normal 10 2 4 2 7 2" xfId="14660" xr:uid="{00000000-0005-0000-0000-0000E1320000}"/>
    <cellStyle name="Normal 10 2 4 2 7 2 2" xfId="40215" xr:uid="{00000000-0005-0000-0000-0000E2320000}"/>
    <cellStyle name="Normal 10 2 4 2 7 3" xfId="24911" xr:uid="{00000000-0005-0000-0000-0000E3320000}"/>
    <cellStyle name="Normal 10 2 4 2 7 3 2" xfId="50464" xr:uid="{00000000-0005-0000-0000-0000E4320000}"/>
    <cellStyle name="Normal 10 2 4 2 7 4" xfId="31394" xr:uid="{00000000-0005-0000-0000-0000E5320000}"/>
    <cellStyle name="Normal 10 2 4 2 8" xfId="7277" xr:uid="{00000000-0005-0000-0000-0000E6320000}"/>
    <cellStyle name="Normal 10 2 4 2 8 2" xfId="20003" xr:uid="{00000000-0005-0000-0000-0000E7320000}"/>
    <cellStyle name="Normal 10 2 4 2 8 2 2" xfId="45556" xr:uid="{00000000-0005-0000-0000-0000E8320000}"/>
    <cellStyle name="Normal 10 2 4 2 8 3" xfId="32834" xr:uid="{00000000-0005-0000-0000-0000E9320000}"/>
    <cellStyle name="Normal 10 2 4 2 9" xfId="16023" xr:uid="{00000000-0005-0000-0000-0000EA320000}"/>
    <cellStyle name="Normal 10 2 4 2 9 2" xfId="41576" xr:uid="{00000000-0005-0000-0000-0000EB320000}"/>
    <cellStyle name="Normal 10 2 4 2_Degree data" xfId="3870" xr:uid="{00000000-0005-0000-0000-0000EC320000}"/>
    <cellStyle name="Normal 10 2 4 3" xfId="352" xr:uid="{00000000-0005-0000-0000-0000ED320000}"/>
    <cellStyle name="Normal 10 2 4 3 2" xfId="2838" xr:uid="{00000000-0005-0000-0000-0000EE320000}"/>
    <cellStyle name="Normal 10 2 4 3 2 2" xfId="12126" xr:uid="{00000000-0005-0000-0000-0000EF320000}"/>
    <cellStyle name="Normal 10 2 4 3 2 2 2" xfId="22199" xr:uid="{00000000-0005-0000-0000-0000F0320000}"/>
    <cellStyle name="Normal 10 2 4 3 2 2 2 2" xfId="47752" xr:uid="{00000000-0005-0000-0000-0000F1320000}"/>
    <cellStyle name="Normal 10 2 4 3 2 2 3" xfId="37681" xr:uid="{00000000-0005-0000-0000-0000F2320000}"/>
    <cellStyle name="Normal 10 2 4 3 2 3" xfId="8419" xr:uid="{00000000-0005-0000-0000-0000F3320000}"/>
    <cellStyle name="Normal 10 2 4 3 2 3 2" xfId="33976" xr:uid="{00000000-0005-0000-0000-0000F4320000}"/>
    <cellStyle name="Normal 10 2 4 3 2 4" xfId="17192" xr:uid="{00000000-0005-0000-0000-0000F5320000}"/>
    <cellStyle name="Normal 10 2 4 3 2 4 2" xfId="42745" xr:uid="{00000000-0005-0000-0000-0000F6320000}"/>
    <cellStyle name="Normal 10 2 4 3 2 5" xfId="28682" xr:uid="{00000000-0005-0000-0000-0000F7320000}"/>
    <cellStyle name="Normal 10 2 4 3 3" xfId="4522" xr:uid="{00000000-0005-0000-0000-0000F8320000}"/>
    <cellStyle name="Normal 10 2 4 3 3 2" xfId="13360" xr:uid="{00000000-0005-0000-0000-0000F9320000}"/>
    <cellStyle name="Normal 10 2 4 3 3 2 2" xfId="23611" xr:uid="{00000000-0005-0000-0000-0000FA320000}"/>
    <cellStyle name="Normal 10 2 4 3 3 2 2 2" xfId="49164" xr:uid="{00000000-0005-0000-0000-0000FB320000}"/>
    <cellStyle name="Normal 10 2 4 3 3 2 3" xfId="38915" xr:uid="{00000000-0005-0000-0000-0000FC320000}"/>
    <cellStyle name="Normal 10 2 4 3 3 3" xfId="9781" xr:uid="{00000000-0005-0000-0000-0000FD320000}"/>
    <cellStyle name="Normal 10 2 4 3 3 3 2" xfId="35338" xr:uid="{00000000-0005-0000-0000-0000FE320000}"/>
    <cellStyle name="Normal 10 2 4 3 3 4" xfId="18604" xr:uid="{00000000-0005-0000-0000-0000FF320000}"/>
    <cellStyle name="Normal 10 2 4 3 3 4 2" xfId="44157" xr:uid="{00000000-0005-0000-0000-000000330000}"/>
    <cellStyle name="Normal 10 2 4 3 3 5" xfId="30094" xr:uid="{00000000-0005-0000-0000-000001330000}"/>
    <cellStyle name="Normal 10 2 4 3 4" xfId="1947" xr:uid="{00000000-0005-0000-0000-000002330000}"/>
    <cellStyle name="Normal 10 2 4 3 4 2" xfId="11312" xr:uid="{00000000-0005-0000-0000-000003330000}"/>
    <cellStyle name="Normal 10 2 4 3 4 2 2" xfId="36867" xr:uid="{00000000-0005-0000-0000-000004330000}"/>
    <cellStyle name="Normal 10 2 4 3 4 3" xfId="21316" xr:uid="{00000000-0005-0000-0000-000005330000}"/>
    <cellStyle name="Normal 10 2 4 3 4 3 2" xfId="46869" xr:uid="{00000000-0005-0000-0000-000006330000}"/>
    <cellStyle name="Normal 10 2 4 3 4 4" xfId="27799" xr:uid="{00000000-0005-0000-0000-000007330000}"/>
    <cellStyle name="Normal 10 2 4 3 5" xfId="5978" xr:uid="{00000000-0005-0000-0000-000008330000}"/>
    <cellStyle name="Normal 10 2 4 3 5 2" xfId="14805" xr:uid="{00000000-0005-0000-0000-000009330000}"/>
    <cellStyle name="Normal 10 2 4 3 5 2 2" xfId="40360" xr:uid="{00000000-0005-0000-0000-00000A330000}"/>
    <cellStyle name="Normal 10 2 4 3 5 3" xfId="25056" xr:uid="{00000000-0005-0000-0000-00000B330000}"/>
    <cellStyle name="Normal 10 2 4 3 5 3 2" xfId="50609" xr:uid="{00000000-0005-0000-0000-00000C330000}"/>
    <cellStyle name="Normal 10 2 4 3 5 4" xfId="31539" xr:uid="{00000000-0005-0000-0000-00000D330000}"/>
    <cellStyle name="Normal 10 2 4 3 6" xfId="7422" xr:uid="{00000000-0005-0000-0000-00000E330000}"/>
    <cellStyle name="Normal 10 2 4 3 6 2" xfId="19798" xr:uid="{00000000-0005-0000-0000-00000F330000}"/>
    <cellStyle name="Normal 10 2 4 3 6 2 2" xfId="45351" xr:uid="{00000000-0005-0000-0000-000010330000}"/>
    <cellStyle name="Normal 10 2 4 3 6 3" xfId="32979" xr:uid="{00000000-0005-0000-0000-000011330000}"/>
    <cellStyle name="Normal 10 2 4 3 7" xfId="16309" xr:uid="{00000000-0005-0000-0000-000012330000}"/>
    <cellStyle name="Normal 10 2 4 3 7 2" xfId="41862" xr:uid="{00000000-0005-0000-0000-000013330000}"/>
    <cellStyle name="Normal 10 2 4 3 8" xfId="26281" xr:uid="{00000000-0005-0000-0000-000014330000}"/>
    <cellStyle name="Normal 10 2 4 4" xfId="707" xr:uid="{00000000-0005-0000-0000-000015330000}"/>
    <cellStyle name="Normal 10 2 4 4 2" xfId="3193" xr:uid="{00000000-0005-0000-0000-000016330000}"/>
    <cellStyle name="Normal 10 2 4 4 2 2" xfId="12336" xr:uid="{00000000-0005-0000-0000-000017330000}"/>
    <cellStyle name="Normal 10 2 4 4 2 2 2" xfId="22554" xr:uid="{00000000-0005-0000-0000-000018330000}"/>
    <cellStyle name="Normal 10 2 4 4 2 2 2 2" xfId="48107" xr:uid="{00000000-0005-0000-0000-000019330000}"/>
    <cellStyle name="Normal 10 2 4 4 2 2 3" xfId="37891" xr:uid="{00000000-0005-0000-0000-00001A330000}"/>
    <cellStyle name="Normal 10 2 4 4 2 3" xfId="8758" xr:uid="{00000000-0005-0000-0000-00001B330000}"/>
    <cellStyle name="Normal 10 2 4 4 2 3 2" xfId="34315" xr:uid="{00000000-0005-0000-0000-00001C330000}"/>
    <cellStyle name="Normal 10 2 4 4 2 4" xfId="17547" xr:uid="{00000000-0005-0000-0000-00001D330000}"/>
    <cellStyle name="Normal 10 2 4 4 2 4 2" xfId="43100" xr:uid="{00000000-0005-0000-0000-00001E330000}"/>
    <cellStyle name="Normal 10 2 4 4 2 5" xfId="29037" xr:uid="{00000000-0005-0000-0000-00001F330000}"/>
    <cellStyle name="Normal 10 2 4 4 3" xfId="4871" xr:uid="{00000000-0005-0000-0000-000020330000}"/>
    <cellStyle name="Normal 10 2 4 4 3 2" xfId="13708" xr:uid="{00000000-0005-0000-0000-000021330000}"/>
    <cellStyle name="Normal 10 2 4 4 3 2 2" xfId="23959" xr:uid="{00000000-0005-0000-0000-000022330000}"/>
    <cellStyle name="Normal 10 2 4 4 3 2 2 2" xfId="49512" xr:uid="{00000000-0005-0000-0000-000023330000}"/>
    <cellStyle name="Normal 10 2 4 4 3 2 3" xfId="39263" xr:uid="{00000000-0005-0000-0000-000024330000}"/>
    <cellStyle name="Normal 10 2 4 4 3 3" xfId="10129" xr:uid="{00000000-0005-0000-0000-000025330000}"/>
    <cellStyle name="Normal 10 2 4 4 3 3 2" xfId="35686" xr:uid="{00000000-0005-0000-0000-000026330000}"/>
    <cellStyle name="Normal 10 2 4 4 3 4" xfId="18952" xr:uid="{00000000-0005-0000-0000-000027330000}"/>
    <cellStyle name="Normal 10 2 4 4 3 4 2" xfId="44505" xr:uid="{00000000-0005-0000-0000-000028330000}"/>
    <cellStyle name="Normal 10 2 4 4 3 5" xfId="30442" xr:uid="{00000000-0005-0000-0000-000029330000}"/>
    <cellStyle name="Normal 10 2 4 4 4" xfId="2302" xr:uid="{00000000-0005-0000-0000-00002A330000}"/>
    <cellStyle name="Normal 10 2 4 4 4 2" xfId="11667" xr:uid="{00000000-0005-0000-0000-00002B330000}"/>
    <cellStyle name="Normal 10 2 4 4 4 2 2" xfId="37222" xr:uid="{00000000-0005-0000-0000-00002C330000}"/>
    <cellStyle name="Normal 10 2 4 4 4 3" xfId="21671" xr:uid="{00000000-0005-0000-0000-00002D330000}"/>
    <cellStyle name="Normal 10 2 4 4 4 3 2" xfId="47224" xr:uid="{00000000-0005-0000-0000-00002E330000}"/>
    <cellStyle name="Normal 10 2 4 4 4 4" xfId="28154" xr:uid="{00000000-0005-0000-0000-00002F330000}"/>
    <cellStyle name="Normal 10 2 4 4 5" xfId="6326" xr:uid="{00000000-0005-0000-0000-000030330000}"/>
    <cellStyle name="Normal 10 2 4 4 5 2" xfId="15153" xr:uid="{00000000-0005-0000-0000-000031330000}"/>
    <cellStyle name="Normal 10 2 4 4 5 2 2" xfId="40708" xr:uid="{00000000-0005-0000-0000-000032330000}"/>
    <cellStyle name="Normal 10 2 4 4 5 3" xfId="25404" xr:uid="{00000000-0005-0000-0000-000033330000}"/>
    <cellStyle name="Normal 10 2 4 4 5 3 2" xfId="50957" xr:uid="{00000000-0005-0000-0000-000034330000}"/>
    <cellStyle name="Normal 10 2 4 4 5 4" xfId="31887" xr:uid="{00000000-0005-0000-0000-000035330000}"/>
    <cellStyle name="Normal 10 2 4 4 6" xfId="7772" xr:uid="{00000000-0005-0000-0000-000036330000}"/>
    <cellStyle name="Normal 10 2 4 4 6 2" xfId="20153" xr:uid="{00000000-0005-0000-0000-000037330000}"/>
    <cellStyle name="Normal 10 2 4 4 6 2 2" xfId="45706" xr:uid="{00000000-0005-0000-0000-000038330000}"/>
    <cellStyle name="Normal 10 2 4 4 6 3" xfId="33329" xr:uid="{00000000-0005-0000-0000-000039330000}"/>
    <cellStyle name="Normal 10 2 4 4 7" xfId="16664" xr:uid="{00000000-0005-0000-0000-00003A330000}"/>
    <cellStyle name="Normal 10 2 4 4 7 2" xfId="42217" xr:uid="{00000000-0005-0000-0000-00003B330000}"/>
    <cellStyle name="Normal 10 2 4 4 8" xfId="26636" xr:uid="{00000000-0005-0000-0000-00003C330000}"/>
    <cellStyle name="Normal 10 2 4 5" xfId="1124" xr:uid="{00000000-0005-0000-0000-00003D330000}"/>
    <cellStyle name="Normal 10 2 4 5 2" xfId="3553" xr:uid="{00000000-0005-0000-0000-00003E330000}"/>
    <cellStyle name="Normal 10 2 4 5 2 2" xfId="12689" xr:uid="{00000000-0005-0000-0000-00003F330000}"/>
    <cellStyle name="Normal 10 2 4 5 2 2 2" xfId="22908" xr:uid="{00000000-0005-0000-0000-000040330000}"/>
    <cellStyle name="Normal 10 2 4 5 2 2 2 2" xfId="48461" xr:uid="{00000000-0005-0000-0000-000041330000}"/>
    <cellStyle name="Normal 10 2 4 5 2 2 3" xfId="38244" xr:uid="{00000000-0005-0000-0000-000042330000}"/>
    <cellStyle name="Normal 10 2 4 5 2 3" xfId="9110" xr:uid="{00000000-0005-0000-0000-000043330000}"/>
    <cellStyle name="Normal 10 2 4 5 2 3 2" xfId="34667" xr:uid="{00000000-0005-0000-0000-000044330000}"/>
    <cellStyle name="Normal 10 2 4 5 2 4" xfId="17901" xr:uid="{00000000-0005-0000-0000-000045330000}"/>
    <cellStyle name="Normal 10 2 4 5 2 4 2" xfId="43454" xr:uid="{00000000-0005-0000-0000-000046330000}"/>
    <cellStyle name="Normal 10 2 4 5 2 5" xfId="29391" xr:uid="{00000000-0005-0000-0000-000047330000}"/>
    <cellStyle name="Normal 10 2 4 5 3" xfId="5216" xr:uid="{00000000-0005-0000-0000-000048330000}"/>
    <cellStyle name="Normal 10 2 4 5 3 2" xfId="14053" xr:uid="{00000000-0005-0000-0000-000049330000}"/>
    <cellStyle name="Normal 10 2 4 5 3 2 2" xfId="24304" xr:uid="{00000000-0005-0000-0000-00004A330000}"/>
    <cellStyle name="Normal 10 2 4 5 3 2 2 2" xfId="49857" xr:uid="{00000000-0005-0000-0000-00004B330000}"/>
    <cellStyle name="Normal 10 2 4 5 3 2 3" xfId="39608" xr:uid="{00000000-0005-0000-0000-00004C330000}"/>
    <cellStyle name="Normal 10 2 4 5 3 3" xfId="10474" xr:uid="{00000000-0005-0000-0000-00004D330000}"/>
    <cellStyle name="Normal 10 2 4 5 3 3 2" xfId="36031" xr:uid="{00000000-0005-0000-0000-00004E330000}"/>
    <cellStyle name="Normal 10 2 4 5 3 4" xfId="19297" xr:uid="{00000000-0005-0000-0000-00004F330000}"/>
    <cellStyle name="Normal 10 2 4 5 3 4 2" xfId="44850" xr:uid="{00000000-0005-0000-0000-000050330000}"/>
    <cellStyle name="Normal 10 2 4 5 3 5" xfId="30787" xr:uid="{00000000-0005-0000-0000-000051330000}"/>
    <cellStyle name="Normal 10 2 4 5 4" xfId="1832" xr:uid="{00000000-0005-0000-0000-000052330000}"/>
    <cellStyle name="Normal 10 2 4 5 4 2" xfId="11200" xr:uid="{00000000-0005-0000-0000-000053330000}"/>
    <cellStyle name="Normal 10 2 4 5 4 2 2" xfId="36755" xr:uid="{00000000-0005-0000-0000-000054330000}"/>
    <cellStyle name="Normal 10 2 4 5 4 3" xfId="21204" xr:uid="{00000000-0005-0000-0000-000055330000}"/>
    <cellStyle name="Normal 10 2 4 5 4 3 2" xfId="46757" xr:uid="{00000000-0005-0000-0000-000056330000}"/>
    <cellStyle name="Normal 10 2 4 5 4 4" xfId="27687" xr:uid="{00000000-0005-0000-0000-000057330000}"/>
    <cellStyle name="Normal 10 2 4 5 5" xfId="6671" xr:uid="{00000000-0005-0000-0000-000058330000}"/>
    <cellStyle name="Normal 10 2 4 5 5 2" xfId="15498" xr:uid="{00000000-0005-0000-0000-000059330000}"/>
    <cellStyle name="Normal 10 2 4 5 5 2 2" xfId="41053" xr:uid="{00000000-0005-0000-0000-00005A330000}"/>
    <cellStyle name="Normal 10 2 4 5 5 3" xfId="25749" xr:uid="{00000000-0005-0000-0000-00005B330000}"/>
    <cellStyle name="Normal 10 2 4 5 5 3 2" xfId="51302" xr:uid="{00000000-0005-0000-0000-00005C330000}"/>
    <cellStyle name="Normal 10 2 4 5 5 4" xfId="32232" xr:uid="{00000000-0005-0000-0000-00005D330000}"/>
    <cellStyle name="Normal 10 2 4 5 6" xfId="8117" xr:uid="{00000000-0005-0000-0000-00005E330000}"/>
    <cellStyle name="Normal 10 2 4 5 6 2" xfId="20507" xr:uid="{00000000-0005-0000-0000-00005F330000}"/>
    <cellStyle name="Normal 10 2 4 5 6 2 2" xfId="46060" xr:uid="{00000000-0005-0000-0000-000060330000}"/>
    <cellStyle name="Normal 10 2 4 5 6 3" xfId="33674" xr:uid="{00000000-0005-0000-0000-000061330000}"/>
    <cellStyle name="Normal 10 2 4 5 7" xfId="16197" xr:uid="{00000000-0005-0000-0000-000062330000}"/>
    <cellStyle name="Normal 10 2 4 5 7 2" xfId="41750" xr:uid="{00000000-0005-0000-0000-000063330000}"/>
    <cellStyle name="Normal 10 2 4 5 8" xfId="26990" xr:uid="{00000000-0005-0000-0000-000064330000}"/>
    <cellStyle name="Normal 10 2 4 6" xfId="2726" xr:uid="{00000000-0005-0000-0000-000065330000}"/>
    <cellStyle name="Normal 10 2 4 6 2" xfId="12043" xr:uid="{00000000-0005-0000-0000-000066330000}"/>
    <cellStyle name="Normal 10 2 4 6 2 2" xfId="22087" xr:uid="{00000000-0005-0000-0000-000067330000}"/>
    <cellStyle name="Normal 10 2 4 6 2 2 2" xfId="47640" xr:uid="{00000000-0005-0000-0000-000068330000}"/>
    <cellStyle name="Normal 10 2 4 6 2 3" xfId="37598" xr:uid="{00000000-0005-0000-0000-000069330000}"/>
    <cellStyle name="Normal 10 2 4 6 3" xfId="8605" xr:uid="{00000000-0005-0000-0000-00006A330000}"/>
    <cellStyle name="Normal 10 2 4 6 3 2" xfId="34162" xr:uid="{00000000-0005-0000-0000-00006B330000}"/>
    <cellStyle name="Normal 10 2 4 6 4" xfId="17080" xr:uid="{00000000-0005-0000-0000-00006C330000}"/>
    <cellStyle name="Normal 10 2 4 6 4 2" xfId="42633" xr:uid="{00000000-0005-0000-0000-00006D330000}"/>
    <cellStyle name="Normal 10 2 4 6 5" xfId="28570" xr:uid="{00000000-0005-0000-0000-00006E330000}"/>
    <cellStyle name="Normal 10 2 4 7" xfId="4172" xr:uid="{00000000-0005-0000-0000-00006F330000}"/>
    <cellStyle name="Normal 10 2 4 7 2" xfId="13010" xr:uid="{00000000-0005-0000-0000-000070330000}"/>
    <cellStyle name="Normal 10 2 4 7 2 2" xfId="23261" xr:uid="{00000000-0005-0000-0000-000071330000}"/>
    <cellStyle name="Normal 10 2 4 7 2 2 2" xfId="48814" xr:uid="{00000000-0005-0000-0000-000072330000}"/>
    <cellStyle name="Normal 10 2 4 7 2 3" xfId="38565" xr:uid="{00000000-0005-0000-0000-000073330000}"/>
    <cellStyle name="Normal 10 2 4 7 3" xfId="9431" xr:uid="{00000000-0005-0000-0000-000074330000}"/>
    <cellStyle name="Normal 10 2 4 7 3 2" xfId="34988" xr:uid="{00000000-0005-0000-0000-000075330000}"/>
    <cellStyle name="Normal 10 2 4 7 4" xfId="18254" xr:uid="{00000000-0005-0000-0000-000076330000}"/>
    <cellStyle name="Normal 10 2 4 7 4 2" xfId="43807" xr:uid="{00000000-0005-0000-0000-000077330000}"/>
    <cellStyle name="Normal 10 2 4 7 5" xfId="29744" xr:uid="{00000000-0005-0000-0000-000078330000}"/>
    <cellStyle name="Normal 10 2 4 8" xfId="1444" xr:uid="{00000000-0005-0000-0000-000079330000}"/>
    <cellStyle name="Normal 10 2 4 8 2" xfId="10821" xr:uid="{00000000-0005-0000-0000-00007A330000}"/>
    <cellStyle name="Normal 10 2 4 8 2 2" xfId="36376" xr:uid="{00000000-0005-0000-0000-00007B330000}"/>
    <cellStyle name="Normal 10 2 4 8 3" xfId="20825" xr:uid="{00000000-0005-0000-0000-00007C330000}"/>
    <cellStyle name="Normal 10 2 4 8 3 2" xfId="46378" xr:uid="{00000000-0005-0000-0000-00007D330000}"/>
    <cellStyle name="Normal 10 2 4 8 4" xfId="27308" xr:uid="{00000000-0005-0000-0000-00007E330000}"/>
    <cellStyle name="Normal 10 2 4 9" xfId="5628" xr:uid="{00000000-0005-0000-0000-00007F330000}"/>
    <cellStyle name="Normal 10 2 4 9 2" xfId="14455" xr:uid="{00000000-0005-0000-0000-000080330000}"/>
    <cellStyle name="Normal 10 2 4 9 2 2" xfId="40010" xr:uid="{00000000-0005-0000-0000-000081330000}"/>
    <cellStyle name="Normal 10 2 4 9 3" xfId="24706" xr:uid="{00000000-0005-0000-0000-000082330000}"/>
    <cellStyle name="Normal 10 2 4 9 3 2" xfId="50259" xr:uid="{00000000-0005-0000-0000-000083330000}"/>
    <cellStyle name="Normal 10 2 4 9 4" xfId="31189" xr:uid="{00000000-0005-0000-0000-000084330000}"/>
    <cellStyle name="Normal 10 2 4_Degree data" xfId="3878" xr:uid="{00000000-0005-0000-0000-000085330000}"/>
    <cellStyle name="Normal 10 2 5" xfId="452" xr:uid="{00000000-0005-0000-0000-000086330000}"/>
    <cellStyle name="Normal 10 2 5 10" xfId="26381" xr:uid="{00000000-0005-0000-0000-000087330000}"/>
    <cellStyle name="Normal 10 2 5 2" xfId="709" xr:uid="{00000000-0005-0000-0000-000088330000}"/>
    <cellStyle name="Normal 10 2 5 2 2" xfId="3195" xr:uid="{00000000-0005-0000-0000-000089330000}"/>
    <cellStyle name="Normal 10 2 5 2 2 2" xfId="12338" xr:uid="{00000000-0005-0000-0000-00008A330000}"/>
    <cellStyle name="Normal 10 2 5 2 2 2 2" xfId="22556" xr:uid="{00000000-0005-0000-0000-00008B330000}"/>
    <cellStyle name="Normal 10 2 5 2 2 2 2 2" xfId="48109" xr:uid="{00000000-0005-0000-0000-00008C330000}"/>
    <cellStyle name="Normal 10 2 5 2 2 2 3" xfId="37893" xr:uid="{00000000-0005-0000-0000-00008D330000}"/>
    <cellStyle name="Normal 10 2 5 2 2 3" xfId="8760" xr:uid="{00000000-0005-0000-0000-00008E330000}"/>
    <cellStyle name="Normal 10 2 5 2 2 3 2" xfId="34317" xr:uid="{00000000-0005-0000-0000-00008F330000}"/>
    <cellStyle name="Normal 10 2 5 2 2 4" xfId="17549" xr:uid="{00000000-0005-0000-0000-000090330000}"/>
    <cellStyle name="Normal 10 2 5 2 2 4 2" xfId="43102" xr:uid="{00000000-0005-0000-0000-000091330000}"/>
    <cellStyle name="Normal 10 2 5 2 2 5" xfId="29039" xr:uid="{00000000-0005-0000-0000-000092330000}"/>
    <cellStyle name="Normal 10 2 5 2 3" xfId="4524" xr:uid="{00000000-0005-0000-0000-000093330000}"/>
    <cellStyle name="Normal 10 2 5 2 3 2" xfId="13362" xr:uid="{00000000-0005-0000-0000-000094330000}"/>
    <cellStyle name="Normal 10 2 5 2 3 2 2" xfId="23613" xr:uid="{00000000-0005-0000-0000-000095330000}"/>
    <cellStyle name="Normal 10 2 5 2 3 2 2 2" xfId="49166" xr:uid="{00000000-0005-0000-0000-000096330000}"/>
    <cellStyle name="Normal 10 2 5 2 3 2 3" xfId="38917" xr:uid="{00000000-0005-0000-0000-000097330000}"/>
    <cellStyle name="Normal 10 2 5 2 3 3" xfId="9783" xr:uid="{00000000-0005-0000-0000-000098330000}"/>
    <cellStyle name="Normal 10 2 5 2 3 3 2" xfId="35340" xr:uid="{00000000-0005-0000-0000-000099330000}"/>
    <cellStyle name="Normal 10 2 5 2 3 4" xfId="18606" xr:uid="{00000000-0005-0000-0000-00009A330000}"/>
    <cellStyle name="Normal 10 2 5 2 3 4 2" xfId="44159" xr:uid="{00000000-0005-0000-0000-00009B330000}"/>
    <cellStyle name="Normal 10 2 5 2 3 5" xfId="30096" xr:uid="{00000000-0005-0000-0000-00009C330000}"/>
    <cellStyle name="Normal 10 2 5 2 4" xfId="2304" xr:uid="{00000000-0005-0000-0000-00009D330000}"/>
    <cellStyle name="Normal 10 2 5 2 4 2" xfId="11669" xr:uid="{00000000-0005-0000-0000-00009E330000}"/>
    <cellStyle name="Normal 10 2 5 2 4 2 2" xfId="37224" xr:uid="{00000000-0005-0000-0000-00009F330000}"/>
    <cellStyle name="Normal 10 2 5 2 4 3" xfId="21673" xr:uid="{00000000-0005-0000-0000-0000A0330000}"/>
    <cellStyle name="Normal 10 2 5 2 4 3 2" xfId="47226" xr:uid="{00000000-0005-0000-0000-0000A1330000}"/>
    <cellStyle name="Normal 10 2 5 2 4 4" xfId="28156" xr:uid="{00000000-0005-0000-0000-0000A2330000}"/>
    <cellStyle name="Normal 10 2 5 2 5" xfId="5980" xr:uid="{00000000-0005-0000-0000-0000A3330000}"/>
    <cellStyle name="Normal 10 2 5 2 5 2" xfId="14807" xr:uid="{00000000-0005-0000-0000-0000A4330000}"/>
    <cellStyle name="Normal 10 2 5 2 5 2 2" xfId="40362" xr:uid="{00000000-0005-0000-0000-0000A5330000}"/>
    <cellStyle name="Normal 10 2 5 2 5 3" xfId="25058" xr:uid="{00000000-0005-0000-0000-0000A6330000}"/>
    <cellStyle name="Normal 10 2 5 2 5 3 2" xfId="50611" xr:uid="{00000000-0005-0000-0000-0000A7330000}"/>
    <cellStyle name="Normal 10 2 5 2 5 4" xfId="31541" xr:uid="{00000000-0005-0000-0000-0000A8330000}"/>
    <cellStyle name="Normal 10 2 5 2 6" xfId="7424" xr:uid="{00000000-0005-0000-0000-0000A9330000}"/>
    <cellStyle name="Normal 10 2 5 2 6 2" xfId="20155" xr:uid="{00000000-0005-0000-0000-0000AA330000}"/>
    <cellStyle name="Normal 10 2 5 2 6 2 2" xfId="45708" xr:uid="{00000000-0005-0000-0000-0000AB330000}"/>
    <cellStyle name="Normal 10 2 5 2 6 3" xfId="32981" xr:uid="{00000000-0005-0000-0000-0000AC330000}"/>
    <cellStyle name="Normal 10 2 5 2 7" xfId="16666" xr:uid="{00000000-0005-0000-0000-0000AD330000}"/>
    <cellStyle name="Normal 10 2 5 2 7 2" xfId="42219" xr:uid="{00000000-0005-0000-0000-0000AE330000}"/>
    <cellStyle name="Normal 10 2 5 2 8" xfId="26638" xr:uid="{00000000-0005-0000-0000-0000AF330000}"/>
    <cellStyle name="Normal 10 2 5 3" xfId="1224" xr:uid="{00000000-0005-0000-0000-0000B0330000}"/>
    <cellStyle name="Normal 10 2 5 3 2" xfId="3653" xr:uid="{00000000-0005-0000-0000-0000B1330000}"/>
    <cellStyle name="Normal 10 2 5 3 2 2" xfId="12789" xr:uid="{00000000-0005-0000-0000-0000B2330000}"/>
    <cellStyle name="Normal 10 2 5 3 2 2 2" xfId="23008" xr:uid="{00000000-0005-0000-0000-0000B3330000}"/>
    <cellStyle name="Normal 10 2 5 3 2 2 2 2" xfId="48561" xr:uid="{00000000-0005-0000-0000-0000B4330000}"/>
    <cellStyle name="Normal 10 2 5 3 2 2 3" xfId="38344" xr:uid="{00000000-0005-0000-0000-0000B5330000}"/>
    <cellStyle name="Normal 10 2 5 3 2 3" xfId="9210" xr:uid="{00000000-0005-0000-0000-0000B6330000}"/>
    <cellStyle name="Normal 10 2 5 3 2 3 2" xfId="34767" xr:uid="{00000000-0005-0000-0000-0000B7330000}"/>
    <cellStyle name="Normal 10 2 5 3 2 4" xfId="18001" xr:uid="{00000000-0005-0000-0000-0000B8330000}"/>
    <cellStyle name="Normal 10 2 5 3 2 4 2" xfId="43554" xr:uid="{00000000-0005-0000-0000-0000B9330000}"/>
    <cellStyle name="Normal 10 2 5 3 2 5" xfId="29491" xr:uid="{00000000-0005-0000-0000-0000BA330000}"/>
    <cellStyle name="Normal 10 2 5 3 3" xfId="4873" xr:uid="{00000000-0005-0000-0000-0000BB330000}"/>
    <cellStyle name="Normal 10 2 5 3 3 2" xfId="13710" xr:uid="{00000000-0005-0000-0000-0000BC330000}"/>
    <cellStyle name="Normal 10 2 5 3 3 2 2" xfId="23961" xr:uid="{00000000-0005-0000-0000-0000BD330000}"/>
    <cellStyle name="Normal 10 2 5 3 3 2 2 2" xfId="49514" xr:uid="{00000000-0005-0000-0000-0000BE330000}"/>
    <cellStyle name="Normal 10 2 5 3 3 2 3" xfId="39265" xr:uid="{00000000-0005-0000-0000-0000BF330000}"/>
    <cellStyle name="Normal 10 2 5 3 3 3" xfId="10131" xr:uid="{00000000-0005-0000-0000-0000C0330000}"/>
    <cellStyle name="Normal 10 2 5 3 3 3 2" xfId="35688" xr:uid="{00000000-0005-0000-0000-0000C1330000}"/>
    <cellStyle name="Normal 10 2 5 3 3 4" xfId="18954" xr:uid="{00000000-0005-0000-0000-0000C2330000}"/>
    <cellStyle name="Normal 10 2 5 3 3 4 2" xfId="44507" xr:uid="{00000000-0005-0000-0000-0000C3330000}"/>
    <cellStyle name="Normal 10 2 5 3 3 5" xfId="30444" xr:uid="{00000000-0005-0000-0000-0000C4330000}"/>
    <cellStyle name="Normal 10 2 5 3 4" xfId="2047" xr:uid="{00000000-0005-0000-0000-0000C5330000}"/>
    <cellStyle name="Normal 10 2 5 3 4 2" xfId="11412" xr:uid="{00000000-0005-0000-0000-0000C6330000}"/>
    <cellStyle name="Normal 10 2 5 3 4 2 2" xfId="36967" xr:uid="{00000000-0005-0000-0000-0000C7330000}"/>
    <cellStyle name="Normal 10 2 5 3 4 3" xfId="21416" xr:uid="{00000000-0005-0000-0000-0000C8330000}"/>
    <cellStyle name="Normal 10 2 5 3 4 3 2" xfId="46969" xr:uid="{00000000-0005-0000-0000-0000C9330000}"/>
    <cellStyle name="Normal 10 2 5 3 4 4" xfId="27899" xr:uid="{00000000-0005-0000-0000-0000CA330000}"/>
    <cellStyle name="Normal 10 2 5 3 5" xfId="6328" xr:uid="{00000000-0005-0000-0000-0000CB330000}"/>
    <cellStyle name="Normal 10 2 5 3 5 2" xfId="15155" xr:uid="{00000000-0005-0000-0000-0000CC330000}"/>
    <cellStyle name="Normal 10 2 5 3 5 2 2" xfId="40710" xr:uid="{00000000-0005-0000-0000-0000CD330000}"/>
    <cellStyle name="Normal 10 2 5 3 5 3" xfId="25406" xr:uid="{00000000-0005-0000-0000-0000CE330000}"/>
    <cellStyle name="Normal 10 2 5 3 5 3 2" xfId="50959" xr:uid="{00000000-0005-0000-0000-0000CF330000}"/>
    <cellStyle name="Normal 10 2 5 3 5 4" xfId="31889" xr:uid="{00000000-0005-0000-0000-0000D0330000}"/>
    <cellStyle name="Normal 10 2 5 3 6" xfId="7774" xr:uid="{00000000-0005-0000-0000-0000D1330000}"/>
    <cellStyle name="Normal 10 2 5 3 6 2" xfId="20607" xr:uid="{00000000-0005-0000-0000-0000D2330000}"/>
    <cellStyle name="Normal 10 2 5 3 6 2 2" xfId="46160" xr:uid="{00000000-0005-0000-0000-0000D3330000}"/>
    <cellStyle name="Normal 10 2 5 3 6 3" xfId="33331" xr:uid="{00000000-0005-0000-0000-0000D4330000}"/>
    <cellStyle name="Normal 10 2 5 3 7" xfId="16409" xr:uid="{00000000-0005-0000-0000-0000D5330000}"/>
    <cellStyle name="Normal 10 2 5 3 7 2" xfId="41962" xr:uid="{00000000-0005-0000-0000-0000D6330000}"/>
    <cellStyle name="Normal 10 2 5 3 8" xfId="27090" xr:uid="{00000000-0005-0000-0000-0000D7330000}"/>
    <cellStyle name="Normal 10 2 5 4" xfId="2938" xr:uid="{00000000-0005-0000-0000-0000D8330000}"/>
    <cellStyle name="Normal 10 2 5 4 2" xfId="5316" xr:uid="{00000000-0005-0000-0000-0000D9330000}"/>
    <cellStyle name="Normal 10 2 5 4 2 2" xfId="14153" xr:uid="{00000000-0005-0000-0000-0000DA330000}"/>
    <cellStyle name="Normal 10 2 5 4 2 2 2" xfId="24404" xr:uid="{00000000-0005-0000-0000-0000DB330000}"/>
    <cellStyle name="Normal 10 2 5 4 2 2 2 2" xfId="49957" xr:uid="{00000000-0005-0000-0000-0000DC330000}"/>
    <cellStyle name="Normal 10 2 5 4 2 2 3" xfId="39708" xr:uid="{00000000-0005-0000-0000-0000DD330000}"/>
    <cellStyle name="Normal 10 2 5 4 2 3" xfId="10574" xr:uid="{00000000-0005-0000-0000-0000DE330000}"/>
    <cellStyle name="Normal 10 2 5 4 2 3 2" xfId="36131" xr:uid="{00000000-0005-0000-0000-0000DF330000}"/>
    <cellStyle name="Normal 10 2 5 4 2 4" xfId="19397" xr:uid="{00000000-0005-0000-0000-0000E0330000}"/>
    <cellStyle name="Normal 10 2 5 4 2 4 2" xfId="44950" xr:uid="{00000000-0005-0000-0000-0000E1330000}"/>
    <cellStyle name="Normal 10 2 5 4 2 5" xfId="30887" xr:uid="{00000000-0005-0000-0000-0000E2330000}"/>
    <cellStyle name="Normal 10 2 5 4 3" xfId="6771" xr:uid="{00000000-0005-0000-0000-0000E3330000}"/>
    <cellStyle name="Normal 10 2 5 4 3 2" xfId="15598" xr:uid="{00000000-0005-0000-0000-0000E4330000}"/>
    <cellStyle name="Normal 10 2 5 4 3 2 2" xfId="41153" xr:uid="{00000000-0005-0000-0000-0000E5330000}"/>
    <cellStyle name="Normal 10 2 5 4 3 3" xfId="25849" xr:uid="{00000000-0005-0000-0000-0000E6330000}"/>
    <cellStyle name="Normal 10 2 5 4 3 3 2" xfId="51402" xr:uid="{00000000-0005-0000-0000-0000E7330000}"/>
    <cellStyle name="Normal 10 2 5 4 3 4" xfId="32332" xr:uid="{00000000-0005-0000-0000-0000E8330000}"/>
    <cellStyle name="Normal 10 2 5 4 4" xfId="8217" xr:uid="{00000000-0005-0000-0000-0000E9330000}"/>
    <cellStyle name="Normal 10 2 5 4 4 2" xfId="22299" xr:uid="{00000000-0005-0000-0000-0000EA330000}"/>
    <cellStyle name="Normal 10 2 5 4 4 2 2" xfId="47852" xr:uid="{00000000-0005-0000-0000-0000EB330000}"/>
    <cellStyle name="Normal 10 2 5 4 4 3" xfId="33774" xr:uid="{00000000-0005-0000-0000-0000EC330000}"/>
    <cellStyle name="Normal 10 2 5 4 5" xfId="17292" xr:uid="{00000000-0005-0000-0000-0000ED330000}"/>
    <cellStyle name="Normal 10 2 5 4 5 2" xfId="42845" xr:uid="{00000000-0005-0000-0000-0000EE330000}"/>
    <cellStyle name="Normal 10 2 5 4 6" xfId="28782" xr:uid="{00000000-0005-0000-0000-0000EF330000}"/>
    <cellStyle name="Normal 10 2 5 5" xfId="4272" xr:uid="{00000000-0005-0000-0000-0000F0330000}"/>
    <cellStyle name="Normal 10 2 5 5 2" xfId="13110" xr:uid="{00000000-0005-0000-0000-0000F1330000}"/>
    <cellStyle name="Normal 10 2 5 5 2 2" xfId="23361" xr:uid="{00000000-0005-0000-0000-0000F2330000}"/>
    <cellStyle name="Normal 10 2 5 5 2 2 2" xfId="48914" xr:uid="{00000000-0005-0000-0000-0000F3330000}"/>
    <cellStyle name="Normal 10 2 5 5 2 3" xfId="38665" xr:uid="{00000000-0005-0000-0000-0000F4330000}"/>
    <cellStyle name="Normal 10 2 5 5 3" xfId="9531" xr:uid="{00000000-0005-0000-0000-0000F5330000}"/>
    <cellStyle name="Normal 10 2 5 5 3 2" xfId="35088" xr:uid="{00000000-0005-0000-0000-0000F6330000}"/>
    <cellStyle name="Normal 10 2 5 5 4" xfId="18354" xr:uid="{00000000-0005-0000-0000-0000F7330000}"/>
    <cellStyle name="Normal 10 2 5 5 4 2" xfId="43907" xr:uid="{00000000-0005-0000-0000-0000F8330000}"/>
    <cellStyle name="Normal 10 2 5 5 5" xfId="29844" xr:uid="{00000000-0005-0000-0000-0000F9330000}"/>
    <cellStyle name="Normal 10 2 5 6" xfId="1544" xr:uid="{00000000-0005-0000-0000-0000FA330000}"/>
    <cellStyle name="Normal 10 2 5 6 2" xfId="10921" xr:uid="{00000000-0005-0000-0000-0000FB330000}"/>
    <cellStyle name="Normal 10 2 5 6 2 2" xfId="36476" xr:uid="{00000000-0005-0000-0000-0000FC330000}"/>
    <cellStyle name="Normal 10 2 5 6 3" xfId="20925" xr:uid="{00000000-0005-0000-0000-0000FD330000}"/>
    <cellStyle name="Normal 10 2 5 6 3 2" xfId="46478" xr:uid="{00000000-0005-0000-0000-0000FE330000}"/>
    <cellStyle name="Normal 10 2 5 6 4" xfId="27408" xr:uid="{00000000-0005-0000-0000-0000FF330000}"/>
    <cellStyle name="Normal 10 2 5 7" xfId="5728" xr:uid="{00000000-0005-0000-0000-000000340000}"/>
    <cellStyle name="Normal 10 2 5 7 2" xfId="14555" xr:uid="{00000000-0005-0000-0000-000001340000}"/>
    <cellStyle name="Normal 10 2 5 7 2 2" xfId="40110" xr:uid="{00000000-0005-0000-0000-000002340000}"/>
    <cellStyle name="Normal 10 2 5 7 3" xfId="24806" xr:uid="{00000000-0005-0000-0000-000003340000}"/>
    <cellStyle name="Normal 10 2 5 7 3 2" xfId="50359" xr:uid="{00000000-0005-0000-0000-000004340000}"/>
    <cellStyle name="Normal 10 2 5 7 4" xfId="31289" xr:uid="{00000000-0005-0000-0000-000005340000}"/>
    <cellStyle name="Normal 10 2 5 8" xfId="7172" xr:uid="{00000000-0005-0000-0000-000006340000}"/>
    <cellStyle name="Normal 10 2 5 8 2" xfId="19898" xr:uid="{00000000-0005-0000-0000-000007340000}"/>
    <cellStyle name="Normal 10 2 5 8 2 2" xfId="45451" xr:uid="{00000000-0005-0000-0000-000008340000}"/>
    <cellStyle name="Normal 10 2 5 8 3" xfId="32729" xr:uid="{00000000-0005-0000-0000-000009340000}"/>
    <cellStyle name="Normal 10 2 5 9" xfId="15918" xr:uid="{00000000-0005-0000-0000-00000A340000}"/>
    <cellStyle name="Normal 10 2 5 9 2" xfId="41471" xr:uid="{00000000-0005-0000-0000-00000B340000}"/>
    <cellStyle name="Normal 10 2 5_Degree data" xfId="3821" xr:uid="{00000000-0005-0000-0000-00000C340000}"/>
    <cellStyle name="Normal 10 2 6" xfId="307" xr:uid="{00000000-0005-0000-0000-00000D340000}"/>
    <cellStyle name="Normal 10 2 6 10" xfId="26236" xr:uid="{00000000-0005-0000-0000-00000E340000}"/>
    <cellStyle name="Normal 10 2 6 2" xfId="710" xr:uid="{00000000-0005-0000-0000-00000F340000}"/>
    <cellStyle name="Normal 10 2 6 2 2" xfId="3196" xr:uid="{00000000-0005-0000-0000-000010340000}"/>
    <cellStyle name="Normal 10 2 6 2 2 2" xfId="12339" xr:uid="{00000000-0005-0000-0000-000011340000}"/>
    <cellStyle name="Normal 10 2 6 2 2 2 2" xfId="22557" xr:uid="{00000000-0005-0000-0000-000012340000}"/>
    <cellStyle name="Normal 10 2 6 2 2 2 2 2" xfId="48110" xr:uid="{00000000-0005-0000-0000-000013340000}"/>
    <cellStyle name="Normal 10 2 6 2 2 2 3" xfId="37894" xr:uid="{00000000-0005-0000-0000-000014340000}"/>
    <cellStyle name="Normal 10 2 6 2 2 3" xfId="8761" xr:uid="{00000000-0005-0000-0000-000015340000}"/>
    <cellStyle name="Normal 10 2 6 2 2 3 2" xfId="34318" xr:uid="{00000000-0005-0000-0000-000016340000}"/>
    <cellStyle name="Normal 10 2 6 2 2 4" xfId="17550" xr:uid="{00000000-0005-0000-0000-000017340000}"/>
    <cellStyle name="Normal 10 2 6 2 2 4 2" xfId="43103" xr:uid="{00000000-0005-0000-0000-000018340000}"/>
    <cellStyle name="Normal 10 2 6 2 2 5" xfId="29040" xr:uid="{00000000-0005-0000-0000-000019340000}"/>
    <cellStyle name="Normal 10 2 6 2 3" xfId="4525" xr:uid="{00000000-0005-0000-0000-00001A340000}"/>
    <cellStyle name="Normal 10 2 6 2 3 2" xfId="13363" xr:uid="{00000000-0005-0000-0000-00001B340000}"/>
    <cellStyle name="Normal 10 2 6 2 3 2 2" xfId="23614" xr:uid="{00000000-0005-0000-0000-00001C340000}"/>
    <cellStyle name="Normal 10 2 6 2 3 2 2 2" xfId="49167" xr:uid="{00000000-0005-0000-0000-00001D340000}"/>
    <cellStyle name="Normal 10 2 6 2 3 2 3" xfId="38918" xr:uid="{00000000-0005-0000-0000-00001E340000}"/>
    <cellStyle name="Normal 10 2 6 2 3 3" xfId="9784" xr:uid="{00000000-0005-0000-0000-00001F340000}"/>
    <cellStyle name="Normal 10 2 6 2 3 3 2" xfId="35341" xr:uid="{00000000-0005-0000-0000-000020340000}"/>
    <cellStyle name="Normal 10 2 6 2 3 4" xfId="18607" xr:uid="{00000000-0005-0000-0000-000021340000}"/>
    <cellStyle name="Normal 10 2 6 2 3 4 2" xfId="44160" xr:uid="{00000000-0005-0000-0000-000022340000}"/>
    <cellStyle name="Normal 10 2 6 2 3 5" xfId="30097" xr:uid="{00000000-0005-0000-0000-000023340000}"/>
    <cellStyle name="Normal 10 2 6 2 4" xfId="2305" xr:uid="{00000000-0005-0000-0000-000024340000}"/>
    <cellStyle name="Normal 10 2 6 2 4 2" xfId="11670" xr:uid="{00000000-0005-0000-0000-000025340000}"/>
    <cellStyle name="Normal 10 2 6 2 4 2 2" xfId="37225" xr:uid="{00000000-0005-0000-0000-000026340000}"/>
    <cellStyle name="Normal 10 2 6 2 4 3" xfId="21674" xr:uid="{00000000-0005-0000-0000-000027340000}"/>
    <cellStyle name="Normal 10 2 6 2 4 3 2" xfId="47227" xr:uid="{00000000-0005-0000-0000-000028340000}"/>
    <cellStyle name="Normal 10 2 6 2 4 4" xfId="28157" xr:uid="{00000000-0005-0000-0000-000029340000}"/>
    <cellStyle name="Normal 10 2 6 2 5" xfId="5981" xr:uid="{00000000-0005-0000-0000-00002A340000}"/>
    <cellStyle name="Normal 10 2 6 2 5 2" xfId="14808" xr:uid="{00000000-0005-0000-0000-00002B340000}"/>
    <cellStyle name="Normal 10 2 6 2 5 2 2" xfId="40363" xr:uid="{00000000-0005-0000-0000-00002C340000}"/>
    <cellStyle name="Normal 10 2 6 2 5 3" xfId="25059" xr:uid="{00000000-0005-0000-0000-00002D340000}"/>
    <cellStyle name="Normal 10 2 6 2 5 3 2" xfId="50612" xr:uid="{00000000-0005-0000-0000-00002E340000}"/>
    <cellStyle name="Normal 10 2 6 2 5 4" xfId="31542" xr:uid="{00000000-0005-0000-0000-00002F340000}"/>
    <cellStyle name="Normal 10 2 6 2 6" xfId="7425" xr:uid="{00000000-0005-0000-0000-000030340000}"/>
    <cellStyle name="Normal 10 2 6 2 6 2" xfId="20156" xr:uid="{00000000-0005-0000-0000-000031340000}"/>
    <cellStyle name="Normal 10 2 6 2 6 2 2" xfId="45709" xr:uid="{00000000-0005-0000-0000-000032340000}"/>
    <cellStyle name="Normal 10 2 6 2 6 3" xfId="32982" xr:uid="{00000000-0005-0000-0000-000033340000}"/>
    <cellStyle name="Normal 10 2 6 2 7" xfId="16667" xr:uid="{00000000-0005-0000-0000-000034340000}"/>
    <cellStyle name="Normal 10 2 6 2 7 2" xfId="42220" xr:uid="{00000000-0005-0000-0000-000035340000}"/>
    <cellStyle name="Normal 10 2 6 2 8" xfId="26639" xr:uid="{00000000-0005-0000-0000-000036340000}"/>
    <cellStyle name="Normal 10 2 6 3" xfId="1079" xr:uid="{00000000-0005-0000-0000-000037340000}"/>
    <cellStyle name="Normal 10 2 6 3 2" xfId="3508" xr:uid="{00000000-0005-0000-0000-000038340000}"/>
    <cellStyle name="Normal 10 2 6 3 2 2" xfId="12644" xr:uid="{00000000-0005-0000-0000-000039340000}"/>
    <cellStyle name="Normal 10 2 6 3 2 2 2" xfId="22863" xr:uid="{00000000-0005-0000-0000-00003A340000}"/>
    <cellStyle name="Normal 10 2 6 3 2 2 2 2" xfId="48416" xr:uid="{00000000-0005-0000-0000-00003B340000}"/>
    <cellStyle name="Normal 10 2 6 3 2 2 3" xfId="38199" xr:uid="{00000000-0005-0000-0000-00003C340000}"/>
    <cellStyle name="Normal 10 2 6 3 2 3" xfId="9066" xr:uid="{00000000-0005-0000-0000-00003D340000}"/>
    <cellStyle name="Normal 10 2 6 3 2 3 2" xfId="34623" xr:uid="{00000000-0005-0000-0000-00003E340000}"/>
    <cellStyle name="Normal 10 2 6 3 2 4" xfId="17856" xr:uid="{00000000-0005-0000-0000-00003F340000}"/>
    <cellStyle name="Normal 10 2 6 3 2 4 2" xfId="43409" xr:uid="{00000000-0005-0000-0000-000040340000}"/>
    <cellStyle name="Normal 10 2 6 3 2 5" xfId="29346" xr:uid="{00000000-0005-0000-0000-000041340000}"/>
    <cellStyle name="Normal 10 2 6 3 3" xfId="4874" xr:uid="{00000000-0005-0000-0000-000042340000}"/>
    <cellStyle name="Normal 10 2 6 3 3 2" xfId="13711" xr:uid="{00000000-0005-0000-0000-000043340000}"/>
    <cellStyle name="Normal 10 2 6 3 3 2 2" xfId="23962" xr:uid="{00000000-0005-0000-0000-000044340000}"/>
    <cellStyle name="Normal 10 2 6 3 3 2 2 2" xfId="49515" xr:uid="{00000000-0005-0000-0000-000045340000}"/>
    <cellStyle name="Normal 10 2 6 3 3 2 3" xfId="39266" xr:uid="{00000000-0005-0000-0000-000046340000}"/>
    <cellStyle name="Normal 10 2 6 3 3 3" xfId="10132" xr:uid="{00000000-0005-0000-0000-000047340000}"/>
    <cellStyle name="Normal 10 2 6 3 3 3 2" xfId="35689" xr:uid="{00000000-0005-0000-0000-000048340000}"/>
    <cellStyle name="Normal 10 2 6 3 3 4" xfId="18955" xr:uid="{00000000-0005-0000-0000-000049340000}"/>
    <cellStyle name="Normal 10 2 6 3 3 4 2" xfId="44508" xr:uid="{00000000-0005-0000-0000-00004A340000}"/>
    <cellStyle name="Normal 10 2 6 3 3 5" xfId="30445" xr:uid="{00000000-0005-0000-0000-00004B340000}"/>
    <cellStyle name="Normal 10 2 6 3 4" xfId="2583" xr:uid="{00000000-0005-0000-0000-00004C340000}"/>
    <cellStyle name="Normal 10 2 6 3 4 2" xfId="11947" xr:uid="{00000000-0005-0000-0000-00004D340000}"/>
    <cellStyle name="Normal 10 2 6 3 4 2 2" xfId="37502" xr:uid="{00000000-0005-0000-0000-00004E340000}"/>
    <cellStyle name="Normal 10 2 6 3 4 3" xfId="21951" xr:uid="{00000000-0005-0000-0000-00004F340000}"/>
    <cellStyle name="Normal 10 2 6 3 4 3 2" xfId="47504" xr:uid="{00000000-0005-0000-0000-000050340000}"/>
    <cellStyle name="Normal 10 2 6 3 4 4" xfId="28434" xr:uid="{00000000-0005-0000-0000-000051340000}"/>
    <cellStyle name="Normal 10 2 6 3 5" xfId="6329" xr:uid="{00000000-0005-0000-0000-000052340000}"/>
    <cellStyle name="Normal 10 2 6 3 5 2" xfId="15156" xr:uid="{00000000-0005-0000-0000-000053340000}"/>
    <cellStyle name="Normal 10 2 6 3 5 2 2" xfId="40711" xr:uid="{00000000-0005-0000-0000-000054340000}"/>
    <cellStyle name="Normal 10 2 6 3 5 3" xfId="25407" xr:uid="{00000000-0005-0000-0000-000055340000}"/>
    <cellStyle name="Normal 10 2 6 3 5 3 2" xfId="50960" xr:uid="{00000000-0005-0000-0000-000056340000}"/>
    <cellStyle name="Normal 10 2 6 3 5 4" xfId="31890" xr:uid="{00000000-0005-0000-0000-000057340000}"/>
    <cellStyle name="Normal 10 2 6 3 6" xfId="7775" xr:uid="{00000000-0005-0000-0000-000058340000}"/>
    <cellStyle name="Normal 10 2 6 3 6 2" xfId="20462" xr:uid="{00000000-0005-0000-0000-000059340000}"/>
    <cellStyle name="Normal 10 2 6 3 6 2 2" xfId="46015" xr:uid="{00000000-0005-0000-0000-00005A340000}"/>
    <cellStyle name="Normal 10 2 6 3 6 3" xfId="33332" xr:uid="{00000000-0005-0000-0000-00005B340000}"/>
    <cellStyle name="Normal 10 2 6 3 7" xfId="16944" xr:uid="{00000000-0005-0000-0000-00005C340000}"/>
    <cellStyle name="Normal 10 2 6 3 7 2" xfId="42497" xr:uid="{00000000-0005-0000-0000-00005D340000}"/>
    <cellStyle name="Normal 10 2 6 3 8" xfId="26945" xr:uid="{00000000-0005-0000-0000-00005E340000}"/>
    <cellStyle name="Normal 10 2 6 4" xfId="2793" xr:uid="{00000000-0005-0000-0000-00005F340000}"/>
    <cellStyle name="Normal 10 2 6 4 2" xfId="5171" xr:uid="{00000000-0005-0000-0000-000060340000}"/>
    <cellStyle name="Normal 10 2 6 4 2 2" xfId="14008" xr:uid="{00000000-0005-0000-0000-000061340000}"/>
    <cellStyle name="Normal 10 2 6 4 2 2 2" xfId="24259" xr:uid="{00000000-0005-0000-0000-000062340000}"/>
    <cellStyle name="Normal 10 2 6 4 2 2 2 2" xfId="49812" xr:uid="{00000000-0005-0000-0000-000063340000}"/>
    <cellStyle name="Normal 10 2 6 4 2 2 3" xfId="39563" xr:uid="{00000000-0005-0000-0000-000064340000}"/>
    <cellStyle name="Normal 10 2 6 4 2 3" xfId="10429" xr:uid="{00000000-0005-0000-0000-000065340000}"/>
    <cellStyle name="Normal 10 2 6 4 2 3 2" xfId="35986" xr:uid="{00000000-0005-0000-0000-000066340000}"/>
    <cellStyle name="Normal 10 2 6 4 2 4" xfId="19252" xr:uid="{00000000-0005-0000-0000-000067340000}"/>
    <cellStyle name="Normal 10 2 6 4 2 4 2" xfId="44805" xr:uid="{00000000-0005-0000-0000-000068340000}"/>
    <cellStyle name="Normal 10 2 6 4 2 5" xfId="30742" xr:uid="{00000000-0005-0000-0000-000069340000}"/>
    <cellStyle name="Normal 10 2 6 4 3" xfId="6626" xr:uid="{00000000-0005-0000-0000-00006A340000}"/>
    <cellStyle name="Normal 10 2 6 4 3 2" xfId="15453" xr:uid="{00000000-0005-0000-0000-00006B340000}"/>
    <cellStyle name="Normal 10 2 6 4 3 2 2" xfId="41008" xr:uid="{00000000-0005-0000-0000-00006C340000}"/>
    <cellStyle name="Normal 10 2 6 4 3 3" xfId="25704" xr:uid="{00000000-0005-0000-0000-00006D340000}"/>
    <cellStyle name="Normal 10 2 6 4 3 3 2" xfId="51257" xr:uid="{00000000-0005-0000-0000-00006E340000}"/>
    <cellStyle name="Normal 10 2 6 4 3 4" xfId="32187" xr:uid="{00000000-0005-0000-0000-00006F340000}"/>
    <cellStyle name="Normal 10 2 6 4 4" xfId="8072" xr:uid="{00000000-0005-0000-0000-000070340000}"/>
    <cellStyle name="Normal 10 2 6 4 4 2" xfId="22154" xr:uid="{00000000-0005-0000-0000-000071340000}"/>
    <cellStyle name="Normal 10 2 6 4 4 2 2" xfId="47707" xr:uid="{00000000-0005-0000-0000-000072340000}"/>
    <cellStyle name="Normal 10 2 6 4 4 3" xfId="33629" xr:uid="{00000000-0005-0000-0000-000073340000}"/>
    <cellStyle name="Normal 10 2 6 4 5" xfId="17147" xr:uid="{00000000-0005-0000-0000-000074340000}"/>
    <cellStyle name="Normal 10 2 6 4 5 2" xfId="42700" xr:uid="{00000000-0005-0000-0000-000075340000}"/>
    <cellStyle name="Normal 10 2 6 4 6" xfId="28637" xr:uid="{00000000-0005-0000-0000-000076340000}"/>
    <cellStyle name="Normal 10 2 6 5" xfId="4125" xr:uid="{00000000-0005-0000-0000-000077340000}"/>
    <cellStyle name="Normal 10 2 6 5 2" xfId="12963" xr:uid="{00000000-0005-0000-0000-000078340000}"/>
    <cellStyle name="Normal 10 2 6 5 2 2" xfId="23214" xr:uid="{00000000-0005-0000-0000-000079340000}"/>
    <cellStyle name="Normal 10 2 6 5 2 2 2" xfId="48767" xr:uid="{00000000-0005-0000-0000-00007A340000}"/>
    <cellStyle name="Normal 10 2 6 5 2 3" xfId="38518" xr:uid="{00000000-0005-0000-0000-00007B340000}"/>
    <cellStyle name="Normal 10 2 6 5 3" xfId="9384" xr:uid="{00000000-0005-0000-0000-00007C340000}"/>
    <cellStyle name="Normal 10 2 6 5 3 2" xfId="34941" xr:uid="{00000000-0005-0000-0000-00007D340000}"/>
    <cellStyle name="Normal 10 2 6 5 4" xfId="18207" xr:uid="{00000000-0005-0000-0000-00007E340000}"/>
    <cellStyle name="Normal 10 2 6 5 4 2" xfId="43760" xr:uid="{00000000-0005-0000-0000-00007F340000}"/>
    <cellStyle name="Normal 10 2 6 5 5" xfId="29697" xr:uid="{00000000-0005-0000-0000-000080340000}"/>
    <cellStyle name="Normal 10 2 6 6" xfId="1902" xr:uid="{00000000-0005-0000-0000-000081340000}"/>
    <cellStyle name="Normal 10 2 6 6 2" xfId="11267" xr:uid="{00000000-0005-0000-0000-000082340000}"/>
    <cellStyle name="Normal 10 2 6 6 2 2" xfId="36822" xr:uid="{00000000-0005-0000-0000-000083340000}"/>
    <cellStyle name="Normal 10 2 6 6 3" xfId="21271" xr:uid="{00000000-0005-0000-0000-000084340000}"/>
    <cellStyle name="Normal 10 2 6 6 3 2" xfId="46824" xr:uid="{00000000-0005-0000-0000-000085340000}"/>
    <cellStyle name="Normal 10 2 6 6 4" xfId="27754" xr:uid="{00000000-0005-0000-0000-000086340000}"/>
    <cellStyle name="Normal 10 2 6 7" xfId="5583" xr:uid="{00000000-0005-0000-0000-000087340000}"/>
    <cellStyle name="Normal 10 2 6 7 2" xfId="14410" xr:uid="{00000000-0005-0000-0000-000088340000}"/>
    <cellStyle name="Normal 10 2 6 7 2 2" xfId="39965" xr:uid="{00000000-0005-0000-0000-000089340000}"/>
    <cellStyle name="Normal 10 2 6 7 3" xfId="24661" xr:uid="{00000000-0005-0000-0000-00008A340000}"/>
    <cellStyle name="Normal 10 2 6 7 3 2" xfId="50214" xr:uid="{00000000-0005-0000-0000-00008B340000}"/>
    <cellStyle name="Normal 10 2 6 7 4" xfId="31144" xr:uid="{00000000-0005-0000-0000-00008C340000}"/>
    <cellStyle name="Normal 10 2 6 8" xfId="7027" xr:uid="{00000000-0005-0000-0000-00008D340000}"/>
    <cellStyle name="Normal 10 2 6 8 2" xfId="19753" xr:uid="{00000000-0005-0000-0000-00008E340000}"/>
    <cellStyle name="Normal 10 2 6 8 2 2" xfId="45306" xr:uid="{00000000-0005-0000-0000-00008F340000}"/>
    <cellStyle name="Normal 10 2 6 8 3" xfId="32584" xr:uid="{00000000-0005-0000-0000-000090340000}"/>
    <cellStyle name="Normal 10 2 6 9" xfId="16264" xr:uid="{00000000-0005-0000-0000-000091340000}"/>
    <cellStyle name="Normal 10 2 6 9 2" xfId="41817" xr:uid="{00000000-0005-0000-0000-000092340000}"/>
    <cellStyle name="Normal 10 2 6_Degree data" xfId="3886" xr:uid="{00000000-0005-0000-0000-000093340000}"/>
    <cellStyle name="Normal 10 2 7" xfId="698" xr:uid="{00000000-0005-0000-0000-000094340000}"/>
    <cellStyle name="Normal 10 2 7 2" xfId="3184" xr:uid="{00000000-0005-0000-0000-000095340000}"/>
    <cellStyle name="Normal 10 2 7 2 2" xfId="12327" xr:uid="{00000000-0005-0000-0000-000096340000}"/>
    <cellStyle name="Normal 10 2 7 2 2 2" xfId="22545" xr:uid="{00000000-0005-0000-0000-000097340000}"/>
    <cellStyle name="Normal 10 2 7 2 2 2 2" xfId="48098" xr:uid="{00000000-0005-0000-0000-000098340000}"/>
    <cellStyle name="Normal 10 2 7 2 2 3" xfId="37882" xr:uid="{00000000-0005-0000-0000-000099340000}"/>
    <cellStyle name="Normal 10 2 7 2 3" xfId="8749" xr:uid="{00000000-0005-0000-0000-00009A340000}"/>
    <cellStyle name="Normal 10 2 7 2 3 2" xfId="34306" xr:uid="{00000000-0005-0000-0000-00009B340000}"/>
    <cellStyle name="Normal 10 2 7 2 4" xfId="17538" xr:uid="{00000000-0005-0000-0000-00009C340000}"/>
    <cellStyle name="Normal 10 2 7 2 4 2" xfId="43091" xr:uid="{00000000-0005-0000-0000-00009D340000}"/>
    <cellStyle name="Normal 10 2 7 2 5" xfId="29028" xr:uid="{00000000-0005-0000-0000-00009E340000}"/>
    <cellStyle name="Normal 10 2 7 3" xfId="4513" xr:uid="{00000000-0005-0000-0000-00009F340000}"/>
    <cellStyle name="Normal 10 2 7 3 2" xfId="13351" xr:uid="{00000000-0005-0000-0000-0000A0340000}"/>
    <cellStyle name="Normal 10 2 7 3 2 2" xfId="23602" xr:uid="{00000000-0005-0000-0000-0000A1340000}"/>
    <cellStyle name="Normal 10 2 7 3 2 2 2" xfId="49155" xr:uid="{00000000-0005-0000-0000-0000A2340000}"/>
    <cellStyle name="Normal 10 2 7 3 2 3" xfId="38906" xr:uid="{00000000-0005-0000-0000-0000A3340000}"/>
    <cellStyle name="Normal 10 2 7 3 3" xfId="9772" xr:uid="{00000000-0005-0000-0000-0000A4340000}"/>
    <cellStyle name="Normal 10 2 7 3 3 2" xfId="35329" xr:uid="{00000000-0005-0000-0000-0000A5340000}"/>
    <cellStyle name="Normal 10 2 7 3 4" xfId="18595" xr:uid="{00000000-0005-0000-0000-0000A6340000}"/>
    <cellStyle name="Normal 10 2 7 3 4 2" xfId="44148" xr:uid="{00000000-0005-0000-0000-0000A7340000}"/>
    <cellStyle name="Normal 10 2 7 3 5" xfId="30085" xr:uid="{00000000-0005-0000-0000-0000A8340000}"/>
    <cellStyle name="Normal 10 2 7 4" xfId="2293" xr:uid="{00000000-0005-0000-0000-0000A9340000}"/>
    <cellStyle name="Normal 10 2 7 4 2" xfId="11658" xr:uid="{00000000-0005-0000-0000-0000AA340000}"/>
    <cellStyle name="Normal 10 2 7 4 2 2" xfId="37213" xr:uid="{00000000-0005-0000-0000-0000AB340000}"/>
    <cellStyle name="Normal 10 2 7 4 3" xfId="21662" xr:uid="{00000000-0005-0000-0000-0000AC340000}"/>
    <cellStyle name="Normal 10 2 7 4 3 2" xfId="47215" xr:uid="{00000000-0005-0000-0000-0000AD340000}"/>
    <cellStyle name="Normal 10 2 7 4 4" xfId="28145" xr:uid="{00000000-0005-0000-0000-0000AE340000}"/>
    <cellStyle name="Normal 10 2 7 5" xfId="5969" xr:uid="{00000000-0005-0000-0000-0000AF340000}"/>
    <cellStyle name="Normal 10 2 7 5 2" xfId="14796" xr:uid="{00000000-0005-0000-0000-0000B0340000}"/>
    <cellStyle name="Normal 10 2 7 5 2 2" xfId="40351" xr:uid="{00000000-0005-0000-0000-0000B1340000}"/>
    <cellStyle name="Normal 10 2 7 5 3" xfId="25047" xr:uid="{00000000-0005-0000-0000-0000B2340000}"/>
    <cellStyle name="Normal 10 2 7 5 3 2" xfId="50600" xr:uid="{00000000-0005-0000-0000-0000B3340000}"/>
    <cellStyle name="Normal 10 2 7 5 4" xfId="31530" xr:uid="{00000000-0005-0000-0000-0000B4340000}"/>
    <cellStyle name="Normal 10 2 7 6" xfId="7413" xr:uid="{00000000-0005-0000-0000-0000B5340000}"/>
    <cellStyle name="Normal 10 2 7 6 2" xfId="20144" xr:uid="{00000000-0005-0000-0000-0000B6340000}"/>
    <cellStyle name="Normal 10 2 7 6 2 2" xfId="45697" xr:uid="{00000000-0005-0000-0000-0000B7340000}"/>
    <cellStyle name="Normal 10 2 7 6 3" xfId="32970" xr:uid="{00000000-0005-0000-0000-0000B8340000}"/>
    <cellStyle name="Normal 10 2 7 7" xfId="16655" xr:uid="{00000000-0005-0000-0000-0000B9340000}"/>
    <cellStyle name="Normal 10 2 7 7 2" xfId="42208" xr:uid="{00000000-0005-0000-0000-0000BA340000}"/>
    <cellStyle name="Normal 10 2 7 8" xfId="26627" xr:uid="{00000000-0005-0000-0000-0000BB340000}"/>
    <cellStyle name="Normal 10 2 8" xfId="1059" xr:uid="{00000000-0005-0000-0000-0000BC340000}"/>
    <cellStyle name="Normal 10 2 8 2" xfId="3488" xr:uid="{00000000-0005-0000-0000-0000BD340000}"/>
    <cellStyle name="Normal 10 2 8 2 2" xfId="12624" xr:uid="{00000000-0005-0000-0000-0000BE340000}"/>
    <cellStyle name="Normal 10 2 8 2 2 2" xfId="22843" xr:uid="{00000000-0005-0000-0000-0000BF340000}"/>
    <cellStyle name="Normal 10 2 8 2 2 2 2" xfId="48396" xr:uid="{00000000-0005-0000-0000-0000C0340000}"/>
    <cellStyle name="Normal 10 2 8 2 2 3" xfId="38179" xr:uid="{00000000-0005-0000-0000-0000C1340000}"/>
    <cellStyle name="Normal 10 2 8 2 3" xfId="9046" xr:uid="{00000000-0005-0000-0000-0000C2340000}"/>
    <cellStyle name="Normal 10 2 8 2 3 2" xfId="34603" xr:uid="{00000000-0005-0000-0000-0000C3340000}"/>
    <cellStyle name="Normal 10 2 8 2 4" xfId="17836" xr:uid="{00000000-0005-0000-0000-0000C4340000}"/>
    <cellStyle name="Normal 10 2 8 2 4 2" xfId="43389" xr:uid="{00000000-0005-0000-0000-0000C5340000}"/>
    <cellStyle name="Normal 10 2 8 2 5" xfId="29326" xr:uid="{00000000-0005-0000-0000-0000C6340000}"/>
    <cellStyle name="Normal 10 2 8 3" xfId="4862" xr:uid="{00000000-0005-0000-0000-0000C7340000}"/>
    <cellStyle name="Normal 10 2 8 3 2" xfId="13699" xr:uid="{00000000-0005-0000-0000-0000C8340000}"/>
    <cellStyle name="Normal 10 2 8 3 2 2" xfId="23950" xr:uid="{00000000-0005-0000-0000-0000C9340000}"/>
    <cellStyle name="Normal 10 2 8 3 2 2 2" xfId="49503" xr:uid="{00000000-0005-0000-0000-0000CA340000}"/>
    <cellStyle name="Normal 10 2 8 3 2 3" xfId="39254" xr:uid="{00000000-0005-0000-0000-0000CB340000}"/>
    <cellStyle name="Normal 10 2 8 3 3" xfId="10120" xr:uid="{00000000-0005-0000-0000-0000CC340000}"/>
    <cellStyle name="Normal 10 2 8 3 3 2" xfId="35677" xr:uid="{00000000-0005-0000-0000-0000CD340000}"/>
    <cellStyle name="Normal 10 2 8 3 4" xfId="18943" xr:uid="{00000000-0005-0000-0000-0000CE340000}"/>
    <cellStyle name="Normal 10 2 8 3 4 2" xfId="44496" xr:uid="{00000000-0005-0000-0000-0000CF340000}"/>
    <cellStyle name="Normal 10 2 8 3 5" xfId="30433" xr:uid="{00000000-0005-0000-0000-0000D0340000}"/>
    <cellStyle name="Normal 10 2 8 4" xfId="1720" xr:uid="{00000000-0005-0000-0000-0000D1340000}"/>
    <cellStyle name="Normal 10 2 8 4 2" xfId="11094" xr:uid="{00000000-0005-0000-0000-0000D2340000}"/>
    <cellStyle name="Normal 10 2 8 4 2 2" xfId="36649" xr:uid="{00000000-0005-0000-0000-0000D3340000}"/>
    <cellStyle name="Normal 10 2 8 4 3" xfId="21098" xr:uid="{00000000-0005-0000-0000-0000D4340000}"/>
    <cellStyle name="Normal 10 2 8 4 3 2" xfId="46651" xr:uid="{00000000-0005-0000-0000-0000D5340000}"/>
    <cellStyle name="Normal 10 2 8 4 4" xfId="27581" xr:uid="{00000000-0005-0000-0000-0000D6340000}"/>
    <cellStyle name="Normal 10 2 8 5" xfId="6317" xr:uid="{00000000-0005-0000-0000-0000D7340000}"/>
    <cellStyle name="Normal 10 2 8 5 2" xfId="15144" xr:uid="{00000000-0005-0000-0000-0000D8340000}"/>
    <cellStyle name="Normal 10 2 8 5 2 2" xfId="40699" xr:uid="{00000000-0005-0000-0000-0000D9340000}"/>
    <cellStyle name="Normal 10 2 8 5 3" xfId="25395" xr:uid="{00000000-0005-0000-0000-0000DA340000}"/>
    <cellStyle name="Normal 10 2 8 5 3 2" xfId="50948" xr:uid="{00000000-0005-0000-0000-0000DB340000}"/>
    <cellStyle name="Normal 10 2 8 5 4" xfId="31878" xr:uid="{00000000-0005-0000-0000-0000DC340000}"/>
    <cellStyle name="Normal 10 2 8 6" xfId="7763" xr:uid="{00000000-0005-0000-0000-0000DD340000}"/>
    <cellStyle name="Normal 10 2 8 6 2" xfId="20442" xr:uid="{00000000-0005-0000-0000-0000DE340000}"/>
    <cellStyle name="Normal 10 2 8 6 2 2" xfId="45995" xr:uid="{00000000-0005-0000-0000-0000DF340000}"/>
    <cellStyle name="Normal 10 2 8 6 3" xfId="33320" xr:uid="{00000000-0005-0000-0000-0000E0340000}"/>
    <cellStyle name="Normal 10 2 8 7" xfId="16091" xr:uid="{00000000-0005-0000-0000-0000E1340000}"/>
    <cellStyle name="Normal 10 2 8 7 2" xfId="41644" xr:uid="{00000000-0005-0000-0000-0000E2340000}"/>
    <cellStyle name="Normal 10 2 8 8" xfId="26925" xr:uid="{00000000-0005-0000-0000-0000E3340000}"/>
    <cellStyle name="Normal 10 2 9" xfId="2618" xr:uid="{00000000-0005-0000-0000-0000E4340000}"/>
    <cellStyle name="Normal 10 2 9 2" xfId="5151" xr:uid="{00000000-0005-0000-0000-0000E5340000}"/>
    <cellStyle name="Normal 10 2 9 2 2" xfId="13988" xr:uid="{00000000-0005-0000-0000-0000E6340000}"/>
    <cellStyle name="Normal 10 2 9 2 2 2" xfId="24239" xr:uid="{00000000-0005-0000-0000-0000E7340000}"/>
    <cellStyle name="Normal 10 2 9 2 2 2 2" xfId="49792" xr:uid="{00000000-0005-0000-0000-0000E8340000}"/>
    <cellStyle name="Normal 10 2 9 2 2 3" xfId="39543" xr:uid="{00000000-0005-0000-0000-0000E9340000}"/>
    <cellStyle name="Normal 10 2 9 2 3" xfId="10409" xr:uid="{00000000-0005-0000-0000-0000EA340000}"/>
    <cellStyle name="Normal 10 2 9 2 3 2" xfId="35966" xr:uid="{00000000-0005-0000-0000-0000EB340000}"/>
    <cellStyle name="Normal 10 2 9 2 4" xfId="19232" xr:uid="{00000000-0005-0000-0000-0000EC340000}"/>
    <cellStyle name="Normal 10 2 9 2 4 2" xfId="44785" xr:uid="{00000000-0005-0000-0000-0000ED340000}"/>
    <cellStyle name="Normal 10 2 9 2 5" xfId="30722" xr:uid="{00000000-0005-0000-0000-0000EE340000}"/>
    <cellStyle name="Normal 10 2 9 3" xfId="6606" xr:uid="{00000000-0005-0000-0000-0000EF340000}"/>
    <cellStyle name="Normal 10 2 9 3 2" xfId="15433" xr:uid="{00000000-0005-0000-0000-0000F0340000}"/>
    <cellStyle name="Normal 10 2 9 3 2 2" xfId="40988" xr:uid="{00000000-0005-0000-0000-0000F1340000}"/>
    <cellStyle name="Normal 10 2 9 3 3" xfId="25684" xr:uid="{00000000-0005-0000-0000-0000F2340000}"/>
    <cellStyle name="Normal 10 2 9 3 3 2" xfId="51237" xr:uid="{00000000-0005-0000-0000-0000F3340000}"/>
    <cellStyle name="Normal 10 2 9 3 4" xfId="32167" xr:uid="{00000000-0005-0000-0000-0000F4340000}"/>
    <cellStyle name="Normal 10 2 9 4" xfId="8052" xr:uid="{00000000-0005-0000-0000-0000F5340000}"/>
    <cellStyle name="Normal 10 2 9 4 2" xfId="21981" xr:uid="{00000000-0005-0000-0000-0000F6340000}"/>
    <cellStyle name="Normal 10 2 9 4 2 2" xfId="47534" xr:uid="{00000000-0005-0000-0000-0000F7340000}"/>
    <cellStyle name="Normal 10 2 9 4 3" xfId="33609" xr:uid="{00000000-0005-0000-0000-0000F8340000}"/>
    <cellStyle name="Normal 10 2 9 5" xfId="16974" xr:uid="{00000000-0005-0000-0000-0000F9340000}"/>
    <cellStyle name="Normal 10 2 9 5 2" xfId="42527" xr:uid="{00000000-0005-0000-0000-0000FA340000}"/>
    <cellStyle name="Normal 10 2 9 6" xfId="28464" xr:uid="{00000000-0005-0000-0000-0000FB340000}"/>
    <cellStyle name="Normal 10 2_Degree data" xfId="3862" xr:uid="{00000000-0005-0000-0000-0000FC340000}"/>
    <cellStyle name="Normal 10 3" xfId="95" xr:uid="{00000000-0005-0000-0000-0000FD340000}"/>
    <cellStyle name="Normal 10 3 2" xfId="151" xr:uid="{00000000-0005-0000-0000-0000FE340000}"/>
    <cellStyle name="Normal 10 3 2 10" xfId="7043" xr:uid="{00000000-0005-0000-0000-0000FF340000}"/>
    <cellStyle name="Normal 10 3 2 10 2" xfId="32600" xr:uid="{00000000-0005-0000-0000-000000350000}"/>
    <cellStyle name="Normal 10 3 2 11" xfId="15789" xr:uid="{00000000-0005-0000-0000-000001350000}"/>
    <cellStyle name="Normal 10 3 2 11 2" xfId="41342" xr:uid="{00000000-0005-0000-0000-000002350000}"/>
    <cellStyle name="Normal 10 3 2 2" xfId="263" xr:uid="{00000000-0005-0000-0000-000003350000}"/>
    <cellStyle name="Normal 10 3 2 3" xfId="216" xr:uid="{00000000-0005-0000-0000-000004350000}"/>
    <cellStyle name="Normal 10 3 2 3 10" xfId="16007" xr:uid="{00000000-0005-0000-0000-000005350000}"/>
    <cellStyle name="Normal 10 3 2 3 10 2" xfId="41560" xr:uid="{00000000-0005-0000-0000-000006350000}"/>
    <cellStyle name="Normal 10 3 2 3 11" xfId="26153" xr:uid="{00000000-0005-0000-0000-000007350000}"/>
    <cellStyle name="Normal 10 3 2 3 2" xfId="541" xr:uid="{00000000-0005-0000-0000-000008350000}"/>
    <cellStyle name="Normal 10 3 2 3 2 2" xfId="3027" xr:uid="{00000000-0005-0000-0000-000009350000}"/>
    <cellStyle name="Normal 10 3 2 3 2 2 2" xfId="12215" xr:uid="{00000000-0005-0000-0000-00000A350000}"/>
    <cellStyle name="Normal 10 3 2 3 2 2 2 2" xfId="22388" xr:uid="{00000000-0005-0000-0000-00000B350000}"/>
    <cellStyle name="Normal 10 3 2 3 2 2 2 2 2" xfId="47941" xr:uid="{00000000-0005-0000-0000-00000C350000}"/>
    <cellStyle name="Normal 10 3 2 3 2 2 2 3" xfId="37770" xr:uid="{00000000-0005-0000-0000-00000D350000}"/>
    <cellStyle name="Normal 10 3 2 3 2 2 3" xfId="8378" xr:uid="{00000000-0005-0000-0000-00000E350000}"/>
    <cellStyle name="Normal 10 3 2 3 2 2 3 2" xfId="33935" xr:uid="{00000000-0005-0000-0000-00000F350000}"/>
    <cellStyle name="Normal 10 3 2 3 2 2 4" xfId="17381" xr:uid="{00000000-0005-0000-0000-000010350000}"/>
    <cellStyle name="Normal 10 3 2 3 2 2 4 2" xfId="42934" xr:uid="{00000000-0005-0000-0000-000011350000}"/>
    <cellStyle name="Normal 10 3 2 3 2 2 5" xfId="28871" xr:uid="{00000000-0005-0000-0000-000012350000}"/>
    <cellStyle name="Normal 10 3 2 3 2 3" xfId="4527" xr:uid="{00000000-0005-0000-0000-000013350000}"/>
    <cellStyle name="Normal 10 3 2 3 2 3 2" xfId="13365" xr:uid="{00000000-0005-0000-0000-000014350000}"/>
    <cellStyle name="Normal 10 3 2 3 2 3 2 2" xfId="23616" xr:uid="{00000000-0005-0000-0000-000015350000}"/>
    <cellStyle name="Normal 10 3 2 3 2 3 2 2 2" xfId="49169" xr:uid="{00000000-0005-0000-0000-000016350000}"/>
    <cellStyle name="Normal 10 3 2 3 2 3 2 3" xfId="38920" xr:uid="{00000000-0005-0000-0000-000017350000}"/>
    <cellStyle name="Normal 10 3 2 3 2 3 3" xfId="9786" xr:uid="{00000000-0005-0000-0000-000018350000}"/>
    <cellStyle name="Normal 10 3 2 3 2 3 3 2" xfId="35343" xr:uid="{00000000-0005-0000-0000-000019350000}"/>
    <cellStyle name="Normal 10 3 2 3 2 3 4" xfId="18609" xr:uid="{00000000-0005-0000-0000-00001A350000}"/>
    <cellStyle name="Normal 10 3 2 3 2 3 4 2" xfId="44162" xr:uid="{00000000-0005-0000-0000-00001B350000}"/>
    <cellStyle name="Normal 10 3 2 3 2 3 5" xfId="30099" xr:uid="{00000000-0005-0000-0000-00001C350000}"/>
    <cellStyle name="Normal 10 3 2 3 2 4" xfId="2136" xr:uid="{00000000-0005-0000-0000-00001D350000}"/>
    <cellStyle name="Normal 10 3 2 3 2 4 2" xfId="11501" xr:uid="{00000000-0005-0000-0000-00001E350000}"/>
    <cellStyle name="Normal 10 3 2 3 2 4 2 2" xfId="37056" xr:uid="{00000000-0005-0000-0000-00001F350000}"/>
    <cellStyle name="Normal 10 3 2 3 2 4 3" xfId="21505" xr:uid="{00000000-0005-0000-0000-000020350000}"/>
    <cellStyle name="Normal 10 3 2 3 2 4 3 2" xfId="47058" xr:uid="{00000000-0005-0000-0000-000021350000}"/>
    <cellStyle name="Normal 10 3 2 3 2 4 4" xfId="27988" xr:uid="{00000000-0005-0000-0000-000022350000}"/>
    <cellStyle name="Normal 10 3 2 3 2 5" xfId="5983" xr:uid="{00000000-0005-0000-0000-000023350000}"/>
    <cellStyle name="Normal 10 3 2 3 2 5 2" xfId="14810" xr:uid="{00000000-0005-0000-0000-000024350000}"/>
    <cellStyle name="Normal 10 3 2 3 2 5 2 2" xfId="40365" xr:uid="{00000000-0005-0000-0000-000025350000}"/>
    <cellStyle name="Normal 10 3 2 3 2 5 3" xfId="25061" xr:uid="{00000000-0005-0000-0000-000026350000}"/>
    <cellStyle name="Normal 10 3 2 3 2 5 3 2" xfId="50614" xr:uid="{00000000-0005-0000-0000-000027350000}"/>
    <cellStyle name="Normal 10 3 2 3 2 5 4" xfId="31544" xr:uid="{00000000-0005-0000-0000-000028350000}"/>
    <cellStyle name="Normal 10 3 2 3 2 6" xfId="7427" xr:uid="{00000000-0005-0000-0000-000029350000}"/>
    <cellStyle name="Normal 10 3 2 3 2 6 2" xfId="19987" xr:uid="{00000000-0005-0000-0000-00002A350000}"/>
    <cellStyle name="Normal 10 3 2 3 2 6 2 2" xfId="45540" xr:uid="{00000000-0005-0000-0000-00002B350000}"/>
    <cellStyle name="Normal 10 3 2 3 2 6 3" xfId="32984" xr:uid="{00000000-0005-0000-0000-00002C350000}"/>
    <cellStyle name="Normal 10 3 2 3 2 7" xfId="16498" xr:uid="{00000000-0005-0000-0000-00002D350000}"/>
    <cellStyle name="Normal 10 3 2 3 2 7 2" xfId="42051" xr:uid="{00000000-0005-0000-0000-00002E350000}"/>
    <cellStyle name="Normal 10 3 2 3 2 8" xfId="26470" xr:uid="{00000000-0005-0000-0000-00002F350000}"/>
    <cellStyle name="Normal 10 3 2 3 3" xfId="712" xr:uid="{00000000-0005-0000-0000-000030350000}"/>
    <cellStyle name="Normal 10 3 2 3 3 2" xfId="3198" xr:uid="{00000000-0005-0000-0000-000031350000}"/>
    <cellStyle name="Normal 10 3 2 3 3 2 2" xfId="12341" xr:uid="{00000000-0005-0000-0000-000032350000}"/>
    <cellStyle name="Normal 10 3 2 3 3 2 2 2" xfId="22559" xr:uid="{00000000-0005-0000-0000-000033350000}"/>
    <cellStyle name="Normal 10 3 2 3 3 2 2 2 2" xfId="48112" xr:uid="{00000000-0005-0000-0000-000034350000}"/>
    <cellStyle name="Normal 10 3 2 3 3 2 2 3" xfId="37896" xr:uid="{00000000-0005-0000-0000-000035350000}"/>
    <cellStyle name="Normal 10 3 2 3 3 2 3" xfId="8763" xr:uid="{00000000-0005-0000-0000-000036350000}"/>
    <cellStyle name="Normal 10 3 2 3 3 2 3 2" xfId="34320" xr:uid="{00000000-0005-0000-0000-000037350000}"/>
    <cellStyle name="Normal 10 3 2 3 3 2 4" xfId="17552" xr:uid="{00000000-0005-0000-0000-000038350000}"/>
    <cellStyle name="Normal 10 3 2 3 3 2 4 2" xfId="43105" xr:uid="{00000000-0005-0000-0000-000039350000}"/>
    <cellStyle name="Normal 10 3 2 3 3 2 5" xfId="29042" xr:uid="{00000000-0005-0000-0000-00003A350000}"/>
    <cellStyle name="Normal 10 3 2 3 3 3" xfId="4876" xr:uid="{00000000-0005-0000-0000-00003B350000}"/>
    <cellStyle name="Normal 10 3 2 3 3 3 2" xfId="13713" xr:uid="{00000000-0005-0000-0000-00003C350000}"/>
    <cellStyle name="Normal 10 3 2 3 3 3 2 2" xfId="23964" xr:uid="{00000000-0005-0000-0000-00003D350000}"/>
    <cellStyle name="Normal 10 3 2 3 3 3 2 2 2" xfId="49517" xr:uid="{00000000-0005-0000-0000-00003E350000}"/>
    <cellStyle name="Normal 10 3 2 3 3 3 2 3" xfId="39268" xr:uid="{00000000-0005-0000-0000-00003F350000}"/>
    <cellStyle name="Normal 10 3 2 3 3 3 3" xfId="10134" xr:uid="{00000000-0005-0000-0000-000040350000}"/>
    <cellStyle name="Normal 10 3 2 3 3 3 3 2" xfId="35691" xr:uid="{00000000-0005-0000-0000-000041350000}"/>
    <cellStyle name="Normal 10 3 2 3 3 3 4" xfId="18957" xr:uid="{00000000-0005-0000-0000-000042350000}"/>
    <cellStyle name="Normal 10 3 2 3 3 3 4 2" xfId="44510" xr:uid="{00000000-0005-0000-0000-000043350000}"/>
    <cellStyle name="Normal 10 3 2 3 3 3 5" xfId="30447" xr:uid="{00000000-0005-0000-0000-000044350000}"/>
    <cellStyle name="Normal 10 3 2 3 3 4" xfId="2307" xr:uid="{00000000-0005-0000-0000-000045350000}"/>
    <cellStyle name="Normal 10 3 2 3 3 4 2" xfId="11672" xr:uid="{00000000-0005-0000-0000-000046350000}"/>
    <cellStyle name="Normal 10 3 2 3 3 4 2 2" xfId="37227" xr:uid="{00000000-0005-0000-0000-000047350000}"/>
    <cellStyle name="Normal 10 3 2 3 3 4 3" xfId="21676" xr:uid="{00000000-0005-0000-0000-000048350000}"/>
    <cellStyle name="Normal 10 3 2 3 3 4 3 2" xfId="47229" xr:uid="{00000000-0005-0000-0000-000049350000}"/>
    <cellStyle name="Normal 10 3 2 3 3 4 4" xfId="28159" xr:uid="{00000000-0005-0000-0000-00004A350000}"/>
    <cellStyle name="Normal 10 3 2 3 3 5" xfId="6331" xr:uid="{00000000-0005-0000-0000-00004B350000}"/>
    <cellStyle name="Normal 10 3 2 3 3 5 2" xfId="15158" xr:uid="{00000000-0005-0000-0000-00004C350000}"/>
    <cellStyle name="Normal 10 3 2 3 3 5 2 2" xfId="40713" xr:uid="{00000000-0005-0000-0000-00004D350000}"/>
    <cellStyle name="Normal 10 3 2 3 3 5 3" xfId="25409" xr:uid="{00000000-0005-0000-0000-00004E350000}"/>
    <cellStyle name="Normal 10 3 2 3 3 5 3 2" xfId="50962" xr:uid="{00000000-0005-0000-0000-00004F350000}"/>
    <cellStyle name="Normal 10 3 2 3 3 5 4" xfId="31892" xr:uid="{00000000-0005-0000-0000-000050350000}"/>
    <cellStyle name="Normal 10 3 2 3 3 6" xfId="7777" xr:uid="{00000000-0005-0000-0000-000051350000}"/>
    <cellStyle name="Normal 10 3 2 3 3 6 2" xfId="20158" xr:uid="{00000000-0005-0000-0000-000052350000}"/>
    <cellStyle name="Normal 10 3 2 3 3 6 2 2" xfId="45711" xr:uid="{00000000-0005-0000-0000-000053350000}"/>
    <cellStyle name="Normal 10 3 2 3 3 6 3" xfId="33334" xr:uid="{00000000-0005-0000-0000-000054350000}"/>
    <cellStyle name="Normal 10 3 2 3 3 7" xfId="16669" xr:uid="{00000000-0005-0000-0000-000055350000}"/>
    <cellStyle name="Normal 10 3 2 3 3 7 2" xfId="42222" xr:uid="{00000000-0005-0000-0000-000056350000}"/>
    <cellStyle name="Normal 10 3 2 3 3 8" xfId="26641" xr:uid="{00000000-0005-0000-0000-000057350000}"/>
    <cellStyle name="Normal 10 3 2 3 4" xfId="1313" xr:uid="{00000000-0005-0000-0000-000058350000}"/>
    <cellStyle name="Normal 10 3 2 3 4 2" xfId="3742" xr:uid="{00000000-0005-0000-0000-000059350000}"/>
    <cellStyle name="Normal 10 3 2 3 4 2 2" xfId="12878" xr:uid="{00000000-0005-0000-0000-00005A350000}"/>
    <cellStyle name="Normal 10 3 2 3 4 2 2 2" xfId="23097" xr:uid="{00000000-0005-0000-0000-00005B350000}"/>
    <cellStyle name="Normal 10 3 2 3 4 2 2 2 2" xfId="48650" xr:uid="{00000000-0005-0000-0000-00005C350000}"/>
    <cellStyle name="Normal 10 3 2 3 4 2 2 3" xfId="38433" xr:uid="{00000000-0005-0000-0000-00005D350000}"/>
    <cellStyle name="Normal 10 3 2 3 4 2 3" xfId="9299" xr:uid="{00000000-0005-0000-0000-00005E350000}"/>
    <cellStyle name="Normal 10 3 2 3 4 2 3 2" xfId="34856" xr:uid="{00000000-0005-0000-0000-00005F350000}"/>
    <cellStyle name="Normal 10 3 2 3 4 2 4" xfId="18090" xr:uid="{00000000-0005-0000-0000-000060350000}"/>
    <cellStyle name="Normal 10 3 2 3 4 2 4 2" xfId="43643" xr:uid="{00000000-0005-0000-0000-000061350000}"/>
    <cellStyle name="Normal 10 3 2 3 4 2 5" xfId="29580" xr:uid="{00000000-0005-0000-0000-000062350000}"/>
    <cellStyle name="Normal 10 3 2 3 4 3" xfId="5405" xr:uid="{00000000-0005-0000-0000-000063350000}"/>
    <cellStyle name="Normal 10 3 2 3 4 3 2" xfId="14242" xr:uid="{00000000-0005-0000-0000-000064350000}"/>
    <cellStyle name="Normal 10 3 2 3 4 3 2 2" xfId="24493" xr:uid="{00000000-0005-0000-0000-000065350000}"/>
    <cellStyle name="Normal 10 3 2 3 4 3 2 2 2" xfId="50046" xr:uid="{00000000-0005-0000-0000-000066350000}"/>
    <cellStyle name="Normal 10 3 2 3 4 3 2 3" xfId="39797" xr:uid="{00000000-0005-0000-0000-000067350000}"/>
    <cellStyle name="Normal 10 3 2 3 4 3 3" xfId="10663" xr:uid="{00000000-0005-0000-0000-000068350000}"/>
    <cellStyle name="Normal 10 3 2 3 4 3 3 2" xfId="36220" xr:uid="{00000000-0005-0000-0000-000069350000}"/>
    <cellStyle name="Normal 10 3 2 3 4 3 4" xfId="19486" xr:uid="{00000000-0005-0000-0000-00006A350000}"/>
    <cellStyle name="Normal 10 3 2 3 4 3 4 2" xfId="45039" xr:uid="{00000000-0005-0000-0000-00006B350000}"/>
    <cellStyle name="Normal 10 3 2 3 4 3 5" xfId="30976" xr:uid="{00000000-0005-0000-0000-00006C350000}"/>
    <cellStyle name="Normal 10 3 2 3 4 4" xfId="1816" xr:uid="{00000000-0005-0000-0000-00006D350000}"/>
    <cellStyle name="Normal 10 3 2 3 4 4 2" xfId="11184" xr:uid="{00000000-0005-0000-0000-00006E350000}"/>
    <cellStyle name="Normal 10 3 2 3 4 4 2 2" xfId="36739" xr:uid="{00000000-0005-0000-0000-00006F350000}"/>
    <cellStyle name="Normal 10 3 2 3 4 4 3" xfId="21188" xr:uid="{00000000-0005-0000-0000-000070350000}"/>
    <cellStyle name="Normal 10 3 2 3 4 4 3 2" xfId="46741" xr:uid="{00000000-0005-0000-0000-000071350000}"/>
    <cellStyle name="Normal 10 3 2 3 4 4 4" xfId="27671" xr:uid="{00000000-0005-0000-0000-000072350000}"/>
    <cellStyle name="Normal 10 3 2 3 4 5" xfId="6860" xr:uid="{00000000-0005-0000-0000-000073350000}"/>
    <cellStyle name="Normal 10 3 2 3 4 5 2" xfId="15687" xr:uid="{00000000-0005-0000-0000-000074350000}"/>
    <cellStyle name="Normal 10 3 2 3 4 5 2 2" xfId="41242" xr:uid="{00000000-0005-0000-0000-000075350000}"/>
    <cellStyle name="Normal 10 3 2 3 4 5 3" xfId="25938" xr:uid="{00000000-0005-0000-0000-000076350000}"/>
    <cellStyle name="Normal 10 3 2 3 4 5 3 2" xfId="51491" xr:uid="{00000000-0005-0000-0000-000077350000}"/>
    <cellStyle name="Normal 10 3 2 3 4 5 4" xfId="32421" xr:uid="{00000000-0005-0000-0000-000078350000}"/>
    <cellStyle name="Normal 10 3 2 3 4 6" xfId="8306" xr:uid="{00000000-0005-0000-0000-000079350000}"/>
    <cellStyle name="Normal 10 3 2 3 4 6 2" xfId="20696" xr:uid="{00000000-0005-0000-0000-00007A350000}"/>
    <cellStyle name="Normal 10 3 2 3 4 6 2 2" xfId="46249" xr:uid="{00000000-0005-0000-0000-00007B350000}"/>
    <cellStyle name="Normal 10 3 2 3 4 6 3" xfId="33863" xr:uid="{00000000-0005-0000-0000-00007C350000}"/>
    <cellStyle name="Normal 10 3 2 3 4 7" xfId="16181" xr:uid="{00000000-0005-0000-0000-00007D350000}"/>
    <cellStyle name="Normal 10 3 2 3 4 7 2" xfId="41734" xr:uid="{00000000-0005-0000-0000-00007E350000}"/>
    <cellStyle name="Normal 10 3 2 3 4 8" xfId="27179" xr:uid="{00000000-0005-0000-0000-00007F350000}"/>
    <cellStyle name="Normal 10 3 2 3 5" xfId="2710" xr:uid="{00000000-0005-0000-0000-000080350000}"/>
    <cellStyle name="Normal 10 3 2 3 5 2" xfId="12027" xr:uid="{00000000-0005-0000-0000-000081350000}"/>
    <cellStyle name="Normal 10 3 2 3 5 2 2" xfId="22071" xr:uid="{00000000-0005-0000-0000-000082350000}"/>
    <cellStyle name="Normal 10 3 2 3 5 2 2 2" xfId="47624" xr:uid="{00000000-0005-0000-0000-000083350000}"/>
    <cellStyle name="Normal 10 3 2 3 5 2 3" xfId="37582" xr:uid="{00000000-0005-0000-0000-000084350000}"/>
    <cellStyle name="Normal 10 3 2 3 5 3" xfId="8579" xr:uid="{00000000-0005-0000-0000-000085350000}"/>
    <cellStyle name="Normal 10 3 2 3 5 3 2" xfId="34136" xr:uid="{00000000-0005-0000-0000-000086350000}"/>
    <cellStyle name="Normal 10 3 2 3 5 4" xfId="17064" xr:uid="{00000000-0005-0000-0000-000087350000}"/>
    <cellStyle name="Normal 10 3 2 3 5 4 2" xfId="42617" xr:uid="{00000000-0005-0000-0000-000088350000}"/>
    <cellStyle name="Normal 10 3 2 3 5 5" xfId="28554" xr:uid="{00000000-0005-0000-0000-000089350000}"/>
    <cellStyle name="Normal 10 3 2 3 6" xfId="4361" xr:uid="{00000000-0005-0000-0000-00008A350000}"/>
    <cellStyle name="Normal 10 3 2 3 6 2" xfId="13199" xr:uid="{00000000-0005-0000-0000-00008B350000}"/>
    <cellStyle name="Normal 10 3 2 3 6 2 2" xfId="23450" xr:uid="{00000000-0005-0000-0000-00008C350000}"/>
    <cellStyle name="Normal 10 3 2 3 6 2 2 2" xfId="49003" xr:uid="{00000000-0005-0000-0000-00008D350000}"/>
    <cellStyle name="Normal 10 3 2 3 6 2 3" xfId="38754" xr:uid="{00000000-0005-0000-0000-00008E350000}"/>
    <cellStyle name="Normal 10 3 2 3 6 3" xfId="9620" xr:uid="{00000000-0005-0000-0000-00008F350000}"/>
    <cellStyle name="Normal 10 3 2 3 6 3 2" xfId="35177" xr:uid="{00000000-0005-0000-0000-000090350000}"/>
    <cellStyle name="Normal 10 3 2 3 6 4" xfId="18443" xr:uid="{00000000-0005-0000-0000-000091350000}"/>
    <cellStyle name="Normal 10 3 2 3 6 4 2" xfId="43996" xr:uid="{00000000-0005-0000-0000-000092350000}"/>
    <cellStyle name="Normal 10 3 2 3 6 5" xfId="29933" xr:uid="{00000000-0005-0000-0000-000093350000}"/>
    <cellStyle name="Normal 10 3 2 3 7" xfId="1633" xr:uid="{00000000-0005-0000-0000-000094350000}"/>
    <cellStyle name="Normal 10 3 2 3 7 2" xfId="11010" xr:uid="{00000000-0005-0000-0000-000095350000}"/>
    <cellStyle name="Normal 10 3 2 3 7 2 2" xfId="36565" xr:uid="{00000000-0005-0000-0000-000096350000}"/>
    <cellStyle name="Normal 10 3 2 3 7 3" xfId="21014" xr:uid="{00000000-0005-0000-0000-000097350000}"/>
    <cellStyle name="Normal 10 3 2 3 7 3 2" xfId="46567" xr:uid="{00000000-0005-0000-0000-000098350000}"/>
    <cellStyle name="Normal 10 3 2 3 7 4" xfId="27497" xr:uid="{00000000-0005-0000-0000-000099350000}"/>
    <cellStyle name="Normal 10 3 2 3 8" xfId="5817" xr:uid="{00000000-0005-0000-0000-00009A350000}"/>
    <cellStyle name="Normal 10 3 2 3 8 2" xfId="14644" xr:uid="{00000000-0005-0000-0000-00009B350000}"/>
    <cellStyle name="Normal 10 3 2 3 8 2 2" xfId="40199" xr:uid="{00000000-0005-0000-0000-00009C350000}"/>
    <cellStyle name="Normal 10 3 2 3 8 3" xfId="24895" xr:uid="{00000000-0005-0000-0000-00009D350000}"/>
    <cellStyle name="Normal 10 3 2 3 8 3 2" xfId="50448" xr:uid="{00000000-0005-0000-0000-00009E350000}"/>
    <cellStyle name="Normal 10 3 2 3 8 4" xfId="31378" xr:uid="{00000000-0005-0000-0000-00009F350000}"/>
    <cellStyle name="Normal 10 3 2 3 9" xfId="7261" xr:uid="{00000000-0005-0000-0000-0000A0350000}"/>
    <cellStyle name="Normal 10 3 2 3 9 2" xfId="19670" xr:uid="{00000000-0005-0000-0000-0000A1350000}"/>
    <cellStyle name="Normal 10 3 2 3 9 2 2" xfId="45223" xr:uid="{00000000-0005-0000-0000-0000A2350000}"/>
    <cellStyle name="Normal 10 3 2 3 9 3" xfId="32818" xr:uid="{00000000-0005-0000-0000-0000A3350000}"/>
    <cellStyle name="Normal 10 3 2 3_Degree data" xfId="3831" xr:uid="{00000000-0005-0000-0000-0000A4350000}"/>
    <cellStyle name="Normal 10 3 2 4" xfId="323" xr:uid="{00000000-0005-0000-0000-0000A5350000}"/>
    <cellStyle name="Normal 10 3 2 4 2" xfId="2809" xr:uid="{00000000-0005-0000-0000-0000A6350000}"/>
    <cellStyle name="Normal 10 3 2 4 2 2" xfId="12109" xr:uid="{00000000-0005-0000-0000-0000A7350000}"/>
    <cellStyle name="Normal 10 3 2 4 2 2 2" xfId="22170" xr:uid="{00000000-0005-0000-0000-0000A8350000}"/>
    <cellStyle name="Normal 10 3 2 4 2 2 2 2" xfId="47723" xr:uid="{00000000-0005-0000-0000-0000A9350000}"/>
    <cellStyle name="Normal 10 3 2 4 2 2 3" xfId="37664" xr:uid="{00000000-0005-0000-0000-0000AA350000}"/>
    <cellStyle name="Normal 10 3 2 4 2 3" xfId="8531" xr:uid="{00000000-0005-0000-0000-0000AB350000}"/>
    <cellStyle name="Normal 10 3 2 4 2 3 2" xfId="34088" xr:uid="{00000000-0005-0000-0000-0000AC350000}"/>
    <cellStyle name="Normal 10 3 2 4 2 4" xfId="17163" xr:uid="{00000000-0005-0000-0000-0000AD350000}"/>
    <cellStyle name="Normal 10 3 2 4 2 4 2" xfId="42716" xr:uid="{00000000-0005-0000-0000-0000AE350000}"/>
    <cellStyle name="Normal 10 3 2 4 2 5" xfId="28653" xr:uid="{00000000-0005-0000-0000-0000AF350000}"/>
    <cellStyle name="Normal 10 3 2 4 3" xfId="4526" xr:uid="{00000000-0005-0000-0000-0000B0350000}"/>
    <cellStyle name="Normal 10 3 2 4 3 2" xfId="13364" xr:uid="{00000000-0005-0000-0000-0000B1350000}"/>
    <cellStyle name="Normal 10 3 2 4 3 2 2" xfId="23615" xr:uid="{00000000-0005-0000-0000-0000B2350000}"/>
    <cellStyle name="Normal 10 3 2 4 3 2 2 2" xfId="49168" xr:uid="{00000000-0005-0000-0000-0000B3350000}"/>
    <cellStyle name="Normal 10 3 2 4 3 2 3" xfId="38919" xr:uid="{00000000-0005-0000-0000-0000B4350000}"/>
    <cellStyle name="Normal 10 3 2 4 3 3" xfId="9785" xr:uid="{00000000-0005-0000-0000-0000B5350000}"/>
    <cellStyle name="Normal 10 3 2 4 3 3 2" xfId="35342" xr:uid="{00000000-0005-0000-0000-0000B6350000}"/>
    <cellStyle name="Normal 10 3 2 4 3 4" xfId="18608" xr:uid="{00000000-0005-0000-0000-0000B7350000}"/>
    <cellStyle name="Normal 10 3 2 4 3 4 2" xfId="44161" xr:uid="{00000000-0005-0000-0000-0000B8350000}"/>
    <cellStyle name="Normal 10 3 2 4 3 5" xfId="30098" xr:uid="{00000000-0005-0000-0000-0000B9350000}"/>
    <cellStyle name="Normal 10 3 2 4 4" xfId="1918" xr:uid="{00000000-0005-0000-0000-0000BA350000}"/>
    <cellStyle name="Normal 10 3 2 4 4 2" xfId="11283" xr:uid="{00000000-0005-0000-0000-0000BB350000}"/>
    <cellStyle name="Normal 10 3 2 4 4 2 2" xfId="36838" xr:uid="{00000000-0005-0000-0000-0000BC350000}"/>
    <cellStyle name="Normal 10 3 2 4 4 3" xfId="21287" xr:uid="{00000000-0005-0000-0000-0000BD350000}"/>
    <cellStyle name="Normal 10 3 2 4 4 3 2" xfId="46840" xr:uid="{00000000-0005-0000-0000-0000BE350000}"/>
    <cellStyle name="Normal 10 3 2 4 4 4" xfId="27770" xr:uid="{00000000-0005-0000-0000-0000BF350000}"/>
    <cellStyle name="Normal 10 3 2 4 5" xfId="5982" xr:uid="{00000000-0005-0000-0000-0000C0350000}"/>
    <cellStyle name="Normal 10 3 2 4 5 2" xfId="14809" xr:uid="{00000000-0005-0000-0000-0000C1350000}"/>
    <cellStyle name="Normal 10 3 2 4 5 2 2" xfId="40364" xr:uid="{00000000-0005-0000-0000-0000C2350000}"/>
    <cellStyle name="Normal 10 3 2 4 5 3" xfId="25060" xr:uid="{00000000-0005-0000-0000-0000C3350000}"/>
    <cellStyle name="Normal 10 3 2 4 5 3 2" xfId="50613" xr:uid="{00000000-0005-0000-0000-0000C4350000}"/>
    <cellStyle name="Normal 10 3 2 4 5 4" xfId="31543" xr:uid="{00000000-0005-0000-0000-0000C5350000}"/>
    <cellStyle name="Normal 10 3 2 4 6" xfId="7426" xr:uid="{00000000-0005-0000-0000-0000C6350000}"/>
    <cellStyle name="Normal 10 3 2 4 6 2" xfId="19769" xr:uid="{00000000-0005-0000-0000-0000C7350000}"/>
    <cellStyle name="Normal 10 3 2 4 6 2 2" xfId="45322" xr:uid="{00000000-0005-0000-0000-0000C8350000}"/>
    <cellStyle name="Normal 10 3 2 4 6 3" xfId="32983" xr:uid="{00000000-0005-0000-0000-0000C9350000}"/>
    <cellStyle name="Normal 10 3 2 4 7" xfId="16280" xr:uid="{00000000-0005-0000-0000-0000CA350000}"/>
    <cellStyle name="Normal 10 3 2 4 7 2" xfId="41833" xr:uid="{00000000-0005-0000-0000-0000CB350000}"/>
    <cellStyle name="Normal 10 3 2 4 8" xfId="26252" xr:uid="{00000000-0005-0000-0000-0000CC350000}"/>
    <cellStyle name="Normal 10 3 2 5" xfId="711" xr:uid="{00000000-0005-0000-0000-0000CD350000}"/>
    <cellStyle name="Normal 10 3 2 5 2" xfId="3197" xr:uid="{00000000-0005-0000-0000-0000CE350000}"/>
    <cellStyle name="Normal 10 3 2 5 2 2" xfId="12340" xr:uid="{00000000-0005-0000-0000-0000CF350000}"/>
    <cellStyle name="Normal 10 3 2 5 2 2 2" xfId="22558" xr:uid="{00000000-0005-0000-0000-0000D0350000}"/>
    <cellStyle name="Normal 10 3 2 5 2 2 2 2" xfId="48111" xr:uid="{00000000-0005-0000-0000-0000D1350000}"/>
    <cellStyle name="Normal 10 3 2 5 2 2 3" xfId="37895" xr:uid="{00000000-0005-0000-0000-0000D2350000}"/>
    <cellStyle name="Normal 10 3 2 5 2 3" xfId="8762" xr:uid="{00000000-0005-0000-0000-0000D3350000}"/>
    <cellStyle name="Normal 10 3 2 5 2 3 2" xfId="34319" xr:uid="{00000000-0005-0000-0000-0000D4350000}"/>
    <cellStyle name="Normal 10 3 2 5 2 4" xfId="17551" xr:uid="{00000000-0005-0000-0000-0000D5350000}"/>
    <cellStyle name="Normal 10 3 2 5 2 4 2" xfId="43104" xr:uid="{00000000-0005-0000-0000-0000D6350000}"/>
    <cellStyle name="Normal 10 3 2 5 2 5" xfId="29041" xr:uid="{00000000-0005-0000-0000-0000D7350000}"/>
    <cellStyle name="Normal 10 3 2 5 3" xfId="4875" xr:uid="{00000000-0005-0000-0000-0000D8350000}"/>
    <cellStyle name="Normal 10 3 2 5 3 2" xfId="13712" xr:uid="{00000000-0005-0000-0000-0000D9350000}"/>
    <cellStyle name="Normal 10 3 2 5 3 2 2" xfId="23963" xr:uid="{00000000-0005-0000-0000-0000DA350000}"/>
    <cellStyle name="Normal 10 3 2 5 3 2 2 2" xfId="49516" xr:uid="{00000000-0005-0000-0000-0000DB350000}"/>
    <cellStyle name="Normal 10 3 2 5 3 2 3" xfId="39267" xr:uid="{00000000-0005-0000-0000-0000DC350000}"/>
    <cellStyle name="Normal 10 3 2 5 3 3" xfId="10133" xr:uid="{00000000-0005-0000-0000-0000DD350000}"/>
    <cellStyle name="Normal 10 3 2 5 3 3 2" xfId="35690" xr:uid="{00000000-0005-0000-0000-0000DE350000}"/>
    <cellStyle name="Normal 10 3 2 5 3 4" xfId="18956" xr:uid="{00000000-0005-0000-0000-0000DF350000}"/>
    <cellStyle name="Normal 10 3 2 5 3 4 2" xfId="44509" xr:uid="{00000000-0005-0000-0000-0000E0350000}"/>
    <cellStyle name="Normal 10 3 2 5 3 5" xfId="30446" xr:uid="{00000000-0005-0000-0000-0000E1350000}"/>
    <cellStyle name="Normal 10 3 2 5 4" xfId="2306" xr:uid="{00000000-0005-0000-0000-0000E2350000}"/>
    <cellStyle name="Normal 10 3 2 5 4 2" xfId="11671" xr:uid="{00000000-0005-0000-0000-0000E3350000}"/>
    <cellStyle name="Normal 10 3 2 5 4 2 2" xfId="37226" xr:uid="{00000000-0005-0000-0000-0000E4350000}"/>
    <cellStyle name="Normal 10 3 2 5 4 3" xfId="21675" xr:uid="{00000000-0005-0000-0000-0000E5350000}"/>
    <cellStyle name="Normal 10 3 2 5 4 3 2" xfId="47228" xr:uid="{00000000-0005-0000-0000-0000E6350000}"/>
    <cellStyle name="Normal 10 3 2 5 4 4" xfId="28158" xr:uid="{00000000-0005-0000-0000-0000E7350000}"/>
    <cellStyle name="Normal 10 3 2 5 5" xfId="6330" xr:uid="{00000000-0005-0000-0000-0000E8350000}"/>
    <cellStyle name="Normal 10 3 2 5 5 2" xfId="15157" xr:uid="{00000000-0005-0000-0000-0000E9350000}"/>
    <cellStyle name="Normal 10 3 2 5 5 2 2" xfId="40712" xr:uid="{00000000-0005-0000-0000-0000EA350000}"/>
    <cellStyle name="Normal 10 3 2 5 5 3" xfId="25408" xr:uid="{00000000-0005-0000-0000-0000EB350000}"/>
    <cellStyle name="Normal 10 3 2 5 5 3 2" xfId="50961" xr:uid="{00000000-0005-0000-0000-0000EC350000}"/>
    <cellStyle name="Normal 10 3 2 5 5 4" xfId="31891" xr:uid="{00000000-0005-0000-0000-0000ED350000}"/>
    <cellStyle name="Normal 10 3 2 5 6" xfId="7776" xr:uid="{00000000-0005-0000-0000-0000EE350000}"/>
    <cellStyle name="Normal 10 3 2 5 6 2" xfId="20157" xr:uid="{00000000-0005-0000-0000-0000EF350000}"/>
    <cellStyle name="Normal 10 3 2 5 6 2 2" xfId="45710" xr:uid="{00000000-0005-0000-0000-0000F0350000}"/>
    <cellStyle name="Normal 10 3 2 5 6 3" xfId="33333" xr:uid="{00000000-0005-0000-0000-0000F1350000}"/>
    <cellStyle name="Normal 10 3 2 5 7" xfId="16668" xr:uid="{00000000-0005-0000-0000-0000F2350000}"/>
    <cellStyle name="Normal 10 3 2 5 7 2" xfId="42221" xr:uid="{00000000-0005-0000-0000-0000F3350000}"/>
    <cellStyle name="Normal 10 3 2 5 8" xfId="26640" xr:uid="{00000000-0005-0000-0000-0000F4350000}"/>
    <cellStyle name="Normal 10 3 2 6" xfId="1095" xr:uid="{00000000-0005-0000-0000-0000F5350000}"/>
    <cellStyle name="Normal 10 3 2 6 2" xfId="5187" xr:uid="{00000000-0005-0000-0000-0000F6350000}"/>
    <cellStyle name="Normal 10 3 2 6 2 2" xfId="14024" xr:uid="{00000000-0005-0000-0000-0000F7350000}"/>
    <cellStyle name="Normal 10 3 2 6 2 2 2" xfId="24275" xr:uid="{00000000-0005-0000-0000-0000F8350000}"/>
    <cellStyle name="Normal 10 3 2 6 2 2 2 2" xfId="49828" xr:uid="{00000000-0005-0000-0000-0000F9350000}"/>
    <cellStyle name="Normal 10 3 2 6 2 2 3" xfId="39579" xr:uid="{00000000-0005-0000-0000-0000FA350000}"/>
    <cellStyle name="Normal 10 3 2 6 2 3" xfId="10445" xr:uid="{00000000-0005-0000-0000-0000FB350000}"/>
    <cellStyle name="Normal 10 3 2 6 2 3 2" xfId="36002" xr:uid="{00000000-0005-0000-0000-0000FC350000}"/>
    <cellStyle name="Normal 10 3 2 6 2 4" xfId="19268" xr:uid="{00000000-0005-0000-0000-0000FD350000}"/>
    <cellStyle name="Normal 10 3 2 6 2 4 2" xfId="44821" xr:uid="{00000000-0005-0000-0000-0000FE350000}"/>
    <cellStyle name="Normal 10 3 2 6 2 5" xfId="30758" xr:uid="{00000000-0005-0000-0000-0000FF350000}"/>
    <cellStyle name="Normal 10 3 2 6 3" xfId="3524" xr:uid="{00000000-0005-0000-0000-000000360000}"/>
    <cellStyle name="Normal 10 3 2 6 3 2" xfId="12660" xr:uid="{00000000-0005-0000-0000-000001360000}"/>
    <cellStyle name="Normal 10 3 2 6 3 2 2" xfId="38215" xr:uid="{00000000-0005-0000-0000-000002360000}"/>
    <cellStyle name="Normal 10 3 2 6 3 3" xfId="22879" xr:uid="{00000000-0005-0000-0000-000003360000}"/>
    <cellStyle name="Normal 10 3 2 6 3 3 2" xfId="48432" xr:uid="{00000000-0005-0000-0000-000004360000}"/>
    <cellStyle name="Normal 10 3 2 6 3 4" xfId="29362" xr:uid="{00000000-0005-0000-0000-000005360000}"/>
    <cellStyle name="Normal 10 3 2 6 4" xfId="6642" xr:uid="{00000000-0005-0000-0000-000006360000}"/>
    <cellStyle name="Normal 10 3 2 6 4 2" xfId="15469" xr:uid="{00000000-0005-0000-0000-000007360000}"/>
    <cellStyle name="Normal 10 3 2 6 4 2 2" xfId="41024" xr:uid="{00000000-0005-0000-0000-000008360000}"/>
    <cellStyle name="Normal 10 3 2 6 4 3" xfId="25720" xr:uid="{00000000-0005-0000-0000-000009360000}"/>
    <cellStyle name="Normal 10 3 2 6 4 3 2" xfId="51273" xr:uid="{00000000-0005-0000-0000-00000A360000}"/>
    <cellStyle name="Normal 10 3 2 6 4 4" xfId="32203" xr:uid="{00000000-0005-0000-0000-00000B360000}"/>
    <cellStyle name="Normal 10 3 2 6 5" xfId="8088" xr:uid="{00000000-0005-0000-0000-00000C360000}"/>
    <cellStyle name="Normal 10 3 2 6 5 2" xfId="20478" xr:uid="{00000000-0005-0000-0000-00000D360000}"/>
    <cellStyle name="Normal 10 3 2 6 5 2 2" xfId="46031" xr:uid="{00000000-0005-0000-0000-00000E360000}"/>
    <cellStyle name="Normal 10 3 2 6 5 3" xfId="33645" xr:uid="{00000000-0005-0000-0000-00000F360000}"/>
    <cellStyle name="Normal 10 3 2 6 6" xfId="17872" xr:uid="{00000000-0005-0000-0000-000010360000}"/>
    <cellStyle name="Normal 10 3 2 6 6 2" xfId="43425" xr:uid="{00000000-0005-0000-0000-000011360000}"/>
    <cellStyle name="Normal 10 3 2 6 7" xfId="26961" xr:uid="{00000000-0005-0000-0000-000012360000}"/>
    <cellStyle name="Normal 10 3 2 7" xfId="4141" xr:uid="{00000000-0005-0000-0000-000013360000}"/>
    <cellStyle name="Normal 10 3 2 7 2" xfId="12979" xr:uid="{00000000-0005-0000-0000-000014360000}"/>
    <cellStyle name="Normal 10 3 2 7 2 2" xfId="23230" xr:uid="{00000000-0005-0000-0000-000015360000}"/>
    <cellStyle name="Normal 10 3 2 7 2 2 2" xfId="48783" xr:uid="{00000000-0005-0000-0000-000016360000}"/>
    <cellStyle name="Normal 10 3 2 7 2 3" xfId="38534" xr:uid="{00000000-0005-0000-0000-000017360000}"/>
    <cellStyle name="Normal 10 3 2 7 3" xfId="9400" xr:uid="{00000000-0005-0000-0000-000018360000}"/>
    <cellStyle name="Normal 10 3 2 7 3 2" xfId="34957" xr:uid="{00000000-0005-0000-0000-000019360000}"/>
    <cellStyle name="Normal 10 3 2 7 4" xfId="18223" xr:uid="{00000000-0005-0000-0000-00001A360000}"/>
    <cellStyle name="Normal 10 3 2 7 4 2" xfId="43776" xr:uid="{00000000-0005-0000-0000-00001B360000}"/>
    <cellStyle name="Normal 10 3 2 7 5" xfId="29713" xr:uid="{00000000-0005-0000-0000-00001C360000}"/>
    <cellStyle name="Normal 10 3 2 8" xfId="1415" xr:uid="{00000000-0005-0000-0000-00001D360000}"/>
    <cellStyle name="Normal 10 3 2 8 2" xfId="10792" xr:uid="{00000000-0005-0000-0000-00001E360000}"/>
    <cellStyle name="Normal 10 3 2 8 2 2" xfId="36347" xr:uid="{00000000-0005-0000-0000-00001F360000}"/>
    <cellStyle name="Normal 10 3 2 8 3" xfId="20796" xr:uid="{00000000-0005-0000-0000-000020360000}"/>
    <cellStyle name="Normal 10 3 2 8 3 2" xfId="46349" xr:uid="{00000000-0005-0000-0000-000021360000}"/>
    <cellStyle name="Normal 10 3 2 8 4" xfId="27279" xr:uid="{00000000-0005-0000-0000-000022360000}"/>
    <cellStyle name="Normal 10 3 2 9" xfId="5599" xr:uid="{00000000-0005-0000-0000-000023360000}"/>
    <cellStyle name="Normal 10 3 2 9 2" xfId="14426" xr:uid="{00000000-0005-0000-0000-000024360000}"/>
    <cellStyle name="Normal 10 3 2 9 2 2" xfId="39981" xr:uid="{00000000-0005-0000-0000-000025360000}"/>
    <cellStyle name="Normal 10 3 2 9 3" xfId="24677" xr:uid="{00000000-0005-0000-0000-000026360000}"/>
    <cellStyle name="Normal 10 3 2 9 3 2" xfId="50230" xr:uid="{00000000-0005-0000-0000-000027360000}"/>
    <cellStyle name="Normal 10 3 2 9 4" xfId="31160" xr:uid="{00000000-0005-0000-0000-000028360000}"/>
    <cellStyle name="Normal 10 3 2_Degree data" xfId="3895" xr:uid="{00000000-0005-0000-0000-000029360000}"/>
    <cellStyle name="Normal 10 3 3" xfId="230" xr:uid="{00000000-0005-0000-0000-00002A360000}"/>
    <cellStyle name="Normal 10 3 3 10" xfId="7068" xr:uid="{00000000-0005-0000-0000-00002B360000}"/>
    <cellStyle name="Normal 10 3 3 10 2" xfId="19682" xr:uid="{00000000-0005-0000-0000-00002C360000}"/>
    <cellStyle name="Normal 10 3 3 10 2 2" xfId="45235" xr:uid="{00000000-0005-0000-0000-00002D360000}"/>
    <cellStyle name="Normal 10 3 3 10 3" xfId="32625" xr:uid="{00000000-0005-0000-0000-00002E360000}"/>
    <cellStyle name="Normal 10 3 3 11" xfId="15814" xr:uid="{00000000-0005-0000-0000-00002F360000}"/>
    <cellStyle name="Normal 10 3 3 11 2" xfId="41367" xr:uid="{00000000-0005-0000-0000-000030360000}"/>
    <cellStyle name="Normal 10 3 3 12" xfId="26165" xr:uid="{00000000-0005-0000-0000-000031360000}"/>
    <cellStyle name="Normal 10 3 3 2" xfId="553" xr:uid="{00000000-0005-0000-0000-000032360000}"/>
    <cellStyle name="Normal 10 3 3 2 10" xfId="26482" xr:uid="{00000000-0005-0000-0000-000033360000}"/>
    <cellStyle name="Normal 10 3 3 2 2" xfId="714" xr:uid="{00000000-0005-0000-0000-000034360000}"/>
    <cellStyle name="Normal 10 3 3 2 2 2" xfId="3200" xr:uid="{00000000-0005-0000-0000-000035360000}"/>
    <cellStyle name="Normal 10 3 3 2 2 2 2" xfId="12343" xr:uid="{00000000-0005-0000-0000-000036360000}"/>
    <cellStyle name="Normal 10 3 3 2 2 2 2 2" xfId="22561" xr:uid="{00000000-0005-0000-0000-000037360000}"/>
    <cellStyle name="Normal 10 3 3 2 2 2 2 2 2" xfId="48114" xr:uid="{00000000-0005-0000-0000-000038360000}"/>
    <cellStyle name="Normal 10 3 3 2 2 2 2 3" xfId="37898" xr:uid="{00000000-0005-0000-0000-000039360000}"/>
    <cellStyle name="Normal 10 3 3 2 2 2 3" xfId="8765" xr:uid="{00000000-0005-0000-0000-00003A360000}"/>
    <cellStyle name="Normal 10 3 3 2 2 2 3 2" xfId="34322" xr:uid="{00000000-0005-0000-0000-00003B360000}"/>
    <cellStyle name="Normal 10 3 3 2 2 2 4" xfId="17554" xr:uid="{00000000-0005-0000-0000-00003C360000}"/>
    <cellStyle name="Normal 10 3 3 2 2 2 4 2" xfId="43107" xr:uid="{00000000-0005-0000-0000-00003D360000}"/>
    <cellStyle name="Normal 10 3 3 2 2 2 5" xfId="29044" xr:uid="{00000000-0005-0000-0000-00003E360000}"/>
    <cellStyle name="Normal 10 3 3 2 2 3" xfId="4529" xr:uid="{00000000-0005-0000-0000-00003F360000}"/>
    <cellStyle name="Normal 10 3 3 2 2 3 2" xfId="13367" xr:uid="{00000000-0005-0000-0000-000040360000}"/>
    <cellStyle name="Normal 10 3 3 2 2 3 2 2" xfId="23618" xr:uid="{00000000-0005-0000-0000-000041360000}"/>
    <cellStyle name="Normal 10 3 3 2 2 3 2 2 2" xfId="49171" xr:uid="{00000000-0005-0000-0000-000042360000}"/>
    <cellStyle name="Normal 10 3 3 2 2 3 2 3" xfId="38922" xr:uid="{00000000-0005-0000-0000-000043360000}"/>
    <cellStyle name="Normal 10 3 3 2 2 3 3" xfId="9788" xr:uid="{00000000-0005-0000-0000-000044360000}"/>
    <cellStyle name="Normal 10 3 3 2 2 3 3 2" xfId="35345" xr:uid="{00000000-0005-0000-0000-000045360000}"/>
    <cellStyle name="Normal 10 3 3 2 2 3 4" xfId="18611" xr:uid="{00000000-0005-0000-0000-000046360000}"/>
    <cellStyle name="Normal 10 3 3 2 2 3 4 2" xfId="44164" xr:uid="{00000000-0005-0000-0000-000047360000}"/>
    <cellStyle name="Normal 10 3 3 2 2 3 5" xfId="30101" xr:uid="{00000000-0005-0000-0000-000048360000}"/>
    <cellStyle name="Normal 10 3 3 2 2 4" xfId="2309" xr:uid="{00000000-0005-0000-0000-000049360000}"/>
    <cellStyle name="Normal 10 3 3 2 2 4 2" xfId="11674" xr:uid="{00000000-0005-0000-0000-00004A360000}"/>
    <cellStyle name="Normal 10 3 3 2 2 4 2 2" xfId="37229" xr:uid="{00000000-0005-0000-0000-00004B360000}"/>
    <cellStyle name="Normal 10 3 3 2 2 4 3" xfId="21678" xr:uid="{00000000-0005-0000-0000-00004C360000}"/>
    <cellStyle name="Normal 10 3 3 2 2 4 3 2" xfId="47231" xr:uid="{00000000-0005-0000-0000-00004D360000}"/>
    <cellStyle name="Normal 10 3 3 2 2 4 4" xfId="28161" xr:uid="{00000000-0005-0000-0000-00004E360000}"/>
    <cellStyle name="Normal 10 3 3 2 2 5" xfId="5985" xr:uid="{00000000-0005-0000-0000-00004F360000}"/>
    <cellStyle name="Normal 10 3 3 2 2 5 2" xfId="14812" xr:uid="{00000000-0005-0000-0000-000050360000}"/>
    <cellStyle name="Normal 10 3 3 2 2 5 2 2" xfId="40367" xr:uid="{00000000-0005-0000-0000-000051360000}"/>
    <cellStyle name="Normal 10 3 3 2 2 5 3" xfId="25063" xr:uid="{00000000-0005-0000-0000-000052360000}"/>
    <cellStyle name="Normal 10 3 3 2 2 5 3 2" xfId="50616" xr:uid="{00000000-0005-0000-0000-000053360000}"/>
    <cellStyle name="Normal 10 3 3 2 2 5 4" xfId="31546" xr:uid="{00000000-0005-0000-0000-000054360000}"/>
    <cellStyle name="Normal 10 3 3 2 2 6" xfId="7429" xr:uid="{00000000-0005-0000-0000-000055360000}"/>
    <cellStyle name="Normal 10 3 3 2 2 6 2" xfId="20160" xr:uid="{00000000-0005-0000-0000-000056360000}"/>
    <cellStyle name="Normal 10 3 3 2 2 6 2 2" xfId="45713" xr:uid="{00000000-0005-0000-0000-000057360000}"/>
    <cellStyle name="Normal 10 3 3 2 2 6 3" xfId="32986" xr:uid="{00000000-0005-0000-0000-000058360000}"/>
    <cellStyle name="Normal 10 3 3 2 2 7" xfId="16671" xr:uid="{00000000-0005-0000-0000-000059360000}"/>
    <cellStyle name="Normal 10 3 3 2 2 7 2" xfId="42224" xr:uid="{00000000-0005-0000-0000-00005A360000}"/>
    <cellStyle name="Normal 10 3 3 2 2 8" xfId="26643" xr:uid="{00000000-0005-0000-0000-00005B360000}"/>
    <cellStyle name="Normal 10 3 3 2 3" xfId="1325" xr:uid="{00000000-0005-0000-0000-00005C360000}"/>
    <cellStyle name="Normal 10 3 3 2 3 2" xfId="3754" xr:uid="{00000000-0005-0000-0000-00005D360000}"/>
    <cellStyle name="Normal 10 3 3 2 3 2 2" xfId="12890" xr:uid="{00000000-0005-0000-0000-00005E360000}"/>
    <cellStyle name="Normal 10 3 3 2 3 2 2 2" xfId="23109" xr:uid="{00000000-0005-0000-0000-00005F360000}"/>
    <cellStyle name="Normal 10 3 3 2 3 2 2 2 2" xfId="48662" xr:uid="{00000000-0005-0000-0000-000060360000}"/>
    <cellStyle name="Normal 10 3 3 2 3 2 2 3" xfId="38445" xr:uid="{00000000-0005-0000-0000-000061360000}"/>
    <cellStyle name="Normal 10 3 3 2 3 2 3" xfId="9311" xr:uid="{00000000-0005-0000-0000-000062360000}"/>
    <cellStyle name="Normal 10 3 3 2 3 2 3 2" xfId="34868" xr:uid="{00000000-0005-0000-0000-000063360000}"/>
    <cellStyle name="Normal 10 3 3 2 3 2 4" xfId="18102" xr:uid="{00000000-0005-0000-0000-000064360000}"/>
    <cellStyle name="Normal 10 3 3 2 3 2 4 2" xfId="43655" xr:uid="{00000000-0005-0000-0000-000065360000}"/>
    <cellStyle name="Normal 10 3 3 2 3 2 5" xfId="29592" xr:uid="{00000000-0005-0000-0000-000066360000}"/>
    <cellStyle name="Normal 10 3 3 2 3 3" xfId="4878" xr:uid="{00000000-0005-0000-0000-000067360000}"/>
    <cellStyle name="Normal 10 3 3 2 3 3 2" xfId="13715" xr:uid="{00000000-0005-0000-0000-000068360000}"/>
    <cellStyle name="Normal 10 3 3 2 3 3 2 2" xfId="23966" xr:uid="{00000000-0005-0000-0000-000069360000}"/>
    <cellStyle name="Normal 10 3 3 2 3 3 2 2 2" xfId="49519" xr:uid="{00000000-0005-0000-0000-00006A360000}"/>
    <cellStyle name="Normal 10 3 3 2 3 3 2 3" xfId="39270" xr:uid="{00000000-0005-0000-0000-00006B360000}"/>
    <cellStyle name="Normal 10 3 3 2 3 3 3" xfId="10136" xr:uid="{00000000-0005-0000-0000-00006C360000}"/>
    <cellStyle name="Normal 10 3 3 2 3 3 3 2" xfId="35693" xr:uid="{00000000-0005-0000-0000-00006D360000}"/>
    <cellStyle name="Normal 10 3 3 2 3 3 4" xfId="18959" xr:uid="{00000000-0005-0000-0000-00006E360000}"/>
    <cellStyle name="Normal 10 3 3 2 3 3 4 2" xfId="44512" xr:uid="{00000000-0005-0000-0000-00006F360000}"/>
    <cellStyle name="Normal 10 3 3 2 3 3 5" xfId="30449" xr:uid="{00000000-0005-0000-0000-000070360000}"/>
    <cellStyle name="Normal 10 3 3 2 3 4" xfId="2148" xr:uid="{00000000-0005-0000-0000-000071360000}"/>
    <cellStyle name="Normal 10 3 3 2 3 4 2" xfId="11513" xr:uid="{00000000-0005-0000-0000-000072360000}"/>
    <cellStyle name="Normal 10 3 3 2 3 4 2 2" xfId="37068" xr:uid="{00000000-0005-0000-0000-000073360000}"/>
    <cellStyle name="Normal 10 3 3 2 3 4 3" xfId="21517" xr:uid="{00000000-0005-0000-0000-000074360000}"/>
    <cellStyle name="Normal 10 3 3 2 3 4 3 2" xfId="47070" xr:uid="{00000000-0005-0000-0000-000075360000}"/>
    <cellStyle name="Normal 10 3 3 2 3 4 4" xfId="28000" xr:uid="{00000000-0005-0000-0000-000076360000}"/>
    <cellStyle name="Normal 10 3 3 2 3 5" xfId="6333" xr:uid="{00000000-0005-0000-0000-000077360000}"/>
    <cellStyle name="Normal 10 3 3 2 3 5 2" xfId="15160" xr:uid="{00000000-0005-0000-0000-000078360000}"/>
    <cellStyle name="Normal 10 3 3 2 3 5 2 2" xfId="40715" xr:uid="{00000000-0005-0000-0000-000079360000}"/>
    <cellStyle name="Normal 10 3 3 2 3 5 3" xfId="25411" xr:uid="{00000000-0005-0000-0000-00007A360000}"/>
    <cellStyle name="Normal 10 3 3 2 3 5 3 2" xfId="50964" xr:uid="{00000000-0005-0000-0000-00007B360000}"/>
    <cellStyle name="Normal 10 3 3 2 3 5 4" xfId="31894" xr:uid="{00000000-0005-0000-0000-00007C360000}"/>
    <cellStyle name="Normal 10 3 3 2 3 6" xfId="7779" xr:uid="{00000000-0005-0000-0000-00007D360000}"/>
    <cellStyle name="Normal 10 3 3 2 3 6 2" xfId="20708" xr:uid="{00000000-0005-0000-0000-00007E360000}"/>
    <cellStyle name="Normal 10 3 3 2 3 6 2 2" xfId="46261" xr:uid="{00000000-0005-0000-0000-00007F360000}"/>
    <cellStyle name="Normal 10 3 3 2 3 6 3" xfId="33336" xr:uid="{00000000-0005-0000-0000-000080360000}"/>
    <cellStyle name="Normal 10 3 3 2 3 7" xfId="16510" xr:uid="{00000000-0005-0000-0000-000081360000}"/>
    <cellStyle name="Normal 10 3 3 2 3 7 2" xfId="42063" xr:uid="{00000000-0005-0000-0000-000082360000}"/>
    <cellStyle name="Normal 10 3 3 2 3 8" xfId="27191" xr:uid="{00000000-0005-0000-0000-000083360000}"/>
    <cellStyle name="Normal 10 3 3 2 4" xfId="3039" xr:uid="{00000000-0005-0000-0000-000084360000}"/>
    <cellStyle name="Normal 10 3 3 2 4 2" xfId="5417" xr:uid="{00000000-0005-0000-0000-000085360000}"/>
    <cellStyle name="Normal 10 3 3 2 4 2 2" xfId="14254" xr:uid="{00000000-0005-0000-0000-000086360000}"/>
    <cellStyle name="Normal 10 3 3 2 4 2 2 2" xfId="24505" xr:uid="{00000000-0005-0000-0000-000087360000}"/>
    <cellStyle name="Normal 10 3 3 2 4 2 2 2 2" xfId="50058" xr:uid="{00000000-0005-0000-0000-000088360000}"/>
    <cellStyle name="Normal 10 3 3 2 4 2 2 3" xfId="39809" xr:uid="{00000000-0005-0000-0000-000089360000}"/>
    <cellStyle name="Normal 10 3 3 2 4 2 3" xfId="10675" xr:uid="{00000000-0005-0000-0000-00008A360000}"/>
    <cellStyle name="Normal 10 3 3 2 4 2 3 2" xfId="36232" xr:uid="{00000000-0005-0000-0000-00008B360000}"/>
    <cellStyle name="Normal 10 3 3 2 4 2 4" xfId="19498" xr:uid="{00000000-0005-0000-0000-00008C360000}"/>
    <cellStyle name="Normal 10 3 3 2 4 2 4 2" xfId="45051" xr:uid="{00000000-0005-0000-0000-00008D360000}"/>
    <cellStyle name="Normal 10 3 3 2 4 2 5" xfId="30988" xr:uid="{00000000-0005-0000-0000-00008E360000}"/>
    <cellStyle name="Normal 10 3 3 2 4 3" xfId="6872" xr:uid="{00000000-0005-0000-0000-00008F360000}"/>
    <cellStyle name="Normal 10 3 3 2 4 3 2" xfId="15699" xr:uid="{00000000-0005-0000-0000-000090360000}"/>
    <cellStyle name="Normal 10 3 3 2 4 3 2 2" xfId="41254" xr:uid="{00000000-0005-0000-0000-000091360000}"/>
    <cellStyle name="Normal 10 3 3 2 4 3 3" xfId="25950" xr:uid="{00000000-0005-0000-0000-000092360000}"/>
    <cellStyle name="Normal 10 3 3 2 4 3 3 2" xfId="51503" xr:uid="{00000000-0005-0000-0000-000093360000}"/>
    <cellStyle name="Normal 10 3 3 2 4 3 4" xfId="32433" xr:uid="{00000000-0005-0000-0000-000094360000}"/>
    <cellStyle name="Normal 10 3 3 2 4 4" xfId="8318" xr:uid="{00000000-0005-0000-0000-000095360000}"/>
    <cellStyle name="Normal 10 3 3 2 4 4 2" xfId="22400" xr:uid="{00000000-0005-0000-0000-000096360000}"/>
    <cellStyle name="Normal 10 3 3 2 4 4 2 2" xfId="47953" xr:uid="{00000000-0005-0000-0000-000097360000}"/>
    <cellStyle name="Normal 10 3 3 2 4 4 3" xfId="33875" xr:uid="{00000000-0005-0000-0000-000098360000}"/>
    <cellStyle name="Normal 10 3 3 2 4 5" xfId="17393" xr:uid="{00000000-0005-0000-0000-000099360000}"/>
    <cellStyle name="Normal 10 3 3 2 4 5 2" xfId="42946" xr:uid="{00000000-0005-0000-0000-00009A360000}"/>
    <cellStyle name="Normal 10 3 3 2 4 6" xfId="28883" xr:uid="{00000000-0005-0000-0000-00009B360000}"/>
    <cellStyle name="Normal 10 3 3 2 5" xfId="4373" xr:uid="{00000000-0005-0000-0000-00009C360000}"/>
    <cellStyle name="Normal 10 3 3 2 5 2" xfId="13211" xr:uid="{00000000-0005-0000-0000-00009D360000}"/>
    <cellStyle name="Normal 10 3 3 2 5 2 2" xfId="23462" xr:uid="{00000000-0005-0000-0000-00009E360000}"/>
    <cellStyle name="Normal 10 3 3 2 5 2 2 2" xfId="49015" xr:uid="{00000000-0005-0000-0000-00009F360000}"/>
    <cellStyle name="Normal 10 3 3 2 5 2 3" xfId="38766" xr:uid="{00000000-0005-0000-0000-0000A0360000}"/>
    <cellStyle name="Normal 10 3 3 2 5 3" xfId="9632" xr:uid="{00000000-0005-0000-0000-0000A1360000}"/>
    <cellStyle name="Normal 10 3 3 2 5 3 2" xfId="35189" xr:uid="{00000000-0005-0000-0000-0000A2360000}"/>
    <cellStyle name="Normal 10 3 3 2 5 4" xfId="18455" xr:uid="{00000000-0005-0000-0000-0000A3360000}"/>
    <cellStyle name="Normal 10 3 3 2 5 4 2" xfId="44008" xr:uid="{00000000-0005-0000-0000-0000A4360000}"/>
    <cellStyle name="Normal 10 3 3 2 5 5" xfId="29945" xr:uid="{00000000-0005-0000-0000-0000A5360000}"/>
    <cellStyle name="Normal 10 3 3 2 6" xfId="1645" xr:uid="{00000000-0005-0000-0000-0000A6360000}"/>
    <cellStyle name="Normal 10 3 3 2 6 2" xfId="11022" xr:uid="{00000000-0005-0000-0000-0000A7360000}"/>
    <cellStyle name="Normal 10 3 3 2 6 2 2" xfId="36577" xr:uid="{00000000-0005-0000-0000-0000A8360000}"/>
    <cellStyle name="Normal 10 3 3 2 6 3" xfId="21026" xr:uid="{00000000-0005-0000-0000-0000A9360000}"/>
    <cellStyle name="Normal 10 3 3 2 6 3 2" xfId="46579" xr:uid="{00000000-0005-0000-0000-0000AA360000}"/>
    <cellStyle name="Normal 10 3 3 2 6 4" xfId="27509" xr:uid="{00000000-0005-0000-0000-0000AB360000}"/>
    <cellStyle name="Normal 10 3 3 2 7" xfId="5829" xr:uid="{00000000-0005-0000-0000-0000AC360000}"/>
    <cellStyle name="Normal 10 3 3 2 7 2" xfId="14656" xr:uid="{00000000-0005-0000-0000-0000AD360000}"/>
    <cellStyle name="Normal 10 3 3 2 7 2 2" xfId="40211" xr:uid="{00000000-0005-0000-0000-0000AE360000}"/>
    <cellStyle name="Normal 10 3 3 2 7 3" xfId="24907" xr:uid="{00000000-0005-0000-0000-0000AF360000}"/>
    <cellStyle name="Normal 10 3 3 2 7 3 2" xfId="50460" xr:uid="{00000000-0005-0000-0000-0000B0360000}"/>
    <cellStyle name="Normal 10 3 3 2 7 4" xfId="31390" xr:uid="{00000000-0005-0000-0000-0000B1360000}"/>
    <cellStyle name="Normal 10 3 3 2 8" xfId="7273" xr:uid="{00000000-0005-0000-0000-0000B2360000}"/>
    <cellStyle name="Normal 10 3 3 2 8 2" xfId="19999" xr:uid="{00000000-0005-0000-0000-0000B3360000}"/>
    <cellStyle name="Normal 10 3 3 2 8 2 2" xfId="45552" xr:uid="{00000000-0005-0000-0000-0000B4360000}"/>
    <cellStyle name="Normal 10 3 3 2 8 3" xfId="32830" xr:uid="{00000000-0005-0000-0000-0000B5360000}"/>
    <cellStyle name="Normal 10 3 3 2 9" xfId="16019" xr:uid="{00000000-0005-0000-0000-0000B6360000}"/>
    <cellStyle name="Normal 10 3 3 2 9 2" xfId="41572" xr:uid="{00000000-0005-0000-0000-0000B7360000}"/>
    <cellStyle name="Normal 10 3 3 2_Degree data" xfId="3877" xr:uid="{00000000-0005-0000-0000-0000B8360000}"/>
    <cellStyle name="Normal 10 3 3 3" xfId="348" xr:uid="{00000000-0005-0000-0000-0000B9360000}"/>
    <cellStyle name="Normal 10 3 3 3 2" xfId="2834" xr:uid="{00000000-0005-0000-0000-0000BA360000}"/>
    <cellStyle name="Normal 10 3 3 3 2 2" xfId="12122" xr:uid="{00000000-0005-0000-0000-0000BB360000}"/>
    <cellStyle name="Normal 10 3 3 3 2 2 2" xfId="22195" xr:uid="{00000000-0005-0000-0000-0000BC360000}"/>
    <cellStyle name="Normal 10 3 3 3 2 2 2 2" xfId="47748" xr:uid="{00000000-0005-0000-0000-0000BD360000}"/>
    <cellStyle name="Normal 10 3 3 3 2 2 3" xfId="37677" xr:uid="{00000000-0005-0000-0000-0000BE360000}"/>
    <cellStyle name="Normal 10 3 3 3 2 3" xfId="8464" xr:uid="{00000000-0005-0000-0000-0000BF360000}"/>
    <cellStyle name="Normal 10 3 3 3 2 3 2" xfId="34021" xr:uid="{00000000-0005-0000-0000-0000C0360000}"/>
    <cellStyle name="Normal 10 3 3 3 2 4" xfId="17188" xr:uid="{00000000-0005-0000-0000-0000C1360000}"/>
    <cellStyle name="Normal 10 3 3 3 2 4 2" xfId="42741" xr:uid="{00000000-0005-0000-0000-0000C2360000}"/>
    <cellStyle name="Normal 10 3 3 3 2 5" xfId="28678" xr:uid="{00000000-0005-0000-0000-0000C3360000}"/>
    <cellStyle name="Normal 10 3 3 3 3" xfId="4528" xr:uid="{00000000-0005-0000-0000-0000C4360000}"/>
    <cellStyle name="Normal 10 3 3 3 3 2" xfId="13366" xr:uid="{00000000-0005-0000-0000-0000C5360000}"/>
    <cellStyle name="Normal 10 3 3 3 3 2 2" xfId="23617" xr:uid="{00000000-0005-0000-0000-0000C6360000}"/>
    <cellStyle name="Normal 10 3 3 3 3 2 2 2" xfId="49170" xr:uid="{00000000-0005-0000-0000-0000C7360000}"/>
    <cellStyle name="Normal 10 3 3 3 3 2 3" xfId="38921" xr:uid="{00000000-0005-0000-0000-0000C8360000}"/>
    <cellStyle name="Normal 10 3 3 3 3 3" xfId="9787" xr:uid="{00000000-0005-0000-0000-0000C9360000}"/>
    <cellStyle name="Normal 10 3 3 3 3 3 2" xfId="35344" xr:uid="{00000000-0005-0000-0000-0000CA360000}"/>
    <cellStyle name="Normal 10 3 3 3 3 4" xfId="18610" xr:uid="{00000000-0005-0000-0000-0000CB360000}"/>
    <cellStyle name="Normal 10 3 3 3 3 4 2" xfId="44163" xr:uid="{00000000-0005-0000-0000-0000CC360000}"/>
    <cellStyle name="Normal 10 3 3 3 3 5" xfId="30100" xr:uid="{00000000-0005-0000-0000-0000CD360000}"/>
    <cellStyle name="Normal 10 3 3 3 4" xfId="1943" xr:uid="{00000000-0005-0000-0000-0000CE360000}"/>
    <cellStyle name="Normal 10 3 3 3 4 2" xfId="11308" xr:uid="{00000000-0005-0000-0000-0000CF360000}"/>
    <cellStyle name="Normal 10 3 3 3 4 2 2" xfId="36863" xr:uid="{00000000-0005-0000-0000-0000D0360000}"/>
    <cellStyle name="Normal 10 3 3 3 4 3" xfId="21312" xr:uid="{00000000-0005-0000-0000-0000D1360000}"/>
    <cellStyle name="Normal 10 3 3 3 4 3 2" xfId="46865" xr:uid="{00000000-0005-0000-0000-0000D2360000}"/>
    <cellStyle name="Normal 10 3 3 3 4 4" xfId="27795" xr:uid="{00000000-0005-0000-0000-0000D3360000}"/>
    <cellStyle name="Normal 10 3 3 3 5" xfId="5984" xr:uid="{00000000-0005-0000-0000-0000D4360000}"/>
    <cellStyle name="Normal 10 3 3 3 5 2" xfId="14811" xr:uid="{00000000-0005-0000-0000-0000D5360000}"/>
    <cellStyle name="Normal 10 3 3 3 5 2 2" xfId="40366" xr:uid="{00000000-0005-0000-0000-0000D6360000}"/>
    <cellStyle name="Normal 10 3 3 3 5 3" xfId="25062" xr:uid="{00000000-0005-0000-0000-0000D7360000}"/>
    <cellStyle name="Normal 10 3 3 3 5 3 2" xfId="50615" xr:uid="{00000000-0005-0000-0000-0000D8360000}"/>
    <cellStyle name="Normal 10 3 3 3 5 4" xfId="31545" xr:uid="{00000000-0005-0000-0000-0000D9360000}"/>
    <cellStyle name="Normal 10 3 3 3 6" xfId="7428" xr:uid="{00000000-0005-0000-0000-0000DA360000}"/>
    <cellStyle name="Normal 10 3 3 3 6 2" xfId="19794" xr:uid="{00000000-0005-0000-0000-0000DB360000}"/>
    <cellStyle name="Normal 10 3 3 3 6 2 2" xfId="45347" xr:uid="{00000000-0005-0000-0000-0000DC360000}"/>
    <cellStyle name="Normal 10 3 3 3 6 3" xfId="32985" xr:uid="{00000000-0005-0000-0000-0000DD360000}"/>
    <cellStyle name="Normal 10 3 3 3 7" xfId="16305" xr:uid="{00000000-0005-0000-0000-0000DE360000}"/>
    <cellStyle name="Normal 10 3 3 3 7 2" xfId="41858" xr:uid="{00000000-0005-0000-0000-0000DF360000}"/>
    <cellStyle name="Normal 10 3 3 3 8" xfId="26277" xr:uid="{00000000-0005-0000-0000-0000E0360000}"/>
    <cellStyle name="Normal 10 3 3 4" xfId="713" xr:uid="{00000000-0005-0000-0000-0000E1360000}"/>
    <cellStyle name="Normal 10 3 3 4 2" xfId="3199" xr:uid="{00000000-0005-0000-0000-0000E2360000}"/>
    <cellStyle name="Normal 10 3 3 4 2 2" xfId="12342" xr:uid="{00000000-0005-0000-0000-0000E3360000}"/>
    <cellStyle name="Normal 10 3 3 4 2 2 2" xfId="22560" xr:uid="{00000000-0005-0000-0000-0000E4360000}"/>
    <cellStyle name="Normal 10 3 3 4 2 2 2 2" xfId="48113" xr:uid="{00000000-0005-0000-0000-0000E5360000}"/>
    <cellStyle name="Normal 10 3 3 4 2 2 3" xfId="37897" xr:uid="{00000000-0005-0000-0000-0000E6360000}"/>
    <cellStyle name="Normal 10 3 3 4 2 3" xfId="8764" xr:uid="{00000000-0005-0000-0000-0000E7360000}"/>
    <cellStyle name="Normal 10 3 3 4 2 3 2" xfId="34321" xr:uid="{00000000-0005-0000-0000-0000E8360000}"/>
    <cellStyle name="Normal 10 3 3 4 2 4" xfId="17553" xr:uid="{00000000-0005-0000-0000-0000E9360000}"/>
    <cellStyle name="Normal 10 3 3 4 2 4 2" xfId="43106" xr:uid="{00000000-0005-0000-0000-0000EA360000}"/>
    <cellStyle name="Normal 10 3 3 4 2 5" xfId="29043" xr:uid="{00000000-0005-0000-0000-0000EB360000}"/>
    <cellStyle name="Normal 10 3 3 4 3" xfId="4877" xr:uid="{00000000-0005-0000-0000-0000EC360000}"/>
    <cellStyle name="Normal 10 3 3 4 3 2" xfId="13714" xr:uid="{00000000-0005-0000-0000-0000ED360000}"/>
    <cellStyle name="Normal 10 3 3 4 3 2 2" xfId="23965" xr:uid="{00000000-0005-0000-0000-0000EE360000}"/>
    <cellStyle name="Normal 10 3 3 4 3 2 2 2" xfId="49518" xr:uid="{00000000-0005-0000-0000-0000EF360000}"/>
    <cellStyle name="Normal 10 3 3 4 3 2 3" xfId="39269" xr:uid="{00000000-0005-0000-0000-0000F0360000}"/>
    <cellStyle name="Normal 10 3 3 4 3 3" xfId="10135" xr:uid="{00000000-0005-0000-0000-0000F1360000}"/>
    <cellStyle name="Normal 10 3 3 4 3 3 2" xfId="35692" xr:uid="{00000000-0005-0000-0000-0000F2360000}"/>
    <cellStyle name="Normal 10 3 3 4 3 4" xfId="18958" xr:uid="{00000000-0005-0000-0000-0000F3360000}"/>
    <cellStyle name="Normal 10 3 3 4 3 4 2" xfId="44511" xr:uid="{00000000-0005-0000-0000-0000F4360000}"/>
    <cellStyle name="Normal 10 3 3 4 3 5" xfId="30448" xr:uid="{00000000-0005-0000-0000-0000F5360000}"/>
    <cellStyle name="Normal 10 3 3 4 4" xfId="2308" xr:uid="{00000000-0005-0000-0000-0000F6360000}"/>
    <cellStyle name="Normal 10 3 3 4 4 2" xfId="11673" xr:uid="{00000000-0005-0000-0000-0000F7360000}"/>
    <cellStyle name="Normal 10 3 3 4 4 2 2" xfId="37228" xr:uid="{00000000-0005-0000-0000-0000F8360000}"/>
    <cellStyle name="Normal 10 3 3 4 4 3" xfId="21677" xr:uid="{00000000-0005-0000-0000-0000F9360000}"/>
    <cellStyle name="Normal 10 3 3 4 4 3 2" xfId="47230" xr:uid="{00000000-0005-0000-0000-0000FA360000}"/>
    <cellStyle name="Normal 10 3 3 4 4 4" xfId="28160" xr:uid="{00000000-0005-0000-0000-0000FB360000}"/>
    <cellStyle name="Normal 10 3 3 4 5" xfId="6332" xr:uid="{00000000-0005-0000-0000-0000FC360000}"/>
    <cellStyle name="Normal 10 3 3 4 5 2" xfId="15159" xr:uid="{00000000-0005-0000-0000-0000FD360000}"/>
    <cellStyle name="Normal 10 3 3 4 5 2 2" xfId="40714" xr:uid="{00000000-0005-0000-0000-0000FE360000}"/>
    <cellStyle name="Normal 10 3 3 4 5 3" xfId="25410" xr:uid="{00000000-0005-0000-0000-0000FF360000}"/>
    <cellStyle name="Normal 10 3 3 4 5 3 2" xfId="50963" xr:uid="{00000000-0005-0000-0000-000000370000}"/>
    <cellStyle name="Normal 10 3 3 4 5 4" xfId="31893" xr:uid="{00000000-0005-0000-0000-000001370000}"/>
    <cellStyle name="Normal 10 3 3 4 6" xfId="7778" xr:uid="{00000000-0005-0000-0000-000002370000}"/>
    <cellStyle name="Normal 10 3 3 4 6 2" xfId="20159" xr:uid="{00000000-0005-0000-0000-000003370000}"/>
    <cellStyle name="Normal 10 3 3 4 6 2 2" xfId="45712" xr:uid="{00000000-0005-0000-0000-000004370000}"/>
    <cellStyle name="Normal 10 3 3 4 6 3" xfId="33335" xr:uid="{00000000-0005-0000-0000-000005370000}"/>
    <cellStyle name="Normal 10 3 3 4 7" xfId="16670" xr:uid="{00000000-0005-0000-0000-000006370000}"/>
    <cellStyle name="Normal 10 3 3 4 7 2" xfId="42223" xr:uid="{00000000-0005-0000-0000-000007370000}"/>
    <cellStyle name="Normal 10 3 3 4 8" xfId="26642" xr:uid="{00000000-0005-0000-0000-000008370000}"/>
    <cellStyle name="Normal 10 3 3 5" xfId="1120" xr:uid="{00000000-0005-0000-0000-000009370000}"/>
    <cellStyle name="Normal 10 3 3 5 2" xfId="3549" xr:uid="{00000000-0005-0000-0000-00000A370000}"/>
    <cellStyle name="Normal 10 3 3 5 2 2" xfId="12685" xr:uid="{00000000-0005-0000-0000-00000B370000}"/>
    <cellStyle name="Normal 10 3 3 5 2 2 2" xfId="22904" xr:uid="{00000000-0005-0000-0000-00000C370000}"/>
    <cellStyle name="Normal 10 3 3 5 2 2 2 2" xfId="48457" xr:uid="{00000000-0005-0000-0000-00000D370000}"/>
    <cellStyle name="Normal 10 3 3 5 2 2 3" xfId="38240" xr:uid="{00000000-0005-0000-0000-00000E370000}"/>
    <cellStyle name="Normal 10 3 3 5 2 3" xfId="9106" xr:uid="{00000000-0005-0000-0000-00000F370000}"/>
    <cellStyle name="Normal 10 3 3 5 2 3 2" xfId="34663" xr:uid="{00000000-0005-0000-0000-000010370000}"/>
    <cellStyle name="Normal 10 3 3 5 2 4" xfId="17897" xr:uid="{00000000-0005-0000-0000-000011370000}"/>
    <cellStyle name="Normal 10 3 3 5 2 4 2" xfId="43450" xr:uid="{00000000-0005-0000-0000-000012370000}"/>
    <cellStyle name="Normal 10 3 3 5 2 5" xfId="29387" xr:uid="{00000000-0005-0000-0000-000013370000}"/>
    <cellStyle name="Normal 10 3 3 5 3" xfId="5212" xr:uid="{00000000-0005-0000-0000-000014370000}"/>
    <cellStyle name="Normal 10 3 3 5 3 2" xfId="14049" xr:uid="{00000000-0005-0000-0000-000015370000}"/>
    <cellStyle name="Normal 10 3 3 5 3 2 2" xfId="24300" xr:uid="{00000000-0005-0000-0000-000016370000}"/>
    <cellStyle name="Normal 10 3 3 5 3 2 2 2" xfId="49853" xr:uid="{00000000-0005-0000-0000-000017370000}"/>
    <cellStyle name="Normal 10 3 3 5 3 2 3" xfId="39604" xr:uid="{00000000-0005-0000-0000-000018370000}"/>
    <cellStyle name="Normal 10 3 3 5 3 3" xfId="10470" xr:uid="{00000000-0005-0000-0000-000019370000}"/>
    <cellStyle name="Normal 10 3 3 5 3 3 2" xfId="36027" xr:uid="{00000000-0005-0000-0000-00001A370000}"/>
    <cellStyle name="Normal 10 3 3 5 3 4" xfId="19293" xr:uid="{00000000-0005-0000-0000-00001B370000}"/>
    <cellStyle name="Normal 10 3 3 5 3 4 2" xfId="44846" xr:uid="{00000000-0005-0000-0000-00001C370000}"/>
    <cellStyle name="Normal 10 3 3 5 3 5" xfId="30783" xr:uid="{00000000-0005-0000-0000-00001D370000}"/>
    <cellStyle name="Normal 10 3 3 5 4" xfId="1828" xr:uid="{00000000-0005-0000-0000-00001E370000}"/>
    <cellStyle name="Normal 10 3 3 5 4 2" xfId="11196" xr:uid="{00000000-0005-0000-0000-00001F370000}"/>
    <cellStyle name="Normal 10 3 3 5 4 2 2" xfId="36751" xr:uid="{00000000-0005-0000-0000-000020370000}"/>
    <cellStyle name="Normal 10 3 3 5 4 3" xfId="21200" xr:uid="{00000000-0005-0000-0000-000021370000}"/>
    <cellStyle name="Normal 10 3 3 5 4 3 2" xfId="46753" xr:uid="{00000000-0005-0000-0000-000022370000}"/>
    <cellStyle name="Normal 10 3 3 5 4 4" xfId="27683" xr:uid="{00000000-0005-0000-0000-000023370000}"/>
    <cellStyle name="Normal 10 3 3 5 5" xfId="6667" xr:uid="{00000000-0005-0000-0000-000024370000}"/>
    <cellStyle name="Normal 10 3 3 5 5 2" xfId="15494" xr:uid="{00000000-0005-0000-0000-000025370000}"/>
    <cellStyle name="Normal 10 3 3 5 5 2 2" xfId="41049" xr:uid="{00000000-0005-0000-0000-000026370000}"/>
    <cellStyle name="Normal 10 3 3 5 5 3" xfId="25745" xr:uid="{00000000-0005-0000-0000-000027370000}"/>
    <cellStyle name="Normal 10 3 3 5 5 3 2" xfId="51298" xr:uid="{00000000-0005-0000-0000-000028370000}"/>
    <cellStyle name="Normal 10 3 3 5 5 4" xfId="32228" xr:uid="{00000000-0005-0000-0000-000029370000}"/>
    <cellStyle name="Normal 10 3 3 5 6" xfId="8113" xr:uid="{00000000-0005-0000-0000-00002A370000}"/>
    <cellStyle name="Normal 10 3 3 5 6 2" xfId="20503" xr:uid="{00000000-0005-0000-0000-00002B370000}"/>
    <cellStyle name="Normal 10 3 3 5 6 2 2" xfId="46056" xr:uid="{00000000-0005-0000-0000-00002C370000}"/>
    <cellStyle name="Normal 10 3 3 5 6 3" xfId="33670" xr:uid="{00000000-0005-0000-0000-00002D370000}"/>
    <cellStyle name="Normal 10 3 3 5 7" xfId="16193" xr:uid="{00000000-0005-0000-0000-00002E370000}"/>
    <cellStyle name="Normal 10 3 3 5 7 2" xfId="41746" xr:uid="{00000000-0005-0000-0000-00002F370000}"/>
    <cellStyle name="Normal 10 3 3 5 8" xfId="26986" xr:uid="{00000000-0005-0000-0000-000030370000}"/>
    <cellStyle name="Normal 10 3 3 6" xfId="2722" xr:uid="{00000000-0005-0000-0000-000031370000}"/>
    <cellStyle name="Normal 10 3 3 6 2" xfId="12039" xr:uid="{00000000-0005-0000-0000-000032370000}"/>
    <cellStyle name="Normal 10 3 3 6 2 2" xfId="22083" xr:uid="{00000000-0005-0000-0000-000033370000}"/>
    <cellStyle name="Normal 10 3 3 6 2 2 2" xfId="47636" xr:uid="{00000000-0005-0000-0000-000034370000}"/>
    <cellStyle name="Normal 10 3 3 6 2 3" xfId="37594" xr:uid="{00000000-0005-0000-0000-000035370000}"/>
    <cellStyle name="Normal 10 3 3 6 3" xfId="8549" xr:uid="{00000000-0005-0000-0000-000036370000}"/>
    <cellStyle name="Normal 10 3 3 6 3 2" xfId="34106" xr:uid="{00000000-0005-0000-0000-000037370000}"/>
    <cellStyle name="Normal 10 3 3 6 4" xfId="17076" xr:uid="{00000000-0005-0000-0000-000038370000}"/>
    <cellStyle name="Normal 10 3 3 6 4 2" xfId="42629" xr:uid="{00000000-0005-0000-0000-000039370000}"/>
    <cellStyle name="Normal 10 3 3 6 5" xfId="28566" xr:uid="{00000000-0005-0000-0000-00003A370000}"/>
    <cellStyle name="Normal 10 3 3 7" xfId="4168" xr:uid="{00000000-0005-0000-0000-00003B370000}"/>
    <cellStyle name="Normal 10 3 3 7 2" xfId="13006" xr:uid="{00000000-0005-0000-0000-00003C370000}"/>
    <cellStyle name="Normal 10 3 3 7 2 2" xfId="23257" xr:uid="{00000000-0005-0000-0000-00003D370000}"/>
    <cellStyle name="Normal 10 3 3 7 2 2 2" xfId="48810" xr:uid="{00000000-0005-0000-0000-00003E370000}"/>
    <cellStyle name="Normal 10 3 3 7 2 3" xfId="38561" xr:uid="{00000000-0005-0000-0000-00003F370000}"/>
    <cellStyle name="Normal 10 3 3 7 3" xfId="9427" xr:uid="{00000000-0005-0000-0000-000040370000}"/>
    <cellStyle name="Normal 10 3 3 7 3 2" xfId="34984" xr:uid="{00000000-0005-0000-0000-000041370000}"/>
    <cellStyle name="Normal 10 3 3 7 4" xfId="18250" xr:uid="{00000000-0005-0000-0000-000042370000}"/>
    <cellStyle name="Normal 10 3 3 7 4 2" xfId="43803" xr:uid="{00000000-0005-0000-0000-000043370000}"/>
    <cellStyle name="Normal 10 3 3 7 5" xfId="29740" xr:uid="{00000000-0005-0000-0000-000044370000}"/>
    <cellStyle name="Normal 10 3 3 8" xfId="1440" xr:uid="{00000000-0005-0000-0000-000045370000}"/>
    <cellStyle name="Normal 10 3 3 8 2" xfId="10817" xr:uid="{00000000-0005-0000-0000-000046370000}"/>
    <cellStyle name="Normal 10 3 3 8 2 2" xfId="36372" xr:uid="{00000000-0005-0000-0000-000047370000}"/>
    <cellStyle name="Normal 10 3 3 8 3" xfId="20821" xr:uid="{00000000-0005-0000-0000-000048370000}"/>
    <cellStyle name="Normal 10 3 3 8 3 2" xfId="46374" xr:uid="{00000000-0005-0000-0000-000049370000}"/>
    <cellStyle name="Normal 10 3 3 8 4" xfId="27304" xr:uid="{00000000-0005-0000-0000-00004A370000}"/>
    <cellStyle name="Normal 10 3 3 9" xfId="5624" xr:uid="{00000000-0005-0000-0000-00004B370000}"/>
    <cellStyle name="Normal 10 3 3 9 2" xfId="14451" xr:uid="{00000000-0005-0000-0000-00004C370000}"/>
    <cellStyle name="Normal 10 3 3 9 2 2" xfId="40006" xr:uid="{00000000-0005-0000-0000-00004D370000}"/>
    <cellStyle name="Normal 10 3 3 9 3" xfId="24702" xr:uid="{00000000-0005-0000-0000-00004E370000}"/>
    <cellStyle name="Normal 10 3 3 9 3 2" xfId="50255" xr:uid="{00000000-0005-0000-0000-00004F370000}"/>
    <cellStyle name="Normal 10 3 3 9 4" xfId="31185" xr:uid="{00000000-0005-0000-0000-000050370000}"/>
    <cellStyle name="Normal 10 3 3_Degree data" xfId="3904" xr:uid="{00000000-0005-0000-0000-000051370000}"/>
    <cellStyle name="Normal 10 3 4" xfId="448" xr:uid="{00000000-0005-0000-0000-000052370000}"/>
    <cellStyle name="Normal 10 3 4 10" xfId="26377" xr:uid="{00000000-0005-0000-0000-000053370000}"/>
    <cellStyle name="Normal 10 3 4 2" xfId="715" xr:uid="{00000000-0005-0000-0000-000054370000}"/>
    <cellStyle name="Normal 10 3 4 2 2" xfId="3201" xr:uid="{00000000-0005-0000-0000-000055370000}"/>
    <cellStyle name="Normal 10 3 4 2 2 2" xfId="12344" xr:uid="{00000000-0005-0000-0000-000056370000}"/>
    <cellStyle name="Normal 10 3 4 2 2 2 2" xfId="22562" xr:uid="{00000000-0005-0000-0000-000057370000}"/>
    <cellStyle name="Normal 10 3 4 2 2 2 2 2" xfId="48115" xr:uid="{00000000-0005-0000-0000-000058370000}"/>
    <cellStyle name="Normal 10 3 4 2 2 2 3" xfId="37899" xr:uid="{00000000-0005-0000-0000-000059370000}"/>
    <cellStyle name="Normal 10 3 4 2 2 3" xfId="8766" xr:uid="{00000000-0005-0000-0000-00005A370000}"/>
    <cellStyle name="Normal 10 3 4 2 2 3 2" xfId="34323" xr:uid="{00000000-0005-0000-0000-00005B370000}"/>
    <cellStyle name="Normal 10 3 4 2 2 4" xfId="17555" xr:uid="{00000000-0005-0000-0000-00005C370000}"/>
    <cellStyle name="Normal 10 3 4 2 2 4 2" xfId="43108" xr:uid="{00000000-0005-0000-0000-00005D370000}"/>
    <cellStyle name="Normal 10 3 4 2 2 5" xfId="29045" xr:uid="{00000000-0005-0000-0000-00005E370000}"/>
    <cellStyle name="Normal 10 3 4 2 3" xfId="4530" xr:uid="{00000000-0005-0000-0000-00005F370000}"/>
    <cellStyle name="Normal 10 3 4 2 3 2" xfId="13368" xr:uid="{00000000-0005-0000-0000-000060370000}"/>
    <cellStyle name="Normal 10 3 4 2 3 2 2" xfId="23619" xr:uid="{00000000-0005-0000-0000-000061370000}"/>
    <cellStyle name="Normal 10 3 4 2 3 2 2 2" xfId="49172" xr:uid="{00000000-0005-0000-0000-000062370000}"/>
    <cellStyle name="Normal 10 3 4 2 3 2 3" xfId="38923" xr:uid="{00000000-0005-0000-0000-000063370000}"/>
    <cellStyle name="Normal 10 3 4 2 3 3" xfId="9789" xr:uid="{00000000-0005-0000-0000-000064370000}"/>
    <cellStyle name="Normal 10 3 4 2 3 3 2" xfId="35346" xr:uid="{00000000-0005-0000-0000-000065370000}"/>
    <cellStyle name="Normal 10 3 4 2 3 4" xfId="18612" xr:uid="{00000000-0005-0000-0000-000066370000}"/>
    <cellStyle name="Normal 10 3 4 2 3 4 2" xfId="44165" xr:uid="{00000000-0005-0000-0000-000067370000}"/>
    <cellStyle name="Normal 10 3 4 2 3 5" xfId="30102" xr:uid="{00000000-0005-0000-0000-000068370000}"/>
    <cellStyle name="Normal 10 3 4 2 4" xfId="2310" xr:uid="{00000000-0005-0000-0000-000069370000}"/>
    <cellStyle name="Normal 10 3 4 2 4 2" xfId="11675" xr:uid="{00000000-0005-0000-0000-00006A370000}"/>
    <cellStyle name="Normal 10 3 4 2 4 2 2" xfId="37230" xr:uid="{00000000-0005-0000-0000-00006B370000}"/>
    <cellStyle name="Normal 10 3 4 2 4 3" xfId="21679" xr:uid="{00000000-0005-0000-0000-00006C370000}"/>
    <cellStyle name="Normal 10 3 4 2 4 3 2" xfId="47232" xr:uid="{00000000-0005-0000-0000-00006D370000}"/>
    <cellStyle name="Normal 10 3 4 2 4 4" xfId="28162" xr:uid="{00000000-0005-0000-0000-00006E370000}"/>
    <cellStyle name="Normal 10 3 4 2 5" xfId="5986" xr:uid="{00000000-0005-0000-0000-00006F370000}"/>
    <cellStyle name="Normal 10 3 4 2 5 2" xfId="14813" xr:uid="{00000000-0005-0000-0000-000070370000}"/>
    <cellStyle name="Normal 10 3 4 2 5 2 2" xfId="40368" xr:uid="{00000000-0005-0000-0000-000071370000}"/>
    <cellStyle name="Normal 10 3 4 2 5 3" xfId="25064" xr:uid="{00000000-0005-0000-0000-000072370000}"/>
    <cellStyle name="Normal 10 3 4 2 5 3 2" xfId="50617" xr:uid="{00000000-0005-0000-0000-000073370000}"/>
    <cellStyle name="Normal 10 3 4 2 5 4" xfId="31547" xr:uid="{00000000-0005-0000-0000-000074370000}"/>
    <cellStyle name="Normal 10 3 4 2 6" xfId="7430" xr:uid="{00000000-0005-0000-0000-000075370000}"/>
    <cellStyle name="Normal 10 3 4 2 6 2" xfId="20161" xr:uid="{00000000-0005-0000-0000-000076370000}"/>
    <cellStyle name="Normal 10 3 4 2 6 2 2" xfId="45714" xr:uid="{00000000-0005-0000-0000-000077370000}"/>
    <cellStyle name="Normal 10 3 4 2 6 3" xfId="32987" xr:uid="{00000000-0005-0000-0000-000078370000}"/>
    <cellStyle name="Normal 10 3 4 2 7" xfId="16672" xr:uid="{00000000-0005-0000-0000-000079370000}"/>
    <cellStyle name="Normal 10 3 4 2 7 2" xfId="42225" xr:uid="{00000000-0005-0000-0000-00007A370000}"/>
    <cellStyle name="Normal 10 3 4 2 8" xfId="26644" xr:uid="{00000000-0005-0000-0000-00007B370000}"/>
    <cellStyle name="Normal 10 3 4 3" xfId="1220" xr:uid="{00000000-0005-0000-0000-00007C370000}"/>
    <cellStyle name="Normal 10 3 4 3 2" xfId="3649" xr:uid="{00000000-0005-0000-0000-00007D370000}"/>
    <cellStyle name="Normal 10 3 4 3 2 2" xfId="12785" xr:uid="{00000000-0005-0000-0000-00007E370000}"/>
    <cellStyle name="Normal 10 3 4 3 2 2 2" xfId="23004" xr:uid="{00000000-0005-0000-0000-00007F370000}"/>
    <cellStyle name="Normal 10 3 4 3 2 2 2 2" xfId="48557" xr:uid="{00000000-0005-0000-0000-000080370000}"/>
    <cellStyle name="Normal 10 3 4 3 2 2 3" xfId="38340" xr:uid="{00000000-0005-0000-0000-000081370000}"/>
    <cellStyle name="Normal 10 3 4 3 2 3" xfId="9206" xr:uid="{00000000-0005-0000-0000-000082370000}"/>
    <cellStyle name="Normal 10 3 4 3 2 3 2" xfId="34763" xr:uid="{00000000-0005-0000-0000-000083370000}"/>
    <cellStyle name="Normal 10 3 4 3 2 4" xfId="17997" xr:uid="{00000000-0005-0000-0000-000084370000}"/>
    <cellStyle name="Normal 10 3 4 3 2 4 2" xfId="43550" xr:uid="{00000000-0005-0000-0000-000085370000}"/>
    <cellStyle name="Normal 10 3 4 3 2 5" xfId="29487" xr:uid="{00000000-0005-0000-0000-000086370000}"/>
    <cellStyle name="Normal 10 3 4 3 3" xfId="4879" xr:uid="{00000000-0005-0000-0000-000087370000}"/>
    <cellStyle name="Normal 10 3 4 3 3 2" xfId="13716" xr:uid="{00000000-0005-0000-0000-000088370000}"/>
    <cellStyle name="Normal 10 3 4 3 3 2 2" xfId="23967" xr:uid="{00000000-0005-0000-0000-000089370000}"/>
    <cellStyle name="Normal 10 3 4 3 3 2 2 2" xfId="49520" xr:uid="{00000000-0005-0000-0000-00008A370000}"/>
    <cellStyle name="Normal 10 3 4 3 3 2 3" xfId="39271" xr:uid="{00000000-0005-0000-0000-00008B370000}"/>
    <cellStyle name="Normal 10 3 4 3 3 3" xfId="10137" xr:uid="{00000000-0005-0000-0000-00008C370000}"/>
    <cellStyle name="Normal 10 3 4 3 3 3 2" xfId="35694" xr:uid="{00000000-0005-0000-0000-00008D370000}"/>
    <cellStyle name="Normal 10 3 4 3 3 4" xfId="18960" xr:uid="{00000000-0005-0000-0000-00008E370000}"/>
    <cellStyle name="Normal 10 3 4 3 3 4 2" xfId="44513" xr:uid="{00000000-0005-0000-0000-00008F370000}"/>
    <cellStyle name="Normal 10 3 4 3 3 5" xfId="30450" xr:uid="{00000000-0005-0000-0000-000090370000}"/>
    <cellStyle name="Normal 10 3 4 3 4" xfId="2043" xr:uid="{00000000-0005-0000-0000-000091370000}"/>
    <cellStyle name="Normal 10 3 4 3 4 2" xfId="11408" xr:uid="{00000000-0005-0000-0000-000092370000}"/>
    <cellStyle name="Normal 10 3 4 3 4 2 2" xfId="36963" xr:uid="{00000000-0005-0000-0000-000093370000}"/>
    <cellStyle name="Normal 10 3 4 3 4 3" xfId="21412" xr:uid="{00000000-0005-0000-0000-000094370000}"/>
    <cellStyle name="Normal 10 3 4 3 4 3 2" xfId="46965" xr:uid="{00000000-0005-0000-0000-000095370000}"/>
    <cellStyle name="Normal 10 3 4 3 4 4" xfId="27895" xr:uid="{00000000-0005-0000-0000-000096370000}"/>
    <cellStyle name="Normal 10 3 4 3 5" xfId="6334" xr:uid="{00000000-0005-0000-0000-000097370000}"/>
    <cellStyle name="Normal 10 3 4 3 5 2" xfId="15161" xr:uid="{00000000-0005-0000-0000-000098370000}"/>
    <cellStyle name="Normal 10 3 4 3 5 2 2" xfId="40716" xr:uid="{00000000-0005-0000-0000-000099370000}"/>
    <cellStyle name="Normal 10 3 4 3 5 3" xfId="25412" xr:uid="{00000000-0005-0000-0000-00009A370000}"/>
    <cellStyle name="Normal 10 3 4 3 5 3 2" xfId="50965" xr:uid="{00000000-0005-0000-0000-00009B370000}"/>
    <cellStyle name="Normal 10 3 4 3 5 4" xfId="31895" xr:uid="{00000000-0005-0000-0000-00009C370000}"/>
    <cellStyle name="Normal 10 3 4 3 6" xfId="7780" xr:uid="{00000000-0005-0000-0000-00009D370000}"/>
    <cellStyle name="Normal 10 3 4 3 6 2" xfId="20603" xr:uid="{00000000-0005-0000-0000-00009E370000}"/>
    <cellStyle name="Normal 10 3 4 3 6 2 2" xfId="46156" xr:uid="{00000000-0005-0000-0000-00009F370000}"/>
    <cellStyle name="Normal 10 3 4 3 6 3" xfId="33337" xr:uid="{00000000-0005-0000-0000-0000A0370000}"/>
    <cellStyle name="Normal 10 3 4 3 7" xfId="16405" xr:uid="{00000000-0005-0000-0000-0000A1370000}"/>
    <cellStyle name="Normal 10 3 4 3 7 2" xfId="41958" xr:uid="{00000000-0005-0000-0000-0000A2370000}"/>
    <cellStyle name="Normal 10 3 4 3 8" xfId="27086" xr:uid="{00000000-0005-0000-0000-0000A3370000}"/>
    <cellStyle name="Normal 10 3 4 4" xfId="2934" xr:uid="{00000000-0005-0000-0000-0000A4370000}"/>
    <cellStyle name="Normal 10 3 4 4 2" xfId="5312" xr:uid="{00000000-0005-0000-0000-0000A5370000}"/>
    <cellStyle name="Normal 10 3 4 4 2 2" xfId="14149" xr:uid="{00000000-0005-0000-0000-0000A6370000}"/>
    <cellStyle name="Normal 10 3 4 4 2 2 2" xfId="24400" xr:uid="{00000000-0005-0000-0000-0000A7370000}"/>
    <cellStyle name="Normal 10 3 4 4 2 2 2 2" xfId="49953" xr:uid="{00000000-0005-0000-0000-0000A8370000}"/>
    <cellStyle name="Normal 10 3 4 4 2 2 3" xfId="39704" xr:uid="{00000000-0005-0000-0000-0000A9370000}"/>
    <cellStyle name="Normal 10 3 4 4 2 3" xfId="10570" xr:uid="{00000000-0005-0000-0000-0000AA370000}"/>
    <cellStyle name="Normal 10 3 4 4 2 3 2" xfId="36127" xr:uid="{00000000-0005-0000-0000-0000AB370000}"/>
    <cellStyle name="Normal 10 3 4 4 2 4" xfId="19393" xr:uid="{00000000-0005-0000-0000-0000AC370000}"/>
    <cellStyle name="Normal 10 3 4 4 2 4 2" xfId="44946" xr:uid="{00000000-0005-0000-0000-0000AD370000}"/>
    <cellStyle name="Normal 10 3 4 4 2 5" xfId="30883" xr:uid="{00000000-0005-0000-0000-0000AE370000}"/>
    <cellStyle name="Normal 10 3 4 4 3" xfId="6767" xr:uid="{00000000-0005-0000-0000-0000AF370000}"/>
    <cellStyle name="Normal 10 3 4 4 3 2" xfId="15594" xr:uid="{00000000-0005-0000-0000-0000B0370000}"/>
    <cellStyle name="Normal 10 3 4 4 3 2 2" xfId="41149" xr:uid="{00000000-0005-0000-0000-0000B1370000}"/>
    <cellStyle name="Normal 10 3 4 4 3 3" xfId="25845" xr:uid="{00000000-0005-0000-0000-0000B2370000}"/>
    <cellStyle name="Normal 10 3 4 4 3 3 2" xfId="51398" xr:uid="{00000000-0005-0000-0000-0000B3370000}"/>
    <cellStyle name="Normal 10 3 4 4 3 4" xfId="32328" xr:uid="{00000000-0005-0000-0000-0000B4370000}"/>
    <cellStyle name="Normal 10 3 4 4 4" xfId="8213" xr:uid="{00000000-0005-0000-0000-0000B5370000}"/>
    <cellStyle name="Normal 10 3 4 4 4 2" xfId="22295" xr:uid="{00000000-0005-0000-0000-0000B6370000}"/>
    <cellStyle name="Normal 10 3 4 4 4 2 2" xfId="47848" xr:uid="{00000000-0005-0000-0000-0000B7370000}"/>
    <cellStyle name="Normal 10 3 4 4 4 3" xfId="33770" xr:uid="{00000000-0005-0000-0000-0000B8370000}"/>
    <cellStyle name="Normal 10 3 4 4 5" xfId="17288" xr:uid="{00000000-0005-0000-0000-0000B9370000}"/>
    <cellStyle name="Normal 10 3 4 4 5 2" xfId="42841" xr:uid="{00000000-0005-0000-0000-0000BA370000}"/>
    <cellStyle name="Normal 10 3 4 4 6" xfId="28778" xr:uid="{00000000-0005-0000-0000-0000BB370000}"/>
    <cellStyle name="Normal 10 3 4 5" xfId="4268" xr:uid="{00000000-0005-0000-0000-0000BC370000}"/>
    <cellStyle name="Normal 10 3 4 5 2" xfId="13106" xr:uid="{00000000-0005-0000-0000-0000BD370000}"/>
    <cellStyle name="Normal 10 3 4 5 2 2" xfId="23357" xr:uid="{00000000-0005-0000-0000-0000BE370000}"/>
    <cellStyle name="Normal 10 3 4 5 2 2 2" xfId="48910" xr:uid="{00000000-0005-0000-0000-0000BF370000}"/>
    <cellStyle name="Normal 10 3 4 5 2 3" xfId="38661" xr:uid="{00000000-0005-0000-0000-0000C0370000}"/>
    <cellStyle name="Normal 10 3 4 5 3" xfId="9527" xr:uid="{00000000-0005-0000-0000-0000C1370000}"/>
    <cellStyle name="Normal 10 3 4 5 3 2" xfId="35084" xr:uid="{00000000-0005-0000-0000-0000C2370000}"/>
    <cellStyle name="Normal 10 3 4 5 4" xfId="18350" xr:uid="{00000000-0005-0000-0000-0000C3370000}"/>
    <cellStyle name="Normal 10 3 4 5 4 2" xfId="43903" xr:uid="{00000000-0005-0000-0000-0000C4370000}"/>
    <cellStyle name="Normal 10 3 4 5 5" xfId="29840" xr:uid="{00000000-0005-0000-0000-0000C5370000}"/>
    <cellStyle name="Normal 10 3 4 6" xfId="1540" xr:uid="{00000000-0005-0000-0000-0000C6370000}"/>
    <cellStyle name="Normal 10 3 4 6 2" xfId="10917" xr:uid="{00000000-0005-0000-0000-0000C7370000}"/>
    <cellStyle name="Normal 10 3 4 6 2 2" xfId="36472" xr:uid="{00000000-0005-0000-0000-0000C8370000}"/>
    <cellStyle name="Normal 10 3 4 6 3" xfId="20921" xr:uid="{00000000-0005-0000-0000-0000C9370000}"/>
    <cellStyle name="Normal 10 3 4 6 3 2" xfId="46474" xr:uid="{00000000-0005-0000-0000-0000CA370000}"/>
    <cellStyle name="Normal 10 3 4 6 4" xfId="27404" xr:uid="{00000000-0005-0000-0000-0000CB370000}"/>
    <cellStyle name="Normal 10 3 4 7" xfId="5724" xr:uid="{00000000-0005-0000-0000-0000CC370000}"/>
    <cellStyle name="Normal 10 3 4 7 2" xfId="14551" xr:uid="{00000000-0005-0000-0000-0000CD370000}"/>
    <cellStyle name="Normal 10 3 4 7 2 2" xfId="40106" xr:uid="{00000000-0005-0000-0000-0000CE370000}"/>
    <cellStyle name="Normal 10 3 4 7 3" xfId="24802" xr:uid="{00000000-0005-0000-0000-0000CF370000}"/>
    <cellStyle name="Normal 10 3 4 7 3 2" xfId="50355" xr:uid="{00000000-0005-0000-0000-0000D0370000}"/>
    <cellStyle name="Normal 10 3 4 7 4" xfId="31285" xr:uid="{00000000-0005-0000-0000-0000D1370000}"/>
    <cellStyle name="Normal 10 3 4 8" xfId="7168" xr:uid="{00000000-0005-0000-0000-0000D2370000}"/>
    <cellStyle name="Normal 10 3 4 8 2" xfId="19894" xr:uid="{00000000-0005-0000-0000-0000D3370000}"/>
    <cellStyle name="Normal 10 3 4 8 2 2" xfId="45447" xr:uid="{00000000-0005-0000-0000-0000D4370000}"/>
    <cellStyle name="Normal 10 3 4 8 3" xfId="32725" xr:uid="{00000000-0005-0000-0000-0000D5370000}"/>
    <cellStyle name="Normal 10 3 4 9" xfId="15914" xr:uid="{00000000-0005-0000-0000-0000D6370000}"/>
    <cellStyle name="Normal 10 3 4 9 2" xfId="41467" xr:uid="{00000000-0005-0000-0000-0000D7370000}"/>
    <cellStyle name="Normal 10 3 4_Degree data" xfId="3909" xr:uid="{00000000-0005-0000-0000-0000D8370000}"/>
    <cellStyle name="Normal 10 3 5" xfId="1716" xr:uid="{00000000-0005-0000-0000-0000D9370000}"/>
    <cellStyle name="Normal 10 3 5 2" xfId="11090" xr:uid="{00000000-0005-0000-0000-0000DA370000}"/>
    <cellStyle name="Normal 10 3 5 2 2" xfId="21094" xr:uid="{00000000-0005-0000-0000-0000DB370000}"/>
    <cellStyle name="Normal 10 3 5 2 2 2" xfId="46647" xr:uid="{00000000-0005-0000-0000-0000DC370000}"/>
    <cellStyle name="Normal 10 3 5 2 3" xfId="36645" xr:uid="{00000000-0005-0000-0000-0000DD370000}"/>
    <cellStyle name="Normal 10 3 5 3" xfId="8635" xr:uid="{00000000-0005-0000-0000-0000DE370000}"/>
    <cellStyle name="Normal 10 3 5 3 2" xfId="34192" xr:uid="{00000000-0005-0000-0000-0000DF370000}"/>
    <cellStyle name="Normal 10 3 5 4" xfId="16087" xr:uid="{00000000-0005-0000-0000-0000E0370000}"/>
    <cellStyle name="Normal 10 3 5 4 2" xfId="41640" xr:uid="{00000000-0005-0000-0000-0000E1370000}"/>
    <cellStyle name="Normal 10 3 5 5" xfId="27577" xr:uid="{00000000-0005-0000-0000-0000E2370000}"/>
    <cellStyle name="Normal 10 3 6" xfId="2614" xr:uid="{00000000-0005-0000-0000-0000E3370000}"/>
    <cellStyle name="Normal 10 3 6 2" xfId="11965" xr:uid="{00000000-0005-0000-0000-0000E4370000}"/>
    <cellStyle name="Normal 10 3 6 2 2" xfId="21977" xr:uid="{00000000-0005-0000-0000-0000E5370000}"/>
    <cellStyle name="Normal 10 3 6 2 2 2" xfId="47530" xr:uid="{00000000-0005-0000-0000-0000E6370000}"/>
    <cellStyle name="Normal 10 3 6 2 3" xfId="37520" xr:uid="{00000000-0005-0000-0000-0000E7370000}"/>
    <cellStyle name="Normal 10 3 6 3" xfId="8501" xr:uid="{00000000-0005-0000-0000-0000E8370000}"/>
    <cellStyle name="Normal 10 3 6 3 2" xfId="34058" xr:uid="{00000000-0005-0000-0000-0000E9370000}"/>
    <cellStyle name="Normal 10 3 6 4" xfId="16970" xr:uid="{00000000-0005-0000-0000-0000EA370000}"/>
    <cellStyle name="Normal 10 3 6 4 2" xfId="42523" xr:uid="{00000000-0005-0000-0000-0000EB370000}"/>
    <cellStyle name="Normal 10 3 6 5" xfId="28460" xr:uid="{00000000-0005-0000-0000-0000EC370000}"/>
    <cellStyle name="Normal 10 3 7" xfId="10747" xr:uid="{00000000-0005-0000-0000-0000ED370000}"/>
    <cellStyle name="Normal 10 3 7 2" xfId="19577" xr:uid="{00000000-0005-0000-0000-0000EE370000}"/>
    <cellStyle name="Normal 10 3 7 2 2" xfId="45130" xr:uid="{00000000-0005-0000-0000-0000EF370000}"/>
    <cellStyle name="Normal 10 3 7 3" xfId="36303" xr:uid="{00000000-0005-0000-0000-0000F0370000}"/>
    <cellStyle name="Normal 10 3 8" xfId="26060" xr:uid="{00000000-0005-0000-0000-0000F1370000}"/>
    <cellStyle name="Normal 10 4" xfId="135" xr:uid="{00000000-0005-0000-0000-0000F2370000}"/>
    <cellStyle name="Normal 10 4 10" xfId="1403" xr:uid="{00000000-0005-0000-0000-0000F3370000}"/>
    <cellStyle name="Normal 10 4 10 2" xfId="10780" xr:uid="{00000000-0005-0000-0000-0000F4370000}"/>
    <cellStyle name="Normal 10 4 10 2 2" xfId="36335" xr:uid="{00000000-0005-0000-0000-0000F5370000}"/>
    <cellStyle name="Normal 10 4 10 3" xfId="20784" xr:uid="{00000000-0005-0000-0000-0000F6370000}"/>
    <cellStyle name="Normal 10 4 10 3 2" xfId="46337" xr:uid="{00000000-0005-0000-0000-0000F7370000}"/>
    <cellStyle name="Normal 10 4 10 4" xfId="27267" xr:uid="{00000000-0005-0000-0000-0000F8370000}"/>
    <cellStyle name="Normal 10 4 11" xfId="5514" xr:uid="{00000000-0005-0000-0000-0000F9370000}"/>
    <cellStyle name="Normal 10 4 11 2" xfId="14341" xr:uid="{00000000-0005-0000-0000-0000FA370000}"/>
    <cellStyle name="Normal 10 4 11 2 2" xfId="39896" xr:uid="{00000000-0005-0000-0000-0000FB370000}"/>
    <cellStyle name="Normal 10 4 11 3" xfId="24592" xr:uid="{00000000-0005-0000-0000-0000FC370000}"/>
    <cellStyle name="Normal 10 4 11 3 2" xfId="50145" xr:uid="{00000000-0005-0000-0000-0000FD370000}"/>
    <cellStyle name="Normal 10 4 11 4" xfId="31075" xr:uid="{00000000-0005-0000-0000-0000FE370000}"/>
    <cellStyle name="Normal 10 4 12" xfId="6954" xr:uid="{00000000-0005-0000-0000-0000FF370000}"/>
    <cellStyle name="Normal 10 4 12 2" xfId="19599" xr:uid="{00000000-0005-0000-0000-000000380000}"/>
    <cellStyle name="Normal 10 4 12 2 2" xfId="45152" xr:uid="{00000000-0005-0000-0000-000001380000}"/>
    <cellStyle name="Normal 10 4 12 3" xfId="32512" xr:uid="{00000000-0005-0000-0000-000002380000}"/>
    <cellStyle name="Normal 10 4 13" xfId="15777" xr:uid="{00000000-0005-0000-0000-000003380000}"/>
    <cellStyle name="Normal 10 4 13 2" xfId="41330" xr:uid="{00000000-0005-0000-0000-000004380000}"/>
    <cellStyle name="Normal 10 4 14" xfId="26082" xr:uid="{00000000-0005-0000-0000-000005380000}"/>
    <cellStyle name="Normal 10 4 2" xfId="185" xr:uid="{00000000-0005-0000-0000-000006380000}"/>
    <cellStyle name="Normal 10 4 2 10" xfId="7133" xr:uid="{00000000-0005-0000-0000-000007380000}"/>
    <cellStyle name="Normal 10 4 2 10 2" xfId="19642" xr:uid="{00000000-0005-0000-0000-000008380000}"/>
    <cellStyle name="Normal 10 4 2 10 2 2" xfId="45195" xr:uid="{00000000-0005-0000-0000-000009380000}"/>
    <cellStyle name="Normal 10 4 2 10 3" xfId="32690" xr:uid="{00000000-0005-0000-0000-00000A380000}"/>
    <cellStyle name="Normal 10 4 2 11" xfId="15879" xr:uid="{00000000-0005-0000-0000-00000B380000}"/>
    <cellStyle name="Normal 10 4 2 11 2" xfId="41432" xr:uid="{00000000-0005-0000-0000-00000C380000}"/>
    <cellStyle name="Normal 10 4 2 12" xfId="26125" xr:uid="{00000000-0005-0000-0000-00000D380000}"/>
    <cellStyle name="Normal 10 4 2 2" xfId="513" xr:uid="{00000000-0005-0000-0000-00000E380000}"/>
    <cellStyle name="Normal 10 4 2 2 10" xfId="26442" xr:uid="{00000000-0005-0000-0000-00000F380000}"/>
    <cellStyle name="Normal 10 4 2 2 2" xfId="718" xr:uid="{00000000-0005-0000-0000-000010380000}"/>
    <cellStyle name="Normal 10 4 2 2 2 2" xfId="3204" xr:uid="{00000000-0005-0000-0000-000011380000}"/>
    <cellStyle name="Normal 10 4 2 2 2 2 2" xfId="12347" xr:uid="{00000000-0005-0000-0000-000012380000}"/>
    <cellStyle name="Normal 10 4 2 2 2 2 2 2" xfId="22565" xr:uid="{00000000-0005-0000-0000-000013380000}"/>
    <cellStyle name="Normal 10 4 2 2 2 2 2 2 2" xfId="48118" xr:uid="{00000000-0005-0000-0000-000014380000}"/>
    <cellStyle name="Normal 10 4 2 2 2 2 2 3" xfId="37902" xr:uid="{00000000-0005-0000-0000-000015380000}"/>
    <cellStyle name="Normal 10 4 2 2 2 2 3" xfId="8769" xr:uid="{00000000-0005-0000-0000-000016380000}"/>
    <cellStyle name="Normal 10 4 2 2 2 2 3 2" xfId="34326" xr:uid="{00000000-0005-0000-0000-000017380000}"/>
    <cellStyle name="Normal 10 4 2 2 2 2 4" xfId="17558" xr:uid="{00000000-0005-0000-0000-000018380000}"/>
    <cellStyle name="Normal 10 4 2 2 2 2 4 2" xfId="43111" xr:uid="{00000000-0005-0000-0000-000019380000}"/>
    <cellStyle name="Normal 10 4 2 2 2 2 5" xfId="29048" xr:uid="{00000000-0005-0000-0000-00001A380000}"/>
    <cellStyle name="Normal 10 4 2 2 2 3" xfId="4533" xr:uid="{00000000-0005-0000-0000-00001B380000}"/>
    <cellStyle name="Normal 10 4 2 2 2 3 2" xfId="13371" xr:uid="{00000000-0005-0000-0000-00001C380000}"/>
    <cellStyle name="Normal 10 4 2 2 2 3 2 2" xfId="23622" xr:uid="{00000000-0005-0000-0000-00001D380000}"/>
    <cellStyle name="Normal 10 4 2 2 2 3 2 2 2" xfId="49175" xr:uid="{00000000-0005-0000-0000-00001E380000}"/>
    <cellStyle name="Normal 10 4 2 2 2 3 2 3" xfId="38926" xr:uid="{00000000-0005-0000-0000-00001F380000}"/>
    <cellStyle name="Normal 10 4 2 2 2 3 3" xfId="9792" xr:uid="{00000000-0005-0000-0000-000020380000}"/>
    <cellStyle name="Normal 10 4 2 2 2 3 3 2" xfId="35349" xr:uid="{00000000-0005-0000-0000-000021380000}"/>
    <cellStyle name="Normal 10 4 2 2 2 3 4" xfId="18615" xr:uid="{00000000-0005-0000-0000-000022380000}"/>
    <cellStyle name="Normal 10 4 2 2 2 3 4 2" xfId="44168" xr:uid="{00000000-0005-0000-0000-000023380000}"/>
    <cellStyle name="Normal 10 4 2 2 2 3 5" xfId="30105" xr:uid="{00000000-0005-0000-0000-000024380000}"/>
    <cellStyle name="Normal 10 4 2 2 2 4" xfId="2313" xr:uid="{00000000-0005-0000-0000-000025380000}"/>
    <cellStyle name="Normal 10 4 2 2 2 4 2" xfId="11678" xr:uid="{00000000-0005-0000-0000-000026380000}"/>
    <cellStyle name="Normal 10 4 2 2 2 4 2 2" xfId="37233" xr:uid="{00000000-0005-0000-0000-000027380000}"/>
    <cellStyle name="Normal 10 4 2 2 2 4 3" xfId="21682" xr:uid="{00000000-0005-0000-0000-000028380000}"/>
    <cellStyle name="Normal 10 4 2 2 2 4 3 2" xfId="47235" xr:uid="{00000000-0005-0000-0000-000029380000}"/>
    <cellStyle name="Normal 10 4 2 2 2 4 4" xfId="28165" xr:uid="{00000000-0005-0000-0000-00002A380000}"/>
    <cellStyle name="Normal 10 4 2 2 2 5" xfId="5989" xr:uid="{00000000-0005-0000-0000-00002B380000}"/>
    <cellStyle name="Normal 10 4 2 2 2 5 2" xfId="14816" xr:uid="{00000000-0005-0000-0000-00002C380000}"/>
    <cellStyle name="Normal 10 4 2 2 2 5 2 2" xfId="40371" xr:uid="{00000000-0005-0000-0000-00002D380000}"/>
    <cellStyle name="Normal 10 4 2 2 2 5 3" xfId="25067" xr:uid="{00000000-0005-0000-0000-00002E380000}"/>
    <cellStyle name="Normal 10 4 2 2 2 5 3 2" xfId="50620" xr:uid="{00000000-0005-0000-0000-00002F380000}"/>
    <cellStyle name="Normal 10 4 2 2 2 5 4" xfId="31550" xr:uid="{00000000-0005-0000-0000-000030380000}"/>
    <cellStyle name="Normal 10 4 2 2 2 6" xfId="7433" xr:uid="{00000000-0005-0000-0000-000031380000}"/>
    <cellStyle name="Normal 10 4 2 2 2 6 2" xfId="20164" xr:uid="{00000000-0005-0000-0000-000032380000}"/>
    <cellStyle name="Normal 10 4 2 2 2 6 2 2" xfId="45717" xr:uid="{00000000-0005-0000-0000-000033380000}"/>
    <cellStyle name="Normal 10 4 2 2 2 6 3" xfId="32990" xr:uid="{00000000-0005-0000-0000-000034380000}"/>
    <cellStyle name="Normal 10 4 2 2 2 7" xfId="16675" xr:uid="{00000000-0005-0000-0000-000035380000}"/>
    <cellStyle name="Normal 10 4 2 2 2 7 2" xfId="42228" xr:uid="{00000000-0005-0000-0000-000036380000}"/>
    <cellStyle name="Normal 10 4 2 2 2 8" xfId="26647" xr:uid="{00000000-0005-0000-0000-000037380000}"/>
    <cellStyle name="Normal 10 4 2 2 3" xfId="1285" xr:uid="{00000000-0005-0000-0000-000038380000}"/>
    <cellStyle name="Normal 10 4 2 2 3 2" xfId="3714" xr:uid="{00000000-0005-0000-0000-000039380000}"/>
    <cellStyle name="Normal 10 4 2 2 3 2 2" xfId="12850" xr:uid="{00000000-0005-0000-0000-00003A380000}"/>
    <cellStyle name="Normal 10 4 2 2 3 2 2 2" xfId="23069" xr:uid="{00000000-0005-0000-0000-00003B380000}"/>
    <cellStyle name="Normal 10 4 2 2 3 2 2 2 2" xfId="48622" xr:uid="{00000000-0005-0000-0000-00003C380000}"/>
    <cellStyle name="Normal 10 4 2 2 3 2 2 3" xfId="38405" xr:uid="{00000000-0005-0000-0000-00003D380000}"/>
    <cellStyle name="Normal 10 4 2 2 3 2 3" xfId="9271" xr:uid="{00000000-0005-0000-0000-00003E380000}"/>
    <cellStyle name="Normal 10 4 2 2 3 2 3 2" xfId="34828" xr:uid="{00000000-0005-0000-0000-00003F380000}"/>
    <cellStyle name="Normal 10 4 2 2 3 2 4" xfId="18062" xr:uid="{00000000-0005-0000-0000-000040380000}"/>
    <cellStyle name="Normal 10 4 2 2 3 2 4 2" xfId="43615" xr:uid="{00000000-0005-0000-0000-000041380000}"/>
    <cellStyle name="Normal 10 4 2 2 3 2 5" xfId="29552" xr:uid="{00000000-0005-0000-0000-000042380000}"/>
    <cellStyle name="Normal 10 4 2 2 3 3" xfId="4882" xr:uid="{00000000-0005-0000-0000-000043380000}"/>
    <cellStyle name="Normal 10 4 2 2 3 3 2" xfId="13719" xr:uid="{00000000-0005-0000-0000-000044380000}"/>
    <cellStyle name="Normal 10 4 2 2 3 3 2 2" xfId="23970" xr:uid="{00000000-0005-0000-0000-000045380000}"/>
    <cellStyle name="Normal 10 4 2 2 3 3 2 2 2" xfId="49523" xr:uid="{00000000-0005-0000-0000-000046380000}"/>
    <cellStyle name="Normal 10 4 2 2 3 3 2 3" xfId="39274" xr:uid="{00000000-0005-0000-0000-000047380000}"/>
    <cellStyle name="Normal 10 4 2 2 3 3 3" xfId="10140" xr:uid="{00000000-0005-0000-0000-000048380000}"/>
    <cellStyle name="Normal 10 4 2 2 3 3 3 2" xfId="35697" xr:uid="{00000000-0005-0000-0000-000049380000}"/>
    <cellStyle name="Normal 10 4 2 2 3 3 4" xfId="18963" xr:uid="{00000000-0005-0000-0000-00004A380000}"/>
    <cellStyle name="Normal 10 4 2 2 3 3 4 2" xfId="44516" xr:uid="{00000000-0005-0000-0000-00004B380000}"/>
    <cellStyle name="Normal 10 4 2 2 3 3 5" xfId="30453" xr:uid="{00000000-0005-0000-0000-00004C380000}"/>
    <cellStyle name="Normal 10 4 2 2 3 4" xfId="2108" xr:uid="{00000000-0005-0000-0000-00004D380000}"/>
    <cellStyle name="Normal 10 4 2 2 3 4 2" xfId="11473" xr:uid="{00000000-0005-0000-0000-00004E380000}"/>
    <cellStyle name="Normal 10 4 2 2 3 4 2 2" xfId="37028" xr:uid="{00000000-0005-0000-0000-00004F380000}"/>
    <cellStyle name="Normal 10 4 2 2 3 4 3" xfId="21477" xr:uid="{00000000-0005-0000-0000-000050380000}"/>
    <cellStyle name="Normal 10 4 2 2 3 4 3 2" xfId="47030" xr:uid="{00000000-0005-0000-0000-000051380000}"/>
    <cellStyle name="Normal 10 4 2 2 3 4 4" xfId="27960" xr:uid="{00000000-0005-0000-0000-000052380000}"/>
    <cellStyle name="Normal 10 4 2 2 3 5" xfId="6337" xr:uid="{00000000-0005-0000-0000-000053380000}"/>
    <cellStyle name="Normal 10 4 2 2 3 5 2" xfId="15164" xr:uid="{00000000-0005-0000-0000-000054380000}"/>
    <cellStyle name="Normal 10 4 2 2 3 5 2 2" xfId="40719" xr:uid="{00000000-0005-0000-0000-000055380000}"/>
    <cellStyle name="Normal 10 4 2 2 3 5 3" xfId="25415" xr:uid="{00000000-0005-0000-0000-000056380000}"/>
    <cellStyle name="Normal 10 4 2 2 3 5 3 2" xfId="50968" xr:uid="{00000000-0005-0000-0000-000057380000}"/>
    <cellStyle name="Normal 10 4 2 2 3 5 4" xfId="31898" xr:uid="{00000000-0005-0000-0000-000058380000}"/>
    <cellStyle name="Normal 10 4 2 2 3 6" xfId="7783" xr:uid="{00000000-0005-0000-0000-000059380000}"/>
    <cellStyle name="Normal 10 4 2 2 3 6 2" xfId="20668" xr:uid="{00000000-0005-0000-0000-00005A380000}"/>
    <cellStyle name="Normal 10 4 2 2 3 6 2 2" xfId="46221" xr:uid="{00000000-0005-0000-0000-00005B380000}"/>
    <cellStyle name="Normal 10 4 2 2 3 6 3" xfId="33340" xr:uid="{00000000-0005-0000-0000-00005C380000}"/>
    <cellStyle name="Normal 10 4 2 2 3 7" xfId="16470" xr:uid="{00000000-0005-0000-0000-00005D380000}"/>
    <cellStyle name="Normal 10 4 2 2 3 7 2" xfId="42023" xr:uid="{00000000-0005-0000-0000-00005E380000}"/>
    <cellStyle name="Normal 10 4 2 2 3 8" xfId="27151" xr:uid="{00000000-0005-0000-0000-00005F380000}"/>
    <cellStyle name="Normal 10 4 2 2 4" xfId="2999" xr:uid="{00000000-0005-0000-0000-000060380000}"/>
    <cellStyle name="Normal 10 4 2 2 4 2" xfId="5377" xr:uid="{00000000-0005-0000-0000-000061380000}"/>
    <cellStyle name="Normal 10 4 2 2 4 2 2" xfId="14214" xr:uid="{00000000-0005-0000-0000-000062380000}"/>
    <cellStyle name="Normal 10 4 2 2 4 2 2 2" xfId="24465" xr:uid="{00000000-0005-0000-0000-000063380000}"/>
    <cellStyle name="Normal 10 4 2 2 4 2 2 2 2" xfId="50018" xr:uid="{00000000-0005-0000-0000-000064380000}"/>
    <cellStyle name="Normal 10 4 2 2 4 2 2 3" xfId="39769" xr:uid="{00000000-0005-0000-0000-000065380000}"/>
    <cellStyle name="Normal 10 4 2 2 4 2 3" xfId="10635" xr:uid="{00000000-0005-0000-0000-000066380000}"/>
    <cellStyle name="Normal 10 4 2 2 4 2 3 2" xfId="36192" xr:uid="{00000000-0005-0000-0000-000067380000}"/>
    <cellStyle name="Normal 10 4 2 2 4 2 4" xfId="19458" xr:uid="{00000000-0005-0000-0000-000068380000}"/>
    <cellStyle name="Normal 10 4 2 2 4 2 4 2" xfId="45011" xr:uid="{00000000-0005-0000-0000-000069380000}"/>
    <cellStyle name="Normal 10 4 2 2 4 2 5" xfId="30948" xr:uid="{00000000-0005-0000-0000-00006A380000}"/>
    <cellStyle name="Normal 10 4 2 2 4 3" xfId="6832" xr:uid="{00000000-0005-0000-0000-00006B380000}"/>
    <cellStyle name="Normal 10 4 2 2 4 3 2" xfId="15659" xr:uid="{00000000-0005-0000-0000-00006C380000}"/>
    <cellStyle name="Normal 10 4 2 2 4 3 2 2" xfId="41214" xr:uid="{00000000-0005-0000-0000-00006D380000}"/>
    <cellStyle name="Normal 10 4 2 2 4 3 3" xfId="25910" xr:uid="{00000000-0005-0000-0000-00006E380000}"/>
    <cellStyle name="Normal 10 4 2 2 4 3 3 2" xfId="51463" xr:uid="{00000000-0005-0000-0000-00006F380000}"/>
    <cellStyle name="Normal 10 4 2 2 4 3 4" xfId="32393" xr:uid="{00000000-0005-0000-0000-000070380000}"/>
    <cellStyle name="Normal 10 4 2 2 4 4" xfId="8278" xr:uid="{00000000-0005-0000-0000-000071380000}"/>
    <cellStyle name="Normal 10 4 2 2 4 4 2" xfId="22360" xr:uid="{00000000-0005-0000-0000-000072380000}"/>
    <cellStyle name="Normal 10 4 2 2 4 4 2 2" xfId="47913" xr:uid="{00000000-0005-0000-0000-000073380000}"/>
    <cellStyle name="Normal 10 4 2 2 4 4 3" xfId="33835" xr:uid="{00000000-0005-0000-0000-000074380000}"/>
    <cellStyle name="Normal 10 4 2 2 4 5" xfId="17353" xr:uid="{00000000-0005-0000-0000-000075380000}"/>
    <cellStyle name="Normal 10 4 2 2 4 5 2" xfId="42906" xr:uid="{00000000-0005-0000-0000-000076380000}"/>
    <cellStyle name="Normal 10 4 2 2 4 6" xfId="28843" xr:uid="{00000000-0005-0000-0000-000077380000}"/>
    <cellStyle name="Normal 10 4 2 2 5" xfId="4333" xr:uid="{00000000-0005-0000-0000-000078380000}"/>
    <cellStyle name="Normal 10 4 2 2 5 2" xfId="13171" xr:uid="{00000000-0005-0000-0000-000079380000}"/>
    <cellStyle name="Normal 10 4 2 2 5 2 2" xfId="23422" xr:uid="{00000000-0005-0000-0000-00007A380000}"/>
    <cellStyle name="Normal 10 4 2 2 5 2 2 2" xfId="48975" xr:uid="{00000000-0005-0000-0000-00007B380000}"/>
    <cellStyle name="Normal 10 4 2 2 5 2 3" xfId="38726" xr:uid="{00000000-0005-0000-0000-00007C380000}"/>
    <cellStyle name="Normal 10 4 2 2 5 3" xfId="9592" xr:uid="{00000000-0005-0000-0000-00007D380000}"/>
    <cellStyle name="Normal 10 4 2 2 5 3 2" xfId="35149" xr:uid="{00000000-0005-0000-0000-00007E380000}"/>
    <cellStyle name="Normal 10 4 2 2 5 4" xfId="18415" xr:uid="{00000000-0005-0000-0000-00007F380000}"/>
    <cellStyle name="Normal 10 4 2 2 5 4 2" xfId="43968" xr:uid="{00000000-0005-0000-0000-000080380000}"/>
    <cellStyle name="Normal 10 4 2 2 5 5" xfId="29905" xr:uid="{00000000-0005-0000-0000-000081380000}"/>
    <cellStyle name="Normal 10 4 2 2 6" xfId="1605" xr:uid="{00000000-0005-0000-0000-000082380000}"/>
    <cellStyle name="Normal 10 4 2 2 6 2" xfId="10982" xr:uid="{00000000-0005-0000-0000-000083380000}"/>
    <cellStyle name="Normal 10 4 2 2 6 2 2" xfId="36537" xr:uid="{00000000-0005-0000-0000-000084380000}"/>
    <cellStyle name="Normal 10 4 2 2 6 3" xfId="20986" xr:uid="{00000000-0005-0000-0000-000085380000}"/>
    <cellStyle name="Normal 10 4 2 2 6 3 2" xfId="46539" xr:uid="{00000000-0005-0000-0000-000086380000}"/>
    <cellStyle name="Normal 10 4 2 2 6 4" xfId="27469" xr:uid="{00000000-0005-0000-0000-000087380000}"/>
    <cellStyle name="Normal 10 4 2 2 7" xfId="5789" xr:uid="{00000000-0005-0000-0000-000088380000}"/>
    <cellStyle name="Normal 10 4 2 2 7 2" xfId="14616" xr:uid="{00000000-0005-0000-0000-000089380000}"/>
    <cellStyle name="Normal 10 4 2 2 7 2 2" xfId="40171" xr:uid="{00000000-0005-0000-0000-00008A380000}"/>
    <cellStyle name="Normal 10 4 2 2 7 3" xfId="24867" xr:uid="{00000000-0005-0000-0000-00008B380000}"/>
    <cellStyle name="Normal 10 4 2 2 7 3 2" xfId="50420" xr:uid="{00000000-0005-0000-0000-00008C380000}"/>
    <cellStyle name="Normal 10 4 2 2 7 4" xfId="31350" xr:uid="{00000000-0005-0000-0000-00008D380000}"/>
    <cellStyle name="Normal 10 4 2 2 8" xfId="7233" xr:uid="{00000000-0005-0000-0000-00008E380000}"/>
    <cellStyle name="Normal 10 4 2 2 8 2" xfId="19959" xr:uid="{00000000-0005-0000-0000-00008F380000}"/>
    <cellStyle name="Normal 10 4 2 2 8 2 2" xfId="45512" xr:uid="{00000000-0005-0000-0000-000090380000}"/>
    <cellStyle name="Normal 10 4 2 2 8 3" xfId="32790" xr:uid="{00000000-0005-0000-0000-000091380000}"/>
    <cellStyle name="Normal 10 4 2 2 9" xfId="15979" xr:uid="{00000000-0005-0000-0000-000092380000}"/>
    <cellStyle name="Normal 10 4 2 2 9 2" xfId="41532" xr:uid="{00000000-0005-0000-0000-000093380000}"/>
    <cellStyle name="Normal 10 4 2 2_Degree data" xfId="3838" xr:uid="{00000000-0005-0000-0000-000094380000}"/>
    <cellStyle name="Normal 10 4 2 3" xfId="413" xr:uid="{00000000-0005-0000-0000-000095380000}"/>
    <cellStyle name="Normal 10 4 2 3 2" xfId="2899" xr:uid="{00000000-0005-0000-0000-000096380000}"/>
    <cellStyle name="Normal 10 4 2 3 2 2" xfId="12187" xr:uid="{00000000-0005-0000-0000-000097380000}"/>
    <cellStyle name="Normal 10 4 2 3 2 2 2" xfId="22260" xr:uid="{00000000-0005-0000-0000-000098380000}"/>
    <cellStyle name="Normal 10 4 2 3 2 2 2 2" xfId="47813" xr:uid="{00000000-0005-0000-0000-000099380000}"/>
    <cellStyle name="Normal 10 4 2 3 2 2 3" xfId="37742" xr:uid="{00000000-0005-0000-0000-00009A380000}"/>
    <cellStyle name="Normal 10 4 2 3 2 3" xfId="8588" xr:uid="{00000000-0005-0000-0000-00009B380000}"/>
    <cellStyle name="Normal 10 4 2 3 2 3 2" xfId="34145" xr:uid="{00000000-0005-0000-0000-00009C380000}"/>
    <cellStyle name="Normal 10 4 2 3 2 4" xfId="17253" xr:uid="{00000000-0005-0000-0000-00009D380000}"/>
    <cellStyle name="Normal 10 4 2 3 2 4 2" xfId="42806" xr:uid="{00000000-0005-0000-0000-00009E380000}"/>
    <cellStyle name="Normal 10 4 2 3 2 5" xfId="28743" xr:uid="{00000000-0005-0000-0000-00009F380000}"/>
    <cellStyle name="Normal 10 4 2 3 3" xfId="4532" xr:uid="{00000000-0005-0000-0000-0000A0380000}"/>
    <cellStyle name="Normal 10 4 2 3 3 2" xfId="13370" xr:uid="{00000000-0005-0000-0000-0000A1380000}"/>
    <cellStyle name="Normal 10 4 2 3 3 2 2" xfId="23621" xr:uid="{00000000-0005-0000-0000-0000A2380000}"/>
    <cellStyle name="Normal 10 4 2 3 3 2 2 2" xfId="49174" xr:uid="{00000000-0005-0000-0000-0000A3380000}"/>
    <cellStyle name="Normal 10 4 2 3 3 2 3" xfId="38925" xr:uid="{00000000-0005-0000-0000-0000A4380000}"/>
    <cellStyle name="Normal 10 4 2 3 3 3" xfId="9791" xr:uid="{00000000-0005-0000-0000-0000A5380000}"/>
    <cellStyle name="Normal 10 4 2 3 3 3 2" xfId="35348" xr:uid="{00000000-0005-0000-0000-0000A6380000}"/>
    <cellStyle name="Normal 10 4 2 3 3 4" xfId="18614" xr:uid="{00000000-0005-0000-0000-0000A7380000}"/>
    <cellStyle name="Normal 10 4 2 3 3 4 2" xfId="44167" xr:uid="{00000000-0005-0000-0000-0000A8380000}"/>
    <cellStyle name="Normal 10 4 2 3 3 5" xfId="30104" xr:uid="{00000000-0005-0000-0000-0000A9380000}"/>
    <cellStyle name="Normal 10 4 2 3 4" xfId="2008" xr:uid="{00000000-0005-0000-0000-0000AA380000}"/>
    <cellStyle name="Normal 10 4 2 3 4 2" xfId="11373" xr:uid="{00000000-0005-0000-0000-0000AB380000}"/>
    <cellStyle name="Normal 10 4 2 3 4 2 2" xfId="36928" xr:uid="{00000000-0005-0000-0000-0000AC380000}"/>
    <cellStyle name="Normal 10 4 2 3 4 3" xfId="21377" xr:uid="{00000000-0005-0000-0000-0000AD380000}"/>
    <cellStyle name="Normal 10 4 2 3 4 3 2" xfId="46930" xr:uid="{00000000-0005-0000-0000-0000AE380000}"/>
    <cellStyle name="Normal 10 4 2 3 4 4" xfId="27860" xr:uid="{00000000-0005-0000-0000-0000AF380000}"/>
    <cellStyle name="Normal 10 4 2 3 5" xfId="5988" xr:uid="{00000000-0005-0000-0000-0000B0380000}"/>
    <cellStyle name="Normal 10 4 2 3 5 2" xfId="14815" xr:uid="{00000000-0005-0000-0000-0000B1380000}"/>
    <cellStyle name="Normal 10 4 2 3 5 2 2" xfId="40370" xr:uid="{00000000-0005-0000-0000-0000B2380000}"/>
    <cellStyle name="Normal 10 4 2 3 5 3" xfId="25066" xr:uid="{00000000-0005-0000-0000-0000B3380000}"/>
    <cellStyle name="Normal 10 4 2 3 5 3 2" xfId="50619" xr:uid="{00000000-0005-0000-0000-0000B4380000}"/>
    <cellStyle name="Normal 10 4 2 3 5 4" xfId="31549" xr:uid="{00000000-0005-0000-0000-0000B5380000}"/>
    <cellStyle name="Normal 10 4 2 3 6" xfId="7432" xr:uid="{00000000-0005-0000-0000-0000B6380000}"/>
    <cellStyle name="Normal 10 4 2 3 6 2" xfId="19859" xr:uid="{00000000-0005-0000-0000-0000B7380000}"/>
    <cellStyle name="Normal 10 4 2 3 6 2 2" xfId="45412" xr:uid="{00000000-0005-0000-0000-0000B8380000}"/>
    <cellStyle name="Normal 10 4 2 3 6 3" xfId="32989" xr:uid="{00000000-0005-0000-0000-0000B9380000}"/>
    <cellStyle name="Normal 10 4 2 3 7" xfId="16370" xr:uid="{00000000-0005-0000-0000-0000BA380000}"/>
    <cellStyle name="Normal 10 4 2 3 7 2" xfId="41923" xr:uid="{00000000-0005-0000-0000-0000BB380000}"/>
    <cellStyle name="Normal 10 4 2 3 8" xfId="26342" xr:uid="{00000000-0005-0000-0000-0000BC380000}"/>
    <cellStyle name="Normal 10 4 2 4" xfId="717" xr:uid="{00000000-0005-0000-0000-0000BD380000}"/>
    <cellStyle name="Normal 10 4 2 4 2" xfId="3203" xr:uid="{00000000-0005-0000-0000-0000BE380000}"/>
    <cellStyle name="Normal 10 4 2 4 2 2" xfId="12346" xr:uid="{00000000-0005-0000-0000-0000BF380000}"/>
    <cellStyle name="Normal 10 4 2 4 2 2 2" xfId="22564" xr:uid="{00000000-0005-0000-0000-0000C0380000}"/>
    <cellStyle name="Normal 10 4 2 4 2 2 2 2" xfId="48117" xr:uid="{00000000-0005-0000-0000-0000C1380000}"/>
    <cellStyle name="Normal 10 4 2 4 2 2 3" xfId="37901" xr:uid="{00000000-0005-0000-0000-0000C2380000}"/>
    <cellStyle name="Normal 10 4 2 4 2 3" xfId="8768" xr:uid="{00000000-0005-0000-0000-0000C3380000}"/>
    <cellStyle name="Normal 10 4 2 4 2 3 2" xfId="34325" xr:uid="{00000000-0005-0000-0000-0000C4380000}"/>
    <cellStyle name="Normal 10 4 2 4 2 4" xfId="17557" xr:uid="{00000000-0005-0000-0000-0000C5380000}"/>
    <cellStyle name="Normal 10 4 2 4 2 4 2" xfId="43110" xr:uid="{00000000-0005-0000-0000-0000C6380000}"/>
    <cellStyle name="Normal 10 4 2 4 2 5" xfId="29047" xr:uid="{00000000-0005-0000-0000-0000C7380000}"/>
    <cellStyle name="Normal 10 4 2 4 3" xfId="4881" xr:uid="{00000000-0005-0000-0000-0000C8380000}"/>
    <cellStyle name="Normal 10 4 2 4 3 2" xfId="13718" xr:uid="{00000000-0005-0000-0000-0000C9380000}"/>
    <cellStyle name="Normal 10 4 2 4 3 2 2" xfId="23969" xr:uid="{00000000-0005-0000-0000-0000CA380000}"/>
    <cellStyle name="Normal 10 4 2 4 3 2 2 2" xfId="49522" xr:uid="{00000000-0005-0000-0000-0000CB380000}"/>
    <cellStyle name="Normal 10 4 2 4 3 2 3" xfId="39273" xr:uid="{00000000-0005-0000-0000-0000CC380000}"/>
    <cellStyle name="Normal 10 4 2 4 3 3" xfId="10139" xr:uid="{00000000-0005-0000-0000-0000CD380000}"/>
    <cellStyle name="Normal 10 4 2 4 3 3 2" xfId="35696" xr:uid="{00000000-0005-0000-0000-0000CE380000}"/>
    <cellStyle name="Normal 10 4 2 4 3 4" xfId="18962" xr:uid="{00000000-0005-0000-0000-0000CF380000}"/>
    <cellStyle name="Normal 10 4 2 4 3 4 2" xfId="44515" xr:uid="{00000000-0005-0000-0000-0000D0380000}"/>
    <cellStyle name="Normal 10 4 2 4 3 5" xfId="30452" xr:uid="{00000000-0005-0000-0000-0000D1380000}"/>
    <cellStyle name="Normal 10 4 2 4 4" xfId="2312" xr:uid="{00000000-0005-0000-0000-0000D2380000}"/>
    <cellStyle name="Normal 10 4 2 4 4 2" xfId="11677" xr:uid="{00000000-0005-0000-0000-0000D3380000}"/>
    <cellStyle name="Normal 10 4 2 4 4 2 2" xfId="37232" xr:uid="{00000000-0005-0000-0000-0000D4380000}"/>
    <cellStyle name="Normal 10 4 2 4 4 3" xfId="21681" xr:uid="{00000000-0005-0000-0000-0000D5380000}"/>
    <cellStyle name="Normal 10 4 2 4 4 3 2" xfId="47234" xr:uid="{00000000-0005-0000-0000-0000D6380000}"/>
    <cellStyle name="Normal 10 4 2 4 4 4" xfId="28164" xr:uid="{00000000-0005-0000-0000-0000D7380000}"/>
    <cellStyle name="Normal 10 4 2 4 5" xfId="6336" xr:uid="{00000000-0005-0000-0000-0000D8380000}"/>
    <cellStyle name="Normal 10 4 2 4 5 2" xfId="15163" xr:uid="{00000000-0005-0000-0000-0000D9380000}"/>
    <cellStyle name="Normal 10 4 2 4 5 2 2" xfId="40718" xr:uid="{00000000-0005-0000-0000-0000DA380000}"/>
    <cellStyle name="Normal 10 4 2 4 5 3" xfId="25414" xr:uid="{00000000-0005-0000-0000-0000DB380000}"/>
    <cellStyle name="Normal 10 4 2 4 5 3 2" xfId="50967" xr:uid="{00000000-0005-0000-0000-0000DC380000}"/>
    <cellStyle name="Normal 10 4 2 4 5 4" xfId="31897" xr:uid="{00000000-0005-0000-0000-0000DD380000}"/>
    <cellStyle name="Normal 10 4 2 4 6" xfId="7782" xr:uid="{00000000-0005-0000-0000-0000DE380000}"/>
    <cellStyle name="Normal 10 4 2 4 6 2" xfId="20163" xr:uid="{00000000-0005-0000-0000-0000DF380000}"/>
    <cellStyle name="Normal 10 4 2 4 6 2 2" xfId="45716" xr:uid="{00000000-0005-0000-0000-0000E0380000}"/>
    <cellStyle name="Normal 10 4 2 4 6 3" xfId="33339" xr:uid="{00000000-0005-0000-0000-0000E1380000}"/>
    <cellStyle name="Normal 10 4 2 4 7" xfId="16674" xr:uid="{00000000-0005-0000-0000-0000E2380000}"/>
    <cellStyle name="Normal 10 4 2 4 7 2" xfId="42227" xr:uid="{00000000-0005-0000-0000-0000E3380000}"/>
    <cellStyle name="Normal 10 4 2 4 8" xfId="26646" xr:uid="{00000000-0005-0000-0000-0000E4380000}"/>
    <cellStyle name="Normal 10 4 2 5" xfId="1185" xr:uid="{00000000-0005-0000-0000-0000E5380000}"/>
    <cellStyle name="Normal 10 4 2 5 2" xfId="3614" xr:uid="{00000000-0005-0000-0000-0000E6380000}"/>
    <cellStyle name="Normal 10 4 2 5 2 2" xfId="12750" xr:uid="{00000000-0005-0000-0000-0000E7380000}"/>
    <cellStyle name="Normal 10 4 2 5 2 2 2" xfId="22969" xr:uid="{00000000-0005-0000-0000-0000E8380000}"/>
    <cellStyle name="Normal 10 4 2 5 2 2 2 2" xfId="48522" xr:uid="{00000000-0005-0000-0000-0000E9380000}"/>
    <cellStyle name="Normal 10 4 2 5 2 2 3" xfId="38305" xr:uid="{00000000-0005-0000-0000-0000EA380000}"/>
    <cellStyle name="Normal 10 4 2 5 2 3" xfId="9171" xr:uid="{00000000-0005-0000-0000-0000EB380000}"/>
    <cellStyle name="Normal 10 4 2 5 2 3 2" xfId="34728" xr:uid="{00000000-0005-0000-0000-0000EC380000}"/>
    <cellStyle name="Normal 10 4 2 5 2 4" xfId="17962" xr:uid="{00000000-0005-0000-0000-0000ED380000}"/>
    <cellStyle name="Normal 10 4 2 5 2 4 2" xfId="43515" xr:uid="{00000000-0005-0000-0000-0000EE380000}"/>
    <cellStyle name="Normal 10 4 2 5 2 5" xfId="29452" xr:uid="{00000000-0005-0000-0000-0000EF380000}"/>
    <cellStyle name="Normal 10 4 2 5 3" xfId="5277" xr:uid="{00000000-0005-0000-0000-0000F0380000}"/>
    <cellStyle name="Normal 10 4 2 5 3 2" xfId="14114" xr:uid="{00000000-0005-0000-0000-0000F1380000}"/>
    <cellStyle name="Normal 10 4 2 5 3 2 2" xfId="24365" xr:uid="{00000000-0005-0000-0000-0000F2380000}"/>
    <cellStyle name="Normal 10 4 2 5 3 2 2 2" xfId="49918" xr:uid="{00000000-0005-0000-0000-0000F3380000}"/>
    <cellStyle name="Normal 10 4 2 5 3 2 3" xfId="39669" xr:uid="{00000000-0005-0000-0000-0000F4380000}"/>
    <cellStyle name="Normal 10 4 2 5 3 3" xfId="10535" xr:uid="{00000000-0005-0000-0000-0000F5380000}"/>
    <cellStyle name="Normal 10 4 2 5 3 3 2" xfId="36092" xr:uid="{00000000-0005-0000-0000-0000F6380000}"/>
    <cellStyle name="Normal 10 4 2 5 3 4" xfId="19358" xr:uid="{00000000-0005-0000-0000-0000F7380000}"/>
    <cellStyle name="Normal 10 4 2 5 3 4 2" xfId="44911" xr:uid="{00000000-0005-0000-0000-0000F8380000}"/>
    <cellStyle name="Normal 10 4 2 5 3 5" xfId="30848" xr:uid="{00000000-0005-0000-0000-0000F9380000}"/>
    <cellStyle name="Normal 10 4 2 5 4" xfId="1787" xr:uid="{00000000-0005-0000-0000-0000FA380000}"/>
    <cellStyle name="Normal 10 4 2 5 4 2" xfId="11156" xr:uid="{00000000-0005-0000-0000-0000FB380000}"/>
    <cellStyle name="Normal 10 4 2 5 4 2 2" xfId="36711" xr:uid="{00000000-0005-0000-0000-0000FC380000}"/>
    <cellStyle name="Normal 10 4 2 5 4 3" xfId="21160" xr:uid="{00000000-0005-0000-0000-0000FD380000}"/>
    <cellStyle name="Normal 10 4 2 5 4 3 2" xfId="46713" xr:uid="{00000000-0005-0000-0000-0000FE380000}"/>
    <cellStyle name="Normal 10 4 2 5 4 4" xfId="27643" xr:uid="{00000000-0005-0000-0000-0000FF380000}"/>
    <cellStyle name="Normal 10 4 2 5 5" xfId="6732" xr:uid="{00000000-0005-0000-0000-000000390000}"/>
    <cellStyle name="Normal 10 4 2 5 5 2" xfId="15559" xr:uid="{00000000-0005-0000-0000-000001390000}"/>
    <cellStyle name="Normal 10 4 2 5 5 2 2" xfId="41114" xr:uid="{00000000-0005-0000-0000-000002390000}"/>
    <cellStyle name="Normal 10 4 2 5 5 3" xfId="25810" xr:uid="{00000000-0005-0000-0000-000003390000}"/>
    <cellStyle name="Normal 10 4 2 5 5 3 2" xfId="51363" xr:uid="{00000000-0005-0000-0000-000004390000}"/>
    <cellStyle name="Normal 10 4 2 5 5 4" xfId="32293" xr:uid="{00000000-0005-0000-0000-000005390000}"/>
    <cellStyle name="Normal 10 4 2 5 6" xfId="8178" xr:uid="{00000000-0005-0000-0000-000006390000}"/>
    <cellStyle name="Normal 10 4 2 5 6 2" xfId="20568" xr:uid="{00000000-0005-0000-0000-000007390000}"/>
    <cellStyle name="Normal 10 4 2 5 6 2 2" xfId="46121" xr:uid="{00000000-0005-0000-0000-000008390000}"/>
    <cellStyle name="Normal 10 4 2 5 6 3" xfId="33735" xr:uid="{00000000-0005-0000-0000-000009390000}"/>
    <cellStyle name="Normal 10 4 2 5 7" xfId="16153" xr:uid="{00000000-0005-0000-0000-00000A390000}"/>
    <cellStyle name="Normal 10 4 2 5 7 2" xfId="41706" xr:uid="{00000000-0005-0000-0000-00000B390000}"/>
    <cellStyle name="Normal 10 4 2 5 8" xfId="27051" xr:uid="{00000000-0005-0000-0000-00000C390000}"/>
    <cellStyle name="Normal 10 4 2 6" xfId="2682" xr:uid="{00000000-0005-0000-0000-00000D390000}"/>
    <cellStyle name="Normal 10 4 2 6 2" xfId="11999" xr:uid="{00000000-0005-0000-0000-00000E390000}"/>
    <cellStyle name="Normal 10 4 2 6 2 2" xfId="22043" xr:uid="{00000000-0005-0000-0000-00000F390000}"/>
    <cellStyle name="Normal 10 4 2 6 2 2 2" xfId="47596" xr:uid="{00000000-0005-0000-0000-000010390000}"/>
    <cellStyle name="Normal 10 4 2 6 2 3" xfId="37554" xr:uid="{00000000-0005-0000-0000-000011390000}"/>
    <cellStyle name="Normal 10 4 2 6 3" xfId="8568" xr:uid="{00000000-0005-0000-0000-000012390000}"/>
    <cellStyle name="Normal 10 4 2 6 3 2" xfId="34125" xr:uid="{00000000-0005-0000-0000-000013390000}"/>
    <cellStyle name="Normal 10 4 2 6 4" xfId="17036" xr:uid="{00000000-0005-0000-0000-000014390000}"/>
    <cellStyle name="Normal 10 4 2 6 4 2" xfId="42589" xr:uid="{00000000-0005-0000-0000-000015390000}"/>
    <cellStyle name="Normal 10 4 2 6 5" xfId="28526" xr:uid="{00000000-0005-0000-0000-000016390000}"/>
    <cellStyle name="Normal 10 4 2 7" xfId="4233" xr:uid="{00000000-0005-0000-0000-000017390000}"/>
    <cellStyle name="Normal 10 4 2 7 2" xfId="13071" xr:uid="{00000000-0005-0000-0000-000018390000}"/>
    <cellStyle name="Normal 10 4 2 7 2 2" xfId="23322" xr:uid="{00000000-0005-0000-0000-000019390000}"/>
    <cellStyle name="Normal 10 4 2 7 2 2 2" xfId="48875" xr:uid="{00000000-0005-0000-0000-00001A390000}"/>
    <cellStyle name="Normal 10 4 2 7 2 3" xfId="38626" xr:uid="{00000000-0005-0000-0000-00001B390000}"/>
    <cellStyle name="Normal 10 4 2 7 3" xfId="9492" xr:uid="{00000000-0005-0000-0000-00001C390000}"/>
    <cellStyle name="Normal 10 4 2 7 3 2" xfId="35049" xr:uid="{00000000-0005-0000-0000-00001D390000}"/>
    <cellStyle name="Normal 10 4 2 7 4" xfId="18315" xr:uid="{00000000-0005-0000-0000-00001E390000}"/>
    <cellStyle name="Normal 10 4 2 7 4 2" xfId="43868" xr:uid="{00000000-0005-0000-0000-00001F390000}"/>
    <cellStyle name="Normal 10 4 2 7 5" xfId="29805" xr:uid="{00000000-0005-0000-0000-000020390000}"/>
    <cellStyle name="Normal 10 4 2 8" xfId="1505" xr:uid="{00000000-0005-0000-0000-000021390000}"/>
    <cellStyle name="Normal 10 4 2 8 2" xfId="10882" xr:uid="{00000000-0005-0000-0000-000022390000}"/>
    <cellStyle name="Normal 10 4 2 8 2 2" xfId="36437" xr:uid="{00000000-0005-0000-0000-000023390000}"/>
    <cellStyle name="Normal 10 4 2 8 3" xfId="20886" xr:uid="{00000000-0005-0000-0000-000024390000}"/>
    <cellStyle name="Normal 10 4 2 8 3 2" xfId="46439" xr:uid="{00000000-0005-0000-0000-000025390000}"/>
    <cellStyle name="Normal 10 4 2 8 4" xfId="27369" xr:uid="{00000000-0005-0000-0000-000026390000}"/>
    <cellStyle name="Normal 10 4 2 9" xfId="5689" xr:uid="{00000000-0005-0000-0000-000027390000}"/>
    <cellStyle name="Normal 10 4 2 9 2" xfId="14516" xr:uid="{00000000-0005-0000-0000-000028390000}"/>
    <cellStyle name="Normal 10 4 2 9 2 2" xfId="40071" xr:uid="{00000000-0005-0000-0000-000029390000}"/>
    <cellStyle name="Normal 10 4 2 9 3" xfId="24767" xr:uid="{00000000-0005-0000-0000-00002A390000}"/>
    <cellStyle name="Normal 10 4 2 9 3 2" xfId="50320" xr:uid="{00000000-0005-0000-0000-00002B390000}"/>
    <cellStyle name="Normal 10 4 2 9 4" xfId="31250" xr:uid="{00000000-0005-0000-0000-00002C390000}"/>
    <cellStyle name="Normal 10 4 2_Degree data" xfId="2635" xr:uid="{00000000-0005-0000-0000-00002D390000}"/>
    <cellStyle name="Normal 10 4 3" xfId="252" xr:uid="{00000000-0005-0000-0000-00002E390000}"/>
    <cellStyle name="Normal 10 4 3 10" xfId="7090" xr:uid="{00000000-0005-0000-0000-00002F390000}"/>
    <cellStyle name="Normal 10 4 3 10 2" xfId="19704" xr:uid="{00000000-0005-0000-0000-000030390000}"/>
    <cellStyle name="Normal 10 4 3 10 2 2" xfId="45257" xr:uid="{00000000-0005-0000-0000-000031390000}"/>
    <cellStyle name="Normal 10 4 3 10 3" xfId="32647" xr:uid="{00000000-0005-0000-0000-000032390000}"/>
    <cellStyle name="Normal 10 4 3 11" xfId="15836" xr:uid="{00000000-0005-0000-0000-000033390000}"/>
    <cellStyle name="Normal 10 4 3 11 2" xfId="41389" xr:uid="{00000000-0005-0000-0000-000034390000}"/>
    <cellStyle name="Normal 10 4 3 12" xfId="26187" xr:uid="{00000000-0005-0000-0000-000035390000}"/>
    <cellStyle name="Normal 10 4 3 2" xfId="575" xr:uid="{00000000-0005-0000-0000-000036390000}"/>
    <cellStyle name="Normal 10 4 3 2 10" xfId="26504" xr:uid="{00000000-0005-0000-0000-000037390000}"/>
    <cellStyle name="Normal 10 4 3 2 2" xfId="720" xr:uid="{00000000-0005-0000-0000-000038390000}"/>
    <cellStyle name="Normal 10 4 3 2 2 2" xfId="3206" xr:uid="{00000000-0005-0000-0000-000039390000}"/>
    <cellStyle name="Normal 10 4 3 2 2 2 2" xfId="12349" xr:uid="{00000000-0005-0000-0000-00003A390000}"/>
    <cellStyle name="Normal 10 4 3 2 2 2 2 2" xfId="22567" xr:uid="{00000000-0005-0000-0000-00003B390000}"/>
    <cellStyle name="Normal 10 4 3 2 2 2 2 2 2" xfId="48120" xr:uid="{00000000-0005-0000-0000-00003C390000}"/>
    <cellStyle name="Normal 10 4 3 2 2 2 2 3" xfId="37904" xr:uid="{00000000-0005-0000-0000-00003D390000}"/>
    <cellStyle name="Normal 10 4 3 2 2 2 3" xfId="8771" xr:uid="{00000000-0005-0000-0000-00003E390000}"/>
    <cellStyle name="Normal 10 4 3 2 2 2 3 2" xfId="34328" xr:uid="{00000000-0005-0000-0000-00003F390000}"/>
    <cellStyle name="Normal 10 4 3 2 2 2 4" xfId="17560" xr:uid="{00000000-0005-0000-0000-000040390000}"/>
    <cellStyle name="Normal 10 4 3 2 2 2 4 2" xfId="43113" xr:uid="{00000000-0005-0000-0000-000041390000}"/>
    <cellStyle name="Normal 10 4 3 2 2 2 5" xfId="29050" xr:uid="{00000000-0005-0000-0000-000042390000}"/>
    <cellStyle name="Normal 10 4 3 2 2 3" xfId="4535" xr:uid="{00000000-0005-0000-0000-000043390000}"/>
    <cellStyle name="Normal 10 4 3 2 2 3 2" xfId="13373" xr:uid="{00000000-0005-0000-0000-000044390000}"/>
    <cellStyle name="Normal 10 4 3 2 2 3 2 2" xfId="23624" xr:uid="{00000000-0005-0000-0000-000045390000}"/>
    <cellStyle name="Normal 10 4 3 2 2 3 2 2 2" xfId="49177" xr:uid="{00000000-0005-0000-0000-000046390000}"/>
    <cellStyle name="Normal 10 4 3 2 2 3 2 3" xfId="38928" xr:uid="{00000000-0005-0000-0000-000047390000}"/>
    <cellStyle name="Normal 10 4 3 2 2 3 3" xfId="9794" xr:uid="{00000000-0005-0000-0000-000048390000}"/>
    <cellStyle name="Normal 10 4 3 2 2 3 3 2" xfId="35351" xr:uid="{00000000-0005-0000-0000-000049390000}"/>
    <cellStyle name="Normal 10 4 3 2 2 3 4" xfId="18617" xr:uid="{00000000-0005-0000-0000-00004A390000}"/>
    <cellStyle name="Normal 10 4 3 2 2 3 4 2" xfId="44170" xr:uid="{00000000-0005-0000-0000-00004B390000}"/>
    <cellStyle name="Normal 10 4 3 2 2 3 5" xfId="30107" xr:uid="{00000000-0005-0000-0000-00004C390000}"/>
    <cellStyle name="Normal 10 4 3 2 2 4" xfId="2315" xr:uid="{00000000-0005-0000-0000-00004D390000}"/>
    <cellStyle name="Normal 10 4 3 2 2 4 2" xfId="11680" xr:uid="{00000000-0005-0000-0000-00004E390000}"/>
    <cellStyle name="Normal 10 4 3 2 2 4 2 2" xfId="37235" xr:uid="{00000000-0005-0000-0000-00004F390000}"/>
    <cellStyle name="Normal 10 4 3 2 2 4 3" xfId="21684" xr:uid="{00000000-0005-0000-0000-000050390000}"/>
    <cellStyle name="Normal 10 4 3 2 2 4 3 2" xfId="47237" xr:uid="{00000000-0005-0000-0000-000051390000}"/>
    <cellStyle name="Normal 10 4 3 2 2 4 4" xfId="28167" xr:uid="{00000000-0005-0000-0000-000052390000}"/>
    <cellStyle name="Normal 10 4 3 2 2 5" xfId="5991" xr:uid="{00000000-0005-0000-0000-000053390000}"/>
    <cellStyle name="Normal 10 4 3 2 2 5 2" xfId="14818" xr:uid="{00000000-0005-0000-0000-000054390000}"/>
    <cellStyle name="Normal 10 4 3 2 2 5 2 2" xfId="40373" xr:uid="{00000000-0005-0000-0000-000055390000}"/>
    <cellStyle name="Normal 10 4 3 2 2 5 3" xfId="25069" xr:uid="{00000000-0005-0000-0000-000056390000}"/>
    <cellStyle name="Normal 10 4 3 2 2 5 3 2" xfId="50622" xr:uid="{00000000-0005-0000-0000-000057390000}"/>
    <cellStyle name="Normal 10 4 3 2 2 5 4" xfId="31552" xr:uid="{00000000-0005-0000-0000-000058390000}"/>
    <cellStyle name="Normal 10 4 3 2 2 6" xfId="7435" xr:uid="{00000000-0005-0000-0000-000059390000}"/>
    <cellStyle name="Normal 10 4 3 2 2 6 2" xfId="20166" xr:uid="{00000000-0005-0000-0000-00005A390000}"/>
    <cellStyle name="Normal 10 4 3 2 2 6 2 2" xfId="45719" xr:uid="{00000000-0005-0000-0000-00005B390000}"/>
    <cellStyle name="Normal 10 4 3 2 2 6 3" xfId="32992" xr:uid="{00000000-0005-0000-0000-00005C390000}"/>
    <cellStyle name="Normal 10 4 3 2 2 7" xfId="16677" xr:uid="{00000000-0005-0000-0000-00005D390000}"/>
    <cellStyle name="Normal 10 4 3 2 2 7 2" xfId="42230" xr:uid="{00000000-0005-0000-0000-00005E390000}"/>
    <cellStyle name="Normal 10 4 3 2 2 8" xfId="26649" xr:uid="{00000000-0005-0000-0000-00005F390000}"/>
    <cellStyle name="Normal 10 4 3 2 3" xfId="1347" xr:uid="{00000000-0005-0000-0000-000060390000}"/>
    <cellStyle name="Normal 10 4 3 2 3 2" xfId="3776" xr:uid="{00000000-0005-0000-0000-000061390000}"/>
    <cellStyle name="Normal 10 4 3 2 3 2 2" xfId="12912" xr:uid="{00000000-0005-0000-0000-000062390000}"/>
    <cellStyle name="Normal 10 4 3 2 3 2 2 2" xfId="23131" xr:uid="{00000000-0005-0000-0000-000063390000}"/>
    <cellStyle name="Normal 10 4 3 2 3 2 2 2 2" xfId="48684" xr:uid="{00000000-0005-0000-0000-000064390000}"/>
    <cellStyle name="Normal 10 4 3 2 3 2 2 3" xfId="38467" xr:uid="{00000000-0005-0000-0000-000065390000}"/>
    <cellStyle name="Normal 10 4 3 2 3 2 3" xfId="9333" xr:uid="{00000000-0005-0000-0000-000066390000}"/>
    <cellStyle name="Normal 10 4 3 2 3 2 3 2" xfId="34890" xr:uid="{00000000-0005-0000-0000-000067390000}"/>
    <cellStyle name="Normal 10 4 3 2 3 2 4" xfId="18124" xr:uid="{00000000-0005-0000-0000-000068390000}"/>
    <cellStyle name="Normal 10 4 3 2 3 2 4 2" xfId="43677" xr:uid="{00000000-0005-0000-0000-000069390000}"/>
    <cellStyle name="Normal 10 4 3 2 3 2 5" xfId="29614" xr:uid="{00000000-0005-0000-0000-00006A390000}"/>
    <cellStyle name="Normal 10 4 3 2 3 3" xfId="4884" xr:uid="{00000000-0005-0000-0000-00006B390000}"/>
    <cellStyle name="Normal 10 4 3 2 3 3 2" xfId="13721" xr:uid="{00000000-0005-0000-0000-00006C390000}"/>
    <cellStyle name="Normal 10 4 3 2 3 3 2 2" xfId="23972" xr:uid="{00000000-0005-0000-0000-00006D390000}"/>
    <cellStyle name="Normal 10 4 3 2 3 3 2 2 2" xfId="49525" xr:uid="{00000000-0005-0000-0000-00006E390000}"/>
    <cellStyle name="Normal 10 4 3 2 3 3 2 3" xfId="39276" xr:uid="{00000000-0005-0000-0000-00006F390000}"/>
    <cellStyle name="Normal 10 4 3 2 3 3 3" xfId="10142" xr:uid="{00000000-0005-0000-0000-000070390000}"/>
    <cellStyle name="Normal 10 4 3 2 3 3 3 2" xfId="35699" xr:uid="{00000000-0005-0000-0000-000071390000}"/>
    <cellStyle name="Normal 10 4 3 2 3 3 4" xfId="18965" xr:uid="{00000000-0005-0000-0000-000072390000}"/>
    <cellStyle name="Normal 10 4 3 2 3 3 4 2" xfId="44518" xr:uid="{00000000-0005-0000-0000-000073390000}"/>
    <cellStyle name="Normal 10 4 3 2 3 3 5" xfId="30455" xr:uid="{00000000-0005-0000-0000-000074390000}"/>
    <cellStyle name="Normal 10 4 3 2 3 4" xfId="2170" xr:uid="{00000000-0005-0000-0000-000075390000}"/>
    <cellStyle name="Normal 10 4 3 2 3 4 2" xfId="11535" xr:uid="{00000000-0005-0000-0000-000076390000}"/>
    <cellStyle name="Normal 10 4 3 2 3 4 2 2" xfId="37090" xr:uid="{00000000-0005-0000-0000-000077390000}"/>
    <cellStyle name="Normal 10 4 3 2 3 4 3" xfId="21539" xr:uid="{00000000-0005-0000-0000-000078390000}"/>
    <cellStyle name="Normal 10 4 3 2 3 4 3 2" xfId="47092" xr:uid="{00000000-0005-0000-0000-000079390000}"/>
    <cellStyle name="Normal 10 4 3 2 3 4 4" xfId="28022" xr:uid="{00000000-0005-0000-0000-00007A390000}"/>
    <cellStyle name="Normal 10 4 3 2 3 5" xfId="6339" xr:uid="{00000000-0005-0000-0000-00007B390000}"/>
    <cellStyle name="Normal 10 4 3 2 3 5 2" xfId="15166" xr:uid="{00000000-0005-0000-0000-00007C390000}"/>
    <cellStyle name="Normal 10 4 3 2 3 5 2 2" xfId="40721" xr:uid="{00000000-0005-0000-0000-00007D390000}"/>
    <cellStyle name="Normal 10 4 3 2 3 5 3" xfId="25417" xr:uid="{00000000-0005-0000-0000-00007E390000}"/>
    <cellStyle name="Normal 10 4 3 2 3 5 3 2" xfId="50970" xr:uid="{00000000-0005-0000-0000-00007F390000}"/>
    <cellStyle name="Normal 10 4 3 2 3 5 4" xfId="31900" xr:uid="{00000000-0005-0000-0000-000080390000}"/>
    <cellStyle name="Normal 10 4 3 2 3 6" xfId="7785" xr:uid="{00000000-0005-0000-0000-000081390000}"/>
    <cellStyle name="Normal 10 4 3 2 3 6 2" xfId="20730" xr:uid="{00000000-0005-0000-0000-000082390000}"/>
    <cellStyle name="Normal 10 4 3 2 3 6 2 2" xfId="46283" xr:uid="{00000000-0005-0000-0000-000083390000}"/>
    <cellStyle name="Normal 10 4 3 2 3 6 3" xfId="33342" xr:uid="{00000000-0005-0000-0000-000084390000}"/>
    <cellStyle name="Normal 10 4 3 2 3 7" xfId="16532" xr:uid="{00000000-0005-0000-0000-000085390000}"/>
    <cellStyle name="Normal 10 4 3 2 3 7 2" xfId="42085" xr:uid="{00000000-0005-0000-0000-000086390000}"/>
    <cellStyle name="Normal 10 4 3 2 3 8" xfId="27213" xr:uid="{00000000-0005-0000-0000-000087390000}"/>
    <cellStyle name="Normal 10 4 3 2 4" xfId="3061" xr:uid="{00000000-0005-0000-0000-000088390000}"/>
    <cellStyle name="Normal 10 4 3 2 4 2" xfId="5439" xr:uid="{00000000-0005-0000-0000-000089390000}"/>
    <cellStyle name="Normal 10 4 3 2 4 2 2" xfId="14276" xr:uid="{00000000-0005-0000-0000-00008A390000}"/>
    <cellStyle name="Normal 10 4 3 2 4 2 2 2" xfId="24527" xr:uid="{00000000-0005-0000-0000-00008B390000}"/>
    <cellStyle name="Normal 10 4 3 2 4 2 2 2 2" xfId="50080" xr:uid="{00000000-0005-0000-0000-00008C390000}"/>
    <cellStyle name="Normal 10 4 3 2 4 2 2 3" xfId="39831" xr:uid="{00000000-0005-0000-0000-00008D390000}"/>
    <cellStyle name="Normal 10 4 3 2 4 2 3" xfId="10697" xr:uid="{00000000-0005-0000-0000-00008E390000}"/>
    <cellStyle name="Normal 10 4 3 2 4 2 3 2" xfId="36254" xr:uid="{00000000-0005-0000-0000-00008F390000}"/>
    <cellStyle name="Normal 10 4 3 2 4 2 4" xfId="19520" xr:uid="{00000000-0005-0000-0000-000090390000}"/>
    <cellStyle name="Normal 10 4 3 2 4 2 4 2" xfId="45073" xr:uid="{00000000-0005-0000-0000-000091390000}"/>
    <cellStyle name="Normal 10 4 3 2 4 2 5" xfId="31010" xr:uid="{00000000-0005-0000-0000-000092390000}"/>
    <cellStyle name="Normal 10 4 3 2 4 3" xfId="6894" xr:uid="{00000000-0005-0000-0000-000093390000}"/>
    <cellStyle name="Normal 10 4 3 2 4 3 2" xfId="15721" xr:uid="{00000000-0005-0000-0000-000094390000}"/>
    <cellStyle name="Normal 10 4 3 2 4 3 2 2" xfId="41276" xr:uid="{00000000-0005-0000-0000-000095390000}"/>
    <cellStyle name="Normal 10 4 3 2 4 3 3" xfId="25972" xr:uid="{00000000-0005-0000-0000-000096390000}"/>
    <cellStyle name="Normal 10 4 3 2 4 3 3 2" xfId="51525" xr:uid="{00000000-0005-0000-0000-000097390000}"/>
    <cellStyle name="Normal 10 4 3 2 4 3 4" xfId="32455" xr:uid="{00000000-0005-0000-0000-000098390000}"/>
    <cellStyle name="Normal 10 4 3 2 4 4" xfId="8340" xr:uid="{00000000-0005-0000-0000-000099390000}"/>
    <cellStyle name="Normal 10 4 3 2 4 4 2" xfId="22422" xr:uid="{00000000-0005-0000-0000-00009A390000}"/>
    <cellStyle name="Normal 10 4 3 2 4 4 2 2" xfId="47975" xr:uid="{00000000-0005-0000-0000-00009B390000}"/>
    <cellStyle name="Normal 10 4 3 2 4 4 3" xfId="33897" xr:uid="{00000000-0005-0000-0000-00009C390000}"/>
    <cellStyle name="Normal 10 4 3 2 4 5" xfId="17415" xr:uid="{00000000-0005-0000-0000-00009D390000}"/>
    <cellStyle name="Normal 10 4 3 2 4 5 2" xfId="42968" xr:uid="{00000000-0005-0000-0000-00009E390000}"/>
    <cellStyle name="Normal 10 4 3 2 4 6" xfId="28905" xr:uid="{00000000-0005-0000-0000-00009F390000}"/>
    <cellStyle name="Normal 10 4 3 2 5" xfId="4395" xr:uid="{00000000-0005-0000-0000-0000A0390000}"/>
    <cellStyle name="Normal 10 4 3 2 5 2" xfId="13233" xr:uid="{00000000-0005-0000-0000-0000A1390000}"/>
    <cellStyle name="Normal 10 4 3 2 5 2 2" xfId="23484" xr:uid="{00000000-0005-0000-0000-0000A2390000}"/>
    <cellStyle name="Normal 10 4 3 2 5 2 2 2" xfId="49037" xr:uid="{00000000-0005-0000-0000-0000A3390000}"/>
    <cellStyle name="Normal 10 4 3 2 5 2 3" xfId="38788" xr:uid="{00000000-0005-0000-0000-0000A4390000}"/>
    <cellStyle name="Normal 10 4 3 2 5 3" xfId="9654" xr:uid="{00000000-0005-0000-0000-0000A5390000}"/>
    <cellStyle name="Normal 10 4 3 2 5 3 2" xfId="35211" xr:uid="{00000000-0005-0000-0000-0000A6390000}"/>
    <cellStyle name="Normal 10 4 3 2 5 4" xfId="18477" xr:uid="{00000000-0005-0000-0000-0000A7390000}"/>
    <cellStyle name="Normal 10 4 3 2 5 4 2" xfId="44030" xr:uid="{00000000-0005-0000-0000-0000A8390000}"/>
    <cellStyle name="Normal 10 4 3 2 5 5" xfId="29967" xr:uid="{00000000-0005-0000-0000-0000A9390000}"/>
    <cellStyle name="Normal 10 4 3 2 6" xfId="1667" xr:uid="{00000000-0005-0000-0000-0000AA390000}"/>
    <cellStyle name="Normal 10 4 3 2 6 2" xfId="11044" xr:uid="{00000000-0005-0000-0000-0000AB390000}"/>
    <cellStyle name="Normal 10 4 3 2 6 2 2" xfId="36599" xr:uid="{00000000-0005-0000-0000-0000AC390000}"/>
    <cellStyle name="Normal 10 4 3 2 6 3" xfId="21048" xr:uid="{00000000-0005-0000-0000-0000AD390000}"/>
    <cellStyle name="Normal 10 4 3 2 6 3 2" xfId="46601" xr:uid="{00000000-0005-0000-0000-0000AE390000}"/>
    <cellStyle name="Normal 10 4 3 2 6 4" xfId="27531" xr:uid="{00000000-0005-0000-0000-0000AF390000}"/>
    <cellStyle name="Normal 10 4 3 2 7" xfId="5851" xr:uid="{00000000-0005-0000-0000-0000B0390000}"/>
    <cellStyle name="Normal 10 4 3 2 7 2" xfId="14678" xr:uid="{00000000-0005-0000-0000-0000B1390000}"/>
    <cellStyle name="Normal 10 4 3 2 7 2 2" xfId="40233" xr:uid="{00000000-0005-0000-0000-0000B2390000}"/>
    <cellStyle name="Normal 10 4 3 2 7 3" xfId="24929" xr:uid="{00000000-0005-0000-0000-0000B3390000}"/>
    <cellStyle name="Normal 10 4 3 2 7 3 2" xfId="50482" xr:uid="{00000000-0005-0000-0000-0000B4390000}"/>
    <cellStyle name="Normal 10 4 3 2 7 4" xfId="31412" xr:uid="{00000000-0005-0000-0000-0000B5390000}"/>
    <cellStyle name="Normal 10 4 3 2 8" xfId="7295" xr:uid="{00000000-0005-0000-0000-0000B6390000}"/>
    <cellStyle name="Normal 10 4 3 2 8 2" xfId="20021" xr:uid="{00000000-0005-0000-0000-0000B7390000}"/>
    <cellStyle name="Normal 10 4 3 2 8 2 2" xfId="45574" xr:uid="{00000000-0005-0000-0000-0000B8390000}"/>
    <cellStyle name="Normal 10 4 3 2 8 3" xfId="32852" xr:uid="{00000000-0005-0000-0000-0000B9390000}"/>
    <cellStyle name="Normal 10 4 3 2 9" xfId="16041" xr:uid="{00000000-0005-0000-0000-0000BA390000}"/>
    <cellStyle name="Normal 10 4 3 2 9 2" xfId="41594" xr:uid="{00000000-0005-0000-0000-0000BB390000}"/>
    <cellStyle name="Normal 10 4 3 2_Degree data" xfId="2601" xr:uid="{00000000-0005-0000-0000-0000BC390000}"/>
    <cellStyle name="Normal 10 4 3 3" xfId="370" xr:uid="{00000000-0005-0000-0000-0000BD390000}"/>
    <cellStyle name="Normal 10 4 3 3 2" xfId="2856" xr:uid="{00000000-0005-0000-0000-0000BE390000}"/>
    <cellStyle name="Normal 10 4 3 3 2 2" xfId="12144" xr:uid="{00000000-0005-0000-0000-0000BF390000}"/>
    <cellStyle name="Normal 10 4 3 3 2 2 2" xfId="22217" xr:uid="{00000000-0005-0000-0000-0000C0390000}"/>
    <cellStyle name="Normal 10 4 3 3 2 2 2 2" xfId="47770" xr:uid="{00000000-0005-0000-0000-0000C1390000}"/>
    <cellStyle name="Normal 10 4 3 3 2 2 3" xfId="37699" xr:uid="{00000000-0005-0000-0000-0000C2390000}"/>
    <cellStyle name="Normal 10 4 3 3 2 3" xfId="8413" xr:uid="{00000000-0005-0000-0000-0000C3390000}"/>
    <cellStyle name="Normal 10 4 3 3 2 3 2" xfId="33970" xr:uid="{00000000-0005-0000-0000-0000C4390000}"/>
    <cellStyle name="Normal 10 4 3 3 2 4" xfId="17210" xr:uid="{00000000-0005-0000-0000-0000C5390000}"/>
    <cellStyle name="Normal 10 4 3 3 2 4 2" xfId="42763" xr:uid="{00000000-0005-0000-0000-0000C6390000}"/>
    <cellStyle name="Normal 10 4 3 3 2 5" xfId="28700" xr:uid="{00000000-0005-0000-0000-0000C7390000}"/>
    <cellStyle name="Normal 10 4 3 3 3" xfId="4534" xr:uid="{00000000-0005-0000-0000-0000C8390000}"/>
    <cellStyle name="Normal 10 4 3 3 3 2" xfId="13372" xr:uid="{00000000-0005-0000-0000-0000C9390000}"/>
    <cellStyle name="Normal 10 4 3 3 3 2 2" xfId="23623" xr:uid="{00000000-0005-0000-0000-0000CA390000}"/>
    <cellStyle name="Normal 10 4 3 3 3 2 2 2" xfId="49176" xr:uid="{00000000-0005-0000-0000-0000CB390000}"/>
    <cellStyle name="Normal 10 4 3 3 3 2 3" xfId="38927" xr:uid="{00000000-0005-0000-0000-0000CC390000}"/>
    <cellStyle name="Normal 10 4 3 3 3 3" xfId="9793" xr:uid="{00000000-0005-0000-0000-0000CD390000}"/>
    <cellStyle name="Normal 10 4 3 3 3 3 2" xfId="35350" xr:uid="{00000000-0005-0000-0000-0000CE390000}"/>
    <cellStyle name="Normal 10 4 3 3 3 4" xfId="18616" xr:uid="{00000000-0005-0000-0000-0000CF390000}"/>
    <cellStyle name="Normal 10 4 3 3 3 4 2" xfId="44169" xr:uid="{00000000-0005-0000-0000-0000D0390000}"/>
    <cellStyle name="Normal 10 4 3 3 3 5" xfId="30106" xr:uid="{00000000-0005-0000-0000-0000D1390000}"/>
    <cellStyle name="Normal 10 4 3 3 4" xfId="1965" xr:uid="{00000000-0005-0000-0000-0000D2390000}"/>
    <cellStyle name="Normal 10 4 3 3 4 2" xfId="11330" xr:uid="{00000000-0005-0000-0000-0000D3390000}"/>
    <cellStyle name="Normal 10 4 3 3 4 2 2" xfId="36885" xr:uid="{00000000-0005-0000-0000-0000D4390000}"/>
    <cellStyle name="Normal 10 4 3 3 4 3" xfId="21334" xr:uid="{00000000-0005-0000-0000-0000D5390000}"/>
    <cellStyle name="Normal 10 4 3 3 4 3 2" xfId="46887" xr:uid="{00000000-0005-0000-0000-0000D6390000}"/>
    <cellStyle name="Normal 10 4 3 3 4 4" xfId="27817" xr:uid="{00000000-0005-0000-0000-0000D7390000}"/>
    <cellStyle name="Normal 10 4 3 3 5" xfId="5990" xr:uid="{00000000-0005-0000-0000-0000D8390000}"/>
    <cellStyle name="Normal 10 4 3 3 5 2" xfId="14817" xr:uid="{00000000-0005-0000-0000-0000D9390000}"/>
    <cellStyle name="Normal 10 4 3 3 5 2 2" xfId="40372" xr:uid="{00000000-0005-0000-0000-0000DA390000}"/>
    <cellStyle name="Normal 10 4 3 3 5 3" xfId="25068" xr:uid="{00000000-0005-0000-0000-0000DB390000}"/>
    <cellStyle name="Normal 10 4 3 3 5 3 2" xfId="50621" xr:uid="{00000000-0005-0000-0000-0000DC390000}"/>
    <cellStyle name="Normal 10 4 3 3 5 4" xfId="31551" xr:uid="{00000000-0005-0000-0000-0000DD390000}"/>
    <cellStyle name="Normal 10 4 3 3 6" xfId="7434" xr:uid="{00000000-0005-0000-0000-0000DE390000}"/>
    <cellStyle name="Normal 10 4 3 3 6 2" xfId="19816" xr:uid="{00000000-0005-0000-0000-0000DF390000}"/>
    <cellStyle name="Normal 10 4 3 3 6 2 2" xfId="45369" xr:uid="{00000000-0005-0000-0000-0000E0390000}"/>
    <cellStyle name="Normal 10 4 3 3 6 3" xfId="32991" xr:uid="{00000000-0005-0000-0000-0000E1390000}"/>
    <cellStyle name="Normal 10 4 3 3 7" xfId="16327" xr:uid="{00000000-0005-0000-0000-0000E2390000}"/>
    <cellStyle name="Normal 10 4 3 3 7 2" xfId="41880" xr:uid="{00000000-0005-0000-0000-0000E3390000}"/>
    <cellStyle name="Normal 10 4 3 3 8" xfId="26299" xr:uid="{00000000-0005-0000-0000-0000E4390000}"/>
    <cellStyle name="Normal 10 4 3 4" xfId="719" xr:uid="{00000000-0005-0000-0000-0000E5390000}"/>
    <cellStyle name="Normal 10 4 3 4 2" xfId="3205" xr:uid="{00000000-0005-0000-0000-0000E6390000}"/>
    <cellStyle name="Normal 10 4 3 4 2 2" xfId="12348" xr:uid="{00000000-0005-0000-0000-0000E7390000}"/>
    <cellStyle name="Normal 10 4 3 4 2 2 2" xfId="22566" xr:uid="{00000000-0005-0000-0000-0000E8390000}"/>
    <cellStyle name="Normal 10 4 3 4 2 2 2 2" xfId="48119" xr:uid="{00000000-0005-0000-0000-0000E9390000}"/>
    <cellStyle name="Normal 10 4 3 4 2 2 3" xfId="37903" xr:uid="{00000000-0005-0000-0000-0000EA390000}"/>
    <cellStyle name="Normal 10 4 3 4 2 3" xfId="8770" xr:uid="{00000000-0005-0000-0000-0000EB390000}"/>
    <cellStyle name="Normal 10 4 3 4 2 3 2" xfId="34327" xr:uid="{00000000-0005-0000-0000-0000EC390000}"/>
    <cellStyle name="Normal 10 4 3 4 2 4" xfId="17559" xr:uid="{00000000-0005-0000-0000-0000ED390000}"/>
    <cellStyle name="Normal 10 4 3 4 2 4 2" xfId="43112" xr:uid="{00000000-0005-0000-0000-0000EE390000}"/>
    <cellStyle name="Normal 10 4 3 4 2 5" xfId="29049" xr:uid="{00000000-0005-0000-0000-0000EF390000}"/>
    <cellStyle name="Normal 10 4 3 4 3" xfId="4883" xr:uid="{00000000-0005-0000-0000-0000F0390000}"/>
    <cellStyle name="Normal 10 4 3 4 3 2" xfId="13720" xr:uid="{00000000-0005-0000-0000-0000F1390000}"/>
    <cellStyle name="Normal 10 4 3 4 3 2 2" xfId="23971" xr:uid="{00000000-0005-0000-0000-0000F2390000}"/>
    <cellStyle name="Normal 10 4 3 4 3 2 2 2" xfId="49524" xr:uid="{00000000-0005-0000-0000-0000F3390000}"/>
    <cellStyle name="Normal 10 4 3 4 3 2 3" xfId="39275" xr:uid="{00000000-0005-0000-0000-0000F4390000}"/>
    <cellStyle name="Normal 10 4 3 4 3 3" xfId="10141" xr:uid="{00000000-0005-0000-0000-0000F5390000}"/>
    <cellStyle name="Normal 10 4 3 4 3 3 2" xfId="35698" xr:uid="{00000000-0005-0000-0000-0000F6390000}"/>
    <cellStyle name="Normal 10 4 3 4 3 4" xfId="18964" xr:uid="{00000000-0005-0000-0000-0000F7390000}"/>
    <cellStyle name="Normal 10 4 3 4 3 4 2" xfId="44517" xr:uid="{00000000-0005-0000-0000-0000F8390000}"/>
    <cellStyle name="Normal 10 4 3 4 3 5" xfId="30454" xr:uid="{00000000-0005-0000-0000-0000F9390000}"/>
    <cellStyle name="Normal 10 4 3 4 4" xfId="2314" xr:uid="{00000000-0005-0000-0000-0000FA390000}"/>
    <cellStyle name="Normal 10 4 3 4 4 2" xfId="11679" xr:uid="{00000000-0005-0000-0000-0000FB390000}"/>
    <cellStyle name="Normal 10 4 3 4 4 2 2" xfId="37234" xr:uid="{00000000-0005-0000-0000-0000FC390000}"/>
    <cellStyle name="Normal 10 4 3 4 4 3" xfId="21683" xr:uid="{00000000-0005-0000-0000-0000FD390000}"/>
    <cellStyle name="Normal 10 4 3 4 4 3 2" xfId="47236" xr:uid="{00000000-0005-0000-0000-0000FE390000}"/>
    <cellStyle name="Normal 10 4 3 4 4 4" xfId="28166" xr:uid="{00000000-0005-0000-0000-0000FF390000}"/>
    <cellStyle name="Normal 10 4 3 4 5" xfId="6338" xr:uid="{00000000-0005-0000-0000-0000003A0000}"/>
    <cellStyle name="Normal 10 4 3 4 5 2" xfId="15165" xr:uid="{00000000-0005-0000-0000-0000013A0000}"/>
    <cellStyle name="Normal 10 4 3 4 5 2 2" xfId="40720" xr:uid="{00000000-0005-0000-0000-0000023A0000}"/>
    <cellStyle name="Normal 10 4 3 4 5 3" xfId="25416" xr:uid="{00000000-0005-0000-0000-0000033A0000}"/>
    <cellStyle name="Normal 10 4 3 4 5 3 2" xfId="50969" xr:uid="{00000000-0005-0000-0000-0000043A0000}"/>
    <cellStyle name="Normal 10 4 3 4 5 4" xfId="31899" xr:uid="{00000000-0005-0000-0000-0000053A0000}"/>
    <cellStyle name="Normal 10 4 3 4 6" xfId="7784" xr:uid="{00000000-0005-0000-0000-0000063A0000}"/>
    <cellStyle name="Normal 10 4 3 4 6 2" xfId="20165" xr:uid="{00000000-0005-0000-0000-0000073A0000}"/>
    <cellStyle name="Normal 10 4 3 4 6 2 2" xfId="45718" xr:uid="{00000000-0005-0000-0000-0000083A0000}"/>
    <cellStyle name="Normal 10 4 3 4 6 3" xfId="33341" xr:uid="{00000000-0005-0000-0000-0000093A0000}"/>
    <cellStyle name="Normal 10 4 3 4 7" xfId="16676" xr:uid="{00000000-0005-0000-0000-00000A3A0000}"/>
    <cellStyle name="Normal 10 4 3 4 7 2" xfId="42229" xr:uid="{00000000-0005-0000-0000-00000B3A0000}"/>
    <cellStyle name="Normal 10 4 3 4 8" xfId="26648" xr:uid="{00000000-0005-0000-0000-00000C3A0000}"/>
    <cellStyle name="Normal 10 4 3 5" xfId="1142" xr:uid="{00000000-0005-0000-0000-00000D3A0000}"/>
    <cellStyle name="Normal 10 4 3 5 2" xfId="3571" xr:uid="{00000000-0005-0000-0000-00000E3A0000}"/>
    <cellStyle name="Normal 10 4 3 5 2 2" xfId="12707" xr:uid="{00000000-0005-0000-0000-00000F3A0000}"/>
    <cellStyle name="Normal 10 4 3 5 2 2 2" xfId="22926" xr:uid="{00000000-0005-0000-0000-0000103A0000}"/>
    <cellStyle name="Normal 10 4 3 5 2 2 2 2" xfId="48479" xr:uid="{00000000-0005-0000-0000-0000113A0000}"/>
    <cellStyle name="Normal 10 4 3 5 2 2 3" xfId="38262" xr:uid="{00000000-0005-0000-0000-0000123A0000}"/>
    <cellStyle name="Normal 10 4 3 5 2 3" xfId="9128" xr:uid="{00000000-0005-0000-0000-0000133A0000}"/>
    <cellStyle name="Normal 10 4 3 5 2 3 2" xfId="34685" xr:uid="{00000000-0005-0000-0000-0000143A0000}"/>
    <cellStyle name="Normal 10 4 3 5 2 4" xfId="17919" xr:uid="{00000000-0005-0000-0000-0000153A0000}"/>
    <cellStyle name="Normal 10 4 3 5 2 4 2" xfId="43472" xr:uid="{00000000-0005-0000-0000-0000163A0000}"/>
    <cellStyle name="Normal 10 4 3 5 2 5" xfId="29409" xr:uid="{00000000-0005-0000-0000-0000173A0000}"/>
    <cellStyle name="Normal 10 4 3 5 3" xfId="5234" xr:uid="{00000000-0005-0000-0000-0000183A0000}"/>
    <cellStyle name="Normal 10 4 3 5 3 2" xfId="14071" xr:uid="{00000000-0005-0000-0000-0000193A0000}"/>
    <cellStyle name="Normal 10 4 3 5 3 2 2" xfId="24322" xr:uid="{00000000-0005-0000-0000-00001A3A0000}"/>
    <cellStyle name="Normal 10 4 3 5 3 2 2 2" xfId="49875" xr:uid="{00000000-0005-0000-0000-00001B3A0000}"/>
    <cellStyle name="Normal 10 4 3 5 3 2 3" xfId="39626" xr:uid="{00000000-0005-0000-0000-00001C3A0000}"/>
    <cellStyle name="Normal 10 4 3 5 3 3" xfId="10492" xr:uid="{00000000-0005-0000-0000-00001D3A0000}"/>
    <cellStyle name="Normal 10 4 3 5 3 3 2" xfId="36049" xr:uid="{00000000-0005-0000-0000-00001E3A0000}"/>
    <cellStyle name="Normal 10 4 3 5 3 4" xfId="19315" xr:uid="{00000000-0005-0000-0000-00001F3A0000}"/>
    <cellStyle name="Normal 10 4 3 5 3 4 2" xfId="44868" xr:uid="{00000000-0005-0000-0000-0000203A0000}"/>
    <cellStyle name="Normal 10 4 3 5 3 5" xfId="30805" xr:uid="{00000000-0005-0000-0000-0000213A0000}"/>
    <cellStyle name="Normal 10 4 3 5 4" xfId="1850" xr:uid="{00000000-0005-0000-0000-0000223A0000}"/>
    <cellStyle name="Normal 10 4 3 5 4 2" xfId="11218" xr:uid="{00000000-0005-0000-0000-0000233A0000}"/>
    <cellStyle name="Normal 10 4 3 5 4 2 2" xfId="36773" xr:uid="{00000000-0005-0000-0000-0000243A0000}"/>
    <cellStyle name="Normal 10 4 3 5 4 3" xfId="21222" xr:uid="{00000000-0005-0000-0000-0000253A0000}"/>
    <cellStyle name="Normal 10 4 3 5 4 3 2" xfId="46775" xr:uid="{00000000-0005-0000-0000-0000263A0000}"/>
    <cellStyle name="Normal 10 4 3 5 4 4" xfId="27705" xr:uid="{00000000-0005-0000-0000-0000273A0000}"/>
    <cellStyle name="Normal 10 4 3 5 5" xfId="6689" xr:uid="{00000000-0005-0000-0000-0000283A0000}"/>
    <cellStyle name="Normal 10 4 3 5 5 2" xfId="15516" xr:uid="{00000000-0005-0000-0000-0000293A0000}"/>
    <cellStyle name="Normal 10 4 3 5 5 2 2" xfId="41071" xr:uid="{00000000-0005-0000-0000-00002A3A0000}"/>
    <cellStyle name="Normal 10 4 3 5 5 3" xfId="25767" xr:uid="{00000000-0005-0000-0000-00002B3A0000}"/>
    <cellStyle name="Normal 10 4 3 5 5 3 2" xfId="51320" xr:uid="{00000000-0005-0000-0000-00002C3A0000}"/>
    <cellStyle name="Normal 10 4 3 5 5 4" xfId="32250" xr:uid="{00000000-0005-0000-0000-00002D3A0000}"/>
    <cellStyle name="Normal 10 4 3 5 6" xfId="8135" xr:uid="{00000000-0005-0000-0000-00002E3A0000}"/>
    <cellStyle name="Normal 10 4 3 5 6 2" xfId="20525" xr:uid="{00000000-0005-0000-0000-00002F3A0000}"/>
    <cellStyle name="Normal 10 4 3 5 6 2 2" xfId="46078" xr:uid="{00000000-0005-0000-0000-0000303A0000}"/>
    <cellStyle name="Normal 10 4 3 5 6 3" xfId="33692" xr:uid="{00000000-0005-0000-0000-0000313A0000}"/>
    <cellStyle name="Normal 10 4 3 5 7" xfId="16215" xr:uid="{00000000-0005-0000-0000-0000323A0000}"/>
    <cellStyle name="Normal 10 4 3 5 7 2" xfId="41768" xr:uid="{00000000-0005-0000-0000-0000333A0000}"/>
    <cellStyle name="Normal 10 4 3 5 8" xfId="27008" xr:uid="{00000000-0005-0000-0000-0000343A0000}"/>
    <cellStyle name="Normal 10 4 3 6" xfId="2744" xr:uid="{00000000-0005-0000-0000-0000353A0000}"/>
    <cellStyle name="Normal 10 4 3 6 2" xfId="12061" xr:uid="{00000000-0005-0000-0000-0000363A0000}"/>
    <cellStyle name="Normal 10 4 3 6 2 2" xfId="22105" xr:uid="{00000000-0005-0000-0000-0000373A0000}"/>
    <cellStyle name="Normal 10 4 3 6 2 2 2" xfId="47658" xr:uid="{00000000-0005-0000-0000-0000383A0000}"/>
    <cellStyle name="Normal 10 4 3 6 2 3" xfId="37616" xr:uid="{00000000-0005-0000-0000-0000393A0000}"/>
    <cellStyle name="Normal 10 4 3 6 3" xfId="8428" xr:uid="{00000000-0005-0000-0000-00003A3A0000}"/>
    <cellStyle name="Normal 10 4 3 6 3 2" xfId="33985" xr:uid="{00000000-0005-0000-0000-00003B3A0000}"/>
    <cellStyle name="Normal 10 4 3 6 4" xfId="17098" xr:uid="{00000000-0005-0000-0000-00003C3A0000}"/>
    <cellStyle name="Normal 10 4 3 6 4 2" xfId="42651" xr:uid="{00000000-0005-0000-0000-00003D3A0000}"/>
    <cellStyle name="Normal 10 4 3 6 5" xfId="28588" xr:uid="{00000000-0005-0000-0000-00003E3A0000}"/>
    <cellStyle name="Normal 10 4 3 7" xfId="4190" xr:uid="{00000000-0005-0000-0000-00003F3A0000}"/>
    <cellStyle name="Normal 10 4 3 7 2" xfId="13028" xr:uid="{00000000-0005-0000-0000-0000403A0000}"/>
    <cellStyle name="Normal 10 4 3 7 2 2" xfId="23279" xr:uid="{00000000-0005-0000-0000-0000413A0000}"/>
    <cellStyle name="Normal 10 4 3 7 2 2 2" xfId="48832" xr:uid="{00000000-0005-0000-0000-0000423A0000}"/>
    <cellStyle name="Normal 10 4 3 7 2 3" xfId="38583" xr:uid="{00000000-0005-0000-0000-0000433A0000}"/>
    <cellStyle name="Normal 10 4 3 7 3" xfId="9449" xr:uid="{00000000-0005-0000-0000-0000443A0000}"/>
    <cellStyle name="Normal 10 4 3 7 3 2" xfId="35006" xr:uid="{00000000-0005-0000-0000-0000453A0000}"/>
    <cellStyle name="Normal 10 4 3 7 4" xfId="18272" xr:uid="{00000000-0005-0000-0000-0000463A0000}"/>
    <cellStyle name="Normal 10 4 3 7 4 2" xfId="43825" xr:uid="{00000000-0005-0000-0000-0000473A0000}"/>
    <cellStyle name="Normal 10 4 3 7 5" xfId="29762" xr:uid="{00000000-0005-0000-0000-0000483A0000}"/>
    <cellStyle name="Normal 10 4 3 8" xfId="1462" xr:uid="{00000000-0005-0000-0000-0000493A0000}"/>
    <cellStyle name="Normal 10 4 3 8 2" xfId="10839" xr:uid="{00000000-0005-0000-0000-00004A3A0000}"/>
    <cellStyle name="Normal 10 4 3 8 2 2" xfId="36394" xr:uid="{00000000-0005-0000-0000-00004B3A0000}"/>
    <cellStyle name="Normal 10 4 3 8 3" xfId="20843" xr:uid="{00000000-0005-0000-0000-00004C3A0000}"/>
    <cellStyle name="Normal 10 4 3 8 3 2" xfId="46396" xr:uid="{00000000-0005-0000-0000-00004D3A0000}"/>
    <cellStyle name="Normal 10 4 3 8 4" xfId="27326" xr:uid="{00000000-0005-0000-0000-00004E3A0000}"/>
    <cellStyle name="Normal 10 4 3 9" xfId="5646" xr:uid="{00000000-0005-0000-0000-00004F3A0000}"/>
    <cellStyle name="Normal 10 4 3 9 2" xfId="14473" xr:uid="{00000000-0005-0000-0000-0000503A0000}"/>
    <cellStyle name="Normal 10 4 3 9 2 2" xfId="40028" xr:uid="{00000000-0005-0000-0000-0000513A0000}"/>
    <cellStyle name="Normal 10 4 3 9 3" xfId="24724" xr:uid="{00000000-0005-0000-0000-0000523A0000}"/>
    <cellStyle name="Normal 10 4 3 9 3 2" xfId="50277" xr:uid="{00000000-0005-0000-0000-0000533A0000}"/>
    <cellStyle name="Normal 10 4 3 9 4" xfId="31207" xr:uid="{00000000-0005-0000-0000-0000543A0000}"/>
    <cellStyle name="Normal 10 4 3_Degree data" xfId="2626" xr:uid="{00000000-0005-0000-0000-0000553A0000}"/>
    <cellStyle name="Normal 10 4 4" xfId="470" xr:uid="{00000000-0005-0000-0000-0000563A0000}"/>
    <cellStyle name="Normal 10 4 4 10" xfId="26399" xr:uid="{00000000-0005-0000-0000-0000573A0000}"/>
    <cellStyle name="Normal 10 4 4 2" xfId="721" xr:uid="{00000000-0005-0000-0000-0000583A0000}"/>
    <cellStyle name="Normal 10 4 4 2 2" xfId="3207" xr:uid="{00000000-0005-0000-0000-0000593A0000}"/>
    <cellStyle name="Normal 10 4 4 2 2 2" xfId="12350" xr:uid="{00000000-0005-0000-0000-00005A3A0000}"/>
    <cellStyle name="Normal 10 4 4 2 2 2 2" xfId="22568" xr:uid="{00000000-0005-0000-0000-00005B3A0000}"/>
    <cellStyle name="Normal 10 4 4 2 2 2 2 2" xfId="48121" xr:uid="{00000000-0005-0000-0000-00005C3A0000}"/>
    <cellStyle name="Normal 10 4 4 2 2 2 3" xfId="37905" xr:uid="{00000000-0005-0000-0000-00005D3A0000}"/>
    <cellStyle name="Normal 10 4 4 2 2 3" xfId="8772" xr:uid="{00000000-0005-0000-0000-00005E3A0000}"/>
    <cellStyle name="Normal 10 4 4 2 2 3 2" xfId="34329" xr:uid="{00000000-0005-0000-0000-00005F3A0000}"/>
    <cellStyle name="Normal 10 4 4 2 2 4" xfId="17561" xr:uid="{00000000-0005-0000-0000-0000603A0000}"/>
    <cellStyle name="Normal 10 4 4 2 2 4 2" xfId="43114" xr:uid="{00000000-0005-0000-0000-0000613A0000}"/>
    <cellStyle name="Normal 10 4 4 2 2 5" xfId="29051" xr:uid="{00000000-0005-0000-0000-0000623A0000}"/>
    <cellStyle name="Normal 10 4 4 2 3" xfId="4536" xr:uid="{00000000-0005-0000-0000-0000633A0000}"/>
    <cellStyle name="Normal 10 4 4 2 3 2" xfId="13374" xr:uid="{00000000-0005-0000-0000-0000643A0000}"/>
    <cellStyle name="Normal 10 4 4 2 3 2 2" xfId="23625" xr:uid="{00000000-0005-0000-0000-0000653A0000}"/>
    <cellStyle name="Normal 10 4 4 2 3 2 2 2" xfId="49178" xr:uid="{00000000-0005-0000-0000-0000663A0000}"/>
    <cellStyle name="Normal 10 4 4 2 3 2 3" xfId="38929" xr:uid="{00000000-0005-0000-0000-0000673A0000}"/>
    <cellStyle name="Normal 10 4 4 2 3 3" xfId="9795" xr:uid="{00000000-0005-0000-0000-0000683A0000}"/>
    <cellStyle name="Normal 10 4 4 2 3 3 2" xfId="35352" xr:uid="{00000000-0005-0000-0000-0000693A0000}"/>
    <cellStyle name="Normal 10 4 4 2 3 4" xfId="18618" xr:uid="{00000000-0005-0000-0000-00006A3A0000}"/>
    <cellStyle name="Normal 10 4 4 2 3 4 2" xfId="44171" xr:uid="{00000000-0005-0000-0000-00006B3A0000}"/>
    <cellStyle name="Normal 10 4 4 2 3 5" xfId="30108" xr:uid="{00000000-0005-0000-0000-00006C3A0000}"/>
    <cellStyle name="Normal 10 4 4 2 4" xfId="2316" xr:uid="{00000000-0005-0000-0000-00006D3A0000}"/>
    <cellStyle name="Normal 10 4 4 2 4 2" xfId="11681" xr:uid="{00000000-0005-0000-0000-00006E3A0000}"/>
    <cellStyle name="Normal 10 4 4 2 4 2 2" xfId="37236" xr:uid="{00000000-0005-0000-0000-00006F3A0000}"/>
    <cellStyle name="Normal 10 4 4 2 4 3" xfId="21685" xr:uid="{00000000-0005-0000-0000-0000703A0000}"/>
    <cellStyle name="Normal 10 4 4 2 4 3 2" xfId="47238" xr:uid="{00000000-0005-0000-0000-0000713A0000}"/>
    <cellStyle name="Normal 10 4 4 2 4 4" xfId="28168" xr:uid="{00000000-0005-0000-0000-0000723A0000}"/>
    <cellStyle name="Normal 10 4 4 2 5" xfId="5992" xr:uid="{00000000-0005-0000-0000-0000733A0000}"/>
    <cellStyle name="Normal 10 4 4 2 5 2" xfId="14819" xr:uid="{00000000-0005-0000-0000-0000743A0000}"/>
    <cellStyle name="Normal 10 4 4 2 5 2 2" xfId="40374" xr:uid="{00000000-0005-0000-0000-0000753A0000}"/>
    <cellStyle name="Normal 10 4 4 2 5 3" xfId="25070" xr:uid="{00000000-0005-0000-0000-0000763A0000}"/>
    <cellStyle name="Normal 10 4 4 2 5 3 2" xfId="50623" xr:uid="{00000000-0005-0000-0000-0000773A0000}"/>
    <cellStyle name="Normal 10 4 4 2 5 4" xfId="31553" xr:uid="{00000000-0005-0000-0000-0000783A0000}"/>
    <cellStyle name="Normal 10 4 4 2 6" xfId="7436" xr:uid="{00000000-0005-0000-0000-0000793A0000}"/>
    <cellStyle name="Normal 10 4 4 2 6 2" xfId="20167" xr:uid="{00000000-0005-0000-0000-00007A3A0000}"/>
    <cellStyle name="Normal 10 4 4 2 6 2 2" xfId="45720" xr:uid="{00000000-0005-0000-0000-00007B3A0000}"/>
    <cellStyle name="Normal 10 4 4 2 6 3" xfId="32993" xr:uid="{00000000-0005-0000-0000-00007C3A0000}"/>
    <cellStyle name="Normal 10 4 4 2 7" xfId="16678" xr:uid="{00000000-0005-0000-0000-00007D3A0000}"/>
    <cellStyle name="Normal 10 4 4 2 7 2" xfId="42231" xr:uid="{00000000-0005-0000-0000-00007E3A0000}"/>
    <cellStyle name="Normal 10 4 4 2 8" xfId="26650" xr:uid="{00000000-0005-0000-0000-00007F3A0000}"/>
    <cellStyle name="Normal 10 4 4 3" xfId="1242" xr:uid="{00000000-0005-0000-0000-0000803A0000}"/>
    <cellStyle name="Normal 10 4 4 3 2" xfId="3671" xr:uid="{00000000-0005-0000-0000-0000813A0000}"/>
    <cellStyle name="Normal 10 4 4 3 2 2" xfId="12807" xr:uid="{00000000-0005-0000-0000-0000823A0000}"/>
    <cellStyle name="Normal 10 4 4 3 2 2 2" xfId="23026" xr:uid="{00000000-0005-0000-0000-0000833A0000}"/>
    <cellStyle name="Normal 10 4 4 3 2 2 2 2" xfId="48579" xr:uid="{00000000-0005-0000-0000-0000843A0000}"/>
    <cellStyle name="Normal 10 4 4 3 2 2 3" xfId="38362" xr:uid="{00000000-0005-0000-0000-0000853A0000}"/>
    <cellStyle name="Normal 10 4 4 3 2 3" xfId="9228" xr:uid="{00000000-0005-0000-0000-0000863A0000}"/>
    <cellStyle name="Normal 10 4 4 3 2 3 2" xfId="34785" xr:uid="{00000000-0005-0000-0000-0000873A0000}"/>
    <cellStyle name="Normal 10 4 4 3 2 4" xfId="18019" xr:uid="{00000000-0005-0000-0000-0000883A0000}"/>
    <cellStyle name="Normal 10 4 4 3 2 4 2" xfId="43572" xr:uid="{00000000-0005-0000-0000-0000893A0000}"/>
    <cellStyle name="Normal 10 4 4 3 2 5" xfId="29509" xr:uid="{00000000-0005-0000-0000-00008A3A0000}"/>
    <cellStyle name="Normal 10 4 4 3 3" xfId="4885" xr:uid="{00000000-0005-0000-0000-00008B3A0000}"/>
    <cellStyle name="Normal 10 4 4 3 3 2" xfId="13722" xr:uid="{00000000-0005-0000-0000-00008C3A0000}"/>
    <cellStyle name="Normal 10 4 4 3 3 2 2" xfId="23973" xr:uid="{00000000-0005-0000-0000-00008D3A0000}"/>
    <cellStyle name="Normal 10 4 4 3 3 2 2 2" xfId="49526" xr:uid="{00000000-0005-0000-0000-00008E3A0000}"/>
    <cellStyle name="Normal 10 4 4 3 3 2 3" xfId="39277" xr:uid="{00000000-0005-0000-0000-00008F3A0000}"/>
    <cellStyle name="Normal 10 4 4 3 3 3" xfId="10143" xr:uid="{00000000-0005-0000-0000-0000903A0000}"/>
    <cellStyle name="Normal 10 4 4 3 3 3 2" xfId="35700" xr:uid="{00000000-0005-0000-0000-0000913A0000}"/>
    <cellStyle name="Normal 10 4 4 3 3 4" xfId="18966" xr:uid="{00000000-0005-0000-0000-0000923A0000}"/>
    <cellStyle name="Normal 10 4 4 3 3 4 2" xfId="44519" xr:uid="{00000000-0005-0000-0000-0000933A0000}"/>
    <cellStyle name="Normal 10 4 4 3 3 5" xfId="30456" xr:uid="{00000000-0005-0000-0000-0000943A0000}"/>
    <cellStyle name="Normal 10 4 4 3 4" xfId="2065" xr:uid="{00000000-0005-0000-0000-0000953A0000}"/>
    <cellStyle name="Normal 10 4 4 3 4 2" xfId="11430" xr:uid="{00000000-0005-0000-0000-0000963A0000}"/>
    <cellStyle name="Normal 10 4 4 3 4 2 2" xfId="36985" xr:uid="{00000000-0005-0000-0000-0000973A0000}"/>
    <cellStyle name="Normal 10 4 4 3 4 3" xfId="21434" xr:uid="{00000000-0005-0000-0000-0000983A0000}"/>
    <cellStyle name="Normal 10 4 4 3 4 3 2" xfId="46987" xr:uid="{00000000-0005-0000-0000-0000993A0000}"/>
    <cellStyle name="Normal 10 4 4 3 4 4" xfId="27917" xr:uid="{00000000-0005-0000-0000-00009A3A0000}"/>
    <cellStyle name="Normal 10 4 4 3 5" xfId="6340" xr:uid="{00000000-0005-0000-0000-00009B3A0000}"/>
    <cellStyle name="Normal 10 4 4 3 5 2" xfId="15167" xr:uid="{00000000-0005-0000-0000-00009C3A0000}"/>
    <cellStyle name="Normal 10 4 4 3 5 2 2" xfId="40722" xr:uid="{00000000-0005-0000-0000-00009D3A0000}"/>
    <cellStyle name="Normal 10 4 4 3 5 3" xfId="25418" xr:uid="{00000000-0005-0000-0000-00009E3A0000}"/>
    <cellStyle name="Normal 10 4 4 3 5 3 2" xfId="50971" xr:uid="{00000000-0005-0000-0000-00009F3A0000}"/>
    <cellStyle name="Normal 10 4 4 3 5 4" xfId="31901" xr:uid="{00000000-0005-0000-0000-0000A03A0000}"/>
    <cellStyle name="Normal 10 4 4 3 6" xfId="7786" xr:uid="{00000000-0005-0000-0000-0000A13A0000}"/>
    <cellStyle name="Normal 10 4 4 3 6 2" xfId="20625" xr:uid="{00000000-0005-0000-0000-0000A23A0000}"/>
    <cellStyle name="Normal 10 4 4 3 6 2 2" xfId="46178" xr:uid="{00000000-0005-0000-0000-0000A33A0000}"/>
    <cellStyle name="Normal 10 4 4 3 6 3" xfId="33343" xr:uid="{00000000-0005-0000-0000-0000A43A0000}"/>
    <cellStyle name="Normal 10 4 4 3 7" xfId="16427" xr:uid="{00000000-0005-0000-0000-0000A53A0000}"/>
    <cellStyle name="Normal 10 4 4 3 7 2" xfId="41980" xr:uid="{00000000-0005-0000-0000-0000A63A0000}"/>
    <cellStyle name="Normal 10 4 4 3 8" xfId="27108" xr:uid="{00000000-0005-0000-0000-0000A73A0000}"/>
    <cellStyle name="Normal 10 4 4 4" xfId="2956" xr:uid="{00000000-0005-0000-0000-0000A83A0000}"/>
    <cellStyle name="Normal 10 4 4 4 2" xfId="5334" xr:uid="{00000000-0005-0000-0000-0000A93A0000}"/>
    <cellStyle name="Normal 10 4 4 4 2 2" xfId="14171" xr:uid="{00000000-0005-0000-0000-0000AA3A0000}"/>
    <cellStyle name="Normal 10 4 4 4 2 2 2" xfId="24422" xr:uid="{00000000-0005-0000-0000-0000AB3A0000}"/>
    <cellStyle name="Normal 10 4 4 4 2 2 2 2" xfId="49975" xr:uid="{00000000-0005-0000-0000-0000AC3A0000}"/>
    <cellStyle name="Normal 10 4 4 4 2 2 3" xfId="39726" xr:uid="{00000000-0005-0000-0000-0000AD3A0000}"/>
    <cellStyle name="Normal 10 4 4 4 2 3" xfId="10592" xr:uid="{00000000-0005-0000-0000-0000AE3A0000}"/>
    <cellStyle name="Normal 10 4 4 4 2 3 2" xfId="36149" xr:uid="{00000000-0005-0000-0000-0000AF3A0000}"/>
    <cellStyle name="Normal 10 4 4 4 2 4" xfId="19415" xr:uid="{00000000-0005-0000-0000-0000B03A0000}"/>
    <cellStyle name="Normal 10 4 4 4 2 4 2" xfId="44968" xr:uid="{00000000-0005-0000-0000-0000B13A0000}"/>
    <cellStyle name="Normal 10 4 4 4 2 5" xfId="30905" xr:uid="{00000000-0005-0000-0000-0000B23A0000}"/>
    <cellStyle name="Normal 10 4 4 4 3" xfId="6789" xr:uid="{00000000-0005-0000-0000-0000B33A0000}"/>
    <cellStyle name="Normal 10 4 4 4 3 2" xfId="15616" xr:uid="{00000000-0005-0000-0000-0000B43A0000}"/>
    <cellStyle name="Normal 10 4 4 4 3 2 2" xfId="41171" xr:uid="{00000000-0005-0000-0000-0000B53A0000}"/>
    <cellStyle name="Normal 10 4 4 4 3 3" xfId="25867" xr:uid="{00000000-0005-0000-0000-0000B63A0000}"/>
    <cellStyle name="Normal 10 4 4 4 3 3 2" xfId="51420" xr:uid="{00000000-0005-0000-0000-0000B73A0000}"/>
    <cellStyle name="Normal 10 4 4 4 3 4" xfId="32350" xr:uid="{00000000-0005-0000-0000-0000B83A0000}"/>
    <cellStyle name="Normal 10 4 4 4 4" xfId="8235" xr:uid="{00000000-0005-0000-0000-0000B93A0000}"/>
    <cellStyle name="Normal 10 4 4 4 4 2" xfId="22317" xr:uid="{00000000-0005-0000-0000-0000BA3A0000}"/>
    <cellStyle name="Normal 10 4 4 4 4 2 2" xfId="47870" xr:uid="{00000000-0005-0000-0000-0000BB3A0000}"/>
    <cellStyle name="Normal 10 4 4 4 4 3" xfId="33792" xr:uid="{00000000-0005-0000-0000-0000BC3A0000}"/>
    <cellStyle name="Normal 10 4 4 4 5" xfId="17310" xr:uid="{00000000-0005-0000-0000-0000BD3A0000}"/>
    <cellStyle name="Normal 10 4 4 4 5 2" xfId="42863" xr:uid="{00000000-0005-0000-0000-0000BE3A0000}"/>
    <cellStyle name="Normal 10 4 4 4 6" xfId="28800" xr:uid="{00000000-0005-0000-0000-0000BF3A0000}"/>
    <cellStyle name="Normal 10 4 4 5" xfId="4290" xr:uid="{00000000-0005-0000-0000-0000C03A0000}"/>
    <cellStyle name="Normal 10 4 4 5 2" xfId="13128" xr:uid="{00000000-0005-0000-0000-0000C13A0000}"/>
    <cellStyle name="Normal 10 4 4 5 2 2" xfId="23379" xr:uid="{00000000-0005-0000-0000-0000C23A0000}"/>
    <cellStyle name="Normal 10 4 4 5 2 2 2" xfId="48932" xr:uid="{00000000-0005-0000-0000-0000C33A0000}"/>
    <cellStyle name="Normal 10 4 4 5 2 3" xfId="38683" xr:uid="{00000000-0005-0000-0000-0000C43A0000}"/>
    <cellStyle name="Normal 10 4 4 5 3" xfId="9549" xr:uid="{00000000-0005-0000-0000-0000C53A0000}"/>
    <cellStyle name="Normal 10 4 4 5 3 2" xfId="35106" xr:uid="{00000000-0005-0000-0000-0000C63A0000}"/>
    <cellStyle name="Normal 10 4 4 5 4" xfId="18372" xr:uid="{00000000-0005-0000-0000-0000C73A0000}"/>
    <cellStyle name="Normal 10 4 4 5 4 2" xfId="43925" xr:uid="{00000000-0005-0000-0000-0000C83A0000}"/>
    <cellStyle name="Normal 10 4 4 5 5" xfId="29862" xr:uid="{00000000-0005-0000-0000-0000C93A0000}"/>
    <cellStyle name="Normal 10 4 4 6" xfId="1562" xr:uid="{00000000-0005-0000-0000-0000CA3A0000}"/>
    <cellStyle name="Normal 10 4 4 6 2" xfId="10939" xr:uid="{00000000-0005-0000-0000-0000CB3A0000}"/>
    <cellStyle name="Normal 10 4 4 6 2 2" xfId="36494" xr:uid="{00000000-0005-0000-0000-0000CC3A0000}"/>
    <cellStyle name="Normal 10 4 4 6 3" xfId="20943" xr:uid="{00000000-0005-0000-0000-0000CD3A0000}"/>
    <cellStyle name="Normal 10 4 4 6 3 2" xfId="46496" xr:uid="{00000000-0005-0000-0000-0000CE3A0000}"/>
    <cellStyle name="Normal 10 4 4 6 4" xfId="27426" xr:uid="{00000000-0005-0000-0000-0000CF3A0000}"/>
    <cellStyle name="Normal 10 4 4 7" xfId="5746" xr:uid="{00000000-0005-0000-0000-0000D03A0000}"/>
    <cellStyle name="Normal 10 4 4 7 2" xfId="14573" xr:uid="{00000000-0005-0000-0000-0000D13A0000}"/>
    <cellStyle name="Normal 10 4 4 7 2 2" xfId="40128" xr:uid="{00000000-0005-0000-0000-0000D23A0000}"/>
    <cellStyle name="Normal 10 4 4 7 3" xfId="24824" xr:uid="{00000000-0005-0000-0000-0000D33A0000}"/>
    <cellStyle name="Normal 10 4 4 7 3 2" xfId="50377" xr:uid="{00000000-0005-0000-0000-0000D43A0000}"/>
    <cellStyle name="Normal 10 4 4 7 4" xfId="31307" xr:uid="{00000000-0005-0000-0000-0000D53A0000}"/>
    <cellStyle name="Normal 10 4 4 8" xfId="7190" xr:uid="{00000000-0005-0000-0000-0000D63A0000}"/>
    <cellStyle name="Normal 10 4 4 8 2" xfId="19916" xr:uid="{00000000-0005-0000-0000-0000D73A0000}"/>
    <cellStyle name="Normal 10 4 4 8 2 2" xfId="45469" xr:uid="{00000000-0005-0000-0000-0000D83A0000}"/>
    <cellStyle name="Normal 10 4 4 8 3" xfId="32747" xr:uid="{00000000-0005-0000-0000-0000D93A0000}"/>
    <cellStyle name="Normal 10 4 4 9" xfId="15936" xr:uid="{00000000-0005-0000-0000-0000DA3A0000}"/>
    <cellStyle name="Normal 10 4 4 9 2" xfId="41489" xr:uid="{00000000-0005-0000-0000-0000DB3A0000}"/>
    <cellStyle name="Normal 10 4 4_Degree data" xfId="3464" xr:uid="{00000000-0005-0000-0000-0000DC3A0000}"/>
    <cellStyle name="Normal 10 4 5" xfId="311" xr:uid="{00000000-0005-0000-0000-0000DD3A0000}"/>
    <cellStyle name="Normal 10 4 5 2" xfId="2797" xr:uid="{00000000-0005-0000-0000-0000DE3A0000}"/>
    <cellStyle name="Normal 10 4 5 2 2" xfId="12101" xr:uid="{00000000-0005-0000-0000-0000DF3A0000}"/>
    <cellStyle name="Normal 10 4 5 2 2 2" xfId="22158" xr:uid="{00000000-0005-0000-0000-0000E03A0000}"/>
    <cellStyle name="Normal 10 4 5 2 2 2 2" xfId="47711" xr:uid="{00000000-0005-0000-0000-0000E13A0000}"/>
    <cellStyle name="Normal 10 4 5 2 2 3" xfId="37656" xr:uid="{00000000-0005-0000-0000-0000E23A0000}"/>
    <cellStyle name="Normal 10 4 5 2 3" xfId="8532" xr:uid="{00000000-0005-0000-0000-0000E33A0000}"/>
    <cellStyle name="Normal 10 4 5 2 3 2" xfId="34089" xr:uid="{00000000-0005-0000-0000-0000E43A0000}"/>
    <cellStyle name="Normal 10 4 5 2 4" xfId="17151" xr:uid="{00000000-0005-0000-0000-0000E53A0000}"/>
    <cellStyle name="Normal 10 4 5 2 4 2" xfId="42704" xr:uid="{00000000-0005-0000-0000-0000E63A0000}"/>
    <cellStyle name="Normal 10 4 5 2 5" xfId="28641" xr:uid="{00000000-0005-0000-0000-0000E73A0000}"/>
    <cellStyle name="Normal 10 4 5 3" xfId="4531" xr:uid="{00000000-0005-0000-0000-0000E83A0000}"/>
    <cellStyle name="Normal 10 4 5 3 2" xfId="13369" xr:uid="{00000000-0005-0000-0000-0000E93A0000}"/>
    <cellStyle name="Normal 10 4 5 3 2 2" xfId="23620" xr:uid="{00000000-0005-0000-0000-0000EA3A0000}"/>
    <cellStyle name="Normal 10 4 5 3 2 2 2" xfId="49173" xr:uid="{00000000-0005-0000-0000-0000EB3A0000}"/>
    <cellStyle name="Normal 10 4 5 3 2 3" xfId="38924" xr:uid="{00000000-0005-0000-0000-0000EC3A0000}"/>
    <cellStyle name="Normal 10 4 5 3 3" xfId="9790" xr:uid="{00000000-0005-0000-0000-0000ED3A0000}"/>
    <cellStyle name="Normal 10 4 5 3 3 2" xfId="35347" xr:uid="{00000000-0005-0000-0000-0000EE3A0000}"/>
    <cellStyle name="Normal 10 4 5 3 4" xfId="18613" xr:uid="{00000000-0005-0000-0000-0000EF3A0000}"/>
    <cellStyle name="Normal 10 4 5 3 4 2" xfId="44166" xr:uid="{00000000-0005-0000-0000-0000F03A0000}"/>
    <cellStyle name="Normal 10 4 5 3 5" xfId="30103" xr:uid="{00000000-0005-0000-0000-0000F13A0000}"/>
    <cellStyle name="Normal 10 4 5 4" xfId="1906" xr:uid="{00000000-0005-0000-0000-0000F23A0000}"/>
    <cellStyle name="Normal 10 4 5 4 2" xfId="11271" xr:uid="{00000000-0005-0000-0000-0000F33A0000}"/>
    <cellStyle name="Normal 10 4 5 4 2 2" xfId="36826" xr:uid="{00000000-0005-0000-0000-0000F43A0000}"/>
    <cellStyle name="Normal 10 4 5 4 3" xfId="21275" xr:uid="{00000000-0005-0000-0000-0000F53A0000}"/>
    <cellStyle name="Normal 10 4 5 4 3 2" xfId="46828" xr:uid="{00000000-0005-0000-0000-0000F63A0000}"/>
    <cellStyle name="Normal 10 4 5 4 4" xfId="27758" xr:uid="{00000000-0005-0000-0000-0000F73A0000}"/>
    <cellStyle name="Normal 10 4 5 5" xfId="5987" xr:uid="{00000000-0005-0000-0000-0000F83A0000}"/>
    <cellStyle name="Normal 10 4 5 5 2" xfId="14814" xr:uid="{00000000-0005-0000-0000-0000F93A0000}"/>
    <cellStyle name="Normal 10 4 5 5 2 2" xfId="40369" xr:uid="{00000000-0005-0000-0000-0000FA3A0000}"/>
    <cellStyle name="Normal 10 4 5 5 3" xfId="25065" xr:uid="{00000000-0005-0000-0000-0000FB3A0000}"/>
    <cellStyle name="Normal 10 4 5 5 3 2" xfId="50618" xr:uid="{00000000-0005-0000-0000-0000FC3A0000}"/>
    <cellStyle name="Normal 10 4 5 5 4" xfId="31548" xr:uid="{00000000-0005-0000-0000-0000FD3A0000}"/>
    <cellStyle name="Normal 10 4 5 6" xfId="7431" xr:uid="{00000000-0005-0000-0000-0000FE3A0000}"/>
    <cellStyle name="Normal 10 4 5 6 2" xfId="19757" xr:uid="{00000000-0005-0000-0000-0000FF3A0000}"/>
    <cellStyle name="Normal 10 4 5 6 2 2" xfId="45310" xr:uid="{00000000-0005-0000-0000-0000003B0000}"/>
    <cellStyle name="Normal 10 4 5 6 3" xfId="32988" xr:uid="{00000000-0005-0000-0000-0000013B0000}"/>
    <cellStyle name="Normal 10 4 5 7" xfId="16268" xr:uid="{00000000-0005-0000-0000-0000023B0000}"/>
    <cellStyle name="Normal 10 4 5 7 2" xfId="41821" xr:uid="{00000000-0005-0000-0000-0000033B0000}"/>
    <cellStyle name="Normal 10 4 5 8" xfId="26240" xr:uid="{00000000-0005-0000-0000-0000043B0000}"/>
    <cellStyle name="Normal 10 4 6" xfId="716" xr:uid="{00000000-0005-0000-0000-0000053B0000}"/>
    <cellStyle name="Normal 10 4 6 2" xfId="3202" xr:uid="{00000000-0005-0000-0000-0000063B0000}"/>
    <cellStyle name="Normal 10 4 6 2 2" xfId="12345" xr:uid="{00000000-0005-0000-0000-0000073B0000}"/>
    <cellStyle name="Normal 10 4 6 2 2 2" xfId="22563" xr:uid="{00000000-0005-0000-0000-0000083B0000}"/>
    <cellStyle name="Normal 10 4 6 2 2 2 2" xfId="48116" xr:uid="{00000000-0005-0000-0000-0000093B0000}"/>
    <cellStyle name="Normal 10 4 6 2 2 3" xfId="37900" xr:uid="{00000000-0005-0000-0000-00000A3B0000}"/>
    <cellStyle name="Normal 10 4 6 2 3" xfId="8767" xr:uid="{00000000-0005-0000-0000-00000B3B0000}"/>
    <cellStyle name="Normal 10 4 6 2 3 2" xfId="34324" xr:uid="{00000000-0005-0000-0000-00000C3B0000}"/>
    <cellStyle name="Normal 10 4 6 2 4" xfId="17556" xr:uid="{00000000-0005-0000-0000-00000D3B0000}"/>
    <cellStyle name="Normal 10 4 6 2 4 2" xfId="43109" xr:uid="{00000000-0005-0000-0000-00000E3B0000}"/>
    <cellStyle name="Normal 10 4 6 2 5" xfId="29046" xr:uid="{00000000-0005-0000-0000-00000F3B0000}"/>
    <cellStyle name="Normal 10 4 6 3" xfId="4880" xr:uid="{00000000-0005-0000-0000-0000103B0000}"/>
    <cellStyle name="Normal 10 4 6 3 2" xfId="13717" xr:uid="{00000000-0005-0000-0000-0000113B0000}"/>
    <cellStyle name="Normal 10 4 6 3 2 2" xfId="23968" xr:uid="{00000000-0005-0000-0000-0000123B0000}"/>
    <cellStyle name="Normal 10 4 6 3 2 2 2" xfId="49521" xr:uid="{00000000-0005-0000-0000-0000133B0000}"/>
    <cellStyle name="Normal 10 4 6 3 2 3" xfId="39272" xr:uid="{00000000-0005-0000-0000-0000143B0000}"/>
    <cellStyle name="Normal 10 4 6 3 3" xfId="10138" xr:uid="{00000000-0005-0000-0000-0000153B0000}"/>
    <cellStyle name="Normal 10 4 6 3 3 2" xfId="35695" xr:uid="{00000000-0005-0000-0000-0000163B0000}"/>
    <cellStyle name="Normal 10 4 6 3 4" xfId="18961" xr:uid="{00000000-0005-0000-0000-0000173B0000}"/>
    <cellStyle name="Normal 10 4 6 3 4 2" xfId="44514" xr:uid="{00000000-0005-0000-0000-0000183B0000}"/>
    <cellStyle name="Normal 10 4 6 3 5" xfId="30451" xr:uid="{00000000-0005-0000-0000-0000193B0000}"/>
    <cellStyle name="Normal 10 4 6 4" xfId="2311" xr:uid="{00000000-0005-0000-0000-00001A3B0000}"/>
    <cellStyle name="Normal 10 4 6 4 2" xfId="11676" xr:uid="{00000000-0005-0000-0000-00001B3B0000}"/>
    <cellStyle name="Normal 10 4 6 4 2 2" xfId="37231" xr:uid="{00000000-0005-0000-0000-00001C3B0000}"/>
    <cellStyle name="Normal 10 4 6 4 3" xfId="21680" xr:uid="{00000000-0005-0000-0000-00001D3B0000}"/>
    <cellStyle name="Normal 10 4 6 4 3 2" xfId="47233" xr:uid="{00000000-0005-0000-0000-00001E3B0000}"/>
    <cellStyle name="Normal 10 4 6 4 4" xfId="28163" xr:uid="{00000000-0005-0000-0000-00001F3B0000}"/>
    <cellStyle name="Normal 10 4 6 5" xfId="6335" xr:uid="{00000000-0005-0000-0000-0000203B0000}"/>
    <cellStyle name="Normal 10 4 6 5 2" xfId="15162" xr:uid="{00000000-0005-0000-0000-0000213B0000}"/>
    <cellStyle name="Normal 10 4 6 5 2 2" xfId="40717" xr:uid="{00000000-0005-0000-0000-0000223B0000}"/>
    <cellStyle name="Normal 10 4 6 5 3" xfId="25413" xr:uid="{00000000-0005-0000-0000-0000233B0000}"/>
    <cellStyle name="Normal 10 4 6 5 3 2" xfId="50966" xr:uid="{00000000-0005-0000-0000-0000243B0000}"/>
    <cellStyle name="Normal 10 4 6 5 4" xfId="31896" xr:uid="{00000000-0005-0000-0000-0000253B0000}"/>
    <cellStyle name="Normal 10 4 6 6" xfId="7781" xr:uid="{00000000-0005-0000-0000-0000263B0000}"/>
    <cellStyle name="Normal 10 4 6 6 2" xfId="20162" xr:uid="{00000000-0005-0000-0000-0000273B0000}"/>
    <cellStyle name="Normal 10 4 6 6 2 2" xfId="45715" xr:uid="{00000000-0005-0000-0000-0000283B0000}"/>
    <cellStyle name="Normal 10 4 6 6 3" xfId="33338" xr:uid="{00000000-0005-0000-0000-0000293B0000}"/>
    <cellStyle name="Normal 10 4 6 7" xfId="16673" xr:uid="{00000000-0005-0000-0000-00002A3B0000}"/>
    <cellStyle name="Normal 10 4 6 7 2" xfId="42226" xr:uid="{00000000-0005-0000-0000-00002B3B0000}"/>
    <cellStyle name="Normal 10 4 6 8" xfId="26645" xr:uid="{00000000-0005-0000-0000-00002C3B0000}"/>
    <cellStyle name="Normal 10 4 7" xfId="1083" xr:uid="{00000000-0005-0000-0000-00002D3B0000}"/>
    <cellStyle name="Normal 10 4 7 2" xfId="3512" xr:uid="{00000000-0005-0000-0000-00002E3B0000}"/>
    <cellStyle name="Normal 10 4 7 2 2" xfId="12648" xr:uid="{00000000-0005-0000-0000-00002F3B0000}"/>
    <cellStyle name="Normal 10 4 7 2 2 2" xfId="22867" xr:uid="{00000000-0005-0000-0000-0000303B0000}"/>
    <cellStyle name="Normal 10 4 7 2 2 2 2" xfId="48420" xr:uid="{00000000-0005-0000-0000-0000313B0000}"/>
    <cellStyle name="Normal 10 4 7 2 2 3" xfId="38203" xr:uid="{00000000-0005-0000-0000-0000323B0000}"/>
    <cellStyle name="Normal 10 4 7 2 3" xfId="9070" xr:uid="{00000000-0005-0000-0000-0000333B0000}"/>
    <cellStyle name="Normal 10 4 7 2 3 2" xfId="34627" xr:uid="{00000000-0005-0000-0000-0000343B0000}"/>
    <cellStyle name="Normal 10 4 7 2 4" xfId="17860" xr:uid="{00000000-0005-0000-0000-0000353B0000}"/>
    <cellStyle name="Normal 10 4 7 2 4 2" xfId="43413" xr:uid="{00000000-0005-0000-0000-0000363B0000}"/>
    <cellStyle name="Normal 10 4 7 2 5" xfId="29350" xr:uid="{00000000-0005-0000-0000-0000373B0000}"/>
    <cellStyle name="Normal 10 4 7 3" xfId="5175" xr:uid="{00000000-0005-0000-0000-0000383B0000}"/>
    <cellStyle name="Normal 10 4 7 3 2" xfId="14012" xr:uid="{00000000-0005-0000-0000-0000393B0000}"/>
    <cellStyle name="Normal 10 4 7 3 2 2" xfId="24263" xr:uid="{00000000-0005-0000-0000-00003A3B0000}"/>
    <cellStyle name="Normal 10 4 7 3 2 2 2" xfId="49816" xr:uid="{00000000-0005-0000-0000-00003B3B0000}"/>
    <cellStyle name="Normal 10 4 7 3 2 3" xfId="39567" xr:uid="{00000000-0005-0000-0000-00003C3B0000}"/>
    <cellStyle name="Normal 10 4 7 3 3" xfId="10433" xr:uid="{00000000-0005-0000-0000-00003D3B0000}"/>
    <cellStyle name="Normal 10 4 7 3 3 2" xfId="35990" xr:uid="{00000000-0005-0000-0000-00003E3B0000}"/>
    <cellStyle name="Normal 10 4 7 3 4" xfId="19256" xr:uid="{00000000-0005-0000-0000-00003F3B0000}"/>
    <cellStyle name="Normal 10 4 7 3 4 2" xfId="44809" xr:uid="{00000000-0005-0000-0000-0000403B0000}"/>
    <cellStyle name="Normal 10 4 7 3 5" xfId="30746" xr:uid="{00000000-0005-0000-0000-0000413B0000}"/>
    <cellStyle name="Normal 10 4 7 4" xfId="1741" xr:uid="{00000000-0005-0000-0000-0000423B0000}"/>
    <cellStyle name="Normal 10 4 7 4 2" xfId="11112" xr:uid="{00000000-0005-0000-0000-0000433B0000}"/>
    <cellStyle name="Normal 10 4 7 4 2 2" xfId="36667" xr:uid="{00000000-0005-0000-0000-0000443B0000}"/>
    <cellStyle name="Normal 10 4 7 4 3" xfId="21116" xr:uid="{00000000-0005-0000-0000-0000453B0000}"/>
    <cellStyle name="Normal 10 4 7 4 3 2" xfId="46669" xr:uid="{00000000-0005-0000-0000-0000463B0000}"/>
    <cellStyle name="Normal 10 4 7 4 4" xfId="27599" xr:uid="{00000000-0005-0000-0000-0000473B0000}"/>
    <cellStyle name="Normal 10 4 7 5" xfId="6630" xr:uid="{00000000-0005-0000-0000-0000483B0000}"/>
    <cellStyle name="Normal 10 4 7 5 2" xfId="15457" xr:uid="{00000000-0005-0000-0000-0000493B0000}"/>
    <cellStyle name="Normal 10 4 7 5 2 2" xfId="41012" xr:uid="{00000000-0005-0000-0000-00004A3B0000}"/>
    <cellStyle name="Normal 10 4 7 5 3" xfId="25708" xr:uid="{00000000-0005-0000-0000-00004B3B0000}"/>
    <cellStyle name="Normal 10 4 7 5 3 2" xfId="51261" xr:uid="{00000000-0005-0000-0000-00004C3B0000}"/>
    <cellStyle name="Normal 10 4 7 5 4" xfId="32191" xr:uid="{00000000-0005-0000-0000-00004D3B0000}"/>
    <cellStyle name="Normal 10 4 7 6" xfId="8076" xr:uid="{00000000-0005-0000-0000-00004E3B0000}"/>
    <cellStyle name="Normal 10 4 7 6 2" xfId="20466" xr:uid="{00000000-0005-0000-0000-00004F3B0000}"/>
    <cellStyle name="Normal 10 4 7 6 2 2" xfId="46019" xr:uid="{00000000-0005-0000-0000-0000503B0000}"/>
    <cellStyle name="Normal 10 4 7 6 3" xfId="33633" xr:uid="{00000000-0005-0000-0000-0000513B0000}"/>
    <cellStyle name="Normal 10 4 7 7" xfId="16109" xr:uid="{00000000-0005-0000-0000-0000523B0000}"/>
    <cellStyle name="Normal 10 4 7 7 2" xfId="41662" xr:uid="{00000000-0005-0000-0000-0000533B0000}"/>
    <cellStyle name="Normal 10 4 7 8" xfId="26949" xr:uid="{00000000-0005-0000-0000-0000543B0000}"/>
    <cellStyle name="Normal 10 4 8" xfId="2639" xr:uid="{00000000-0005-0000-0000-0000553B0000}"/>
    <cellStyle name="Normal 10 4 8 2" xfId="5587" xr:uid="{00000000-0005-0000-0000-0000563B0000}"/>
    <cellStyle name="Normal 10 4 8 2 2" xfId="14414" xr:uid="{00000000-0005-0000-0000-0000573B0000}"/>
    <cellStyle name="Normal 10 4 8 2 2 2" xfId="39969" xr:uid="{00000000-0005-0000-0000-0000583B0000}"/>
    <cellStyle name="Normal 10 4 8 2 3" xfId="24665" xr:uid="{00000000-0005-0000-0000-0000593B0000}"/>
    <cellStyle name="Normal 10 4 8 2 3 2" xfId="50218" xr:uid="{00000000-0005-0000-0000-00005A3B0000}"/>
    <cellStyle name="Normal 10 4 8 2 4" xfId="31148" xr:uid="{00000000-0005-0000-0000-00005B3B0000}"/>
    <cellStyle name="Normal 10 4 8 3" xfId="7031" xr:uid="{00000000-0005-0000-0000-00005C3B0000}"/>
    <cellStyle name="Normal 10 4 8 3 2" xfId="22000" xr:uid="{00000000-0005-0000-0000-00005D3B0000}"/>
    <cellStyle name="Normal 10 4 8 3 2 2" xfId="47553" xr:uid="{00000000-0005-0000-0000-00005E3B0000}"/>
    <cellStyle name="Normal 10 4 8 3 3" xfId="32588" xr:uid="{00000000-0005-0000-0000-00005F3B0000}"/>
    <cellStyle name="Normal 10 4 8 4" xfId="16993" xr:uid="{00000000-0005-0000-0000-0000603B0000}"/>
    <cellStyle name="Normal 10 4 8 4 2" xfId="42546" xr:uid="{00000000-0005-0000-0000-0000613B0000}"/>
    <cellStyle name="Normal 10 4 8 5" xfId="28483" xr:uid="{00000000-0005-0000-0000-0000623B0000}"/>
    <cellStyle name="Normal 10 4 9" xfId="4129" xr:uid="{00000000-0005-0000-0000-0000633B0000}"/>
    <cellStyle name="Normal 10 4 9 2" xfId="12967" xr:uid="{00000000-0005-0000-0000-0000643B0000}"/>
    <cellStyle name="Normal 10 4 9 2 2" xfId="23218" xr:uid="{00000000-0005-0000-0000-0000653B0000}"/>
    <cellStyle name="Normal 10 4 9 2 2 2" xfId="48771" xr:uid="{00000000-0005-0000-0000-0000663B0000}"/>
    <cellStyle name="Normal 10 4 9 2 3" xfId="38522" xr:uid="{00000000-0005-0000-0000-0000673B0000}"/>
    <cellStyle name="Normal 10 4 9 3" xfId="9388" xr:uid="{00000000-0005-0000-0000-0000683B0000}"/>
    <cellStyle name="Normal 10 4 9 3 2" xfId="34945" xr:uid="{00000000-0005-0000-0000-0000693B0000}"/>
    <cellStyle name="Normal 10 4 9 4" xfId="18211" xr:uid="{00000000-0005-0000-0000-00006A3B0000}"/>
    <cellStyle name="Normal 10 4 9 4 2" xfId="43764" xr:uid="{00000000-0005-0000-0000-00006B3B0000}"/>
    <cellStyle name="Normal 10 4 9 5" xfId="29701" xr:uid="{00000000-0005-0000-0000-00006C3B0000}"/>
    <cellStyle name="Normal 10 4_Degree data" xfId="3907" xr:uid="{00000000-0005-0000-0000-00006D3B0000}"/>
    <cellStyle name="Normal 10 5" xfId="176" xr:uid="{00000000-0005-0000-0000-00006E3B0000}"/>
    <cellStyle name="Normal 10 5 10" xfId="7124" xr:uid="{00000000-0005-0000-0000-00006F3B0000}"/>
    <cellStyle name="Normal 10 5 10 2" xfId="19633" xr:uid="{00000000-0005-0000-0000-0000703B0000}"/>
    <cellStyle name="Normal 10 5 10 2 2" xfId="45186" xr:uid="{00000000-0005-0000-0000-0000713B0000}"/>
    <cellStyle name="Normal 10 5 10 3" xfId="32681" xr:uid="{00000000-0005-0000-0000-0000723B0000}"/>
    <cellStyle name="Normal 10 5 11" xfId="15870" xr:uid="{00000000-0005-0000-0000-0000733B0000}"/>
    <cellStyle name="Normal 10 5 11 2" xfId="41423" xr:uid="{00000000-0005-0000-0000-0000743B0000}"/>
    <cellStyle name="Normal 10 5 12" xfId="26116" xr:uid="{00000000-0005-0000-0000-0000753B0000}"/>
    <cellStyle name="Normal 10 5 2" xfId="504" xr:uid="{00000000-0005-0000-0000-0000763B0000}"/>
    <cellStyle name="Normal 10 5 2 10" xfId="26433" xr:uid="{00000000-0005-0000-0000-0000773B0000}"/>
    <cellStyle name="Normal 10 5 2 2" xfId="723" xr:uid="{00000000-0005-0000-0000-0000783B0000}"/>
    <cellStyle name="Normal 10 5 2 2 2" xfId="3209" xr:uid="{00000000-0005-0000-0000-0000793B0000}"/>
    <cellStyle name="Normal 10 5 2 2 2 2" xfId="12352" xr:uid="{00000000-0005-0000-0000-00007A3B0000}"/>
    <cellStyle name="Normal 10 5 2 2 2 2 2" xfId="22570" xr:uid="{00000000-0005-0000-0000-00007B3B0000}"/>
    <cellStyle name="Normal 10 5 2 2 2 2 2 2" xfId="48123" xr:uid="{00000000-0005-0000-0000-00007C3B0000}"/>
    <cellStyle name="Normal 10 5 2 2 2 2 3" xfId="37907" xr:uid="{00000000-0005-0000-0000-00007D3B0000}"/>
    <cellStyle name="Normal 10 5 2 2 2 3" xfId="8774" xr:uid="{00000000-0005-0000-0000-00007E3B0000}"/>
    <cellStyle name="Normal 10 5 2 2 2 3 2" xfId="34331" xr:uid="{00000000-0005-0000-0000-00007F3B0000}"/>
    <cellStyle name="Normal 10 5 2 2 2 4" xfId="17563" xr:uid="{00000000-0005-0000-0000-0000803B0000}"/>
    <cellStyle name="Normal 10 5 2 2 2 4 2" xfId="43116" xr:uid="{00000000-0005-0000-0000-0000813B0000}"/>
    <cellStyle name="Normal 10 5 2 2 2 5" xfId="29053" xr:uid="{00000000-0005-0000-0000-0000823B0000}"/>
    <cellStyle name="Normal 10 5 2 2 3" xfId="4538" xr:uid="{00000000-0005-0000-0000-0000833B0000}"/>
    <cellStyle name="Normal 10 5 2 2 3 2" xfId="13376" xr:uid="{00000000-0005-0000-0000-0000843B0000}"/>
    <cellStyle name="Normal 10 5 2 2 3 2 2" xfId="23627" xr:uid="{00000000-0005-0000-0000-0000853B0000}"/>
    <cellStyle name="Normal 10 5 2 2 3 2 2 2" xfId="49180" xr:uid="{00000000-0005-0000-0000-0000863B0000}"/>
    <cellStyle name="Normal 10 5 2 2 3 2 3" xfId="38931" xr:uid="{00000000-0005-0000-0000-0000873B0000}"/>
    <cellStyle name="Normal 10 5 2 2 3 3" xfId="9797" xr:uid="{00000000-0005-0000-0000-0000883B0000}"/>
    <cellStyle name="Normal 10 5 2 2 3 3 2" xfId="35354" xr:uid="{00000000-0005-0000-0000-0000893B0000}"/>
    <cellStyle name="Normal 10 5 2 2 3 4" xfId="18620" xr:uid="{00000000-0005-0000-0000-00008A3B0000}"/>
    <cellStyle name="Normal 10 5 2 2 3 4 2" xfId="44173" xr:uid="{00000000-0005-0000-0000-00008B3B0000}"/>
    <cellStyle name="Normal 10 5 2 2 3 5" xfId="30110" xr:uid="{00000000-0005-0000-0000-00008C3B0000}"/>
    <cellStyle name="Normal 10 5 2 2 4" xfId="2318" xr:uid="{00000000-0005-0000-0000-00008D3B0000}"/>
    <cellStyle name="Normal 10 5 2 2 4 2" xfId="11683" xr:uid="{00000000-0005-0000-0000-00008E3B0000}"/>
    <cellStyle name="Normal 10 5 2 2 4 2 2" xfId="37238" xr:uid="{00000000-0005-0000-0000-00008F3B0000}"/>
    <cellStyle name="Normal 10 5 2 2 4 3" xfId="21687" xr:uid="{00000000-0005-0000-0000-0000903B0000}"/>
    <cellStyle name="Normal 10 5 2 2 4 3 2" xfId="47240" xr:uid="{00000000-0005-0000-0000-0000913B0000}"/>
    <cellStyle name="Normal 10 5 2 2 4 4" xfId="28170" xr:uid="{00000000-0005-0000-0000-0000923B0000}"/>
    <cellStyle name="Normal 10 5 2 2 5" xfId="5994" xr:uid="{00000000-0005-0000-0000-0000933B0000}"/>
    <cellStyle name="Normal 10 5 2 2 5 2" xfId="14821" xr:uid="{00000000-0005-0000-0000-0000943B0000}"/>
    <cellStyle name="Normal 10 5 2 2 5 2 2" xfId="40376" xr:uid="{00000000-0005-0000-0000-0000953B0000}"/>
    <cellStyle name="Normal 10 5 2 2 5 3" xfId="25072" xr:uid="{00000000-0005-0000-0000-0000963B0000}"/>
    <cellStyle name="Normal 10 5 2 2 5 3 2" xfId="50625" xr:uid="{00000000-0005-0000-0000-0000973B0000}"/>
    <cellStyle name="Normal 10 5 2 2 5 4" xfId="31555" xr:uid="{00000000-0005-0000-0000-0000983B0000}"/>
    <cellStyle name="Normal 10 5 2 2 6" xfId="7438" xr:uid="{00000000-0005-0000-0000-0000993B0000}"/>
    <cellStyle name="Normal 10 5 2 2 6 2" xfId="20169" xr:uid="{00000000-0005-0000-0000-00009A3B0000}"/>
    <cellStyle name="Normal 10 5 2 2 6 2 2" xfId="45722" xr:uid="{00000000-0005-0000-0000-00009B3B0000}"/>
    <cellStyle name="Normal 10 5 2 2 6 3" xfId="32995" xr:uid="{00000000-0005-0000-0000-00009C3B0000}"/>
    <cellStyle name="Normal 10 5 2 2 7" xfId="16680" xr:uid="{00000000-0005-0000-0000-00009D3B0000}"/>
    <cellStyle name="Normal 10 5 2 2 7 2" xfId="42233" xr:uid="{00000000-0005-0000-0000-00009E3B0000}"/>
    <cellStyle name="Normal 10 5 2 2 8" xfId="26652" xr:uid="{00000000-0005-0000-0000-00009F3B0000}"/>
    <cellStyle name="Normal 10 5 2 3" xfId="1276" xr:uid="{00000000-0005-0000-0000-0000A03B0000}"/>
    <cellStyle name="Normal 10 5 2 3 2" xfId="3705" xr:uid="{00000000-0005-0000-0000-0000A13B0000}"/>
    <cellStyle name="Normal 10 5 2 3 2 2" xfId="12841" xr:uid="{00000000-0005-0000-0000-0000A23B0000}"/>
    <cellStyle name="Normal 10 5 2 3 2 2 2" xfId="23060" xr:uid="{00000000-0005-0000-0000-0000A33B0000}"/>
    <cellStyle name="Normal 10 5 2 3 2 2 2 2" xfId="48613" xr:uid="{00000000-0005-0000-0000-0000A43B0000}"/>
    <cellStyle name="Normal 10 5 2 3 2 2 3" xfId="38396" xr:uid="{00000000-0005-0000-0000-0000A53B0000}"/>
    <cellStyle name="Normal 10 5 2 3 2 3" xfId="9262" xr:uid="{00000000-0005-0000-0000-0000A63B0000}"/>
    <cellStyle name="Normal 10 5 2 3 2 3 2" xfId="34819" xr:uid="{00000000-0005-0000-0000-0000A73B0000}"/>
    <cellStyle name="Normal 10 5 2 3 2 4" xfId="18053" xr:uid="{00000000-0005-0000-0000-0000A83B0000}"/>
    <cellStyle name="Normal 10 5 2 3 2 4 2" xfId="43606" xr:uid="{00000000-0005-0000-0000-0000A93B0000}"/>
    <cellStyle name="Normal 10 5 2 3 2 5" xfId="29543" xr:uid="{00000000-0005-0000-0000-0000AA3B0000}"/>
    <cellStyle name="Normal 10 5 2 3 3" xfId="4887" xr:uid="{00000000-0005-0000-0000-0000AB3B0000}"/>
    <cellStyle name="Normal 10 5 2 3 3 2" xfId="13724" xr:uid="{00000000-0005-0000-0000-0000AC3B0000}"/>
    <cellStyle name="Normal 10 5 2 3 3 2 2" xfId="23975" xr:uid="{00000000-0005-0000-0000-0000AD3B0000}"/>
    <cellStyle name="Normal 10 5 2 3 3 2 2 2" xfId="49528" xr:uid="{00000000-0005-0000-0000-0000AE3B0000}"/>
    <cellStyle name="Normal 10 5 2 3 3 2 3" xfId="39279" xr:uid="{00000000-0005-0000-0000-0000AF3B0000}"/>
    <cellStyle name="Normal 10 5 2 3 3 3" xfId="10145" xr:uid="{00000000-0005-0000-0000-0000B03B0000}"/>
    <cellStyle name="Normal 10 5 2 3 3 3 2" xfId="35702" xr:uid="{00000000-0005-0000-0000-0000B13B0000}"/>
    <cellStyle name="Normal 10 5 2 3 3 4" xfId="18968" xr:uid="{00000000-0005-0000-0000-0000B23B0000}"/>
    <cellStyle name="Normal 10 5 2 3 3 4 2" xfId="44521" xr:uid="{00000000-0005-0000-0000-0000B33B0000}"/>
    <cellStyle name="Normal 10 5 2 3 3 5" xfId="30458" xr:uid="{00000000-0005-0000-0000-0000B43B0000}"/>
    <cellStyle name="Normal 10 5 2 3 4" xfId="2099" xr:uid="{00000000-0005-0000-0000-0000B53B0000}"/>
    <cellStyle name="Normal 10 5 2 3 4 2" xfId="11464" xr:uid="{00000000-0005-0000-0000-0000B63B0000}"/>
    <cellStyle name="Normal 10 5 2 3 4 2 2" xfId="37019" xr:uid="{00000000-0005-0000-0000-0000B73B0000}"/>
    <cellStyle name="Normal 10 5 2 3 4 3" xfId="21468" xr:uid="{00000000-0005-0000-0000-0000B83B0000}"/>
    <cellStyle name="Normal 10 5 2 3 4 3 2" xfId="47021" xr:uid="{00000000-0005-0000-0000-0000B93B0000}"/>
    <cellStyle name="Normal 10 5 2 3 4 4" xfId="27951" xr:uid="{00000000-0005-0000-0000-0000BA3B0000}"/>
    <cellStyle name="Normal 10 5 2 3 5" xfId="6342" xr:uid="{00000000-0005-0000-0000-0000BB3B0000}"/>
    <cellStyle name="Normal 10 5 2 3 5 2" xfId="15169" xr:uid="{00000000-0005-0000-0000-0000BC3B0000}"/>
    <cellStyle name="Normal 10 5 2 3 5 2 2" xfId="40724" xr:uid="{00000000-0005-0000-0000-0000BD3B0000}"/>
    <cellStyle name="Normal 10 5 2 3 5 3" xfId="25420" xr:uid="{00000000-0005-0000-0000-0000BE3B0000}"/>
    <cellStyle name="Normal 10 5 2 3 5 3 2" xfId="50973" xr:uid="{00000000-0005-0000-0000-0000BF3B0000}"/>
    <cellStyle name="Normal 10 5 2 3 5 4" xfId="31903" xr:uid="{00000000-0005-0000-0000-0000C03B0000}"/>
    <cellStyle name="Normal 10 5 2 3 6" xfId="7788" xr:uid="{00000000-0005-0000-0000-0000C13B0000}"/>
    <cellStyle name="Normal 10 5 2 3 6 2" xfId="20659" xr:uid="{00000000-0005-0000-0000-0000C23B0000}"/>
    <cellStyle name="Normal 10 5 2 3 6 2 2" xfId="46212" xr:uid="{00000000-0005-0000-0000-0000C33B0000}"/>
    <cellStyle name="Normal 10 5 2 3 6 3" xfId="33345" xr:uid="{00000000-0005-0000-0000-0000C43B0000}"/>
    <cellStyle name="Normal 10 5 2 3 7" xfId="16461" xr:uid="{00000000-0005-0000-0000-0000C53B0000}"/>
    <cellStyle name="Normal 10 5 2 3 7 2" xfId="42014" xr:uid="{00000000-0005-0000-0000-0000C63B0000}"/>
    <cellStyle name="Normal 10 5 2 3 8" xfId="27142" xr:uid="{00000000-0005-0000-0000-0000C73B0000}"/>
    <cellStyle name="Normal 10 5 2 4" xfId="2990" xr:uid="{00000000-0005-0000-0000-0000C83B0000}"/>
    <cellStyle name="Normal 10 5 2 4 2" xfId="5368" xr:uid="{00000000-0005-0000-0000-0000C93B0000}"/>
    <cellStyle name="Normal 10 5 2 4 2 2" xfId="14205" xr:uid="{00000000-0005-0000-0000-0000CA3B0000}"/>
    <cellStyle name="Normal 10 5 2 4 2 2 2" xfId="24456" xr:uid="{00000000-0005-0000-0000-0000CB3B0000}"/>
    <cellStyle name="Normal 10 5 2 4 2 2 2 2" xfId="50009" xr:uid="{00000000-0005-0000-0000-0000CC3B0000}"/>
    <cellStyle name="Normal 10 5 2 4 2 2 3" xfId="39760" xr:uid="{00000000-0005-0000-0000-0000CD3B0000}"/>
    <cellStyle name="Normal 10 5 2 4 2 3" xfId="10626" xr:uid="{00000000-0005-0000-0000-0000CE3B0000}"/>
    <cellStyle name="Normal 10 5 2 4 2 3 2" xfId="36183" xr:uid="{00000000-0005-0000-0000-0000CF3B0000}"/>
    <cellStyle name="Normal 10 5 2 4 2 4" xfId="19449" xr:uid="{00000000-0005-0000-0000-0000D03B0000}"/>
    <cellStyle name="Normal 10 5 2 4 2 4 2" xfId="45002" xr:uid="{00000000-0005-0000-0000-0000D13B0000}"/>
    <cellStyle name="Normal 10 5 2 4 2 5" xfId="30939" xr:uid="{00000000-0005-0000-0000-0000D23B0000}"/>
    <cellStyle name="Normal 10 5 2 4 3" xfId="6823" xr:uid="{00000000-0005-0000-0000-0000D33B0000}"/>
    <cellStyle name="Normal 10 5 2 4 3 2" xfId="15650" xr:uid="{00000000-0005-0000-0000-0000D43B0000}"/>
    <cellStyle name="Normal 10 5 2 4 3 2 2" xfId="41205" xr:uid="{00000000-0005-0000-0000-0000D53B0000}"/>
    <cellStyle name="Normal 10 5 2 4 3 3" xfId="25901" xr:uid="{00000000-0005-0000-0000-0000D63B0000}"/>
    <cellStyle name="Normal 10 5 2 4 3 3 2" xfId="51454" xr:uid="{00000000-0005-0000-0000-0000D73B0000}"/>
    <cellStyle name="Normal 10 5 2 4 3 4" xfId="32384" xr:uid="{00000000-0005-0000-0000-0000D83B0000}"/>
    <cellStyle name="Normal 10 5 2 4 4" xfId="8269" xr:uid="{00000000-0005-0000-0000-0000D93B0000}"/>
    <cellStyle name="Normal 10 5 2 4 4 2" xfId="22351" xr:uid="{00000000-0005-0000-0000-0000DA3B0000}"/>
    <cellStyle name="Normal 10 5 2 4 4 2 2" xfId="47904" xr:uid="{00000000-0005-0000-0000-0000DB3B0000}"/>
    <cellStyle name="Normal 10 5 2 4 4 3" xfId="33826" xr:uid="{00000000-0005-0000-0000-0000DC3B0000}"/>
    <cellStyle name="Normal 10 5 2 4 5" xfId="17344" xr:uid="{00000000-0005-0000-0000-0000DD3B0000}"/>
    <cellStyle name="Normal 10 5 2 4 5 2" xfId="42897" xr:uid="{00000000-0005-0000-0000-0000DE3B0000}"/>
    <cellStyle name="Normal 10 5 2 4 6" xfId="28834" xr:uid="{00000000-0005-0000-0000-0000DF3B0000}"/>
    <cellStyle name="Normal 10 5 2 5" xfId="4324" xr:uid="{00000000-0005-0000-0000-0000E03B0000}"/>
    <cellStyle name="Normal 10 5 2 5 2" xfId="13162" xr:uid="{00000000-0005-0000-0000-0000E13B0000}"/>
    <cellStyle name="Normal 10 5 2 5 2 2" xfId="23413" xr:uid="{00000000-0005-0000-0000-0000E23B0000}"/>
    <cellStyle name="Normal 10 5 2 5 2 2 2" xfId="48966" xr:uid="{00000000-0005-0000-0000-0000E33B0000}"/>
    <cellStyle name="Normal 10 5 2 5 2 3" xfId="38717" xr:uid="{00000000-0005-0000-0000-0000E43B0000}"/>
    <cellStyle name="Normal 10 5 2 5 3" xfId="9583" xr:uid="{00000000-0005-0000-0000-0000E53B0000}"/>
    <cellStyle name="Normal 10 5 2 5 3 2" xfId="35140" xr:uid="{00000000-0005-0000-0000-0000E63B0000}"/>
    <cellStyle name="Normal 10 5 2 5 4" xfId="18406" xr:uid="{00000000-0005-0000-0000-0000E73B0000}"/>
    <cellStyle name="Normal 10 5 2 5 4 2" xfId="43959" xr:uid="{00000000-0005-0000-0000-0000E83B0000}"/>
    <cellStyle name="Normal 10 5 2 5 5" xfId="29896" xr:uid="{00000000-0005-0000-0000-0000E93B0000}"/>
    <cellStyle name="Normal 10 5 2 6" xfId="1596" xr:uid="{00000000-0005-0000-0000-0000EA3B0000}"/>
    <cellStyle name="Normal 10 5 2 6 2" xfId="10973" xr:uid="{00000000-0005-0000-0000-0000EB3B0000}"/>
    <cellStyle name="Normal 10 5 2 6 2 2" xfId="36528" xr:uid="{00000000-0005-0000-0000-0000EC3B0000}"/>
    <cellStyle name="Normal 10 5 2 6 3" xfId="20977" xr:uid="{00000000-0005-0000-0000-0000ED3B0000}"/>
    <cellStyle name="Normal 10 5 2 6 3 2" xfId="46530" xr:uid="{00000000-0005-0000-0000-0000EE3B0000}"/>
    <cellStyle name="Normal 10 5 2 6 4" xfId="27460" xr:uid="{00000000-0005-0000-0000-0000EF3B0000}"/>
    <cellStyle name="Normal 10 5 2 7" xfId="5780" xr:uid="{00000000-0005-0000-0000-0000F03B0000}"/>
    <cellStyle name="Normal 10 5 2 7 2" xfId="14607" xr:uid="{00000000-0005-0000-0000-0000F13B0000}"/>
    <cellStyle name="Normal 10 5 2 7 2 2" xfId="40162" xr:uid="{00000000-0005-0000-0000-0000F23B0000}"/>
    <cellStyle name="Normal 10 5 2 7 3" xfId="24858" xr:uid="{00000000-0005-0000-0000-0000F33B0000}"/>
    <cellStyle name="Normal 10 5 2 7 3 2" xfId="50411" xr:uid="{00000000-0005-0000-0000-0000F43B0000}"/>
    <cellStyle name="Normal 10 5 2 7 4" xfId="31341" xr:uid="{00000000-0005-0000-0000-0000F53B0000}"/>
    <cellStyle name="Normal 10 5 2 8" xfId="7224" xr:uid="{00000000-0005-0000-0000-0000F63B0000}"/>
    <cellStyle name="Normal 10 5 2 8 2" xfId="19950" xr:uid="{00000000-0005-0000-0000-0000F73B0000}"/>
    <cellStyle name="Normal 10 5 2 8 2 2" xfId="45503" xr:uid="{00000000-0005-0000-0000-0000F83B0000}"/>
    <cellStyle name="Normal 10 5 2 8 3" xfId="32781" xr:uid="{00000000-0005-0000-0000-0000F93B0000}"/>
    <cellStyle name="Normal 10 5 2 9" xfId="15970" xr:uid="{00000000-0005-0000-0000-0000FA3B0000}"/>
    <cellStyle name="Normal 10 5 2 9 2" xfId="41523" xr:uid="{00000000-0005-0000-0000-0000FB3B0000}"/>
    <cellStyle name="Normal 10 5 2_Degree data" xfId="3829" xr:uid="{00000000-0005-0000-0000-0000FC3B0000}"/>
    <cellStyle name="Normal 10 5 3" xfId="404" xr:uid="{00000000-0005-0000-0000-0000FD3B0000}"/>
    <cellStyle name="Normal 10 5 3 2" xfId="2890" xr:uid="{00000000-0005-0000-0000-0000FE3B0000}"/>
    <cellStyle name="Normal 10 5 3 2 2" xfId="12178" xr:uid="{00000000-0005-0000-0000-0000FF3B0000}"/>
    <cellStyle name="Normal 10 5 3 2 2 2" xfId="22251" xr:uid="{00000000-0005-0000-0000-0000003C0000}"/>
    <cellStyle name="Normal 10 5 3 2 2 2 2" xfId="47804" xr:uid="{00000000-0005-0000-0000-0000013C0000}"/>
    <cellStyle name="Normal 10 5 3 2 2 3" xfId="37733" xr:uid="{00000000-0005-0000-0000-0000023C0000}"/>
    <cellStyle name="Normal 10 5 3 2 3" xfId="8384" xr:uid="{00000000-0005-0000-0000-0000033C0000}"/>
    <cellStyle name="Normal 10 5 3 2 3 2" xfId="33941" xr:uid="{00000000-0005-0000-0000-0000043C0000}"/>
    <cellStyle name="Normal 10 5 3 2 4" xfId="17244" xr:uid="{00000000-0005-0000-0000-0000053C0000}"/>
    <cellStyle name="Normal 10 5 3 2 4 2" xfId="42797" xr:uid="{00000000-0005-0000-0000-0000063C0000}"/>
    <cellStyle name="Normal 10 5 3 2 5" xfId="28734" xr:uid="{00000000-0005-0000-0000-0000073C0000}"/>
    <cellStyle name="Normal 10 5 3 3" xfId="4537" xr:uid="{00000000-0005-0000-0000-0000083C0000}"/>
    <cellStyle name="Normal 10 5 3 3 2" xfId="13375" xr:uid="{00000000-0005-0000-0000-0000093C0000}"/>
    <cellStyle name="Normal 10 5 3 3 2 2" xfId="23626" xr:uid="{00000000-0005-0000-0000-00000A3C0000}"/>
    <cellStyle name="Normal 10 5 3 3 2 2 2" xfId="49179" xr:uid="{00000000-0005-0000-0000-00000B3C0000}"/>
    <cellStyle name="Normal 10 5 3 3 2 3" xfId="38930" xr:uid="{00000000-0005-0000-0000-00000C3C0000}"/>
    <cellStyle name="Normal 10 5 3 3 3" xfId="9796" xr:uid="{00000000-0005-0000-0000-00000D3C0000}"/>
    <cellStyle name="Normal 10 5 3 3 3 2" xfId="35353" xr:uid="{00000000-0005-0000-0000-00000E3C0000}"/>
    <cellStyle name="Normal 10 5 3 3 4" xfId="18619" xr:uid="{00000000-0005-0000-0000-00000F3C0000}"/>
    <cellStyle name="Normal 10 5 3 3 4 2" xfId="44172" xr:uid="{00000000-0005-0000-0000-0000103C0000}"/>
    <cellStyle name="Normal 10 5 3 3 5" xfId="30109" xr:uid="{00000000-0005-0000-0000-0000113C0000}"/>
    <cellStyle name="Normal 10 5 3 4" xfId="1999" xr:uid="{00000000-0005-0000-0000-0000123C0000}"/>
    <cellStyle name="Normal 10 5 3 4 2" xfId="11364" xr:uid="{00000000-0005-0000-0000-0000133C0000}"/>
    <cellStyle name="Normal 10 5 3 4 2 2" xfId="36919" xr:uid="{00000000-0005-0000-0000-0000143C0000}"/>
    <cellStyle name="Normal 10 5 3 4 3" xfId="21368" xr:uid="{00000000-0005-0000-0000-0000153C0000}"/>
    <cellStyle name="Normal 10 5 3 4 3 2" xfId="46921" xr:uid="{00000000-0005-0000-0000-0000163C0000}"/>
    <cellStyle name="Normal 10 5 3 4 4" xfId="27851" xr:uid="{00000000-0005-0000-0000-0000173C0000}"/>
    <cellStyle name="Normal 10 5 3 5" xfId="5993" xr:uid="{00000000-0005-0000-0000-0000183C0000}"/>
    <cellStyle name="Normal 10 5 3 5 2" xfId="14820" xr:uid="{00000000-0005-0000-0000-0000193C0000}"/>
    <cellStyle name="Normal 10 5 3 5 2 2" xfId="40375" xr:uid="{00000000-0005-0000-0000-00001A3C0000}"/>
    <cellStyle name="Normal 10 5 3 5 3" xfId="25071" xr:uid="{00000000-0005-0000-0000-00001B3C0000}"/>
    <cellStyle name="Normal 10 5 3 5 3 2" xfId="50624" xr:uid="{00000000-0005-0000-0000-00001C3C0000}"/>
    <cellStyle name="Normal 10 5 3 5 4" xfId="31554" xr:uid="{00000000-0005-0000-0000-00001D3C0000}"/>
    <cellStyle name="Normal 10 5 3 6" xfId="7437" xr:uid="{00000000-0005-0000-0000-00001E3C0000}"/>
    <cellStyle name="Normal 10 5 3 6 2" xfId="19850" xr:uid="{00000000-0005-0000-0000-00001F3C0000}"/>
    <cellStyle name="Normal 10 5 3 6 2 2" xfId="45403" xr:uid="{00000000-0005-0000-0000-0000203C0000}"/>
    <cellStyle name="Normal 10 5 3 6 3" xfId="32994" xr:uid="{00000000-0005-0000-0000-0000213C0000}"/>
    <cellStyle name="Normal 10 5 3 7" xfId="16361" xr:uid="{00000000-0005-0000-0000-0000223C0000}"/>
    <cellStyle name="Normal 10 5 3 7 2" xfId="41914" xr:uid="{00000000-0005-0000-0000-0000233C0000}"/>
    <cellStyle name="Normal 10 5 3 8" xfId="26333" xr:uid="{00000000-0005-0000-0000-0000243C0000}"/>
    <cellStyle name="Normal 10 5 4" xfId="722" xr:uid="{00000000-0005-0000-0000-0000253C0000}"/>
    <cellStyle name="Normal 10 5 4 2" xfId="3208" xr:uid="{00000000-0005-0000-0000-0000263C0000}"/>
    <cellStyle name="Normal 10 5 4 2 2" xfId="12351" xr:uid="{00000000-0005-0000-0000-0000273C0000}"/>
    <cellStyle name="Normal 10 5 4 2 2 2" xfId="22569" xr:uid="{00000000-0005-0000-0000-0000283C0000}"/>
    <cellStyle name="Normal 10 5 4 2 2 2 2" xfId="48122" xr:uid="{00000000-0005-0000-0000-0000293C0000}"/>
    <cellStyle name="Normal 10 5 4 2 2 3" xfId="37906" xr:uid="{00000000-0005-0000-0000-00002A3C0000}"/>
    <cellStyle name="Normal 10 5 4 2 3" xfId="8773" xr:uid="{00000000-0005-0000-0000-00002B3C0000}"/>
    <cellStyle name="Normal 10 5 4 2 3 2" xfId="34330" xr:uid="{00000000-0005-0000-0000-00002C3C0000}"/>
    <cellStyle name="Normal 10 5 4 2 4" xfId="17562" xr:uid="{00000000-0005-0000-0000-00002D3C0000}"/>
    <cellStyle name="Normal 10 5 4 2 4 2" xfId="43115" xr:uid="{00000000-0005-0000-0000-00002E3C0000}"/>
    <cellStyle name="Normal 10 5 4 2 5" xfId="29052" xr:uid="{00000000-0005-0000-0000-00002F3C0000}"/>
    <cellStyle name="Normal 10 5 4 3" xfId="4886" xr:uid="{00000000-0005-0000-0000-0000303C0000}"/>
    <cellStyle name="Normal 10 5 4 3 2" xfId="13723" xr:uid="{00000000-0005-0000-0000-0000313C0000}"/>
    <cellStyle name="Normal 10 5 4 3 2 2" xfId="23974" xr:uid="{00000000-0005-0000-0000-0000323C0000}"/>
    <cellStyle name="Normal 10 5 4 3 2 2 2" xfId="49527" xr:uid="{00000000-0005-0000-0000-0000333C0000}"/>
    <cellStyle name="Normal 10 5 4 3 2 3" xfId="39278" xr:uid="{00000000-0005-0000-0000-0000343C0000}"/>
    <cellStyle name="Normal 10 5 4 3 3" xfId="10144" xr:uid="{00000000-0005-0000-0000-0000353C0000}"/>
    <cellStyle name="Normal 10 5 4 3 3 2" xfId="35701" xr:uid="{00000000-0005-0000-0000-0000363C0000}"/>
    <cellStyle name="Normal 10 5 4 3 4" xfId="18967" xr:uid="{00000000-0005-0000-0000-0000373C0000}"/>
    <cellStyle name="Normal 10 5 4 3 4 2" xfId="44520" xr:uid="{00000000-0005-0000-0000-0000383C0000}"/>
    <cellStyle name="Normal 10 5 4 3 5" xfId="30457" xr:uid="{00000000-0005-0000-0000-0000393C0000}"/>
    <cellStyle name="Normal 10 5 4 4" xfId="2317" xr:uid="{00000000-0005-0000-0000-00003A3C0000}"/>
    <cellStyle name="Normal 10 5 4 4 2" xfId="11682" xr:uid="{00000000-0005-0000-0000-00003B3C0000}"/>
    <cellStyle name="Normal 10 5 4 4 2 2" xfId="37237" xr:uid="{00000000-0005-0000-0000-00003C3C0000}"/>
    <cellStyle name="Normal 10 5 4 4 3" xfId="21686" xr:uid="{00000000-0005-0000-0000-00003D3C0000}"/>
    <cellStyle name="Normal 10 5 4 4 3 2" xfId="47239" xr:uid="{00000000-0005-0000-0000-00003E3C0000}"/>
    <cellStyle name="Normal 10 5 4 4 4" xfId="28169" xr:uid="{00000000-0005-0000-0000-00003F3C0000}"/>
    <cellStyle name="Normal 10 5 4 5" xfId="6341" xr:uid="{00000000-0005-0000-0000-0000403C0000}"/>
    <cellStyle name="Normal 10 5 4 5 2" xfId="15168" xr:uid="{00000000-0005-0000-0000-0000413C0000}"/>
    <cellStyle name="Normal 10 5 4 5 2 2" xfId="40723" xr:uid="{00000000-0005-0000-0000-0000423C0000}"/>
    <cellStyle name="Normal 10 5 4 5 3" xfId="25419" xr:uid="{00000000-0005-0000-0000-0000433C0000}"/>
    <cellStyle name="Normal 10 5 4 5 3 2" xfId="50972" xr:uid="{00000000-0005-0000-0000-0000443C0000}"/>
    <cellStyle name="Normal 10 5 4 5 4" xfId="31902" xr:uid="{00000000-0005-0000-0000-0000453C0000}"/>
    <cellStyle name="Normal 10 5 4 6" xfId="7787" xr:uid="{00000000-0005-0000-0000-0000463C0000}"/>
    <cellStyle name="Normal 10 5 4 6 2" xfId="20168" xr:uid="{00000000-0005-0000-0000-0000473C0000}"/>
    <cellStyle name="Normal 10 5 4 6 2 2" xfId="45721" xr:uid="{00000000-0005-0000-0000-0000483C0000}"/>
    <cellStyle name="Normal 10 5 4 6 3" xfId="33344" xr:uid="{00000000-0005-0000-0000-0000493C0000}"/>
    <cellStyle name="Normal 10 5 4 7" xfId="16679" xr:uid="{00000000-0005-0000-0000-00004A3C0000}"/>
    <cellStyle name="Normal 10 5 4 7 2" xfId="42232" xr:uid="{00000000-0005-0000-0000-00004B3C0000}"/>
    <cellStyle name="Normal 10 5 4 8" xfId="26651" xr:uid="{00000000-0005-0000-0000-00004C3C0000}"/>
    <cellStyle name="Normal 10 5 5" xfId="1176" xr:uid="{00000000-0005-0000-0000-00004D3C0000}"/>
    <cellStyle name="Normal 10 5 5 2" xfId="3605" xr:uid="{00000000-0005-0000-0000-00004E3C0000}"/>
    <cellStyle name="Normal 10 5 5 2 2" xfId="12741" xr:uid="{00000000-0005-0000-0000-00004F3C0000}"/>
    <cellStyle name="Normal 10 5 5 2 2 2" xfId="22960" xr:uid="{00000000-0005-0000-0000-0000503C0000}"/>
    <cellStyle name="Normal 10 5 5 2 2 2 2" xfId="48513" xr:uid="{00000000-0005-0000-0000-0000513C0000}"/>
    <cellStyle name="Normal 10 5 5 2 2 3" xfId="38296" xr:uid="{00000000-0005-0000-0000-0000523C0000}"/>
    <cellStyle name="Normal 10 5 5 2 3" xfId="9162" xr:uid="{00000000-0005-0000-0000-0000533C0000}"/>
    <cellStyle name="Normal 10 5 5 2 3 2" xfId="34719" xr:uid="{00000000-0005-0000-0000-0000543C0000}"/>
    <cellStyle name="Normal 10 5 5 2 4" xfId="17953" xr:uid="{00000000-0005-0000-0000-0000553C0000}"/>
    <cellStyle name="Normal 10 5 5 2 4 2" xfId="43506" xr:uid="{00000000-0005-0000-0000-0000563C0000}"/>
    <cellStyle name="Normal 10 5 5 2 5" xfId="29443" xr:uid="{00000000-0005-0000-0000-0000573C0000}"/>
    <cellStyle name="Normal 10 5 5 3" xfId="5268" xr:uid="{00000000-0005-0000-0000-0000583C0000}"/>
    <cellStyle name="Normal 10 5 5 3 2" xfId="14105" xr:uid="{00000000-0005-0000-0000-0000593C0000}"/>
    <cellStyle name="Normal 10 5 5 3 2 2" xfId="24356" xr:uid="{00000000-0005-0000-0000-00005A3C0000}"/>
    <cellStyle name="Normal 10 5 5 3 2 2 2" xfId="49909" xr:uid="{00000000-0005-0000-0000-00005B3C0000}"/>
    <cellStyle name="Normal 10 5 5 3 2 3" xfId="39660" xr:uid="{00000000-0005-0000-0000-00005C3C0000}"/>
    <cellStyle name="Normal 10 5 5 3 3" xfId="10526" xr:uid="{00000000-0005-0000-0000-00005D3C0000}"/>
    <cellStyle name="Normal 10 5 5 3 3 2" xfId="36083" xr:uid="{00000000-0005-0000-0000-00005E3C0000}"/>
    <cellStyle name="Normal 10 5 5 3 4" xfId="19349" xr:uid="{00000000-0005-0000-0000-00005F3C0000}"/>
    <cellStyle name="Normal 10 5 5 3 4 2" xfId="44902" xr:uid="{00000000-0005-0000-0000-0000603C0000}"/>
    <cellStyle name="Normal 10 5 5 3 5" xfId="30839" xr:uid="{00000000-0005-0000-0000-0000613C0000}"/>
    <cellStyle name="Normal 10 5 5 4" xfId="1778" xr:uid="{00000000-0005-0000-0000-0000623C0000}"/>
    <cellStyle name="Normal 10 5 5 4 2" xfId="11147" xr:uid="{00000000-0005-0000-0000-0000633C0000}"/>
    <cellStyle name="Normal 10 5 5 4 2 2" xfId="36702" xr:uid="{00000000-0005-0000-0000-0000643C0000}"/>
    <cellStyle name="Normal 10 5 5 4 3" xfId="21151" xr:uid="{00000000-0005-0000-0000-0000653C0000}"/>
    <cellStyle name="Normal 10 5 5 4 3 2" xfId="46704" xr:uid="{00000000-0005-0000-0000-0000663C0000}"/>
    <cellStyle name="Normal 10 5 5 4 4" xfId="27634" xr:uid="{00000000-0005-0000-0000-0000673C0000}"/>
    <cellStyle name="Normal 10 5 5 5" xfId="6723" xr:uid="{00000000-0005-0000-0000-0000683C0000}"/>
    <cellStyle name="Normal 10 5 5 5 2" xfId="15550" xr:uid="{00000000-0005-0000-0000-0000693C0000}"/>
    <cellStyle name="Normal 10 5 5 5 2 2" xfId="41105" xr:uid="{00000000-0005-0000-0000-00006A3C0000}"/>
    <cellStyle name="Normal 10 5 5 5 3" xfId="25801" xr:uid="{00000000-0005-0000-0000-00006B3C0000}"/>
    <cellStyle name="Normal 10 5 5 5 3 2" xfId="51354" xr:uid="{00000000-0005-0000-0000-00006C3C0000}"/>
    <cellStyle name="Normal 10 5 5 5 4" xfId="32284" xr:uid="{00000000-0005-0000-0000-00006D3C0000}"/>
    <cellStyle name="Normal 10 5 5 6" xfId="8169" xr:uid="{00000000-0005-0000-0000-00006E3C0000}"/>
    <cellStyle name="Normal 10 5 5 6 2" xfId="20559" xr:uid="{00000000-0005-0000-0000-00006F3C0000}"/>
    <cellStyle name="Normal 10 5 5 6 2 2" xfId="46112" xr:uid="{00000000-0005-0000-0000-0000703C0000}"/>
    <cellStyle name="Normal 10 5 5 6 3" xfId="33726" xr:uid="{00000000-0005-0000-0000-0000713C0000}"/>
    <cellStyle name="Normal 10 5 5 7" xfId="16144" xr:uid="{00000000-0005-0000-0000-0000723C0000}"/>
    <cellStyle name="Normal 10 5 5 7 2" xfId="41697" xr:uid="{00000000-0005-0000-0000-0000733C0000}"/>
    <cellStyle name="Normal 10 5 5 8" xfId="27042" xr:uid="{00000000-0005-0000-0000-0000743C0000}"/>
    <cellStyle name="Normal 10 5 6" xfId="2673" xr:uid="{00000000-0005-0000-0000-0000753C0000}"/>
    <cellStyle name="Normal 10 5 6 2" xfId="11990" xr:uid="{00000000-0005-0000-0000-0000763C0000}"/>
    <cellStyle name="Normal 10 5 6 2 2" xfId="22034" xr:uid="{00000000-0005-0000-0000-0000773C0000}"/>
    <cellStyle name="Normal 10 5 6 2 2 2" xfId="47587" xr:uid="{00000000-0005-0000-0000-0000783C0000}"/>
    <cellStyle name="Normal 10 5 6 2 3" xfId="37545" xr:uid="{00000000-0005-0000-0000-0000793C0000}"/>
    <cellStyle name="Normal 10 5 6 3" xfId="8390" xr:uid="{00000000-0005-0000-0000-00007A3C0000}"/>
    <cellStyle name="Normal 10 5 6 3 2" xfId="33947" xr:uid="{00000000-0005-0000-0000-00007B3C0000}"/>
    <cellStyle name="Normal 10 5 6 4" xfId="17027" xr:uid="{00000000-0005-0000-0000-00007C3C0000}"/>
    <cellStyle name="Normal 10 5 6 4 2" xfId="42580" xr:uid="{00000000-0005-0000-0000-00007D3C0000}"/>
    <cellStyle name="Normal 10 5 6 5" xfId="28517" xr:uid="{00000000-0005-0000-0000-00007E3C0000}"/>
    <cellStyle name="Normal 10 5 7" xfId="4224" xr:uid="{00000000-0005-0000-0000-00007F3C0000}"/>
    <cellStyle name="Normal 10 5 7 2" xfId="13062" xr:uid="{00000000-0005-0000-0000-0000803C0000}"/>
    <cellStyle name="Normal 10 5 7 2 2" xfId="23313" xr:uid="{00000000-0005-0000-0000-0000813C0000}"/>
    <cellStyle name="Normal 10 5 7 2 2 2" xfId="48866" xr:uid="{00000000-0005-0000-0000-0000823C0000}"/>
    <cellStyle name="Normal 10 5 7 2 3" xfId="38617" xr:uid="{00000000-0005-0000-0000-0000833C0000}"/>
    <cellStyle name="Normal 10 5 7 3" xfId="9483" xr:uid="{00000000-0005-0000-0000-0000843C0000}"/>
    <cellStyle name="Normal 10 5 7 3 2" xfId="35040" xr:uid="{00000000-0005-0000-0000-0000853C0000}"/>
    <cellStyle name="Normal 10 5 7 4" xfId="18306" xr:uid="{00000000-0005-0000-0000-0000863C0000}"/>
    <cellStyle name="Normal 10 5 7 4 2" xfId="43859" xr:uid="{00000000-0005-0000-0000-0000873C0000}"/>
    <cellStyle name="Normal 10 5 7 5" xfId="29796" xr:uid="{00000000-0005-0000-0000-0000883C0000}"/>
    <cellStyle name="Normal 10 5 8" xfId="1496" xr:uid="{00000000-0005-0000-0000-0000893C0000}"/>
    <cellStyle name="Normal 10 5 8 2" xfId="10873" xr:uid="{00000000-0005-0000-0000-00008A3C0000}"/>
    <cellStyle name="Normal 10 5 8 2 2" xfId="36428" xr:uid="{00000000-0005-0000-0000-00008B3C0000}"/>
    <cellStyle name="Normal 10 5 8 3" xfId="20877" xr:uid="{00000000-0005-0000-0000-00008C3C0000}"/>
    <cellStyle name="Normal 10 5 8 3 2" xfId="46430" xr:uid="{00000000-0005-0000-0000-00008D3C0000}"/>
    <cellStyle name="Normal 10 5 8 4" xfId="27360" xr:uid="{00000000-0005-0000-0000-00008E3C0000}"/>
    <cellStyle name="Normal 10 5 9" xfId="5680" xr:uid="{00000000-0005-0000-0000-00008F3C0000}"/>
    <cellStyle name="Normal 10 5 9 2" xfId="14507" xr:uid="{00000000-0005-0000-0000-0000903C0000}"/>
    <cellStyle name="Normal 10 5 9 2 2" xfId="40062" xr:uid="{00000000-0005-0000-0000-0000913C0000}"/>
    <cellStyle name="Normal 10 5 9 3" xfId="24758" xr:uid="{00000000-0005-0000-0000-0000923C0000}"/>
    <cellStyle name="Normal 10 5 9 3 2" xfId="50311" xr:uid="{00000000-0005-0000-0000-0000933C0000}"/>
    <cellStyle name="Normal 10 5 9 4" xfId="31241" xr:uid="{00000000-0005-0000-0000-0000943C0000}"/>
    <cellStyle name="Normal 10 5_Degree data" xfId="3827" xr:uid="{00000000-0005-0000-0000-0000953C0000}"/>
    <cellStyle name="Normal 10 6" xfId="697" xr:uid="{00000000-0005-0000-0000-0000963C0000}"/>
    <cellStyle name="Normal 10 6 2" xfId="3183" xr:uid="{00000000-0005-0000-0000-0000973C0000}"/>
    <cellStyle name="Normal 10 6 2 2" xfId="12326" xr:uid="{00000000-0005-0000-0000-0000983C0000}"/>
    <cellStyle name="Normal 10 6 2 2 2" xfId="22544" xr:uid="{00000000-0005-0000-0000-0000993C0000}"/>
    <cellStyle name="Normal 10 6 2 2 2 2" xfId="48097" xr:uid="{00000000-0005-0000-0000-00009A3C0000}"/>
    <cellStyle name="Normal 10 6 2 2 3" xfId="37881" xr:uid="{00000000-0005-0000-0000-00009B3C0000}"/>
    <cellStyle name="Normal 10 6 2 3" xfId="8748" xr:uid="{00000000-0005-0000-0000-00009C3C0000}"/>
    <cellStyle name="Normal 10 6 2 3 2" xfId="34305" xr:uid="{00000000-0005-0000-0000-00009D3C0000}"/>
    <cellStyle name="Normal 10 6 2 4" xfId="17537" xr:uid="{00000000-0005-0000-0000-00009E3C0000}"/>
    <cellStyle name="Normal 10 6 2 4 2" xfId="43090" xr:uid="{00000000-0005-0000-0000-00009F3C0000}"/>
    <cellStyle name="Normal 10 6 2 5" xfId="29027" xr:uid="{00000000-0005-0000-0000-0000A03C0000}"/>
    <cellStyle name="Normal 10 6 3" xfId="4512" xr:uid="{00000000-0005-0000-0000-0000A13C0000}"/>
    <cellStyle name="Normal 10 6 3 2" xfId="13350" xr:uid="{00000000-0005-0000-0000-0000A23C0000}"/>
    <cellStyle name="Normal 10 6 3 2 2" xfId="23601" xr:uid="{00000000-0005-0000-0000-0000A33C0000}"/>
    <cellStyle name="Normal 10 6 3 2 2 2" xfId="49154" xr:uid="{00000000-0005-0000-0000-0000A43C0000}"/>
    <cellStyle name="Normal 10 6 3 2 3" xfId="38905" xr:uid="{00000000-0005-0000-0000-0000A53C0000}"/>
    <cellStyle name="Normal 10 6 3 3" xfId="9771" xr:uid="{00000000-0005-0000-0000-0000A63C0000}"/>
    <cellStyle name="Normal 10 6 3 3 2" xfId="35328" xr:uid="{00000000-0005-0000-0000-0000A73C0000}"/>
    <cellStyle name="Normal 10 6 3 4" xfId="18594" xr:uid="{00000000-0005-0000-0000-0000A83C0000}"/>
    <cellStyle name="Normal 10 6 3 4 2" xfId="44147" xr:uid="{00000000-0005-0000-0000-0000A93C0000}"/>
    <cellStyle name="Normal 10 6 3 5" xfId="30084" xr:uid="{00000000-0005-0000-0000-0000AA3C0000}"/>
    <cellStyle name="Normal 10 6 4" xfId="2292" xr:uid="{00000000-0005-0000-0000-0000AB3C0000}"/>
    <cellStyle name="Normal 10 6 4 2" xfId="11657" xr:uid="{00000000-0005-0000-0000-0000AC3C0000}"/>
    <cellStyle name="Normal 10 6 4 2 2" xfId="37212" xr:uid="{00000000-0005-0000-0000-0000AD3C0000}"/>
    <cellStyle name="Normal 10 6 4 3" xfId="21661" xr:uid="{00000000-0005-0000-0000-0000AE3C0000}"/>
    <cellStyle name="Normal 10 6 4 3 2" xfId="47214" xr:uid="{00000000-0005-0000-0000-0000AF3C0000}"/>
    <cellStyle name="Normal 10 6 4 4" xfId="28144" xr:uid="{00000000-0005-0000-0000-0000B03C0000}"/>
    <cellStyle name="Normal 10 6 5" xfId="5968" xr:uid="{00000000-0005-0000-0000-0000B13C0000}"/>
    <cellStyle name="Normal 10 6 5 2" xfId="14795" xr:uid="{00000000-0005-0000-0000-0000B23C0000}"/>
    <cellStyle name="Normal 10 6 5 2 2" xfId="40350" xr:uid="{00000000-0005-0000-0000-0000B33C0000}"/>
    <cellStyle name="Normal 10 6 5 3" xfId="25046" xr:uid="{00000000-0005-0000-0000-0000B43C0000}"/>
    <cellStyle name="Normal 10 6 5 3 2" xfId="50599" xr:uid="{00000000-0005-0000-0000-0000B53C0000}"/>
    <cellStyle name="Normal 10 6 5 4" xfId="31529" xr:uid="{00000000-0005-0000-0000-0000B63C0000}"/>
    <cellStyle name="Normal 10 6 6" xfId="7412" xr:uid="{00000000-0005-0000-0000-0000B73C0000}"/>
    <cellStyle name="Normal 10 6 6 2" xfId="20143" xr:uid="{00000000-0005-0000-0000-0000B83C0000}"/>
    <cellStyle name="Normal 10 6 6 2 2" xfId="45696" xr:uid="{00000000-0005-0000-0000-0000B93C0000}"/>
    <cellStyle name="Normal 10 6 6 3" xfId="32969" xr:uid="{00000000-0005-0000-0000-0000BA3C0000}"/>
    <cellStyle name="Normal 10 6 7" xfId="16654" xr:uid="{00000000-0005-0000-0000-0000BB3C0000}"/>
    <cellStyle name="Normal 10 6 7 2" xfId="42207" xr:uid="{00000000-0005-0000-0000-0000BC3C0000}"/>
    <cellStyle name="Normal 10 6 8" xfId="26626" xr:uid="{00000000-0005-0000-0000-0000BD3C0000}"/>
    <cellStyle name="Normal 10 7" xfId="1040" xr:uid="{00000000-0005-0000-0000-0000BE3C0000}"/>
    <cellStyle name="Normal 10 7 2" xfId="3469" xr:uid="{00000000-0005-0000-0000-0000BF3C0000}"/>
    <cellStyle name="Normal 10 7 2 2" xfId="12605" xr:uid="{00000000-0005-0000-0000-0000C03C0000}"/>
    <cellStyle name="Normal 10 7 2 2 2" xfId="22824" xr:uid="{00000000-0005-0000-0000-0000C13C0000}"/>
    <cellStyle name="Normal 10 7 2 2 2 2" xfId="48377" xr:uid="{00000000-0005-0000-0000-0000C23C0000}"/>
    <cellStyle name="Normal 10 7 2 2 3" xfId="38160" xr:uid="{00000000-0005-0000-0000-0000C33C0000}"/>
    <cellStyle name="Normal 10 7 2 3" xfId="9027" xr:uid="{00000000-0005-0000-0000-0000C43C0000}"/>
    <cellStyle name="Normal 10 7 2 3 2" xfId="34584" xr:uid="{00000000-0005-0000-0000-0000C53C0000}"/>
    <cellStyle name="Normal 10 7 2 4" xfId="17817" xr:uid="{00000000-0005-0000-0000-0000C63C0000}"/>
    <cellStyle name="Normal 10 7 2 4 2" xfId="43370" xr:uid="{00000000-0005-0000-0000-0000C73C0000}"/>
    <cellStyle name="Normal 10 7 2 5" xfId="29307" xr:uid="{00000000-0005-0000-0000-0000C83C0000}"/>
    <cellStyle name="Normal 10 7 3" xfId="4861" xr:uid="{00000000-0005-0000-0000-0000C93C0000}"/>
    <cellStyle name="Normal 10 7 3 2" xfId="13698" xr:uid="{00000000-0005-0000-0000-0000CA3C0000}"/>
    <cellStyle name="Normal 10 7 3 2 2" xfId="23949" xr:uid="{00000000-0005-0000-0000-0000CB3C0000}"/>
    <cellStyle name="Normal 10 7 3 2 2 2" xfId="49502" xr:uid="{00000000-0005-0000-0000-0000CC3C0000}"/>
    <cellStyle name="Normal 10 7 3 2 3" xfId="39253" xr:uid="{00000000-0005-0000-0000-0000CD3C0000}"/>
    <cellStyle name="Normal 10 7 3 3" xfId="10119" xr:uid="{00000000-0005-0000-0000-0000CE3C0000}"/>
    <cellStyle name="Normal 10 7 3 3 2" xfId="35676" xr:uid="{00000000-0005-0000-0000-0000CF3C0000}"/>
    <cellStyle name="Normal 10 7 3 4" xfId="18942" xr:uid="{00000000-0005-0000-0000-0000D03C0000}"/>
    <cellStyle name="Normal 10 7 3 4 2" xfId="44495" xr:uid="{00000000-0005-0000-0000-0000D13C0000}"/>
    <cellStyle name="Normal 10 7 3 5" xfId="30432" xr:uid="{00000000-0005-0000-0000-0000D23C0000}"/>
    <cellStyle name="Normal 10 7 4" xfId="2582" xr:uid="{00000000-0005-0000-0000-0000D33C0000}"/>
    <cellStyle name="Normal 10 7 4 2" xfId="11946" xr:uid="{00000000-0005-0000-0000-0000D43C0000}"/>
    <cellStyle name="Normal 10 7 4 2 2" xfId="37501" xr:uid="{00000000-0005-0000-0000-0000D53C0000}"/>
    <cellStyle name="Normal 10 7 4 3" xfId="21950" xr:uid="{00000000-0005-0000-0000-0000D63C0000}"/>
    <cellStyle name="Normal 10 7 4 3 2" xfId="47503" xr:uid="{00000000-0005-0000-0000-0000D73C0000}"/>
    <cellStyle name="Normal 10 7 4 4" xfId="28433" xr:uid="{00000000-0005-0000-0000-0000D83C0000}"/>
    <cellStyle name="Normal 10 7 5" xfId="6316" xr:uid="{00000000-0005-0000-0000-0000D93C0000}"/>
    <cellStyle name="Normal 10 7 5 2" xfId="15143" xr:uid="{00000000-0005-0000-0000-0000DA3C0000}"/>
    <cellStyle name="Normal 10 7 5 2 2" xfId="40698" xr:uid="{00000000-0005-0000-0000-0000DB3C0000}"/>
    <cellStyle name="Normal 10 7 5 3" xfId="25394" xr:uid="{00000000-0005-0000-0000-0000DC3C0000}"/>
    <cellStyle name="Normal 10 7 5 3 2" xfId="50947" xr:uid="{00000000-0005-0000-0000-0000DD3C0000}"/>
    <cellStyle name="Normal 10 7 5 4" xfId="31877" xr:uid="{00000000-0005-0000-0000-0000DE3C0000}"/>
    <cellStyle name="Normal 10 7 6" xfId="7762" xr:uid="{00000000-0005-0000-0000-0000DF3C0000}"/>
    <cellStyle name="Normal 10 7 6 2" xfId="20423" xr:uid="{00000000-0005-0000-0000-0000E03C0000}"/>
    <cellStyle name="Normal 10 7 6 2 2" xfId="45976" xr:uid="{00000000-0005-0000-0000-0000E13C0000}"/>
    <cellStyle name="Normal 10 7 6 3" xfId="33319" xr:uid="{00000000-0005-0000-0000-0000E23C0000}"/>
    <cellStyle name="Normal 10 7 7" xfId="16943" xr:uid="{00000000-0005-0000-0000-0000E33C0000}"/>
    <cellStyle name="Normal 10 7 7 2" xfId="42496" xr:uid="{00000000-0005-0000-0000-0000E43C0000}"/>
    <cellStyle name="Normal 10 7 8" xfId="26906" xr:uid="{00000000-0005-0000-0000-0000E53C0000}"/>
    <cellStyle name="Normal 10 8" xfId="3900" xr:uid="{00000000-0005-0000-0000-0000E63C0000}"/>
    <cellStyle name="Normal 10 8 2" xfId="5132" xr:uid="{00000000-0005-0000-0000-0000E73C0000}"/>
    <cellStyle name="Normal 10 8 2 2" xfId="13969" xr:uid="{00000000-0005-0000-0000-0000E83C0000}"/>
    <cellStyle name="Normal 10 8 2 2 2" xfId="24220" xr:uid="{00000000-0005-0000-0000-0000E93C0000}"/>
    <cellStyle name="Normal 10 8 2 2 2 2" xfId="49773" xr:uid="{00000000-0005-0000-0000-0000EA3C0000}"/>
    <cellStyle name="Normal 10 8 2 2 3" xfId="39524" xr:uid="{00000000-0005-0000-0000-0000EB3C0000}"/>
    <cellStyle name="Normal 10 8 2 3" xfId="10390" xr:uid="{00000000-0005-0000-0000-0000EC3C0000}"/>
    <cellStyle name="Normal 10 8 2 3 2" xfId="35947" xr:uid="{00000000-0005-0000-0000-0000ED3C0000}"/>
    <cellStyle name="Normal 10 8 2 4" xfId="19213" xr:uid="{00000000-0005-0000-0000-0000EE3C0000}"/>
    <cellStyle name="Normal 10 8 2 4 2" xfId="44766" xr:uid="{00000000-0005-0000-0000-0000EF3C0000}"/>
    <cellStyle name="Normal 10 8 2 5" xfId="30703" xr:uid="{00000000-0005-0000-0000-0000F03C0000}"/>
    <cellStyle name="Normal 10 8 3" xfId="6587" xr:uid="{00000000-0005-0000-0000-0000F13C0000}"/>
    <cellStyle name="Normal 10 8 3 2" xfId="15414" xr:uid="{00000000-0005-0000-0000-0000F23C0000}"/>
    <cellStyle name="Normal 10 8 3 2 2" xfId="40969" xr:uid="{00000000-0005-0000-0000-0000F33C0000}"/>
    <cellStyle name="Normal 10 8 3 3" xfId="25665" xr:uid="{00000000-0005-0000-0000-0000F43C0000}"/>
    <cellStyle name="Normal 10 8 3 3 2" xfId="51218" xr:uid="{00000000-0005-0000-0000-0000F53C0000}"/>
    <cellStyle name="Normal 10 8 3 4" xfId="32148" xr:uid="{00000000-0005-0000-0000-0000F63C0000}"/>
    <cellStyle name="Normal 10 8 4" xfId="8033" xr:uid="{00000000-0005-0000-0000-0000F73C0000}"/>
    <cellStyle name="Normal 10 8 4 2" xfId="23170" xr:uid="{00000000-0005-0000-0000-0000F83C0000}"/>
    <cellStyle name="Normal 10 8 4 2 2" xfId="48723" xr:uid="{00000000-0005-0000-0000-0000F93C0000}"/>
    <cellStyle name="Normal 10 8 4 3" xfId="33590" xr:uid="{00000000-0005-0000-0000-0000FA3C0000}"/>
    <cellStyle name="Normal 10 8 5" xfId="18163" xr:uid="{00000000-0005-0000-0000-0000FB3C0000}"/>
    <cellStyle name="Normal 10 8 5 2" xfId="43716" xr:uid="{00000000-0005-0000-0000-0000FC3C0000}"/>
    <cellStyle name="Normal 10 8 6" xfId="29653" xr:uid="{00000000-0005-0000-0000-0000FD3C0000}"/>
    <cellStyle name="Normal 10 9" xfId="4085" xr:uid="{00000000-0005-0000-0000-0000FE3C0000}"/>
    <cellStyle name="Normal 10 9 2" xfId="5544" xr:uid="{00000000-0005-0000-0000-0000FF3C0000}"/>
    <cellStyle name="Normal 10 9 2 2" xfId="14371" xr:uid="{00000000-0005-0000-0000-0000003D0000}"/>
    <cellStyle name="Normal 10 9 2 2 2" xfId="39926" xr:uid="{00000000-0005-0000-0000-0000013D0000}"/>
    <cellStyle name="Normal 10 9 2 3" xfId="24622" xr:uid="{00000000-0005-0000-0000-0000023D0000}"/>
    <cellStyle name="Normal 10 9 2 3 2" xfId="50175" xr:uid="{00000000-0005-0000-0000-0000033D0000}"/>
    <cellStyle name="Normal 10 9 2 4" xfId="31105" xr:uid="{00000000-0005-0000-0000-0000043D0000}"/>
    <cellStyle name="Normal 10 9 3" xfId="6988" xr:uid="{00000000-0005-0000-0000-0000053D0000}"/>
    <cellStyle name="Normal 10 9 3 2" xfId="23174" xr:uid="{00000000-0005-0000-0000-0000063D0000}"/>
    <cellStyle name="Normal 10 9 3 2 2" xfId="48727" xr:uid="{00000000-0005-0000-0000-0000073D0000}"/>
    <cellStyle name="Normal 10 9 3 3" xfId="32545" xr:uid="{00000000-0005-0000-0000-0000083D0000}"/>
    <cellStyle name="Normal 10 9 4" xfId="18167" xr:uid="{00000000-0005-0000-0000-0000093D0000}"/>
    <cellStyle name="Normal 10 9 4 2" xfId="43720" xr:uid="{00000000-0005-0000-0000-00000A3D0000}"/>
    <cellStyle name="Normal 10 9 5" xfId="29657" xr:uid="{00000000-0005-0000-0000-00000B3D0000}"/>
    <cellStyle name="Normal 10_Degree data" xfId="3816" xr:uid="{00000000-0005-0000-0000-00000C3D0000}"/>
    <cellStyle name="Normal 100" xfId="5496" xr:uid="{00000000-0005-0000-0000-00000D3D0000}"/>
    <cellStyle name="Normal 101" xfId="6932" xr:uid="{00000000-0005-0000-0000-00000E3D0000}"/>
    <cellStyle name="Normal 101 2" xfId="10746" xr:uid="{00000000-0005-0000-0000-00000F3D0000}"/>
    <cellStyle name="Normal 102" xfId="6934" xr:uid="{00000000-0005-0000-0000-0000103D0000}"/>
    <cellStyle name="Normal 102 2" xfId="10763" xr:uid="{00000000-0005-0000-0000-0000113D0000}"/>
    <cellStyle name="Normal 103" xfId="15759" xr:uid="{00000000-0005-0000-0000-0000123D0000}"/>
    <cellStyle name="Normal 104" xfId="6933" xr:uid="{00000000-0005-0000-0000-0000133D0000}"/>
    <cellStyle name="Normal 105" xfId="6969" xr:uid="{00000000-0005-0000-0000-0000143D0000}"/>
    <cellStyle name="Normal 106" xfId="15760" xr:uid="{00000000-0005-0000-0000-0000153D0000}"/>
    <cellStyle name="Normal 107" xfId="51605" xr:uid="{813188CE-FAD8-4A6F-9B22-915434593C13}"/>
    <cellStyle name="Normal 109" xfId="26018" xr:uid="{00000000-0005-0000-0000-0000163D0000}"/>
    <cellStyle name="Normal 109 2" xfId="51571" xr:uid="{00000000-0005-0000-0000-0000173D0000}"/>
    <cellStyle name="Normal 11" xfId="17" xr:uid="{00000000-0005-0000-0000-0000183D0000}"/>
    <cellStyle name="Normal 111" xfId="26019" xr:uid="{00000000-0005-0000-0000-0000193D0000}"/>
    <cellStyle name="Normal 111 2" xfId="51572" xr:uid="{00000000-0005-0000-0000-00001A3D0000}"/>
    <cellStyle name="Normal 112" xfId="26020" xr:uid="{00000000-0005-0000-0000-00001B3D0000}"/>
    <cellStyle name="Normal 112 2" xfId="51573" xr:uid="{00000000-0005-0000-0000-00001C3D0000}"/>
    <cellStyle name="Normal 113" xfId="26021" xr:uid="{00000000-0005-0000-0000-00001D3D0000}"/>
    <cellStyle name="Normal 113 2" xfId="51574" xr:uid="{00000000-0005-0000-0000-00001E3D0000}"/>
    <cellStyle name="Normal 114" xfId="26022" xr:uid="{00000000-0005-0000-0000-00001F3D0000}"/>
    <cellStyle name="Normal 114 2" xfId="51575" xr:uid="{00000000-0005-0000-0000-0000203D0000}"/>
    <cellStyle name="Normal 12" xfId="8" xr:uid="{00000000-0005-0000-0000-0000213D0000}"/>
    <cellStyle name="Normal 12 2" xfId="32" xr:uid="{00000000-0005-0000-0000-0000223D0000}"/>
    <cellStyle name="Normal 12 3" xfId="149" xr:uid="{00000000-0005-0000-0000-0000233D0000}"/>
    <cellStyle name="Normal 13" xfId="22" xr:uid="{00000000-0005-0000-0000-0000243D0000}"/>
    <cellStyle name="Normal 13 2" xfId="33" xr:uid="{00000000-0005-0000-0000-0000253D0000}"/>
    <cellStyle name="Normal 13 3" xfId="61" xr:uid="{00000000-0005-0000-0000-0000263D0000}"/>
    <cellStyle name="Normal 13 3 2" xfId="119" xr:uid="{00000000-0005-0000-0000-0000273D0000}"/>
    <cellStyle name="Normal 13 3 3" xfId="221" xr:uid="{00000000-0005-0000-0000-0000283D0000}"/>
    <cellStyle name="Normal 14" xfId="6" xr:uid="{00000000-0005-0000-0000-0000293D0000}"/>
    <cellStyle name="Normal 14 2" xfId="31" xr:uid="{00000000-0005-0000-0000-00002A3D0000}"/>
    <cellStyle name="Normal 14 3" xfId="148" xr:uid="{00000000-0005-0000-0000-00002B3D0000}"/>
    <cellStyle name="Normal 141" xfId="26011" xr:uid="{00000000-0005-0000-0000-00002C3D0000}"/>
    <cellStyle name="Normal 141 2" xfId="51564" xr:uid="{00000000-0005-0000-0000-00002D3D0000}"/>
    <cellStyle name="Normal 142" xfId="26012" xr:uid="{00000000-0005-0000-0000-00002E3D0000}"/>
    <cellStyle name="Normal 142 2" xfId="51565" xr:uid="{00000000-0005-0000-0000-00002F3D0000}"/>
    <cellStyle name="Normal 143" xfId="26013" xr:uid="{00000000-0005-0000-0000-0000303D0000}"/>
    <cellStyle name="Normal 143 2" xfId="51566" xr:uid="{00000000-0005-0000-0000-0000313D0000}"/>
    <cellStyle name="Normal 144" xfId="26014" xr:uid="{00000000-0005-0000-0000-0000323D0000}"/>
    <cellStyle name="Normal 144 2" xfId="51567" xr:uid="{00000000-0005-0000-0000-0000333D0000}"/>
    <cellStyle name="Normal 145" xfId="26015" xr:uid="{00000000-0005-0000-0000-0000343D0000}"/>
    <cellStyle name="Normal 145 2" xfId="51568" xr:uid="{00000000-0005-0000-0000-0000353D0000}"/>
    <cellStyle name="Normal 146" xfId="26016" xr:uid="{00000000-0005-0000-0000-0000363D0000}"/>
    <cellStyle name="Normal 146 2" xfId="51569" xr:uid="{00000000-0005-0000-0000-0000373D0000}"/>
    <cellStyle name="Normal 147" xfId="26017" xr:uid="{00000000-0005-0000-0000-0000383D0000}"/>
    <cellStyle name="Normal 147 2" xfId="51570" xr:uid="{00000000-0005-0000-0000-0000393D0000}"/>
    <cellStyle name="Normal 15" xfId="7" xr:uid="{00000000-0005-0000-0000-00003A3D0000}"/>
    <cellStyle name="Normal 15 2" xfId="724" xr:uid="{00000000-0005-0000-0000-00003B3D0000}"/>
    <cellStyle name="Normal 15 2 2" xfId="1384" xr:uid="{00000000-0005-0000-0000-00003C3D0000}"/>
    <cellStyle name="Normal 15 2 2 2" xfId="3813" xr:uid="{00000000-0005-0000-0000-00003D3D0000}"/>
    <cellStyle name="Normal 15 2 2 2 2" xfId="12949" xr:uid="{00000000-0005-0000-0000-00003E3D0000}"/>
    <cellStyle name="Normal 15 2 2 2 2 2" xfId="23168" xr:uid="{00000000-0005-0000-0000-00003F3D0000}"/>
    <cellStyle name="Normal 15 2 2 2 2 2 2" xfId="48721" xr:uid="{00000000-0005-0000-0000-0000403D0000}"/>
    <cellStyle name="Normal 15 2 2 2 2 3" xfId="38504" xr:uid="{00000000-0005-0000-0000-0000413D0000}"/>
    <cellStyle name="Normal 15 2 2 2 3" xfId="9370" xr:uid="{00000000-0005-0000-0000-0000423D0000}"/>
    <cellStyle name="Normal 15 2 2 2 3 2" xfId="34927" xr:uid="{00000000-0005-0000-0000-0000433D0000}"/>
    <cellStyle name="Normal 15 2 2 2 4" xfId="18161" xr:uid="{00000000-0005-0000-0000-0000443D0000}"/>
    <cellStyle name="Normal 15 2 2 2 4 2" xfId="43714" xr:uid="{00000000-0005-0000-0000-0000453D0000}"/>
    <cellStyle name="Normal 15 2 2 2 5" xfId="29651" xr:uid="{00000000-0005-0000-0000-0000463D0000}"/>
    <cellStyle name="Normal 15 2 2 3" xfId="4888" xr:uid="{00000000-0005-0000-0000-0000473D0000}"/>
    <cellStyle name="Normal 15 2 2 3 2" xfId="13725" xr:uid="{00000000-0005-0000-0000-0000483D0000}"/>
    <cellStyle name="Normal 15 2 2 3 2 2" xfId="23976" xr:uid="{00000000-0005-0000-0000-0000493D0000}"/>
    <cellStyle name="Normal 15 2 2 3 2 2 2" xfId="49529" xr:uid="{00000000-0005-0000-0000-00004A3D0000}"/>
    <cellStyle name="Normal 15 2 2 3 2 3" xfId="39280" xr:uid="{00000000-0005-0000-0000-00004B3D0000}"/>
    <cellStyle name="Normal 15 2 2 3 3" xfId="10146" xr:uid="{00000000-0005-0000-0000-00004C3D0000}"/>
    <cellStyle name="Normal 15 2 2 3 3 2" xfId="35703" xr:uid="{00000000-0005-0000-0000-00004D3D0000}"/>
    <cellStyle name="Normal 15 2 2 3 4" xfId="18969" xr:uid="{00000000-0005-0000-0000-00004E3D0000}"/>
    <cellStyle name="Normal 15 2 2 3 4 2" xfId="44522" xr:uid="{00000000-0005-0000-0000-00004F3D0000}"/>
    <cellStyle name="Normal 15 2 2 3 5" xfId="30459" xr:uid="{00000000-0005-0000-0000-0000503D0000}"/>
    <cellStyle name="Normal 15 2 2 4" xfId="2579" xr:uid="{00000000-0005-0000-0000-0000513D0000}"/>
    <cellStyle name="Normal 15 2 2 4 2" xfId="11943" xr:uid="{00000000-0005-0000-0000-0000523D0000}"/>
    <cellStyle name="Normal 15 2 2 4 2 2" xfId="37498" xr:uid="{00000000-0005-0000-0000-0000533D0000}"/>
    <cellStyle name="Normal 15 2 2 4 3" xfId="21947" xr:uid="{00000000-0005-0000-0000-0000543D0000}"/>
    <cellStyle name="Normal 15 2 2 4 3 2" xfId="47500" xr:uid="{00000000-0005-0000-0000-0000553D0000}"/>
    <cellStyle name="Normal 15 2 2 4 4" xfId="28430" xr:uid="{00000000-0005-0000-0000-0000563D0000}"/>
    <cellStyle name="Normal 15 2 2 5" xfId="6343" xr:uid="{00000000-0005-0000-0000-0000573D0000}"/>
    <cellStyle name="Normal 15 2 2 5 2" xfId="15170" xr:uid="{00000000-0005-0000-0000-0000583D0000}"/>
    <cellStyle name="Normal 15 2 2 5 2 2" xfId="40725" xr:uid="{00000000-0005-0000-0000-0000593D0000}"/>
    <cellStyle name="Normal 15 2 2 5 3" xfId="25421" xr:uid="{00000000-0005-0000-0000-00005A3D0000}"/>
    <cellStyle name="Normal 15 2 2 5 3 2" xfId="50974" xr:uid="{00000000-0005-0000-0000-00005B3D0000}"/>
    <cellStyle name="Normal 15 2 2 5 4" xfId="31904" xr:uid="{00000000-0005-0000-0000-00005C3D0000}"/>
    <cellStyle name="Normal 15 2 2 6" xfId="7789" xr:uid="{00000000-0005-0000-0000-00005D3D0000}"/>
    <cellStyle name="Normal 15 2 2 6 2" xfId="20767" xr:uid="{00000000-0005-0000-0000-00005E3D0000}"/>
    <cellStyle name="Normal 15 2 2 6 2 2" xfId="46320" xr:uid="{00000000-0005-0000-0000-00005F3D0000}"/>
    <cellStyle name="Normal 15 2 2 6 3" xfId="33346" xr:uid="{00000000-0005-0000-0000-0000603D0000}"/>
    <cellStyle name="Normal 15 2 2 7" xfId="16940" xr:uid="{00000000-0005-0000-0000-0000613D0000}"/>
    <cellStyle name="Normal 15 2 2 7 2" xfId="42493" xr:uid="{00000000-0005-0000-0000-0000623D0000}"/>
    <cellStyle name="Normal 15 2 2 8" xfId="27250" xr:uid="{00000000-0005-0000-0000-0000633D0000}"/>
    <cellStyle name="Normal 15 2 3" xfId="3210" xr:uid="{00000000-0005-0000-0000-0000643D0000}"/>
    <cellStyle name="Normal 15 2 3 2" xfId="5476" xr:uid="{00000000-0005-0000-0000-0000653D0000}"/>
    <cellStyle name="Normal 15 2 3 2 2" xfId="14313" xr:uid="{00000000-0005-0000-0000-0000663D0000}"/>
    <cellStyle name="Normal 15 2 3 2 2 2" xfId="24564" xr:uid="{00000000-0005-0000-0000-0000673D0000}"/>
    <cellStyle name="Normal 15 2 3 2 2 2 2" xfId="50117" xr:uid="{00000000-0005-0000-0000-0000683D0000}"/>
    <cellStyle name="Normal 15 2 3 2 2 3" xfId="39868" xr:uid="{00000000-0005-0000-0000-0000693D0000}"/>
    <cellStyle name="Normal 15 2 3 2 3" xfId="10734" xr:uid="{00000000-0005-0000-0000-00006A3D0000}"/>
    <cellStyle name="Normal 15 2 3 2 3 2" xfId="36291" xr:uid="{00000000-0005-0000-0000-00006B3D0000}"/>
    <cellStyle name="Normal 15 2 3 2 4" xfId="19557" xr:uid="{00000000-0005-0000-0000-00006C3D0000}"/>
    <cellStyle name="Normal 15 2 3 2 4 2" xfId="45110" xr:uid="{00000000-0005-0000-0000-00006D3D0000}"/>
    <cellStyle name="Normal 15 2 3 2 5" xfId="31047" xr:uid="{00000000-0005-0000-0000-00006E3D0000}"/>
    <cellStyle name="Normal 15 2 3 3" xfId="6931" xr:uid="{00000000-0005-0000-0000-00006F3D0000}"/>
    <cellStyle name="Normal 15 2 3 3 2" xfId="15758" xr:uid="{00000000-0005-0000-0000-0000703D0000}"/>
    <cellStyle name="Normal 15 2 3 3 2 2" xfId="41313" xr:uid="{00000000-0005-0000-0000-0000713D0000}"/>
    <cellStyle name="Normal 15 2 3 3 3" xfId="26009" xr:uid="{00000000-0005-0000-0000-0000723D0000}"/>
    <cellStyle name="Normal 15 2 3 3 3 2" xfId="51562" xr:uid="{00000000-0005-0000-0000-0000733D0000}"/>
    <cellStyle name="Normal 15 2 3 3 4" xfId="32492" xr:uid="{00000000-0005-0000-0000-0000743D0000}"/>
    <cellStyle name="Normal 15 2 3 4" xfId="8377" xr:uid="{00000000-0005-0000-0000-0000753D0000}"/>
    <cellStyle name="Normal 15 2 3 4 2" xfId="22571" xr:uid="{00000000-0005-0000-0000-0000763D0000}"/>
    <cellStyle name="Normal 15 2 3 4 2 2" xfId="48124" xr:uid="{00000000-0005-0000-0000-0000773D0000}"/>
    <cellStyle name="Normal 15 2 3 4 3" xfId="33934" xr:uid="{00000000-0005-0000-0000-0000783D0000}"/>
    <cellStyle name="Normal 15 2 3 5" xfId="17564" xr:uid="{00000000-0005-0000-0000-0000793D0000}"/>
    <cellStyle name="Normal 15 2 3 5 2" xfId="43117" xr:uid="{00000000-0005-0000-0000-00007A3D0000}"/>
    <cellStyle name="Normal 15 2 3 6" xfId="29054" xr:uid="{00000000-0005-0000-0000-00007B3D0000}"/>
    <cellStyle name="Normal 15 2 4" xfId="4539" xr:uid="{00000000-0005-0000-0000-00007C3D0000}"/>
    <cellStyle name="Normal 15 2 4 2" xfId="13377" xr:uid="{00000000-0005-0000-0000-00007D3D0000}"/>
    <cellStyle name="Normal 15 2 4 2 2" xfId="23628" xr:uid="{00000000-0005-0000-0000-00007E3D0000}"/>
    <cellStyle name="Normal 15 2 4 2 2 2" xfId="49181" xr:uid="{00000000-0005-0000-0000-00007F3D0000}"/>
    <cellStyle name="Normal 15 2 4 2 3" xfId="38932" xr:uid="{00000000-0005-0000-0000-0000803D0000}"/>
    <cellStyle name="Normal 15 2 4 3" xfId="9798" xr:uid="{00000000-0005-0000-0000-0000813D0000}"/>
    <cellStyle name="Normal 15 2 4 3 2" xfId="35355" xr:uid="{00000000-0005-0000-0000-0000823D0000}"/>
    <cellStyle name="Normal 15 2 4 4" xfId="18621" xr:uid="{00000000-0005-0000-0000-0000833D0000}"/>
    <cellStyle name="Normal 15 2 4 4 2" xfId="44174" xr:uid="{00000000-0005-0000-0000-0000843D0000}"/>
    <cellStyle name="Normal 15 2 4 5" xfId="30111" xr:uid="{00000000-0005-0000-0000-0000853D0000}"/>
    <cellStyle name="Normal 15 2 5" xfId="2319" xr:uid="{00000000-0005-0000-0000-0000863D0000}"/>
    <cellStyle name="Normal 15 2 5 2" xfId="11684" xr:uid="{00000000-0005-0000-0000-0000873D0000}"/>
    <cellStyle name="Normal 15 2 5 2 2" xfId="37239" xr:uid="{00000000-0005-0000-0000-0000883D0000}"/>
    <cellStyle name="Normal 15 2 5 3" xfId="21688" xr:uid="{00000000-0005-0000-0000-0000893D0000}"/>
    <cellStyle name="Normal 15 2 5 3 2" xfId="47241" xr:uid="{00000000-0005-0000-0000-00008A3D0000}"/>
    <cellStyle name="Normal 15 2 5 4" xfId="28171" xr:uid="{00000000-0005-0000-0000-00008B3D0000}"/>
    <cellStyle name="Normal 15 2 6" xfId="5995" xr:uid="{00000000-0005-0000-0000-00008C3D0000}"/>
    <cellStyle name="Normal 15 2 6 2" xfId="14822" xr:uid="{00000000-0005-0000-0000-00008D3D0000}"/>
    <cellStyle name="Normal 15 2 6 2 2" xfId="40377" xr:uid="{00000000-0005-0000-0000-00008E3D0000}"/>
    <cellStyle name="Normal 15 2 6 3" xfId="25073" xr:uid="{00000000-0005-0000-0000-00008F3D0000}"/>
    <cellStyle name="Normal 15 2 6 3 2" xfId="50626" xr:uid="{00000000-0005-0000-0000-0000903D0000}"/>
    <cellStyle name="Normal 15 2 6 4" xfId="31556" xr:uid="{00000000-0005-0000-0000-0000913D0000}"/>
    <cellStyle name="Normal 15 2 7" xfId="7439" xr:uid="{00000000-0005-0000-0000-0000923D0000}"/>
    <cellStyle name="Normal 15 2 7 2" xfId="20170" xr:uid="{00000000-0005-0000-0000-0000933D0000}"/>
    <cellStyle name="Normal 15 2 7 2 2" xfId="45723" xr:uid="{00000000-0005-0000-0000-0000943D0000}"/>
    <cellStyle name="Normal 15 2 7 3" xfId="32996" xr:uid="{00000000-0005-0000-0000-0000953D0000}"/>
    <cellStyle name="Normal 15 2 8" xfId="16681" xr:uid="{00000000-0005-0000-0000-0000963D0000}"/>
    <cellStyle name="Normal 15 2 8 2" xfId="42234" xr:uid="{00000000-0005-0000-0000-0000973D0000}"/>
    <cellStyle name="Normal 15 2 9" xfId="26653" xr:uid="{00000000-0005-0000-0000-0000983D0000}"/>
    <cellStyle name="Normal 15 2_Degree data" xfId="3925" xr:uid="{00000000-0005-0000-0000-0000993D0000}"/>
    <cellStyle name="Normal 16" xfId="62" xr:uid="{00000000-0005-0000-0000-00009A3D0000}"/>
    <cellStyle name="Normal 165" xfId="26049" xr:uid="{00000000-0005-0000-0000-00009B3D0000}"/>
    <cellStyle name="Normal 166" xfId="26050" xr:uid="{00000000-0005-0000-0000-00009C3D0000}"/>
    <cellStyle name="Normal 167" xfId="26051" xr:uid="{00000000-0005-0000-0000-00009D3D0000}"/>
    <cellStyle name="Normal 168" xfId="26048" xr:uid="{00000000-0005-0000-0000-00009E3D0000}"/>
    <cellStyle name="Normal 17" xfId="63" xr:uid="{00000000-0005-0000-0000-00009F3D0000}"/>
    <cellStyle name="Normal 18" xfId="64" xr:uid="{00000000-0005-0000-0000-0000A03D0000}"/>
    <cellStyle name="Normal 19" xfId="97" xr:uid="{00000000-0005-0000-0000-0000A13D0000}"/>
    <cellStyle name="Normal 19 2" xfId="121" xr:uid="{00000000-0005-0000-0000-0000A23D0000}"/>
    <cellStyle name="Normal 19 3" xfId="116" xr:uid="{00000000-0005-0000-0000-0000A33D0000}"/>
    <cellStyle name="Normal 192" xfId="26024" xr:uid="{00000000-0005-0000-0000-0000A43D0000}"/>
    <cellStyle name="Normal 192 2" xfId="51577" xr:uid="{00000000-0005-0000-0000-0000A53D0000}"/>
    <cellStyle name="Normal 193" xfId="26025" xr:uid="{00000000-0005-0000-0000-0000A63D0000}"/>
    <cellStyle name="Normal 193 2" xfId="51578" xr:uid="{00000000-0005-0000-0000-0000A73D0000}"/>
    <cellStyle name="Normal 194" xfId="26026" xr:uid="{00000000-0005-0000-0000-0000A83D0000}"/>
    <cellStyle name="Normal 194 2" xfId="26035" xr:uid="{00000000-0005-0000-0000-0000A93D0000}"/>
    <cellStyle name="Normal 194 2 2" xfId="51588" xr:uid="{00000000-0005-0000-0000-0000AA3D0000}"/>
    <cellStyle name="Normal 194 3" xfId="51579" xr:uid="{00000000-0005-0000-0000-0000AB3D0000}"/>
    <cellStyle name="Normal 195" xfId="26027" xr:uid="{00000000-0005-0000-0000-0000AC3D0000}"/>
    <cellStyle name="Normal 195 2" xfId="51580" xr:uid="{00000000-0005-0000-0000-0000AD3D0000}"/>
    <cellStyle name="Normal 196" xfId="26028" xr:uid="{00000000-0005-0000-0000-0000AE3D0000}"/>
    <cellStyle name="Normal 196 2" xfId="51581" xr:uid="{00000000-0005-0000-0000-0000AF3D0000}"/>
    <cellStyle name="Normal 197" xfId="26029" xr:uid="{00000000-0005-0000-0000-0000B03D0000}"/>
    <cellStyle name="Normal 197 2" xfId="51582" xr:uid="{00000000-0005-0000-0000-0000B13D0000}"/>
    <cellStyle name="Normal 198" xfId="26030" xr:uid="{00000000-0005-0000-0000-0000B23D0000}"/>
    <cellStyle name="Normal 198 2" xfId="51583" xr:uid="{00000000-0005-0000-0000-0000B33D0000}"/>
    <cellStyle name="Normal 2" xfId="5" xr:uid="{00000000-0005-0000-0000-0000B43D0000}"/>
    <cellStyle name="Normal 2 2" xfId="25" xr:uid="{00000000-0005-0000-0000-0000B53D0000}"/>
    <cellStyle name="Normal 2 2 2" xfId="47" xr:uid="{00000000-0005-0000-0000-0000B63D0000}"/>
    <cellStyle name="Normal 2 3" xfId="46" xr:uid="{00000000-0005-0000-0000-0000B73D0000}"/>
    <cellStyle name="Normal 2 3 2" xfId="48" xr:uid="{00000000-0005-0000-0000-0000B83D0000}"/>
    <cellStyle name="Normal 2 4" xfId="58" xr:uid="{00000000-0005-0000-0000-0000B93D0000}"/>
    <cellStyle name="Normal 2 4 2" xfId="286" xr:uid="{00000000-0005-0000-0000-0000BA3D0000}"/>
    <cellStyle name="Normal 2 5" xfId="49" xr:uid="{00000000-0005-0000-0000-0000BB3D0000}"/>
    <cellStyle name="Normal 2 5 10" xfId="298" xr:uid="{00000000-0005-0000-0000-0000BC3D0000}"/>
    <cellStyle name="Normal 2 5 10 10" xfId="26227" xr:uid="{00000000-0005-0000-0000-0000BD3D0000}"/>
    <cellStyle name="Normal 2 5 10 2" xfId="726" xr:uid="{00000000-0005-0000-0000-0000BE3D0000}"/>
    <cellStyle name="Normal 2 5 10 2 2" xfId="3212" xr:uid="{00000000-0005-0000-0000-0000BF3D0000}"/>
    <cellStyle name="Normal 2 5 10 2 2 2" xfId="12354" xr:uid="{00000000-0005-0000-0000-0000C03D0000}"/>
    <cellStyle name="Normal 2 5 10 2 2 2 2" xfId="22573" xr:uid="{00000000-0005-0000-0000-0000C13D0000}"/>
    <cellStyle name="Normal 2 5 10 2 2 2 2 2" xfId="48126" xr:uid="{00000000-0005-0000-0000-0000C23D0000}"/>
    <cellStyle name="Normal 2 5 10 2 2 2 3" xfId="37909" xr:uid="{00000000-0005-0000-0000-0000C33D0000}"/>
    <cellStyle name="Normal 2 5 10 2 2 3" xfId="8776" xr:uid="{00000000-0005-0000-0000-0000C43D0000}"/>
    <cellStyle name="Normal 2 5 10 2 2 3 2" xfId="34333" xr:uid="{00000000-0005-0000-0000-0000C53D0000}"/>
    <cellStyle name="Normal 2 5 10 2 2 4" xfId="17566" xr:uid="{00000000-0005-0000-0000-0000C63D0000}"/>
    <cellStyle name="Normal 2 5 10 2 2 4 2" xfId="43119" xr:uid="{00000000-0005-0000-0000-0000C73D0000}"/>
    <cellStyle name="Normal 2 5 10 2 2 5" xfId="29056" xr:uid="{00000000-0005-0000-0000-0000C83D0000}"/>
    <cellStyle name="Normal 2 5 10 2 3" xfId="4541" xr:uid="{00000000-0005-0000-0000-0000C93D0000}"/>
    <cellStyle name="Normal 2 5 10 2 3 2" xfId="13379" xr:uid="{00000000-0005-0000-0000-0000CA3D0000}"/>
    <cellStyle name="Normal 2 5 10 2 3 2 2" xfId="23630" xr:uid="{00000000-0005-0000-0000-0000CB3D0000}"/>
    <cellStyle name="Normal 2 5 10 2 3 2 2 2" xfId="49183" xr:uid="{00000000-0005-0000-0000-0000CC3D0000}"/>
    <cellStyle name="Normal 2 5 10 2 3 2 3" xfId="38934" xr:uid="{00000000-0005-0000-0000-0000CD3D0000}"/>
    <cellStyle name="Normal 2 5 10 2 3 3" xfId="9800" xr:uid="{00000000-0005-0000-0000-0000CE3D0000}"/>
    <cellStyle name="Normal 2 5 10 2 3 3 2" xfId="35357" xr:uid="{00000000-0005-0000-0000-0000CF3D0000}"/>
    <cellStyle name="Normal 2 5 10 2 3 4" xfId="18623" xr:uid="{00000000-0005-0000-0000-0000D03D0000}"/>
    <cellStyle name="Normal 2 5 10 2 3 4 2" xfId="44176" xr:uid="{00000000-0005-0000-0000-0000D13D0000}"/>
    <cellStyle name="Normal 2 5 10 2 3 5" xfId="30113" xr:uid="{00000000-0005-0000-0000-0000D23D0000}"/>
    <cellStyle name="Normal 2 5 10 2 4" xfId="2321" xr:uid="{00000000-0005-0000-0000-0000D33D0000}"/>
    <cellStyle name="Normal 2 5 10 2 4 2" xfId="11686" xr:uid="{00000000-0005-0000-0000-0000D43D0000}"/>
    <cellStyle name="Normal 2 5 10 2 4 2 2" xfId="37241" xr:uid="{00000000-0005-0000-0000-0000D53D0000}"/>
    <cellStyle name="Normal 2 5 10 2 4 3" xfId="21690" xr:uid="{00000000-0005-0000-0000-0000D63D0000}"/>
    <cellStyle name="Normal 2 5 10 2 4 3 2" xfId="47243" xr:uid="{00000000-0005-0000-0000-0000D73D0000}"/>
    <cellStyle name="Normal 2 5 10 2 4 4" xfId="28173" xr:uid="{00000000-0005-0000-0000-0000D83D0000}"/>
    <cellStyle name="Normal 2 5 10 2 5" xfId="5997" xr:uid="{00000000-0005-0000-0000-0000D93D0000}"/>
    <cellStyle name="Normal 2 5 10 2 5 2" xfId="14824" xr:uid="{00000000-0005-0000-0000-0000DA3D0000}"/>
    <cellStyle name="Normal 2 5 10 2 5 2 2" xfId="40379" xr:uid="{00000000-0005-0000-0000-0000DB3D0000}"/>
    <cellStyle name="Normal 2 5 10 2 5 3" xfId="25075" xr:uid="{00000000-0005-0000-0000-0000DC3D0000}"/>
    <cellStyle name="Normal 2 5 10 2 5 3 2" xfId="50628" xr:uid="{00000000-0005-0000-0000-0000DD3D0000}"/>
    <cellStyle name="Normal 2 5 10 2 5 4" xfId="31558" xr:uid="{00000000-0005-0000-0000-0000DE3D0000}"/>
    <cellStyle name="Normal 2 5 10 2 6" xfId="7441" xr:uid="{00000000-0005-0000-0000-0000DF3D0000}"/>
    <cellStyle name="Normal 2 5 10 2 6 2" xfId="20172" xr:uid="{00000000-0005-0000-0000-0000E03D0000}"/>
    <cellStyle name="Normal 2 5 10 2 6 2 2" xfId="45725" xr:uid="{00000000-0005-0000-0000-0000E13D0000}"/>
    <cellStyle name="Normal 2 5 10 2 6 3" xfId="32998" xr:uid="{00000000-0005-0000-0000-0000E23D0000}"/>
    <cellStyle name="Normal 2 5 10 2 7" xfId="16683" xr:uid="{00000000-0005-0000-0000-0000E33D0000}"/>
    <cellStyle name="Normal 2 5 10 2 7 2" xfId="42236" xr:uid="{00000000-0005-0000-0000-0000E43D0000}"/>
    <cellStyle name="Normal 2 5 10 2 8" xfId="26655" xr:uid="{00000000-0005-0000-0000-0000E53D0000}"/>
    <cellStyle name="Normal 2 5 10 3" xfId="1070" xr:uid="{00000000-0005-0000-0000-0000E63D0000}"/>
    <cellStyle name="Normal 2 5 10 3 2" xfId="3499" xr:uid="{00000000-0005-0000-0000-0000E73D0000}"/>
    <cellStyle name="Normal 2 5 10 3 2 2" xfId="12635" xr:uid="{00000000-0005-0000-0000-0000E83D0000}"/>
    <cellStyle name="Normal 2 5 10 3 2 2 2" xfId="22854" xr:uid="{00000000-0005-0000-0000-0000E93D0000}"/>
    <cellStyle name="Normal 2 5 10 3 2 2 2 2" xfId="48407" xr:uid="{00000000-0005-0000-0000-0000EA3D0000}"/>
    <cellStyle name="Normal 2 5 10 3 2 2 3" xfId="38190" xr:uid="{00000000-0005-0000-0000-0000EB3D0000}"/>
    <cellStyle name="Normal 2 5 10 3 2 3" xfId="9057" xr:uid="{00000000-0005-0000-0000-0000EC3D0000}"/>
    <cellStyle name="Normal 2 5 10 3 2 3 2" xfId="34614" xr:uid="{00000000-0005-0000-0000-0000ED3D0000}"/>
    <cellStyle name="Normal 2 5 10 3 2 4" xfId="17847" xr:uid="{00000000-0005-0000-0000-0000EE3D0000}"/>
    <cellStyle name="Normal 2 5 10 3 2 4 2" xfId="43400" xr:uid="{00000000-0005-0000-0000-0000EF3D0000}"/>
    <cellStyle name="Normal 2 5 10 3 2 5" xfId="29337" xr:uid="{00000000-0005-0000-0000-0000F03D0000}"/>
    <cellStyle name="Normal 2 5 10 3 3" xfId="4890" xr:uid="{00000000-0005-0000-0000-0000F13D0000}"/>
    <cellStyle name="Normal 2 5 10 3 3 2" xfId="13727" xr:uid="{00000000-0005-0000-0000-0000F23D0000}"/>
    <cellStyle name="Normal 2 5 10 3 3 2 2" xfId="23978" xr:uid="{00000000-0005-0000-0000-0000F33D0000}"/>
    <cellStyle name="Normal 2 5 10 3 3 2 2 2" xfId="49531" xr:uid="{00000000-0005-0000-0000-0000F43D0000}"/>
    <cellStyle name="Normal 2 5 10 3 3 2 3" xfId="39282" xr:uid="{00000000-0005-0000-0000-0000F53D0000}"/>
    <cellStyle name="Normal 2 5 10 3 3 3" xfId="10148" xr:uid="{00000000-0005-0000-0000-0000F63D0000}"/>
    <cellStyle name="Normal 2 5 10 3 3 3 2" xfId="35705" xr:uid="{00000000-0005-0000-0000-0000F73D0000}"/>
    <cellStyle name="Normal 2 5 10 3 3 4" xfId="18971" xr:uid="{00000000-0005-0000-0000-0000F83D0000}"/>
    <cellStyle name="Normal 2 5 10 3 3 4 2" xfId="44524" xr:uid="{00000000-0005-0000-0000-0000F93D0000}"/>
    <cellStyle name="Normal 2 5 10 3 3 5" xfId="30461" xr:uid="{00000000-0005-0000-0000-0000FA3D0000}"/>
    <cellStyle name="Normal 2 5 10 3 4" xfId="2573" xr:uid="{00000000-0005-0000-0000-0000FB3D0000}"/>
    <cellStyle name="Normal 2 5 10 3 4 2" xfId="11937" xr:uid="{00000000-0005-0000-0000-0000FC3D0000}"/>
    <cellStyle name="Normal 2 5 10 3 4 2 2" xfId="37492" xr:uid="{00000000-0005-0000-0000-0000FD3D0000}"/>
    <cellStyle name="Normal 2 5 10 3 4 3" xfId="21941" xr:uid="{00000000-0005-0000-0000-0000FE3D0000}"/>
    <cellStyle name="Normal 2 5 10 3 4 3 2" xfId="47494" xr:uid="{00000000-0005-0000-0000-0000FF3D0000}"/>
    <cellStyle name="Normal 2 5 10 3 4 4" xfId="28424" xr:uid="{00000000-0005-0000-0000-0000003E0000}"/>
    <cellStyle name="Normal 2 5 10 3 5" xfId="6345" xr:uid="{00000000-0005-0000-0000-0000013E0000}"/>
    <cellStyle name="Normal 2 5 10 3 5 2" xfId="15172" xr:uid="{00000000-0005-0000-0000-0000023E0000}"/>
    <cellStyle name="Normal 2 5 10 3 5 2 2" xfId="40727" xr:uid="{00000000-0005-0000-0000-0000033E0000}"/>
    <cellStyle name="Normal 2 5 10 3 5 3" xfId="25423" xr:uid="{00000000-0005-0000-0000-0000043E0000}"/>
    <cellStyle name="Normal 2 5 10 3 5 3 2" xfId="50976" xr:uid="{00000000-0005-0000-0000-0000053E0000}"/>
    <cellStyle name="Normal 2 5 10 3 5 4" xfId="31906" xr:uid="{00000000-0005-0000-0000-0000063E0000}"/>
    <cellStyle name="Normal 2 5 10 3 6" xfId="7791" xr:uid="{00000000-0005-0000-0000-0000073E0000}"/>
    <cellStyle name="Normal 2 5 10 3 6 2" xfId="20453" xr:uid="{00000000-0005-0000-0000-0000083E0000}"/>
    <cellStyle name="Normal 2 5 10 3 6 2 2" xfId="46006" xr:uid="{00000000-0005-0000-0000-0000093E0000}"/>
    <cellStyle name="Normal 2 5 10 3 6 3" xfId="33348" xr:uid="{00000000-0005-0000-0000-00000A3E0000}"/>
    <cellStyle name="Normal 2 5 10 3 7" xfId="16934" xr:uid="{00000000-0005-0000-0000-00000B3E0000}"/>
    <cellStyle name="Normal 2 5 10 3 7 2" xfId="42487" xr:uid="{00000000-0005-0000-0000-00000C3E0000}"/>
    <cellStyle name="Normal 2 5 10 3 8" xfId="26936" xr:uid="{00000000-0005-0000-0000-00000D3E0000}"/>
    <cellStyle name="Normal 2 5 10 4" xfId="2784" xr:uid="{00000000-0005-0000-0000-00000E3E0000}"/>
    <cellStyle name="Normal 2 5 10 4 2" xfId="5162" xr:uid="{00000000-0005-0000-0000-00000F3E0000}"/>
    <cellStyle name="Normal 2 5 10 4 2 2" xfId="13999" xr:uid="{00000000-0005-0000-0000-0000103E0000}"/>
    <cellStyle name="Normal 2 5 10 4 2 2 2" xfId="24250" xr:uid="{00000000-0005-0000-0000-0000113E0000}"/>
    <cellStyle name="Normal 2 5 10 4 2 2 2 2" xfId="49803" xr:uid="{00000000-0005-0000-0000-0000123E0000}"/>
    <cellStyle name="Normal 2 5 10 4 2 2 3" xfId="39554" xr:uid="{00000000-0005-0000-0000-0000133E0000}"/>
    <cellStyle name="Normal 2 5 10 4 2 3" xfId="10420" xr:uid="{00000000-0005-0000-0000-0000143E0000}"/>
    <cellStyle name="Normal 2 5 10 4 2 3 2" xfId="35977" xr:uid="{00000000-0005-0000-0000-0000153E0000}"/>
    <cellStyle name="Normal 2 5 10 4 2 4" xfId="19243" xr:uid="{00000000-0005-0000-0000-0000163E0000}"/>
    <cellStyle name="Normal 2 5 10 4 2 4 2" xfId="44796" xr:uid="{00000000-0005-0000-0000-0000173E0000}"/>
    <cellStyle name="Normal 2 5 10 4 2 5" xfId="30733" xr:uid="{00000000-0005-0000-0000-0000183E0000}"/>
    <cellStyle name="Normal 2 5 10 4 3" xfId="6617" xr:uid="{00000000-0005-0000-0000-0000193E0000}"/>
    <cellStyle name="Normal 2 5 10 4 3 2" xfId="15444" xr:uid="{00000000-0005-0000-0000-00001A3E0000}"/>
    <cellStyle name="Normal 2 5 10 4 3 2 2" xfId="40999" xr:uid="{00000000-0005-0000-0000-00001B3E0000}"/>
    <cellStyle name="Normal 2 5 10 4 3 3" xfId="25695" xr:uid="{00000000-0005-0000-0000-00001C3E0000}"/>
    <cellStyle name="Normal 2 5 10 4 3 3 2" xfId="51248" xr:uid="{00000000-0005-0000-0000-00001D3E0000}"/>
    <cellStyle name="Normal 2 5 10 4 3 4" xfId="32178" xr:uid="{00000000-0005-0000-0000-00001E3E0000}"/>
    <cellStyle name="Normal 2 5 10 4 4" xfId="8063" xr:uid="{00000000-0005-0000-0000-00001F3E0000}"/>
    <cellStyle name="Normal 2 5 10 4 4 2" xfId="22145" xr:uid="{00000000-0005-0000-0000-0000203E0000}"/>
    <cellStyle name="Normal 2 5 10 4 4 2 2" xfId="47698" xr:uid="{00000000-0005-0000-0000-0000213E0000}"/>
    <cellStyle name="Normal 2 5 10 4 4 3" xfId="33620" xr:uid="{00000000-0005-0000-0000-0000223E0000}"/>
    <cellStyle name="Normal 2 5 10 4 5" xfId="17138" xr:uid="{00000000-0005-0000-0000-0000233E0000}"/>
    <cellStyle name="Normal 2 5 10 4 5 2" xfId="42691" xr:uid="{00000000-0005-0000-0000-0000243E0000}"/>
    <cellStyle name="Normal 2 5 10 4 6" xfId="28628" xr:uid="{00000000-0005-0000-0000-0000253E0000}"/>
    <cellStyle name="Normal 2 5 10 5" xfId="4116" xr:uid="{00000000-0005-0000-0000-0000263E0000}"/>
    <cellStyle name="Normal 2 5 10 5 2" xfId="12954" xr:uid="{00000000-0005-0000-0000-0000273E0000}"/>
    <cellStyle name="Normal 2 5 10 5 2 2" xfId="23205" xr:uid="{00000000-0005-0000-0000-0000283E0000}"/>
    <cellStyle name="Normal 2 5 10 5 2 2 2" xfId="48758" xr:uid="{00000000-0005-0000-0000-0000293E0000}"/>
    <cellStyle name="Normal 2 5 10 5 2 3" xfId="38509" xr:uid="{00000000-0005-0000-0000-00002A3E0000}"/>
    <cellStyle name="Normal 2 5 10 5 3" xfId="9375" xr:uid="{00000000-0005-0000-0000-00002B3E0000}"/>
    <cellStyle name="Normal 2 5 10 5 3 2" xfId="34932" xr:uid="{00000000-0005-0000-0000-00002C3E0000}"/>
    <cellStyle name="Normal 2 5 10 5 4" xfId="18198" xr:uid="{00000000-0005-0000-0000-00002D3E0000}"/>
    <cellStyle name="Normal 2 5 10 5 4 2" xfId="43751" xr:uid="{00000000-0005-0000-0000-00002E3E0000}"/>
    <cellStyle name="Normal 2 5 10 5 5" xfId="29688" xr:uid="{00000000-0005-0000-0000-00002F3E0000}"/>
    <cellStyle name="Normal 2 5 10 6" xfId="1893" xr:uid="{00000000-0005-0000-0000-0000303E0000}"/>
    <cellStyle name="Normal 2 5 10 6 2" xfId="11258" xr:uid="{00000000-0005-0000-0000-0000313E0000}"/>
    <cellStyle name="Normal 2 5 10 6 2 2" xfId="36813" xr:uid="{00000000-0005-0000-0000-0000323E0000}"/>
    <cellStyle name="Normal 2 5 10 6 3" xfId="21262" xr:uid="{00000000-0005-0000-0000-0000333E0000}"/>
    <cellStyle name="Normal 2 5 10 6 3 2" xfId="46815" xr:uid="{00000000-0005-0000-0000-0000343E0000}"/>
    <cellStyle name="Normal 2 5 10 6 4" xfId="27745" xr:uid="{00000000-0005-0000-0000-0000353E0000}"/>
    <cellStyle name="Normal 2 5 10 7" xfId="5574" xr:uid="{00000000-0005-0000-0000-0000363E0000}"/>
    <cellStyle name="Normal 2 5 10 7 2" xfId="14401" xr:uid="{00000000-0005-0000-0000-0000373E0000}"/>
    <cellStyle name="Normal 2 5 10 7 2 2" xfId="39956" xr:uid="{00000000-0005-0000-0000-0000383E0000}"/>
    <cellStyle name="Normal 2 5 10 7 3" xfId="24652" xr:uid="{00000000-0005-0000-0000-0000393E0000}"/>
    <cellStyle name="Normal 2 5 10 7 3 2" xfId="50205" xr:uid="{00000000-0005-0000-0000-00003A3E0000}"/>
    <cellStyle name="Normal 2 5 10 7 4" xfId="31135" xr:uid="{00000000-0005-0000-0000-00003B3E0000}"/>
    <cellStyle name="Normal 2 5 10 8" xfId="7018" xr:uid="{00000000-0005-0000-0000-00003C3E0000}"/>
    <cellStyle name="Normal 2 5 10 8 2" xfId="19744" xr:uid="{00000000-0005-0000-0000-00003D3E0000}"/>
    <cellStyle name="Normal 2 5 10 8 2 2" xfId="45297" xr:uid="{00000000-0005-0000-0000-00003E3E0000}"/>
    <cellStyle name="Normal 2 5 10 8 3" xfId="32575" xr:uid="{00000000-0005-0000-0000-00003F3E0000}"/>
    <cellStyle name="Normal 2 5 10 9" xfId="16255" xr:uid="{00000000-0005-0000-0000-0000403E0000}"/>
    <cellStyle name="Normal 2 5 10 9 2" xfId="41808" xr:uid="{00000000-0005-0000-0000-0000413E0000}"/>
    <cellStyle name="Normal 2 5 10_Degree data" xfId="3922" xr:uid="{00000000-0005-0000-0000-0000423E0000}"/>
    <cellStyle name="Normal 2 5 11" xfId="725" xr:uid="{00000000-0005-0000-0000-0000433E0000}"/>
    <cellStyle name="Normal 2 5 11 2" xfId="3211" xr:uid="{00000000-0005-0000-0000-0000443E0000}"/>
    <cellStyle name="Normal 2 5 11 2 2" xfId="12353" xr:uid="{00000000-0005-0000-0000-0000453E0000}"/>
    <cellStyle name="Normal 2 5 11 2 2 2" xfId="22572" xr:uid="{00000000-0005-0000-0000-0000463E0000}"/>
    <cellStyle name="Normal 2 5 11 2 2 2 2" xfId="48125" xr:uid="{00000000-0005-0000-0000-0000473E0000}"/>
    <cellStyle name="Normal 2 5 11 2 2 3" xfId="37908" xr:uid="{00000000-0005-0000-0000-0000483E0000}"/>
    <cellStyle name="Normal 2 5 11 2 3" xfId="8775" xr:uid="{00000000-0005-0000-0000-0000493E0000}"/>
    <cellStyle name="Normal 2 5 11 2 3 2" xfId="34332" xr:uid="{00000000-0005-0000-0000-00004A3E0000}"/>
    <cellStyle name="Normal 2 5 11 2 4" xfId="17565" xr:uid="{00000000-0005-0000-0000-00004B3E0000}"/>
    <cellStyle name="Normal 2 5 11 2 4 2" xfId="43118" xr:uid="{00000000-0005-0000-0000-00004C3E0000}"/>
    <cellStyle name="Normal 2 5 11 2 5" xfId="29055" xr:uid="{00000000-0005-0000-0000-00004D3E0000}"/>
    <cellStyle name="Normal 2 5 11 3" xfId="4540" xr:uid="{00000000-0005-0000-0000-00004E3E0000}"/>
    <cellStyle name="Normal 2 5 11 3 2" xfId="13378" xr:uid="{00000000-0005-0000-0000-00004F3E0000}"/>
    <cellStyle name="Normal 2 5 11 3 2 2" xfId="23629" xr:uid="{00000000-0005-0000-0000-0000503E0000}"/>
    <cellStyle name="Normal 2 5 11 3 2 2 2" xfId="49182" xr:uid="{00000000-0005-0000-0000-0000513E0000}"/>
    <cellStyle name="Normal 2 5 11 3 2 3" xfId="38933" xr:uid="{00000000-0005-0000-0000-0000523E0000}"/>
    <cellStyle name="Normal 2 5 11 3 3" xfId="9799" xr:uid="{00000000-0005-0000-0000-0000533E0000}"/>
    <cellStyle name="Normal 2 5 11 3 3 2" xfId="35356" xr:uid="{00000000-0005-0000-0000-0000543E0000}"/>
    <cellStyle name="Normal 2 5 11 3 4" xfId="18622" xr:uid="{00000000-0005-0000-0000-0000553E0000}"/>
    <cellStyle name="Normal 2 5 11 3 4 2" xfId="44175" xr:uid="{00000000-0005-0000-0000-0000563E0000}"/>
    <cellStyle name="Normal 2 5 11 3 5" xfId="30112" xr:uid="{00000000-0005-0000-0000-0000573E0000}"/>
    <cellStyle name="Normal 2 5 11 4" xfId="2320" xr:uid="{00000000-0005-0000-0000-0000583E0000}"/>
    <cellStyle name="Normal 2 5 11 4 2" xfId="11685" xr:uid="{00000000-0005-0000-0000-0000593E0000}"/>
    <cellStyle name="Normal 2 5 11 4 2 2" xfId="37240" xr:uid="{00000000-0005-0000-0000-00005A3E0000}"/>
    <cellStyle name="Normal 2 5 11 4 3" xfId="21689" xr:uid="{00000000-0005-0000-0000-00005B3E0000}"/>
    <cellStyle name="Normal 2 5 11 4 3 2" xfId="47242" xr:uid="{00000000-0005-0000-0000-00005C3E0000}"/>
    <cellStyle name="Normal 2 5 11 4 4" xfId="28172" xr:uid="{00000000-0005-0000-0000-00005D3E0000}"/>
    <cellStyle name="Normal 2 5 11 5" xfId="5996" xr:uid="{00000000-0005-0000-0000-00005E3E0000}"/>
    <cellStyle name="Normal 2 5 11 5 2" xfId="14823" xr:uid="{00000000-0005-0000-0000-00005F3E0000}"/>
    <cellStyle name="Normal 2 5 11 5 2 2" xfId="40378" xr:uid="{00000000-0005-0000-0000-0000603E0000}"/>
    <cellStyle name="Normal 2 5 11 5 3" xfId="25074" xr:uid="{00000000-0005-0000-0000-0000613E0000}"/>
    <cellStyle name="Normal 2 5 11 5 3 2" xfId="50627" xr:uid="{00000000-0005-0000-0000-0000623E0000}"/>
    <cellStyle name="Normal 2 5 11 5 4" xfId="31557" xr:uid="{00000000-0005-0000-0000-0000633E0000}"/>
    <cellStyle name="Normal 2 5 11 6" xfId="7440" xr:uid="{00000000-0005-0000-0000-0000643E0000}"/>
    <cellStyle name="Normal 2 5 11 6 2" xfId="20171" xr:uid="{00000000-0005-0000-0000-0000653E0000}"/>
    <cellStyle name="Normal 2 5 11 6 2 2" xfId="45724" xr:uid="{00000000-0005-0000-0000-0000663E0000}"/>
    <cellStyle name="Normal 2 5 11 6 3" xfId="32997" xr:uid="{00000000-0005-0000-0000-0000673E0000}"/>
    <cellStyle name="Normal 2 5 11 7" xfId="16682" xr:uid="{00000000-0005-0000-0000-0000683E0000}"/>
    <cellStyle name="Normal 2 5 11 7 2" xfId="42235" xr:uid="{00000000-0005-0000-0000-0000693E0000}"/>
    <cellStyle name="Normal 2 5 11 8" xfId="26654" xr:uid="{00000000-0005-0000-0000-00006A3E0000}"/>
    <cellStyle name="Normal 2 5 12" xfId="1038" xr:uid="{00000000-0005-0000-0000-00006B3E0000}"/>
    <cellStyle name="Normal 2 5 12 2" xfId="3467" xr:uid="{00000000-0005-0000-0000-00006C3E0000}"/>
    <cellStyle name="Normal 2 5 12 2 2" xfId="12603" xr:uid="{00000000-0005-0000-0000-00006D3E0000}"/>
    <cellStyle name="Normal 2 5 12 2 2 2" xfId="22822" xr:uid="{00000000-0005-0000-0000-00006E3E0000}"/>
    <cellStyle name="Normal 2 5 12 2 2 2 2" xfId="48375" xr:uid="{00000000-0005-0000-0000-00006F3E0000}"/>
    <cellStyle name="Normal 2 5 12 2 2 3" xfId="38158" xr:uid="{00000000-0005-0000-0000-0000703E0000}"/>
    <cellStyle name="Normal 2 5 12 2 3" xfId="9025" xr:uid="{00000000-0005-0000-0000-0000713E0000}"/>
    <cellStyle name="Normal 2 5 12 2 3 2" xfId="34582" xr:uid="{00000000-0005-0000-0000-0000723E0000}"/>
    <cellStyle name="Normal 2 5 12 2 4" xfId="17815" xr:uid="{00000000-0005-0000-0000-0000733E0000}"/>
    <cellStyle name="Normal 2 5 12 2 4 2" xfId="43368" xr:uid="{00000000-0005-0000-0000-0000743E0000}"/>
    <cellStyle name="Normal 2 5 12 2 5" xfId="29305" xr:uid="{00000000-0005-0000-0000-0000753E0000}"/>
    <cellStyle name="Normal 2 5 12 3" xfId="4889" xr:uid="{00000000-0005-0000-0000-0000763E0000}"/>
    <cellStyle name="Normal 2 5 12 3 2" xfId="13726" xr:uid="{00000000-0005-0000-0000-0000773E0000}"/>
    <cellStyle name="Normal 2 5 12 3 2 2" xfId="23977" xr:uid="{00000000-0005-0000-0000-0000783E0000}"/>
    <cellStyle name="Normal 2 5 12 3 2 2 2" xfId="49530" xr:uid="{00000000-0005-0000-0000-0000793E0000}"/>
    <cellStyle name="Normal 2 5 12 3 2 3" xfId="39281" xr:uid="{00000000-0005-0000-0000-00007A3E0000}"/>
    <cellStyle name="Normal 2 5 12 3 3" xfId="10147" xr:uid="{00000000-0005-0000-0000-00007B3E0000}"/>
    <cellStyle name="Normal 2 5 12 3 3 2" xfId="35704" xr:uid="{00000000-0005-0000-0000-00007C3E0000}"/>
    <cellStyle name="Normal 2 5 12 3 4" xfId="18970" xr:uid="{00000000-0005-0000-0000-00007D3E0000}"/>
    <cellStyle name="Normal 2 5 12 3 4 2" xfId="44523" xr:uid="{00000000-0005-0000-0000-00007E3E0000}"/>
    <cellStyle name="Normal 2 5 12 3 5" xfId="30460" xr:uid="{00000000-0005-0000-0000-00007F3E0000}"/>
    <cellStyle name="Normal 2 5 12 4" xfId="1710" xr:uid="{00000000-0005-0000-0000-0000803E0000}"/>
    <cellStyle name="Normal 2 5 12 4 2" xfId="11087" xr:uid="{00000000-0005-0000-0000-0000813E0000}"/>
    <cellStyle name="Normal 2 5 12 4 2 2" xfId="36642" xr:uid="{00000000-0005-0000-0000-0000823E0000}"/>
    <cellStyle name="Normal 2 5 12 4 3" xfId="21091" xr:uid="{00000000-0005-0000-0000-0000833E0000}"/>
    <cellStyle name="Normal 2 5 12 4 3 2" xfId="46644" xr:uid="{00000000-0005-0000-0000-0000843E0000}"/>
    <cellStyle name="Normal 2 5 12 4 4" xfId="27574" xr:uid="{00000000-0005-0000-0000-0000853E0000}"/>
    <cellStyle name="Normal 2 5 12 5" xfId="6344" xr:uid="{00000000-0005-0000-0000-0000863E0000}"/>
    <cellStyle name="Normal 2 5 12 5 2" xfId="15171" xr:uid="{00000000-0005-0000-0000-0000873E0000}"/>
    <cellStyle name="Normal 2 5 12 5 2 2" xfId="40726" xr:uid="{00000000-0005-0000-0000-0000883E0000}"/>
    <cellStyle name="Normal 2 5 12 5 3" xfId="25422" xr:uid="{00000000-0005-0000-0000-0000893E0000}"/>
    <cellStyle name="Normal 2 5 12 5 3 2" xfId="50975" xr:uid="{00000000-0005-0000-0000-00008A3E0000}"/>
    <cellStyle name="Normal 2 5 12 5 4" xfId="31905" xr:uid="{00000000-0005-0000-0000-00008B3E0000}"/>
    <cellStyle name="Normal 2 5 12 6" xfId="7790" xr:uid="{00000000-0005-0000-0000-00008C3E0000}"/>
    <cellStyle name="Normal 2 5 12 6 2" xfId="20421" xr:uid="{00000000-0005-0000-0000-00008D3E0000}"/>
    <cellStyle name="Normal 2 5 12 6 2 2" xfId="45974" xr:uid="{00000000-0005-0000-0000-00008E3E0000}"/>
    <cellStyle name="Normal 2 5 12 6 3" xfId="33347" xr:uid="{00000000-0005-0000-0000-00008F3E0000}"/>
    <cellStyle name="Normal 2 5 12 7" xfId="16084" xr:uid="{00000000-0005-0000-0000-0000903E0000}"/>
    <cellStyle name="Normal 2 5 12 7 2" xfId="41637" xr:uid="{00000000-0005-0000-0000-0000913E0000}"/>
    <cellStyle name="Normal 2 5 12 8" xfId="26904" xr:uid="{00000000-0005-0000-0000-0000923E0000}"/>
    <cellStyle name="Normal 2 5 13" xfId="2610" xr:uid="{00000000-0005-0000-0000-0000933E0000}"/>
    <cellStyle name="Normal 2 5 13 2" xfId="5130" xr:uid="{00000000-0005-0000-0000-0000943E0000}"/>
    <cellStyle name="Normal 2 5 13 2 2" xfId="13967" xr:uid="{00000000-0005-0000-0000-0000953E0000}"/>
    <cellStyle name="Normal 2 5 13 2 2 2" xfId="24218" xr:uid="{00000000-0005-0000-0000-0000963E0000}"/>
    <cellStyle name="Normal 2 5 13 2 2 2 2" xfId="49771" xr:uid="{00000000-0005-0000-0000-0000973E0000}"/>
    <cellStyle name="Normal 2 5 13 2 2 3" xfId="39522" xr:uid="{00000000-0005-0000-0000-0000983E0000}"/>
    <cellStyle name="Normal 2 5 13 2 3" xfId="10388" xr:uid="{00000000-0005-0000-0000-0000993E0000}"/>
    <cellStyle name="Normal 2 5 13 2 3 2" xfId="35945" xr:uid="{00000000-0005-0000-0000-00009A3E0000}"/>
    <cellStyle name="Normal 2 5 13 2 4" xfId="19211" xr:uid="{00000000-0005-0000-0000-00009B3E0000}"/>
    <cellStyle name="Normal 2 5 13 2 4 2" xfId="44764" xr:uid="{00000000-0005-0000-0000-00009C3E0000}"/>
    <cellStyle name="Normal 2 5 13 2 5" xfId="30701" xr:uid="{00000000-0005-0000-0000-00009D3E0000}"/>
    <cellStyle name="Normal 2 5 13 3" xfId="6585" xr:uid="{00000000-0005-0000-0000-00009E3E0000}"/>
    <cellStyle name="Normal 2 5 13 3 2" xfId="15412" xr:uid="{00000000-0005-0000-0000-00009F3E0000}"/>
    <cellStyle name="Normal 2 5 13 3 2 2" xfId="40967" xr:uid="{00000000-0005-0000-0000-0000A03E0000}"/>
    <cellStyle name="Normal 2 5 13 3 3" xfId="25663" xr:uid="{00000000-0005-0000-0000-0000A13E0000}"/>
    <cellStyle name="Normal 2 5 13 3 3 2" xfId="51216" xr:uid="{00000000-0005-0000-0000-0000A23E0000}"/>
    <cellStyle name="Normal 2 5 13 3 4" xfId="32146" xr:uid="{00000000-0005-0000-0000-0000A33E0000}"/>
    <cellStyle name="Normal 2 5 13 4" xfId="8031" xr:uid="{00000000-0005-0000-0000-0000A43E0000}"/>
    <cellStyle name="Normal 2 5 13 4 2" xfId="21974" xr:uid="{00000000-0005-0000-0000-0000A53E0000}"/>
    <cellStyle name="Normal 2 5 13 4 2 2" xfId="47527" xr:uid="{00000000-0005-0000-0000-0000A63E0000}"/>
    <cellStyle name="Normal 2 5 13 4 3" xfId="33588" xr:uid="{00000000-0005-0000-0000-0000A73E0000}"/>
    <cellStyle name="Normal 2 5 13 5" xfId="16967" xr:uid="{00000000-0005-0000-0000-0000A83E0000}"/>
    <cellStyle name="Normal 2 5 13 5 2" xfId="42520" xr:uid="{00000000-0005-0000-0000-0000A93E0000}"/>
    <cellStyle name="Normal 2 5 13 6" xfId="28457" xr:uid="{00000000-0005-0000-0000-0000AA3E0000}"/>
    <cellStyle name="Normal 2 5 14" xfId="4083" xr:uid="{00000000-0005-0000-0000-0000AB3E0000}"/>
    <cellStyle name="Normal 2 5 14 2" xfId="5542" xr:uid="{00000000-0005-0000-0000-0000AC3E0000}"/>
    <cellStyle name="Normal 2 5 14 2 2" xfId="14369" xr:uid="{00000000-0005-0000-0000-0000AD3E0000}"/>
    <cellStyle name="Normal 2 5 14 2 2 2" xfId="39924" xr:uid="{00000000-0005-0000-0000-0000AE3E0000}"/>
    <cellStyle name="Normal 2 5 14 2 3" xfId="24620" xr:uid="{00000000-0005-0000-0000-0000AF3E0000}"/>
    <cellStyle name="Normal 2 5 14 2 3 2" xfId="50173" xr:uid="{00000000-0005-0000-0000-0000B03E0000}"/>
    <cellStyle name="Normal 2 5 14 2 4" xfId="31103" xr:uid="{00000000-0005-0000-0000-0000B13E0000}"/>
    <cellStyle name="Normal 2 5 14 3" xfId="6986" xr:uid="{00000000-0005-0000-0000-0000B23E0000}"/>
    <cellStyle name="Normal 2 5 14 3 2" xfId="23172" xr:uid="{00000000-0005-0000-0000-0000B33E0000}"/>
    <cellStyle name="Normal 2 5 14 3 2 2" xfId="48725" xr:uid="{00000000-0005-0000-0000-0000B43E0000}"/>
    <cellStyle name="Normal 2 5 14 3 3" xfId="32543" xr:uid="{00000000-0005-0000-0000-0000B53E0000}"/>
    <cellStyle name="Normal 2 5 14 4" xfId="18165" xr:uid="{00000000-0005-0000-0000-0000B63E0000}"/>
    <cellStyle name="Normal 2 5 14 4 2" xfId="43718" xr:uid="{00000000-0005-0000-0000-0000B73E0000}"/>
    <cellStyle name="Normal 2 5 14 5" xfId="29655" xr:uid="{00000000-0005-0000-0000-0000B83E0000}"/>
    <cellStyle name="Normal 2 5 15" xfId="1390" xr:uid="{00000000-0005-0000-0000-0000B93E0000}"/>
    <cellStyle name="Normal 2 5 15 2" xfId="10767" xr:uid="{00000000-0005-0000-0000-0000BA3E0000}"/>
    <cellStyle name="Normal 2 5 15 2 2" xfId="36322" xr:uid="{00000000-0005-0000-0000-0000BB3E0000}"/>
    <cellStyle name="Normal 2 5 15 3" xfId="20771" xr:uid="{00000000-0005-0000-0000-0000BC3E0000}"/>
    <cellStyle name="Normal 2 5 15 3 2" xfId="46324" xr:uid="{00000000-0005-0000-0000-0000BD3E0000}"/>
    <cellStyle name="Normal 2 5 15 4" xfId="27254" xr:uid="{00000000-0005-0000-0000-0000BE3E0000}"/>
    <cellStyle name="Normal 2 5 16" xfId="5502" xr:uid="{00000000-0005-0000-0000-0000BF3E0000}"/>
    <cellStyle name="Normal 2 5 16 2" xfId="14329" xr:uid="{00000000-0005-0000-0000-0000C03E0000}"/>
    <cellStyle name="Normal 2 5 16 2 2" xfId="39884" xr:uid="{00000000-0005-0000-0000-0000C13E0000}"/>
    <cellStyle name="Normal 2 5 16 3" xfId="24580" xr:uid="{00000000-0005-0000-0000-0000C23E0000}"/>
    <cellStyle name="Normal 2 5 16 3 2" xfId="50133" xr:uid="{00000000-0005-0000-0000-0000C33E0000}"/>
    <cellStyle name="Normal 2 5 16 4" xfId="31063" xr:uid="{00000000-0005-0000-0000-0000C43E0000}"/>
    <cellStyle name="Normal 2 5 17" xfId="6941" xr:uid="{00000000-0005-0000-0000-0000C53E0000}"/>
    <cellStyle name="Normal 2 5 17 2" xfId="19574" xr:uid="{00000000-0005-0000-0000-0000C63E0000}"/>
    <cellStyle name="Normal 2 5 17 2 2" xfId="45127" xr:uid="{00000000-0005-0000-0000-0000C73E0000}"/>
    <cellStyle name="Normal 2 5 17 3" xfId="32499" xr:uid="{00000000-0005-0000-0000-0000C83E0000}"/>
    <cellStyle name="Normal 2 5 18" xfId="15764" xr:uid="{00000000-0005-0000-0000-0000C93E0000}"/>
    <cellStyle name="Normal 2 5 18 2" xfId="41317" xr:uid="{00000000-0005-0000-0000-0000CA3E0000}"/>
    <cellStyle name="Normal 2 5 19" xfId="26057" xr:uid="{00000000-0005-0000-0000-0000CB3E0000}"/>
    <cellStyle name="Normal 2 5 2" xfId="114" xr:uid="{00000000-0005-0000-0000-0000CC3E0000}"/>
    <cellStyle name="Normal 2 5 2 10" xfId="2624" xr:uid="{00000000-0005-0000-0000-0000CD3E0000}"/>
    <cellStyle name="Normal 2 5 2 10 2" xfId="5138" xr:uid="{00000000-0005-0000-0000-0000CE3E0000}"/>
    <cellStyle name="Normal 2 5 2 10 2 2" xfId="13975" xr:uid="{00000000-0005-0000-0000-0000CF3E0000}"/>
    <cellStyle name="Normal 2 5 2 10 2 2 2" xfId="24226" xr:uid="{00000000-0005-0000-0000-0000D03E0000}"/>
    <cellStyle name="Normal 2 5 2 10 2 2 2 2" xfId="49779" xr:uid="{00000000-0005-0000-0000-0000D13E0000}"/>
    <cellStyle name="Normal 2 5 2 10 2 2 3" xfId="39530" xr:uid="{00000000-0005-0000-0000-0000D23E0000}"/>
    <cellStyle name="Normal 2 5 2 10 2 3" xfId="10396" xr:uid="{00000000-0005-0000-0000-0000D33E0000}"/>
    <cellStyle name="Normal 2 5 2 10 2 3 2" xfId="35953" xr:uid="{00000000-0005-0000-0000-0000D43E0000}"/>
    <cellStyle name="Normal 2 5 2 10 2 4" xfId="19219" xr:uid="{00000000-0005-0000-0000-0000D53E0000}"/>
    <cellStyle name="Normal 2 5 2 10 2 4 2" xfId="44772" xr:uid="{00000000-0005-0000-0000-0000D63E0000}"/>
    <cellStyle name="Normal 2 5 2 10 2 5" xfId="30709" xr:uid="{00000000-0005-0000-0000-0000D73E0000}"/>
    <cellStyle name="Normal 2 5 2 10 3" xfId="6593" xr:uid="{00000000-0005-0000-0000-0000D83E0000}"/>
    <cellStyle name="Normal 2 5 2 10 3 2" xfId="15420" xr:uid="{00000000-0005-0000-0000-0000D93E0000}"/>
    <cellStyle name="Normal 2 5 2 10 3 2 2" xfId="40975" xr:uid="{00000000-0005-0000-0000-0000DA3E0000}"/>
    <cellStyle name="Normal 2 5 2 10 3 3" xfId="25671" xr:uid="{00000000-0005-0000-0000-0000DB3E0000}"/>
    <cellStyle name="Normal 2 5 2 10 3 3 2" xfId="51224" xr:uid="{00000000-0005-0000-0000-0000DC3E0000}"/>
    <cellStyle name="Normal 2 5 2 10 3 4" xfId="32154" xr:uid="{00000000-0005-0000-0000-0000DD3E0000}"/>
    <cellStyle name="Normal 2 5 2 10 4" xfId="8039" xr:uid="{00000000-0005-0000-0000-0000DE3E0000}"/>
    <cellStyle name="Normal 2 5 2 10 4 2" xfId="21987" xr:uid="{00000000-0005-0000-0000-0000DF3E0000}"/>
    <cellStyle name="Normal 2 5 2 10 4 2 2" xfId="47540" xr:uid="{00000000-0005-0000-0000-0000E03E0000}"/>
    <cellStyle name="Normal 2 5 2 10 4 3" xfId="33596" xr:uid="{00000000-0005-0000-0000-0000E13E0000}"/>
    <cellStyle name="Normal 2 5 2 10 5" xfId="16980" xr:uid="{00000000-0005-0000-0000-0000E23E0000}"/>
    <cellStyle name="Normal 2 5 2 10 5 2" xfId="42533" xr:uid="{00000000-0005-0000-0000-0000E33E0000}"/>
    <cellStyle name="Normal 2 5 2 10 6" xfId="28470" xr:uid="{00000000-0005-0000-0000-0000E43E0000}"/>
    <cellStyle name="Normal 2 5 2 11" xfId="4092" xr:uid="{00000000-0005-0000-0000-0000E53E0000}"/>
    <cellStyle name="Normal 2 5 2 11 2" xfId="5550" xr:uid="{00000000-0005-0000-0000-0000E63E0000}"/>
    <cellStyle name="Normal 2 5 2 11 2 2" xfId="14377" xr:uid="{00000000-0005-0000-0000-0000E73E0000}"/>
    <cellStyle name="Normal 2 5 2 11 2 2 2" xfId="39932" xr:uid="{00000000-0005-0000-0000-0000E83E0000}"/>
    <cellStyle name="Normal 2 5 2 11 2 3" xfId="24628" xr:uid="{00000000-0005-0000-0000-0000E93E0000}"/>
    <cellStyle name="Normal 2 5 2 11 2 3 2" xfId="50181" xr:uid="{00000000-0005-0000-0000-0000EA3E0000}"/>
    <cellStyle name="Normal 2 5 2 11 2 4" xfId="31111" xr:uid="{00000000-0005-0000-0000-0000EB3E0000}"/>
    <cellStyle name="Normal 2 5 2 11 3" xfId="6994" xr:uid="{00000000-0005-0000-0000-0000EC3E0000}"/>
    <cellStyle name="Normal 2 5 2 11 3 2" xfId="23181" xr:uid="{00000000-0005-0000-0000-0000ED3E0000}"/>
    <cellStyle name="Normal 2 5 2 11 3 2 2" xfId="48734" xr:uid="{00000000-0005-0000-0000-0000EE3E0000}"/>
    <cellStyle name="Normal 2 5 2 11 3 3" xfId="32551" xr:uid="{00000000-0005-0000-0000-0000EF3E0000}"/>
    <cellStyle name="Normal 2 5 2 11 4" xfId="18174" xr:uid="{00000000-0005-0000-0000-0000F03E0000}"/>
    <cellStyle name="Normal 2 5 2 11 4 2" xfId="43727" xr:uid="{00000000-0005-0000-0000-0000F13E0000}"/>
    <cellStyle name="Normal 2 5 2 11 5" xfId="29664" xr:uid="{00000000-0005-0000-0000-0000F23E0000}"/>
    <cellStyle name="Normal 2 5 2 12" xfId="1398" xr:uid="{00000000-0005-0000-0000-0000F33E0000}"/>
    <cellStyle name="Normal 2 5 2 12 2" xfId="10775" xr:uid="{00000000-0005-0000-0000-0000F43E0000}"/>
    <cellStyle name="Normal 2 5 2 12 2 2" xfId="36330" xr:uid="{00000000-0005-0000-0000-0000F53E0000}"/>
    <cellStyle name="Normal 2 5 2 12 3" xfId="20779" xr:uid="{00000000-0005-0000-0000-0000F63E0000}"/>
    <cellStyle name="Normal 2 5 2 12 3 2" xfId="46332" xr:uid="{00000000-0005-0000-0000-0000F73E0000}"/>
    <cellStyle name="Normal 2 5 2 12 4" xfId="27262" xr:uid="{00000000-0005-0000-0000-0000F83E0000}"/>
    <cellStyle name="Normal 2 5 2 13" xfId="5510" xr:uid="{00000000-0005-0000-0000-0000F93E0000}"/>
    <cellStyle name="Normal 2 5 2 13 2" xfId="14337" xr:uid="{00000000-0005-0000-0000-0000FA3E0000}"/>
    <cellStyle name="Normal 2 5 2 13 2 2" xfId="39892" xr:uid="{00000000-0005-0000-0000-0000FB3E0000}"/>
    <cellStyle name="Normal 2 5 2 13 3" xfId="24588" xr:uid="{00000000-0005-0000-0000-0000FC3E0000}"/>
    <cellStyle name="Normal 2 5 2 13 3 2" xfId="50141" xr:uid="{00000000-0005-0000-0000-0000FD3E0000}"/>
    <cellStyle name="Normal 2 5 2 13 4" xfId="31071" xr:uid="{00000000-0005-0000-0000-0000FE3E0000}"/>
    <cellStyle name="Normal 2 5 2 14" xfId="6950" xr:uid="{00000000-0005-0000-0000-0000FF3E0000}"/>
    <cellStyle name="Normal 2 5 2 14 2" xfId="19587" xr:uid="{00000000-0005-0000-0000-0000003F0000}"/>
    <cellStyle name="Normal 2 5 2 14 2 2" xfId="45140" xr:uid="{00000000-0005-0000-0000-0000013F0000}"/>
    <cellStyle name="Normal 2 5 2 14 3" xfId="32508" xr:uid="{00000000-0005-0000-0000-0000023F0000}"/>
    <cellStyle name="Normal 2 5 2 15" xfId="15772" xr:uid="{00000000-0005-0000-0000-0000033F0000}"/>
    <cellStyle name="Normal 2 5 2 15 2" xfId="41325" xr:uid="{00000000-0005-0000-0000-0000043F0000}"/>
    <cellStyle name="Normal 2 5 2 16" xfId="26070" xr:uid="{00000000-0005-0000-0000-0000053F0000}"/>
    <cellStyle name="Normal 2 5 2 2" xfId="158" xr:uid="{00000000-0005-0000-0000-0000063F0000}"/>
    <cellStyle name="Normal 2 5 2 2 10" xfId="1423" xr:uid="{00000000-0005-0000-0000-0000073F0000}"/>
    <cellStyle name="Normal 2 5 2 2 10 2" xfId="10800" xr:uid="{00000000-0005-0000-0000-0000083F0000}"/>
    <cellStyle name="Normal 2 5 2 2 10 2 2" xfId="36355" xr:uid="{00000000-0005-0000-0000-0000093F0000}"/>
    <cellStyle name="Normal 2 5 2 2 10 3" xfId="20804" xr:uid="{00000000-0005-0000-0000-00000A3F0000}"/>
    <cellStyle name="Normal 2 5 2 2 10 3 2" xfId="46357" xr:uid="{00000000-0005-0000-0000-00000B3F0000}"/>
    <cellStyle name="Normal 2 5 2 2 10 4" xfId="27287" xr:uid="{00000000-0005-0000-0000-00000C3F0000}"/>
    <cellStyle name="Normal 2 5 2 2 11" xfId="5532" xr:uid="{00000000-0005-0000-0000-00000D3F0000}"/>
    <cellStyle name="Normal 2 5 2 2 11 2" xfId="14359" xr:uid="{00000000-0005-0000-0000-00000E3F0000}"/>
    <cellStyle name="Normal 2 5 2 2 11 2 2" xfId="39914" xr:uid="{00000000-0005-0000-0000-00000F3F0000}"/>
    <cellStyle name="Normal 2 5 2 2 11 3" xfId="24610" xr:uid="{00000000-0005-0000-0000-0000103F0000}"/>
    <cellStyle name="Normal 2 5 2 2 11 3 2" xfId="50163" xr:uid="{00000000-0005-0000-0000-0000113F0000}"/>
    <cellStyle name="Normal 2 5 2 2 11 4" xfId="31093" xr:uid="{00000000-0005-0000-0000-0000123F0000}"/>
    <cellStyle name="Normal 2 5 2 2 12" xfId="6976" xr:uid="{00000000-0005-0000-0000-0000133F0000}"/>
    <cellStyle name="Normal 2 5 2 2 12 2" xfId="19617" xr:uid="{00000000-0005-0000-0000-0000143F0000}"/>
    <cellStyle name="Normal 2 5 2 2 12 2 2" xfId="45170" xr:uid="{00000000-0005-0000-0000-0000153F0000}"/>
    <cellStyle name="Normal 2 5 2 2 12 3" xfId="32533" xr:uid="{00000000-0005-0000-0000-0000163F0000}"/>
    <cellStyle name="Normal 2 5 2 2 13" xfId="15797" xr:uid="{00000000-0005-0000-0000-0000173F0000}"/>
    <cellStyle name="Normal 2 5 2 2 13 2" xfId="41350" xr:uid="{00000000-0005-0000-0000-0000183F0000}"/>
    <cellStyle name="Normal 2 5 2 2 14" xfId="26100" xr:uid="{00000000-0005-0000-0000-0000193F0000}"/>
    <cellStyle name="Normal 2 5 2 2 2" xfId="205" xr:uid="{00000000-0005-0000-0000-00001A3F0000}"/>
    <cellStyle name="Normal 2 5 2 2 2 10" xfId="7151" xr:uid="{00000000-0005-0000-0000-00001B3F0000}"/>
    <cellStyle name="Normal 2 5 2 2 2 10 2" xfId="19660" xr:uid="{00000000-0005-0000-0000-00001C3F0000}"/>
    <cellStyle name="Normal 2 5 2 2 2 10 2 2" xfId="45213" xr:uid="{00000000-0005-0000-0000-00001D3F0000}"/>
    <cellStyle name="Normal 2 5 2 2 2 10 3" xfId="32708" xr:uid="{00000000-0005-0000-0000-00001E3F0000}"/>
    <cellStyle name="Normal 2 5 2 2 2 11" xfId="15897" xr:uid="{00000000-0005-0000-0000-00001F3F0000}"/>
    <cellStyle name="Normal 2 5 2 2 2 11 2" xfId="41450" xr:uid="{00000000-0005-0000-0000-0000203F0000}"/>
    <cellStyle name="Normal 2 5 2 2 2 12" xfId="26143" xr:uid="{00000000-0005-0000-0000-0000213F0000}"/>
    <cellStyle name="Normal 2 5 2 2 2 2" xfId="531" xr:uid="{00000000-0005-0000-0000-0000223F0000}"/>
    <cellStyle name="Normal 2 5 2 2 2 2 10" xfId="26460" xr:uid="{00000000-0005-0000-0000-0000233F0000}"/>
    <cellStyle name="Normal 2 5 2 2 2 2 2" xfId="730" xr:uid="{00000000-0005-0000-0000-0000243F0000}"/>
    <cellStyle name="Normal 2 5 2 2 2 2 2 2" xfId="3216" xr:uid="{00000000-0005-0000-0000-0000253F0000}"/>
    <cellStyle name="Normal 2 5 2 2 2 2 2 2 2" xfId="12358" xr:uid="{00000000-0005-0000-0000-0000263F0000}"/>
    <cellStyle name="Normal 2 5 2 2 2 2 2 2 2 2" xfId="22577" xr:uid="{00000000-0005-0000-0000-0000273F0000}"/>
    <cellStyle name="Normal 2 5 2 2 2 2 2 2 2 2 2" xfId="48130" xr:uid="{00000000-0005-0000-0000-0000283F0000}"/>
    <cellStyle name="Normal 2 5 2 2 2 2 2 2 2 3" xfId="37913" xr:uid="{00000000-0005-0000-0000-0000293F0000}"/>
    <cellStyle name="Normal 2 5 2 2 2 2 2 2 3" xfId="8780" xr:uid="{00000000-0005-0000-0000-00002A3F0000}"/>
    <cellStyle name="Normal 2 5 2 2 2 2 2 2 3 2" xfId="34337" xr:uid="{00000000-0005-0000-0000-00002B3F0000}"/>
    <cellStyle name="Normal 2 5 2 2 2 2 2 2 4" xfId="17570" xr:uid="{00000000-0005-0000-0000-00002C3F0000}"/>
    <cellStyle name="Normal 2 5 2 2 2 2 2 2 4 2" xfId="43123" xr:uid="{00000000-0005-0000-0000-00002D3F0000}"/>
    <cellStyle name="Normal 2 5 2 2 2 2 2 2 5" xfId="29060" xr:uid="{00000000-0005-0000-0000-00002E3F0000}"/>
    <cellStyle name="Normal 2 5 2 2 2 2 2 3" xfId="4545" xr:uid="{00000000-0005-0000-0000-00002F3F0000}"/>
    <cellStyle name="Normal 2 5 2 2 2 2 2 3 2" xfId="13383" xr:uid="{00000000-0005-0000-0000-0000303F0000}"/>
    <cellStyle name="Normal 2 5 2 2 2 2 2 3 2 2" xfId="23634" xr:uid="{00000000-0005-0000-0000-0000313F0000}"/>
    <cellStyle name="Normal 2 5 2 2 2 2 2 3 2 2 2" xfId="49187" xr:uid="{00000000-0005-0000-0000-0000323F0000}"/>
    <cellStyle name="Normal 2 5 2 2 2 2 2 3 2 3" xfId="38938" xr:uid="{00000000-0005-0000-0000-0000333F0000}"/>
    <cellStyle name="Normal 2 5 2 2 2 2 2 3 3" xfId="9804" xr:uid="{00000000-0005-0000-0000-0000343F0000}"/>
    <cellStyle name="Normal 2 5 2 2 2 2 2 3 3 2" xfId="35361" xr:uid="{00000000-0005-0000-0000-0000353F0000}"/>
    <cellStyle name="Normal 2 5 2 2 2 2 2 3 4" xfId="18627" xr:uid="{00000000-0005-0000-0000-0000363F0000}"/>
    <cellStyle name="Normal 2 5 2 2 2 2 2 3 4 2" xfId="44180" xr:uid="{00000000-0005-0000-0000-0000373F0000}"/>
    <cellStyle name="Normal 2 5 2 2 2 2 2 3 5" xfId="30117" xr:uid="{00000000-0005-0000-0000-0000383F0000}"/>
    <cellStyle name="Normal 2 5 2 2 2 2 2 4" xfId="2325" xr:uid="{00000000-0005-0000-0000-0000393F0000}"/>
    <cellStyle name="Normal 2 5 2 2 2 2 2 4 2" xfId="11690" xr:uid="{00000000-0005-0000-0000-00003A3F0000}"/>
    <cellStyle name="Normal 2 5 2 2 2 2 2 4 2 2" xfId="37245" xr:uid="{00000000-0005-0000-0000-00003B3F0000}"/>
    <cellStyle name="Normal 2 5 2 2 2 2 2 4 3" xfId="21694" xr:uid="{00000000-0005-0000-0000-00003C3F0000}"/>
    <cellStyle name="Normal 2 5 2 2 2 2 2 4 3 2" xfId="47247" xr:uid="{00000000-0005-0000-0000-00003D3F0000}"/>
    <cellStyle name="Normal 2 5 2 2 2 2 2 4 4" xfId="28177" xr:uid="{00000000-0005-0000-0000-00003E3F0000}"/>
    <cellStyle name="Normal 2 5 2 2 2 2 2 5" xfId="6001" xr:uid="{00000000-0005-0000-0000-00003F3F0000}"/>
    <cellStyle name="Normal 2 5 2 2 2 2 2 5 2" xfId="14828" xr:uid="{00000000-0005-0000-0000-0000403F0000}"/>
    <cellStyle name="Normal 2 5 2 2 2 2 2 5 2 2" xfId="40383" xr:uid="{00000000-0005-0000-0000-0000413F0000}"/>
    <cellStyle name="Normal 2 5 2 2 2 2 2 5 3" xfId="25079" xr:uid="{00000000-0005-0000-0000-0000423F0000}"/>
    <cellStyle name="Normal 2 5 2 2 2 2 2 5 3 2" xfId="50632" xr:uid="{00000000-0005-0000-0000-0000433F0000}"/>
    <cellStyle name="Normal 2 5 2 2 2 2 2 5 4" xfId="31562" xr:uid="{00000000-0005-0000-0000-0000443F0000}"/>
    <cellStyle name="Normal 2 5 2 2 2 2 2 6" xfId="7445" xr:uid="{00000000-0005-0000-0000-0000453F0000}"/>
    <cellStyle name="Normal 2 5 2 2 2 2 2 6 2" xfId="20176" xr:uid="{00000000-0005-0000-0000-0000463F0000}"/>
    <cellStyle name="Normal 2 5 2 2 2 2 2 6 2 2" xfId="45729" xr:uid="{00000000-0005-0000-0000-0000473F0000}"/>
    <cellStyle name="Normal 2 5 2 2 2 2 2 6 3" xfId="33002" xr:uid="{00000000-0005-0000-0000-0000483F0000}"/>
    <cellStyle name="Normal 2 5 2 2 2 2 2 7" xfId="16687" xr:uid="{00000000-0005-0000-0000-0000493F0000}"/>
    <cellStyle name="Normal 2 5 2 2 2 2 2 7 2" xfId="42240" xr:uid="{00000000-0005-0000-0000-00004A3F0000}"/>
    <cellStyle name="Normal 2 5 2 2 2 2 2 8" xfId="26659" xr:uid="{00000000-0005-0000-0000-00004B3F0000}"/>
    <cellStyle name="Normal 2 5 2 2 2 2 3" xfId="1303" xr:uid="{00000000-0005-0000-0000-00004C3F0000}"/>
    <cellStyle name="Normal 2 5 2 2 2 2 3 2" xfId="3732" xr:uid="{00000000-0005-0000-0000-00004D3F0000}"/>
    <cellStyle name="Normal 2 5 2 2 2 2 3 2 2" xfId="12868" xr:uid="{00000000-0005-0000-0000-00004E3F0000}"/>
    <cellStyle name="Normal 2 5 2 2 2 2 3 2 2 2" xfId="23087" xr:uid="{00000000-0005-0000-0000-00004F3F0000}"/>
    <cellStyle name="Normal 2 5 2 2 2 2 3 2 2 2 2" xfId="48640" xr:uid="{00000000-0005-0000-0000-0000503F0000}"/>
    <cellStyle name="Normal 2 5 2 2 2 2 3 2 2 3" xfId="38423" xr:uid="{00000000-0005-0000-0000-0000513F0000}"/>
    <cellStyle name="Normal 2 5 2 2 2 2 3 2 3" xfId="9289" xr:uid="{00000000-0005-0000-0000-0000523F0000}"/>
    <cellStyle name="Normal 2 5 2 2 2 2 3 2 3 2" xfId="34846" xr:uid="{00000000-0005-0000-0000-0000533F0000}"/>
    <cellStyle name="Normal 2 5 2 2 2 2 3 2 4" xfId="18080" xr:uid="{00000000-0005-0000-0000-0000543F0000}"/>
    <cellStyle name="Normal 2 5 2 2 2 2 3 2 4 2" xfId="43633" xr:uid="{00000000-0005-0000-0000-0000553F0000}"/>
    <cellStyle name="Normal 2 5 2 2 2 2 3 2 5" xfId="29570" xr:uid="{00000000-0005-0000-0000-0000563F0000}"/>
    <cellStyle name="Normal 2 5 2 2 2 2 3 3" xfId="4894" xr:uid="{00000000-0005-0000-0000-0000573F0000}"/>
    <cellStyle name="Normal 2 5 2 2 2 2 3 3 2" xfId="13731" xr:uid="{00000000-0005-0000-0000-0000583F0000}"/>
    <cellStyle name="Normal 2 5 2 2 2 2 3 3 2 2" xfId="23982" xr:uid="{00000000-0005-0000-0000-0000593F0000}"/>
    <cellStyle name="Normal 2 5 2 2 2 2 3 3 2 2 2" xfId="49535" xr:uid="{00000000-0005-0000-0000-00005A3F0000}"/>
    <cellStyle name="Normal 2 5 2 2 2 2 3 3 2 3" xfId="39286" xr:uid="{00000000-0005-0000-0000-00005B3F0000}"/>
    <cellStyle name="Normal 2 5 2 2 2 2 3 3 3" xfId="10152" xr:uid="{00000000-0005-0000-0000-00005C3F0000}"/>
    <cellStyle name="Normal 2 5 2 2 2 2 3 3 3 2" xfId="35709" xr:uid="{00000000-0005-0000-0000-00005D3F0000}"/>
    <cellStyle name="Normal 2 5 2 2 2 2 3 3 4" xfId="18975" xr:uid="{00000000-0005-0000-0000-00005E3F0000}"/>
    <cellStyle name="Normal 2 5 2 2 2 2 3 3 4 2" xfId="44528" xr:uid="{00000000-0005-0000-0000-00005F3F0000}"/>
    <cellStyle name="Normal 2 5 2 2 2 2 3 3 5" xfId="30465" xr:uid="{00000000-0005-0000-0000-0000603F0000}"/>
    <cellStyle name="Normal 2 5 2 2 2 2 3 4" xfId="2126" xr:uid="{00000000-0005-0000-0000-0000613F0000}"/>
    <cellStyle name="Normal 2 5 2 2 2 2 3 4 2" xfId="11491" xr:uid="{00000000-0005-0000-0000-0000623F0000}"/>
    <cellStyle name="Normal 2 5 2 2 2 2 3 4 2 2" xfId="37046" xr:uid="{00000000-0005-0000-0000-0000633F0000}"/>
    <cellStyle name="Normal 2 5 2 2 2 2 3 4 3" xfId="21495" xr:uid="{00000000-0005-0000-0000-0000643F0000}"/>
    <cellStyle name="Normal 2 5 2 2 2 2 3 4 3 2" xfId="47048" xr:uid="{00000000-0005-0000-0000-0000653F0000}"/>
    <cellStyle name="Normal 2 5 2 2 2 2 3 4 4" xfId="27978" xr:uid="{00000000-0005-0000-0000-0000663F0000}"/>
    <cellStyle name="Normal 2 5 2 2 2 2 3 5" xfId="6349" xr:uid="{00000000-0005-0000-0000-0000673F0000}"/>
    <cellStyle name="Normal 2 5 2 2 2 2 3 5 2" xfId="15176" xr:uid="{00000000-0005-0000-0000-0000683F0000}"/>
    <cellStyle name="Normal 2 5 2 2 2 2 3 5 2 2" xfId="40731" xr:uid="{00000000-0005-0000-0000-0000693F0000}"/>
    <cellStyle name="Normal 2 5 2 2 2 2 3 5 3" xfId="25427" xr:uid="{00000000-0005-0000-0000-00006A3F0000}"/>
    <cellStyle name="Normal 2 5 2 2 2 2 3 5 3 2" xfId="50980" xr:uid="{00000000-0005-0000-0000-00006B3F0000}"/>
    <cellStyle name="Normal 2 5 2 2 2 2 3 5 4" xfId="31910" xr:uid="{00000000-0005-0000-0000-00006C3F0000}"/>
    <cellStyle name="Normal 2 5 2 2 2 2 3 6" xfId="7795" xr:uid="{00000000-0005-0000-0000-00006D3F0000}"/>
    <cellStyle name="Normal 2 5 2 2 2 2 3 6 2" xfId="20686" xr:uid="{00000000-0005-0000-0000-00006E3F0000}"/>
    <cellStyle name="Normal 2 5 2 2 2 2 3 6 2 2" xfId="46239" xr:uid="{00000000-0005-0000-0000-00006F3F0000}"/>
    <cellStyle name="Normal 2 5 2 2 2 2 3 6 3" xfId="33352" xr:uid="{00000000-0005-0000-0000-0000703F0000}"/>
    <cellStyle name="Normal 2 5 2 2 2 2 3 7" xfId="16488" xr:uid="{00000000-0005-0000-0000-0000713F0000}"/>
    <cellStyle name="Normal 2 5 2 2 2 2 3 7 2" xfId="42041" xr:uid="{00000000-0005-0000-0000-0000723F0000}"/>
    <cellStyle name="Normal 2 5 2 2 2 2 3 8" xfId="27169" xr:uid="{00000000-0005-0000-0000-0000733F0000}"/>
    <cellStyle name="Normal 2 5 2 2 2 2 4" xfId="3017" xr:uid="{00000000-0005-0000-0000-0000743F0000}"/>
    <cellStyle name="Normal 2 5 2 2 2 2 4 2" xfId="5395" xr:uid="{00000000-0005-0000-0000-0000753F0000}"/>
    <cellStyle name="Normal 2 5 2 2 2 2 4 2 2" xfId="14232" xr:uid="{00000000-0005-0000-0000-0000763F0000}"/>
    <cellStyle name="Normal 2 5 2 2 2 2 4 2 2 2" xfId="24483" xr:uid="{00000000-0005-0000-0000-0000773F0000}"/>
    <cellStyle name="Normal 2 5 2 2 2 2 4 2 2 2 2" xfId="50036" xr:uid="{00000000-0005-0000-0000-0000783F0000}"/>
    <cellStyle name="Normal 2 5 2 2 2 2 4 2 2 3" xfId="39787" xr:uid="{00000000-0005-0000-0000-0000793F0000}"/>
    <cellStyle name="Normal 2 5 2 2 2 2 4 2 3" xfId="10653" xr:uid="{00000000-0005-0000-0000-00007A3F0000}"/>
    <cellStyle name="Normal 2 5 2 2 2 2 4 2 3 2" xfId="36210" xr:uid="{00000000-0005-0000-0000-00007B3F0000}"/>
    <cellStyle name="Normal 2 5 2 2 2 2 4 2 4" xfId="19476" xr:uid="{00000000-0005-0000-0000-00007C3F0000}"/>
    <cellStyle name="Normal 2 5 2 2 2 2 4 2 4 2" xfId="45029" xr:uid="{00000000-0005-0000-0000-00007D3F0000}"/>
    <cellStyle name="Normal 2 5 2 2 2 2 4 2 5" xfId="30966" xr:uid="{00000000-0005-0000-0000-00007E3F0000}"/>
    <cellStyle name="Normal 2 5 2 2 2 2 4 3" xfId="6850" xr:uid="{00000000-0005-0000-0000-00007F3F0000}"/>
    <cellStyle name="Normal 2 5 2 2 2 2 4 3 2" xfId="15677" xr:uid="{00000000-0005-0000-0000-0000803F0000}"/>
    <cellStyle name="Normal 2 5 2 2 2 2 4 3 2 2" xfId="41232" xr:uid="{00000000-0005-0000-0000-0000813F0000}"/>
    <cellStyle name="Normal 2 5 2 2 2 2 4 3 3" xfId="25928" xr:uid="{00000000-0005-0000-0000-0000823F0000}"/>
    <cellStyle name="Normal 2 5 2 2 2 2 4 3 3 2" xfId="51481" xr:uid="{00000000-0005-0000-0000-0000833F0000}"/>
    <cellStyle name="Normal 2 5 2 2 2 2 4 3 4" xfId="32411" xr:uid="{00000000-0005-0000-0000-0000843F0000}"/>
    <cellStyle name="Normal 2 5 2 2 2 2 4 4" xfId="8296" xr:uid="{00000000-0005-0000-0000-0000853F0000}"/>
    <cellStyle name="Normal 2 5 2 2 2 2 4 4 2" xfId="22378" xr:uid="{00000000-0005-0000-0000-0000863F0000}"/>
    <cellStyle name="Normal 2 5 2 2 2 2 4 4 2 2" xfId="47931" xr:uid="{00000000-0005-0000-0000-0000873F0000}"/>
    <cellStyle name="Normal 2 5 2 2 2 2 4 4 3" xfId="33853" xr:uid="{00000000-0005-0000-0000-0000883F0000}"/>
    <cellStyle name="Normal 2 5 2 2 2 2 4 5" xfId="17371" xr:uid="{00000000-0005-0000-0000-0000893F0000}"/>
    <cellStyle name="Normal 2 5 2 2 2 2 4 5 2" xfId="42924" xr:uid="{00000000-0005-0000-0000-00008A3F0000}"/>
    <cellStyle name="Normal 2 5 2 2 2 2 4 6" xfId="28861" xr:uid="{00000000-0005-0000-0000-00008B3F0000}"/>
    <cellStyle name="Normal 2 5 2 2 2 2 5" xfId="4351" xr:uid="{00000000-0005-0000-0000-00008C3F0000}"/>
    <cellStyle name="Normal 2 5 2 2 2 2 5 2" xfId="13189" xr:uid="{00000000-0005-0000-0000-00008D3F0000}"/>
    <cellStyle name="Normal 2 5 2 2 2 2 5 2 2" xfId="23440" xr:uid="{00000000-0005-0000-0000-00008E3F0000}"/>
    <cellStyle name="Normal 2 5 2 2 2 2 5 2 2 2" xfId="48993" xr:uid="{00000000-0005-0000-0000-00008F3F0000}"/>
    <cellStyle name="Normal 2 5 2 2 2 2 5 2 3" xfId="38744" xr:uid="{00000000-0005-0000-0000-0000903F0000}"/>
    <cellStyle name="Normal 2 5 2 2 2 2 5 3" xfId="9610" xr:uid="{00000000-0005-0000-0000-0000913F0000}"/>
    <cellStyle name="Normal 2 5 2 2 2 2 5 3 2" xfId="35167" xr:uid="{00000000-0005-0000-0000-0000923F0000}"/>
    <cellStyle name="Normal 2 5 2 2 2 2 5 4" xfId="18433" xr:uid="{00000000-0005-0000-0000-0000933F0000}"/>
    <cellStyle name="Normal 2 5 2 2 2 2 5 4 2" xfId="43986" xr:uid="{00000000-0005-0000-0000-0000943F0000}"/>
    <cellStyle name="Normal 2 5 2 2 2 2 5 5" xfId="29923" xr:uid="{00000000-0005-0000-0000-0000953F0000}"/>
    <cellStyle name="Normal 2 5 2 2 2 2 6" xfId="1623" xr:uid="{00000000-0005-0000-0000-0000963F0000}"/>
    <cellStyle name="Normal 2 5 2 2 2 2 6 2" xfId="11000" xr:uid="{00000000-0005-0000-0000-0000973F0000}"/>
    <cellStyle name="Normal 2 5 2 2 2 2 6 2 2" xfId="36555" xr:uid="{00000000-0005-0000-0000-0000983F0000}"/>
    <cellStyle name="Normal 2 5 2 2 2 2 6 3" xfId="21004" xr:uid="{00000000-0005-0000-0000-0000993F0000}"/>
    <cellStyle name="Normal 2 5 2 2 2 2 6 3 2" xfId="46557" xr:uid="{00000000-0005-0000-0000-00009A3F0000}"/>
    <cellStyle name="Normal 2 5 2 2 2 2 6 4" xfId="27487" xr:uid="{00000000-0005-0000-0000-00009B3F0000}"/>
    <cellStyle name="Normal 2 5 2 2 2 2 7" xfId="5807" xr:uid="{00000000-0005-0000-0000-00009C3F0000}"/>
    <cellStyle name="Normal 2 5 2 2 2 2 7 2" xfId="14634" xr:uid="{00000000-0005-0000-0000-00009D3F0000}"/>
    <cellStyle name="Normal 2 5 2 2 2 2 7 2 2" xfId="40189" xr:uid="{00000000-0005-0000-0000-00009E3F0000}"/>
    <cellStyle name="Normal 2 5 2 2 2 2 7 3" xfId="24885" xr:uid="{00000000-0005-0000-0000-00009F3F0000}"/>
    <cellStyle name="Normal 2 5 2 2 2 2 7 3 2" xfId="50438" xr:uid="{00000000-0005-0000-0000-0000A03F0000}"/>
    <cellStyle name="Normal 2 5 2 2 2 2 7 4" xfId="31368" xr:uid="{00000000-0005-0000-0000-0000A13F0000}"/>
    <cellStyle name="Normal 2 5 2 2 2 2 8" xfId="7251" xr:uid="{00000000-0005-0000-0000-0000A23F0000}"/>
    <cellStyle name="Normal 2 5 2 2 2 2 8 2" xfId="19977" xr:uid="{00000000-0005-0000-0000-0000A33F0000}"/>
    <cellStyle name="Normal 2 5 2 2 2 2 8 2 2" xfId="45530" xr:uid="{00000000-0005-0000-0000-0000A43F0000}"/>
    <cellStyle name="Normal 2 5 2 2 2 2 8 3" xfId="32808" xr:uid="{00000000-0005-0000-0000-0000A53F0000}"/>
    <cellStyle name="Normal 2 5 2 2 2 2 9" xfId="15997" xr:uid="{00000000-0005-0000-0000-0000A63F0000}"/>
    <cellStyle name="Normal 2 5 2 2 2 2 9 2" xfId="41550" xr:uid="{00000000-0005-0000-0000-0000A73F0000}"/>
    <cellStyle name="Normal 2 5 2 2 2 2_Degree data" xfId="3857" xr:uid="{00000000-0005-0000-0000-0000A83F0000}"/>
    <cellStyle name="Normal 2 5 2 2 2 3" xfId="431" xr:uid="{00000000-0005-0000-0000-0000A93F0000}"/>
    <cellStyle name="Normal 2 5 2 2 2 3 2" xfId="2917" xr:uid="{00000000-0005-0000-0000-0000AA3F0000}"/>
    <cellStyle name="Normal 2 5 2 2 2 3 2 2" xfId="12205" xr:uid="{00000000-0005-0000-0000-0000AB3F0000}"/>
    <cellStyle name="Normal 2 5 2 2 2 3 2 2 2" xfId="22278" xr:uid="{00000000-0005-0000-0000-0000AC3F0000}"/>
    <cellStyle name="Normal 2 5 2 2 2 3 2 2 2 2" xfId="47831" xr:uid="{00000000-0005-0000-0000-0000AD3F0000}"/>
    <cellStyle name="Normal 2 5 2 2 2 3 2 2 3" xfId="37760" xr:uid="{00000000-0005-0000-0000-0000AE3F0000}"/>
    <cellStyle name="Normal 2 5 2 2 2 3 2 3" xfId="8506" xr:uid="{00000000-0005-0000-0000-0000AF3F0000}"/>
    <cellStyle name="Normal 2 5 2 2 2 3 2 3 2" xfId="34063" xr:uid="{00000000-0005-0000-0000-0000B03F0000}"/>
    <cellStyle name="Normal 2 5 2 2 2 3 2 4" xfId="17271" xr:uid="{00000000-0005-0000-0000-0000B13F0000}"/>
    <cellStyle name="Normal 2 5 2 2 2 3 2 4 2" xfId="42824" xr:uid="{00000000-0005-0000-0000-0000B23F0000}"/>
    <cellStyle name="Normal 2 5 2 2 2 3 2 5" xfId="28761" xr:uid="{00000000-0005-0000-0000-0000B33F0000}"/>
    <cellStyle name="Normal 2 5 2 2 2 3 3" xfId="4544" xr:uid="{00000000-0005-0000-0000-0000B43F0000}"/>
    <cellStyle name="Normal 2 5 2 2 2 3 3 2" xfId="13382" xr:uid="{00000000-0005-0000-0000-0000B53F0000}"/>
    <cellStyle name="Normal 2 5 2 2 2 3 3 2 2" xfId="23633" xr:uid="{00000000-0005-0000-0000-0000B63F0000}"/>
    <cellStyle name="Normal 2 5 2 2 2 3 3 2 2 2" xfId="49186" xr:uid="{00000000-0005-0000-0000-0000B73F0000}"/>
    <cellStyle name="Normal 2 5 2 2 2 3 3 2 3" xfId="38937" xr:uid="{00000000-0005-0000-0000-0000B83F0000}"/>
    <cellStyle name="Normal 2 5 2 2 2 3 3 3" xfId="9803" xr:uid="{00000000-0005-0000-0000-0000B93F0000}"/>
    <cellStyle name="Normal 2 5 2 2 2 3 3 3 2" xfId="35360" xr:uid="{00000000-0005-0000-0000-0000BA3F0000}"/>
    <cellStyle name="Normal 2 5 2 2 2 3 3 4" xfId="18626" xr:uid="{00000000-0005-0000-0000-0000BB3F0000}"/>
    <cellStyle name="Normal 2 5 2 2 2 3 3 4 2" xfId="44179" xr:uid="{00000000-0005-0000-0000-0000BC3F0000}"/>
    <cellStyle name="Normal 2 5 2 2 2 3 3 5" xfId="30116" xr:uid="{00000000-0005-0000-0000-0000BD3F0000}"/>
    <cellStyle name="Normal 2 5 2 2 2 3 4" xfId="2026" xr:uid="{00000000-0005-0000-0000-0000BE3F0000}"/>
    <cellStyle name="Normal 2 5 2 2 2 3 4 2" xfId="11391" xr:uid="{00000000-0005-0000-0000-0000BF3F0000}"/>
    <cellStyle name="Normal 2 5 2 2 2 3 4 2 2" xfId="36946" xr:uid="{00000000-0005-0000-0000-0000C03F0000}"/>
    <cellStyle name="Normal 2 5 2 2 2 3 4 3" xfId="21395" xr:uid="{00000000-0005-0000-0000-0000C13F0000}"/>
    <cellStyle name="Normal 2 5 2 2 2 3 4 3 2" xfId="46948" xr:uid="{00000000-0005-0000-0000-0000C23F0000}"/>
    <cellStyle name="Normal 2 5 2 2 2 3 4 4" xfId="27878" xr:uid="{00000000-0005-0000-0000-0000C33F0000}"/>
    <cellStyle name="Normal 2 5 2 2 2 3 5" xfId="6000" xr:uid="{00000000-0005-0000-0000-0000C43F0000}"/>
    <cellStyle name="Normal 2 5 2 2 2 3 5 2" xfId="14827" xr:uid="{00000000-0005-0000-0000-0000C53F0000}"/>
    <cellStyle name="Normal 2 5 2 2 2 3 5 2 2" xfId="40382" xr:uid="{00000000-0005-0000-0000-0000C63F0000}"/>
    <cellStyle name="Normal 2 5 2 2 2 3 5 3" xfId="25078" xr:uid="{00000000-0005-0000-0000-0000C73F0000}"/>
    <cellStyle name="Normal 2 5 2 2 2 3 5 3 2" xfId="50631" xr:uid="{00000000-0005-0000-0000-0000C83F0000}"/>
    <cellStyle name="Normal 2 5 2 2 2 3 5 4" xfId="31561" xr:uid="{00000000-0005-0000-0000-0000C93F0000}"/>
    <cellStyle name="Normal 2 5 2 2 2 3 6" xfId="7444" xr:uid="{00000000-0005-0000-0000-0000CA3F0000}"/>
    <cellStyle name="Normal 2 5 2 2 2 3 6 2" xfId="19877" xr:uid="{00000000-0005-0000-0000-0000CB3F0000}"/>
    <cellStyle name="Normal 2 5 2 2 2 3 6 2 2" xfId="45430" xr:uid="{00000000-0005-0000-0000-0000CC3F0000}"/>
    <cellStyle name="Normal 2 5 2 2 2 3 6 3" xfId="33001" xr:uid="{00000000-0005-0000-0000-0000CD3F0000}"/>
    <cellStyle name="Normal 2 5 2 2 2 3 7" xfId="16388" xr:uid="{00000000-0005-0000-0000-0000CE3F0000}"/>
    <cellStyle name="Normal 2 5 2 2 2 3 7 2" xfId="41941" xr:uid="{00000000-0005-0000-0000-0000CF3F0000}"/>
    <cellStyle name="Normal 2 5 2 2 2 3 8" xfId="26360" xr:uid="{00000000-0005-0000-0000-0000D03F0000}"/>
    <cellStyle name="Normal 2 5 2 2 2 4" xfId="729" xr:uid="{00000000-0005-0000-0000-0000D13F0000}"/>
    <cellStyle name="Normal 2 5 2 2 2 4 2" xfId="3215" xr:uid="{00000000-0005-0000-0000-0000D23F0000}"/>
    <cellStyle name="Normal 2 5 2 2 2 4 2 2" xfId="12357" xr:uid="{00000000-0005-0000-0000-0000D33F0000}"/>
    <cellStyle name="Normal 2 5 2 2 2 4 2 2 2" xfId="22576" xr:uid="{00000000-0005-0000-0000-0000D43F0000}"/>
    <cellStyle name="Normal 2 5 2 2 2 4 2 2 2 2" xfId="48129" xr:uid="{00000000-0005-0000-0000-0000D53F0000}"/>
    <cellStyle name="Normal 2 5 2 2 2 4 2 2 3" xfId="37912" xr:uid="{00000000-0005-0000-0000-0000D63F0000}"/>
    <cellStyle name="Normal 2 5 2 2 2 4 2 3" xfId="8779" xr:uid="{00000000-0005-0000-0000-0000D73F0000}"/>
    <cellStyle name="Normal 2 5 2 2 2 4 2 3 2" xfId="34336" xr:uid="{00000000-0005-0000-0000-0000D83F0000}"/>
    <cellStyle name="Normal 2 5 2 2 2 4 2 4" xfId="17569" xr:uid="{00000000-0005-0000-0000-0000D93F0000}"/>
    <cellStyle name="Normal 2 5 2 2 2 4 2 4 2" xfId="43122" xr:uid="{00000000-0005-0000-0000-0000DA3F0000}"/>
    <cellStyle name="Normal 2 5 2 2 2 4 2 5" xfId="29059" xr:uid="{00000000-0005-0000-0000-0000DB3F0000}"/>
    <cellStyle name="Normal 2 5 2 2 2 4 3" xfId="4893" xr:uid="{00000000-0005-0000-0000-0000DC3F0000}"/>
    <cellStyle name="Normal 2 5 2 2 2 4 3 2" xfId="13730" xr:uid="{00000000-0005-0000-0000-0000DD3F0000}"/>
    <cellStyle name="Normal 2 5 2 2 2 4 3 2 2" xfId="23981" xr:uid="{00000000-0005-0000-0000-0000DE3F0000}"/>
    <cellStyle name="Normal 2 5 2 2 2 4 3 2 2 2" xfId="49534" xr:uid="{00000000-0005-0000-0000-0000DF3F0000}"/>
    <cellStyle name="Normal 2 5 2 2 2 4 3 2 3" xfId="39285" xr:uid="{00000000-0005-0000-0000-0000E03F0000}"/>
    <cellStyle name="Normal 2 5 2 2 2 4 3 3" xfId="10151" xr:uid="{00000000-0005-0000-0000-0000E13F0000}"/>
    <cellStyle name="Normal 2 5 2 2 2 4 3 3 2" xfId="35708" xr:uid="{00000000-0005-0000-0000-0000E23F0000}"/>
    <cellStyle name="Normal 2 5 2 2 2 4 3 4" xfId="18974" xr:uid="{00000000-0005-0000-0000-0000E33F0000}"/>
    <cellStyle name="Normal 2 5 2 2 2 4 3 4 2" xfId="44527" xr:uid="{00000000-0005-0000-0000-0000E43F0000}"/>
    <cellStyle name="Normal 2 5 2 2 2 4 3 5" xfId="30464" xr:uid="{00000000-0005-0000-0000-0000E53F0000}"/>
    <cellStyle name="Normal 2 5 2 2 2 4 4" xfId="2324" xr:uid="{00000000-0005-0000-0000-0000E63F0000}"/>
    <cellStyle name="Normal 2 5 2 2 2 4 4 2" xfId="11689" xr:uid="{00000000-0005-0000-0000-0000E73F0000}"/>
    <cellStyle name="Normal 2 5 2 2 2 4 4 2 2" xfId="37244" xr:uid="{00000000-0005-0000-0000-0000E83F0000}"/>
    <cellStyle name="Normal 2 5 2 2 2 4 4 3" xfId="21693" xr:uid="{00000000-0005-0000-0000-0000E93F0000}"/>
    <cellStyle name="Normal 2 5 2 2 2 4 4 3 2" xfId="47246" xr:uid="{00000000-0005-0000-0000-0000EA3F0000}"/>
    <cellStyle name="Normal 2 5 2 2 2 4 4 4" xfId="28176" xr:uid="{00000000-0005-0000-0000-0000EB3F0000}"/>
    <cellStyle name="Normal 2 5 2 2 2 4 5" xfId="6348" xr:uid="{00000000-0005-0000-0000-0000EC3F0000}"/>
    <cellStyle name="Normal 2 5 2 2 2 4 5 2" xfId="15175" xr:uid="{00000000-0005-0000-0000-0000ED3F0000}"/>
    <cellStyle name="Normal 2 5 2 2 2 4 5 2 2" xfId="40730" xr:uid="{00000000-0005-0000-0000-0000EE3F0000}"/>
    <cellStyle name="Normal 2 5 2 2 2 4 5 3" xfId="25426" xr:uid="{00000000-0005-0000-0000-0000EF3F0000}"/>
    <cellStyle name="Normal 2 5 2 2 2 4 5 3 2" xfId="50979" xr:uid="{00000000-0005-0000-0000-0000F03F0000}"/>
    <cellStyle name="Normal 2 5 2 2 2 4 5 4" xfId="31909" xr:uid="{00000000-0005-0000-0000-0000F13F0000}"/>
    <cellStyle name="Normal 2 5 2 2 2 4 6" xfId="7794" xr:uid="{00000000-0005-0000-0000-0000F23F0000}"/>
    <cellStyle name="Normal 2 5 2 2 2 4 6 2" xfId="20175" xr:uid="{00000000-0005-0000-0000-0000F33F0000}"/>
    <cellStyle name="Normal 2 5 2 2 2 4 6 2 2" xfId="45728" xr:uid="{00000000-0005-0000-0000-0000F43F0000}"/>
    <cellStyle name="Normal 2 5 2 2 2 4 6 3" xfId="33351" xr:uid="{00000000-0005-0000-0000-0000F53F0000}"/>
    <cellStyle name="Normal 2 5 2 2 2 4 7" xfId="16686" xr:uid="{00000000-0005-0000-0000-0000F63F0000}"/>
    <cellStyle name="Normal 2 5 2 2 2 4 7 2" xfId="42239" xr:uid="{00000000-0005-0000-0000-0000F73F0000}"/>
    <cellStyle name="Normal 2 5 2 2 2 4 8" xfId="26658" xr:uid="{00000000-0005-0000-0000-0000F83F0000}"/>
    <cellStyle name="Normal 2 5 2 2 2 5" xfId="1203" xr:uid="{00000000-0005-0000-0000-0000F93F0000}"/>
    <cellStyle name="Normal 2 5 2 2 2 5 2" xfId="3632" xr:uid="{00000000-0005-0000-0000-0000FA3F0000}"/>
    <cellStyle name="Normal 2 5 2 2 2 5 2 2" xfId="12768" xr:uid="{00000000-0005-0000-0000-0000FB3F0000}"/>
    <cellStyle name="Normal 2 5 2 2 2 5 2 2 2" xfId="22987" xr:uid="{00000000-0005-0000-0000-0000FC3F0000}"/>
    <cellStyle name="Normal 2 5 2 2 2 5 2 2 2 2" xfId="48540" xr:uid="{00000000-0005-0000-0000-0000FD3F0000}"/>
    <cellStyle name="Normal 2 5 2 2 2 5 2 2 3" xfId="38323" xr:uid="{00000000-0005-0000-0000-0000FE3F0000}"/>
    <cellStyle name="Normal 2 5 2 2 2 5 2 3" xfId="9189" xr:uid="{00000000-0005-0000-0000-0000FF3F0000}"/>
    <cellStyle name="Normal 2 5 2 2 2 5 2 3 2" xfId="34746" xr:uid="{00000000-0005-0000-0000-000000400000}"/>
    <cellStyle name="Normal 2 5 2 2 2 5 2 4" xfId="17980" xr:uid="{00000000-0005-0000-0000-000001400000}"/>
    <cellStyle name="Normal 2 5 2 2 2 5 2 4 2" xfId="43533" xr:uid="{00000000-0005-0000-0000-000002400000}"/>
    <cellStyle name="Normal 2 5 2 2 2 5 2 5" xfId="29470" xr:uid="{00000000-0005-0000-0000-000003400000}"/>
    <cellStyle name="Normal 2 5 2 2 2 5 3" xfId="5295" xr:uid="{00000000-0005-0000-0000-000004400000}"/>
    <cellStyle name="Normal 2 5 2 2 2 5 3 2" xfId="14132" xr:uid="{00000000-0005-0000-0000-000005400000}"/>
    <cellStyle name="Normal 2 5 2 2 2 5 3 2 2" xfId="24383" xr:uid="{00000000-0005-0000-0000-000006400000}"/>
    <cellStyle name="Normal 2 5 2 2 2 5 3 2 2 2" xfId="49936" xr:uid="{00000000-0005-0000-0000-000007400000}"/>
    <cellStyle name="Normal 2 5 2 2 2 5 3 2 3" xfId="39687" xr:uid="{00000000-0005-0000-0000-000008400000}"/>
    <cellStyle name="Normal 2 5 2 2 2 5 3 3" xfId="10553" xr:uid="{00000000-0005-0000-0000-000009400000}"/>
    <cellStyle name="Normal 2 5 2 2 2 5 3 3 2" xfId="36110" xr:uid="{00000000-0005-0000-0000-00000A400000}"/>
    <cellStyle name="Normal 2 5 2 2 2 5 3 4" xfId="19376" xr:uid="{00000000-0005-0000-0000-00000B400000}"/>
    <cellStyle name="Normal 2 5 2 2 2 5 3 4 2" xfId="44929" xr:uid="{00000000-0005-0000-0000-00000C400000}"/>
    <cellStyle name="Normal 2 5 2 2 2 5 3 5" xfId="30866" xr:uid="{00000000-0005-0000-0000-00000D400000}"/>
    <cellStyle name="Normal 2 5 2 2 2 5 4" xfId="1806" xr:uid="{00000000-0005-0000-0000-00000E400000}"/>
    <cellStyle name="Normal 2 5 2 2 2 5 4 2" xfId="11174" xr:uid="{00000000-0005-0000-0000-00000F400000}"/>
    <cellStyle name="Normal 2 5 2 2 2 5 4 2 2" xfId="36729" xr:uid="{00000000-0005-0000-0000-000010400000}"/>
    <cellStyle name="Normal 2 5 2 2 2 5 4 3" xfId="21178" xr:uid="{00000000-0005-0000-0000-000011400000}"/>
    <cellStyle name="Normal 2 5 2 2 2 5 4 3 2" xfId="46731" xr:uid="{00000000-0005-0000-0000-000012400000}"/>
    <cellStyle name="Normal 2 5 2 2 2 5 4 4" xfId="27661" xr:uid="{00000000-0005-0000-0000-000013400000}"/>
    <cellStyle name="Normal 2 5 2 2 2 5 5" xfId="6750" xr:uid="{00000000-0005-0000-0000-000014400000}"/>
    <cellStyle name="Normal 2 5 2 2 2 5 5 2" xfId="15577" xr:uid="{00000000-0005-0000-0000-000015400000}"/>
    <cellStyle name="Normal 2 5 2 2 2 5 5 2 2" xfId="41132" xr:uid="{00000000-0005-0000-0000-000016400000}"/>
    <cellStyle name="Normal 2 5 2 2 2 5 5 3" xfId="25828" xr:uid="{00000000-0005-0000-0000-000017400000}"/>
    <cellStyle name="Normal 2 5 2 2 2 5 5 3 2" xfId="51381" xr:uid="{00000000-0005-0000-0000-000018400000}"/>
    <cellStyle name="Normal 2 5 2 2 2 5 5 4" xfId="32311" xr:uid="{00000000-0005-0000-0000-000019400000}"/>
    <cellStyle name="Normal 2 5 2 2 2 5 6" xfId="8196" xr:uid="{00000000-0005-0000-0000-00001A400000}"/>
    <cellStyle name="Normal 2 5 2 2 2 5 6 2" xfId="20586" xr:uid="{00000000-0005-0000-0000-00001B400000}"/>
    <cellStyle name="Normal 2 5 2 2 2 5 6 2 2" xfId="46139" xr:uid="{00000000-0005-0000-0000-00001C400000}"/>
    <cellStyle name="Normal 2 5 2 2 2 5 6 3" xfId="33753" xr:uid="{00000000-0005-0000-0000-00001D400000}"/>
    <cellStyle name="Normal 2 5 2 2 2 5 7" xfId="16171" xr:uid="{00000000-0005-0000-0000-00001E400000}"/>
    <cellStyle name="Normal 2 5 2 2 2 5 7 2" xfId="41724" xr:uid="{00000000-0005-0000-0000-00001F400000}"/>
    <cellStyle name="Normal 2 5 2 2 2 5 8" xfId="27069" xr:uid="{00000000-0005-0000-0000-000020400000}"/>
    <cellStyle name="Normal 2 5 2 2 2 6" xfId="2700" xr:uid="{00000000-0005-0000-0000-000021400000}"/>
    <cellStyle name="Normal 2 5 2 2 2 6 2" xfId="12017" xr:uid="{00000000-0005-0000-0000-000022400000}"/>
    <cellStyle name="Normal 2 5 2 2 2 6 2 2" xfId="22061" xr:uid="{00000000-0005-0000-0000-000023400000}"/>
    <cellStyle name="Normal 2 5 2 2 2 6 2 2 2" xfId="47614" xr:uid="{00000000-0005-0000-0000-000024400000}"/>
    <cellStyle name="Normal 2 5 2 2 2 6 2 3" xfId="37572" xr:uid="{00000000-0005-0000-0000-000025400000}"/>
    <cellStyle name="Normal 2 5 2 2 2 6 3" xfId="8426" xr:uid="{00000000-0005-0000-0000-000026400000}"/>
    <cellStyle name="Normal 2 5 2 2 2 6 3 2" xfId="33983" xr:uid="{00000000-0005-0000-0000-000027400000}"/>
    <cellStyle name="Normal 2 5 2 2 2 6 4" xfId="17054" xr:uid="{00000000-0005-0000-0000-000028400000}"/>
    <cellStyle name="Normal 2 5 2 2 2 6 4 2" xfId="42607" xr:uid="{00000000-0005-0000-0000-000029400000}"/>
    <cellStyle name="Normal 2 5 2 2 2 6 5" xfId="28544" xr:uid="{00000000-0005-0000-0000-00002A400000}"/>
    <cellStyle name="Normal 2 5 2 2 2 7" xfId="4251" xr:uid="{00000000-0005-0000-0000-00002B400000}"/>
    <cellStyle name="Normal 2 5 2 2 2 7 2" xfId="13089" xr:uid="{00000000-0005-0000-0000-00002C400000}"/>
    <cellStyle name="Normal 2 5 2 2 2 7 2 2" xfId="23340" xr:uid="{00000000-0005-0000-0000-00002D400000}"/>
    <cellStyle name="Normal 2 5 2 2 2 7 2 2 2" xfId="48893" xr:uid="{00000000-0005-0000-0000-00002E400000}"/>
    <cellStyle name="Normal 2 5 2 2 2 7 2 3" xfId="38644" xr:uid="{00000000-0005-0000-0000-00002F400000}"/>
    <cellStyle name="Normal 2 5 2 2 2 7 3" xfId="9510" xr:uid="{00000000-0005-0000-0000-000030400000}"/>
    <cellStyle name="Normal 2 5 2 2 2 7 3 2" xfId="35067" xr:uid="{00000000-0005-0000-0000-000031400000}"/>
    <cellStyle name="Normal 2 5 2 2 2 7 4" xfId="18333" xr:uid="{00000000-0005-0000-0000-000032400000}"/>
    <cellStyle name="Normal 2 5 2 2 2 7 4 2" xfId="43886" xr:uid="{00000000-0005-0000-0000-000033400000}"/>
    <cellStyle name="Normal 2 5 2 2 2 7 5" xfId="29823" xr:uid="{00000000-0005-0000-0000-000034400000}"/>
    <cellStyle name="Normal 2 5 2 2 2 8" xfId="1523" xr:uid="{00000000-0005-0000-0000-000035400000}"/>
    <cellStyle name="Normal 2 5 2 2 2 8 2" xfId="10900" xr:uid="{00000000-0005-0000-0000-000036400000}"/>
    <cellStyle name="Normal 2 5 2 2 2 8 2 2" xfId="36455" xr:uid="{00000000-0005-0000-0000-000037400000}"/>
    <cellStyle name="Normal 2 5 2 2 2 8 3" xfId="20904" xr:uid="{00000000-0005-0000-0000-000038400000}"/>
    <cellStyle name="Normal 2 5 2 2 2 8 3 2" xfId="46457" xr:uid="{00000000-0005-0000-0000-000039400000}"/>
    <cellStyle name="Normal 2 5 2 2 2 8 4" xfId="27387" xr:uid="{00000000-0005-0000-0000-00003A400000}"/>
    <cellStyle name="Normal 2 5 2 2 2 9" xfId="5707" xr:uid="{00000000-0005-0000-0000-00003B400000}"/>
    <cellStyle name="Normal 2 5 2 2 2 9 2" xfId="14534" xr:uid="{00000000-0005-0000-0000-00003C400000}"/>
    <cellStyle name="Normal 2 5 2 2 2 9 2 2" xfId="40089" xr:uid="{00000000-0005-0000-0000-00003D400000}"/>
    <cellStyle name="Normal 2 5 2 2 2 9 3" xfId="24785" xr:uid="{00000000-0005-0000-0000-00003E400000}"/>
    <cellStyle name="Normal 2 5 2 2 2 9 3 2" xfId="50338" xr:uid="{00000000-0005-0000-0000-00003F400000}"/>
    <cellStyle name="Normal 2 5 2 2 2 9 4" xfId="31268" xr:uid="{00000000-0005-0000-0000-000040400000}"/>
    <cellStyle name="Normal 2 5 2 2 2_Degree data" xfId="3918" xr:uid="{00000000-0005-0000-0000-000041400000}"/>
    <cellStyle name="Normal 2 5 2 2 3" xfId="270" xr:uid="{00000000-0005-0000-0000-000042400000}"/>
    <cellStyle name="Normal 2 5 2 2 3 10" xfId="7108" xr:uid="{00000000-0005-0000-0000-000043400000}"/>
    <cellStyle name="Normal 2 5 2 2 3 10 2" xfId="19721" xr:uid="{00000000-0005-0000-0000-000044400000}"/>
    <cellStyle name="Normal 2 5 2 2 3 10 2 2" xfId="45274" xr:uid="{00000000-0005-0000-0000-000045400000}"/>
    <cellStyle name="Normal 2 5 2 2 3 10 3" xfId="32665" xr:uid="{00000000-0005-0000-0000-000046400000}"/>
    <cellStyle name="Normal 2 5 2 2 3 11" xfId="15854" xr:uid="{00000000-0005-0000-0000-000047400000}"/>
    <cellStyle name="Normal 2 5 2 2 3 11 2" xfId="41407" xr:uid="{00000000-0005-0000-0000-000048400000}"/>
    <cellStyle name="Normal 2 5 2 2 3 12" xfId="26204" xr:uid="{00000000-0005-0000-0000-000049400000}"/>
    <cellStyle name="Normal 2 5 2 2 3 2" xfId="592" xr:uid="{00000000-0005-0000-0000-00004A400000}"/>
    <cellStyle name="Normal 2 5 2 2 3 2 10" xfId="26521" xr:uid="{00000000-0005-0000-0000-00004B400000}"/>
    <cellStyle name="Normal 2 5 2 2 3 2 2" xfId="732" xr:uid="{00000000-0005-0000-0000-00004C400000}"/>
    <cellStyle name="Normal 2 5 2 2 3 2 2 2" xfId="3218" xr:uid="{00000000-0005-0000-0000-00004D400000}"/>
    <cellStyle name="Normal 2 5 2 2 3 2 2 2 2" xfId="12360" xr:uid="{00000000-0005-0000-0000-00004E400000}"/>
    <cellStyle name="Normal 2 5 2 2 3 2 2 2 2 2" xfId="22579" xr:uid="{00000000-0005-0000-0000-00004F400000}"/>
    <cellStyle name="Normal 2 5 2 2 3 2 2 2 2 2 2" xfId="48132" xr:uid="{00000000-0005-0000-0000-000050400000}"/>
    <cellStyle name="Normal 2 5 2 2 3 2 2 2 2 3" xfId="37915" xr:uid="{00000000-0005-0000-0000-000051400000}"/>
    <cellStyle name="Normal 2 5 2 2 3 2 2 2 3" xfId="8782" xr:uid="{00000000-0005-0000-0000-000052400000}"/>
    <cellStyle name="Normal 2 5 2 2 3 2 2 2 3 2" xfId="34339" xr:uid="{00000000-0005-0000-0000-000053400000}"/>
    <cellStyle name="Normal 2 5 2 2 3 2 2 2 4" xfId="17572" xr:uid="{00000000-0005-0000-0000-000054400000}"/>
    <cellStyle name="Normal 2 5 2 2 3 2 2 2 4 2" xfId="43125" xr:uid="{00000000-0005-0000-0000-000055400000}"/>
    <cellStyle name="Normal 2 5 2 2 3 2 2 2 5" xfId="29062" xr:uid="{00000000-0005-0000-0000-000056400000}"/>
    <cellStyle name="Normal 2 5 2 2 3 2 2 3" xfId="4547" xr:uid="{00000000-0005-0000-0000-000057400000}"/>
    <cellStyle name="Normal 2 5 2 2 3 2 2 3 2" xfId="13385" xr:uid="{00000000-0005-0000-0000-000058400000}"/>
    <cellStyle name="Normal 2 5 2 2 3 2 2 3 2 2" xfId="23636" xr:uid="{00000000-0005-0000-0000-000059400000}"/>
    <cellStyle name="Normal 2 5 2 2 3 2 2 3 2 2 2" xfId="49189" xr:uid="{00000000-0005-0000-0000-00005A400000}"/>
    <cellStyle name="Normal 2 5 2 2 3 2 2 3 2 3" xfId="38940" xr:uid="{00000000-0005-0000-0000-00005B400000}"/>
    <cellStyle name="Normal 2 5 2 2 3 2 2 3 3" xfId="9806" xr:uid="{00000000-0005-0000-0000-00005C400000}"/>
    <cellStyle name="Normal 2 5 2 2 3 2 2 3 3 2" xfId="35363" xr:uid="{00000000-0005-0000-0000-00005D400000}"/>
    <cellStyle name="Normal 2 5 2 2 3 2 2 3 4" xfId="18629" xr:uid="{00000000-0005-0000-0000-00005E400000}"/>
    <cellStyle name="Normal 2 5 2 2 3 2 2 3 4 2" xfId="44182" xr:uid="{00000000-0005-0000-0000-00005F400000}"/>
    <cellStyle name="Normal 2 5 2 2 3 2 2 3 5" xfId="30119" xr:uid="{00000000-0005-0000-0000-000060400000}"/>
    <cellStyle name="Normal 2 5 2 2 3 2 2 4" xfId="2327" xr:uid="{00000000-0005-0000-0000-000061400000}"/>
    <cellStyle name="Normal 2 5 2 2 3 2 2 4 2" xfId="11692" xr:uid="{00000000-0005-0000-0000-000062400000}"/>
    <cellStyle name="Normal 2 5 2 2 3 2 2 4 2 2" xfId="37247" xr:uid="{00000000-0005-0000-0000-000063400000}"/>
    <cellStyle name="Normal 2 5 2 2 3 2 2 4 3" xfId="21696" xr:uid="{00000000-0005-0000-0000-000064400000}"/>
    <cellStyle name="Normal 2 5 2 2 3 2 2 4 3 2" xfId="47249" xr:uid="{00000000-0005-0000-0000-000065400000}"/>
    <cellStyle name="Normal 2 5 2 2 3 2 2 4 4" xfId="28179" xr:uid="{00000000-0005-0000-0000-000066400000}"/>
    <cellStyle name="Normal 2 5 2 2 3 2 2 5" xfId="6003" xr:uid="{00000000-0005-0000-0000-000067400000}"/>
    <cellStyle name="Normal 2 5 2 2 3 2 2 5 2" xfId="14830" xr:uid="{00000000-0005-0000-0000-000068400000}"/>
    <cellStyle name="Normal 2 5 2 2 3 2 2 5 2 2" xfId="40385" xr:uid="{00000000-0005-0000-0000-000069400000}"/>
    <cellStyle name="Normal 2 5 2 2 3 2 2 5 3" xfId="25081" xr:uid="{00000000-0005-0000-0000-00006A400000}"/>
    <cellStyle name="Normal 2 5 2 2 3 2 2 5 3 2" xfId="50634" xr:uid="{00000000-0005-0000-0000-00006B400000}"/>
    <cellStyle name="Normal 2 5 2 2 3 2 2 5 4" xfId="31564" xr:uid="{00000000-0005-0000-0000-00006C400000}"/>
    <cellStyle name="Normal 2 5 2 2 3 2 2 6" xfId="7447" xr:uid="{00000000-0005-0000-0000-00006D400000}"/>
    <cellStyle name="Normal 2 5 2 2 3 2 2 6 2" xfId="20178" xr:uid="{00000000-0005-0000-0000-00006E400000}"/>
    <cellStyle name="Normal 2 5 2 2 3 2 2 6 2 2" xfId="45731" xr:uid="{00000000-0005-0000-0000-00006F400000}"/>
    <cellStyle name="Normal 2 5 2 2 3 2 2 6 3" xfId="33004" xr:uid="{00000000-0005-0000-0000-000070400000}"/>
    <cellStyle name="Normal 2 5 2 2 3 2 2 7" xfId="16689" xr:uid="{00000000-0005-0000-0000-000071400000}"/>
    <cellStyle name="Normal 2 5 2 2 3 2 2 7 2" xfId="42242" xr:uid="{00000000-0005-0000-0000-000072400000}"/>
    <cellStyle name="Normal 2 5 2 2 3 2 2 8" xfId="26661" xr:uid="{00000000-0005-0000-0000-000073400000}"/>
    <cellStyle name="Normal 2 5 2 2 3 2 3" xfId="1364" xr:uid="{00000000-0005-0000-0000-000074400000}"/>
    <cellStyle name="Normal 2 5 2 2 3 2 3 2" xfId="3793" xr:uid="{00000000-0005-0000-0000-000075400000}"/>
    <cellStyle name="Normal 2 5 2 2 3 2 3 2 2" xfId="12929" xr:uid="{00000000-0005-0000-0000-000076400000}"/>
    <cellStyle name="Normal 2 5 2 2 3 2 3 2 2 2" xfId="23148" xr:uid="{00000000-0005-0000-0000-000077400000}"/>
    <cellStyle name="Normal 2 5 2 2 3 2 3 2 2 2 2" xfId="48701" xr:uid="{00000000-0005-0000-0000-000078400000}"/>
    <cellStyle name="Normal 2 5 2 2 3 2 3 2 2 3" xfId="38484" xr:uid="{00000000-0005-0000-0000-000079400000}"/>
    <cellStyle name="Normal 2 5 2 2 3 2 3 2 3" xfId="9350" xr:uid="{00000000-0005-0000-0000-00007A400000}"/>
    <cellStyle name="Normal 2 5 2 2 3 2 3 2 3 2" xfId="34907" xr:uid="{00000000-0005-0000-0000-00007B400000}"/>
    <cellStyle name="Normal 2 5 2 2 3 2 3 2 4" xfId="18141" xr:uid="{00000000-0005-0000-0000-00007C400000}"/>
    <cellStyle name="Normal 2 5 2 2 3 2 3 2 4 2" xfId="43694" xr:uid="{00000000-0005-0000-0000-00007D400000}"/>
    <cellStyle name="Normal 2 5 2 2 3 2 3 2 5" xfId="29631" xr:uid="{00000000-0005-0000-0000-00007E400000}"/>
    <cellStyle name="Normal 2 5 2 2 3 2 3 3" xfId="4896" xr:uid="{00000000-0005-0000-0000-00007F400000}"/>
    <cellStyle name="Normal 2 5 2 2 3 2 3 3 2" xfId="13733" xr:uid="{00000000-0005-0000-0000-000080400000}"/>
    <cellStyle name="Normal 2 5 2 2 3 2 3 3 2 2" xfId="23984" xr:uid="{00000000-0005-0000-0000-000081400000}"/>
    <cellStyle name="Normal 2 5 2 2 3 2 3 3 2 2 2" xfId="49537" xr:uid="{00000000-0005-0000-0000-000082400000}"/>
    <cellStyle name="Normal 2 5 2 2 3 2 3 3 2 3" xfId="39288" xr:uid="{00000000-0005-0000-0000-000083400000}"/>
    <cellStyle name="Normal 2 5 2 2 3 2 3 3 3" xfId="10154" xr:uid="{00000000-0005-0000-0000-000084400000}"/>
    <cellStyle name="Normal 2 5 2 2 3 2 3 3 3 2" xfId="35711" xr:uid="{00000000-0005-0000-0000-000085400000}"/>
    <cellStyle name="Normal 2 5 2 2 3 2 3 3 4" xfId="18977" xr:uid="{00000000-0005-0000-0000-000086400000}"/>
    <cellStyle name="Normal 2 5 2 2 3 2 3 3 4 2" xfId="44530" xr:uid="{00000000-0005-0000-0000-000087400000}"/>
    <cellStyle name="Normal 2 5 2 2 3 2 3 3 5" xfId="30467" xr:uid="{00000000-0005-0000-0000-000088400000}"/>
    <cellStyle name="Normal 2 5 2 2 3 2 3 4" xfId="2187" xr:uid="{00000000-0005-0000-0000-000089400000}"/>
    <cellStyle name="Normal 2 5 2 2 3 2 3 4 2" xfId="11552" xr:uid="{00000000-0005-0000-0000-00008A400000}"/>
    <cellStyle name="Normal 2 5 2 2 3 2 3 4 2 2" xfId="37107" xr:uid="{00000000-0005-0000-0000-00008B400000}"/>
    <cellStyle name="Normal 2 5 2 2 3 2 3 4 3" xfId="21556" xr:uid="{00000000-0005-0000-0000-00008C400000}"/>
    <cellStyle name="Normal 2 5 2 2 3 2 3 4 3 2" xfId="47109" xr:uid="{00000000-0005-0000-0000-00008D400000}"/>
    <cellStyle name="Normal 2 5 2 2 3 2 3 4 4" xfId="28039" xr:uid="{00000000-0005-0000-0000-00008E400000}"/>
    <cellStyle name="Normal 2 5 2 2 3 2 3 5" xfId="6351" xr:uid="{00000000-0005-0000-0000-00008F400000}"/>
    <cellStyle name="Normal 2 5 2 2 3 2 3 5 2" xfId="15178" xr:uid="{00000000-0005-0000-0000-000090400000}"/>
    <cellStyle name="Normal 2 5 2 2 3 2 3 5 2 2" xfId="40733" xr:uid="{00000000-0005-0000-0000-000091400000}"/>
    <cellStyle name="Normal 2 5 2 2 3 2 3 5 3" xfId="25429" xr:uid="{00000000-0005-0000-0000-000092400000}"/>
    <cellStyle name="Normal 2 5 2 2 3 2 3 5 3 2" xfId="50982" xr:uid="{00000000-0005-0000-0000-000093400000}"/>
    <cellStyle name="Normal 2 5 2 2 3 2 3 5 4" xfId="31912" xr:uid="{00000000-0005-0000-0000-000094400000}"/>
    <cellStyle name="Normal 2 5 2 2 3 2 3 6" xfId="7797" xr:uid="{00000000-0005-0000-0000-000095400000}"/>
    <cellStyle name="Normal 2 5 2 2 3 2 3 6 2" xfId="20747" xr:uid="{00000000-0005-0000-0000-000096400000}"/>
    <cellStyle name="Normal 2 5 2 2 3 2 3 6 2 2" xfId="46300" xr:uid="{00000000-0005-0000-0000-000097400000}"/>
    <cellStyle name="Normal 2 5 2 2 3 2 3 6 3" xfId="33354" xr:uid="{00000000-0005-0000-0000-000098400000}"/>
    <cellStyle name="Normal 2 5 2 2 3 2 3 7" xfId="16549" xr:uid="{00000000-0005-0000-0000-000099400000}"/>
    <cellStyle name="Normal 2 5 2 2 3 2 3 7 2" xfId="42102" xr:uid="{00000000-0005-0000-0000-00009A400000}"/>
    <cellStyle name="Normal 2 5 2 2 3 2 3 8" xfId="27230" xr:uid="{00000000-0005-0000-0000-00009B400000}"/>
    <cellStyle name="Normal 2 5 2 2 3 2 4" xfId="3078" xr:uid="{00000000-0005-0000-0000-00009C400000}"/>
    <cellStyle name="Normal 2 5 2 2 3 2 4 2" xfId="5456" xr:uid="{00000000-0005-0000-0000-00009D400000}"/>
    <cellStyle name="Normal 2 5 2 2 3 2 4 2 2" xfId="14293" xr:uid="{00000000-0005-0000-0000-00009E400000}"/>
    <cellStyle name="Normal 2 5 2 2 3 2 4 2 2 2" xfId="24544" xr:uid="{00000000-0005-0000-0000-00009F400000}"/>
    <cellStyle name="Normal 2 5 2 2 3 2 4 2 2 2 2" xfId="50097" xr:uid="{00000000-0005-0000-0000-0000A0400000}"/>
    <cellStyle name="Normal 2 5 2 2 3 2 4 2 2 3" xfId="39848" xr:uid="{00000000-0005-0000-0000-0000A1400000}"/>
    <cellStyle name="Normal 2 5 2 2 3 2 4 2 3" xfId="10714" xr:uid="{00000000-0005-0000-0000-0000A2400000}"/>
    <cellStyle name="Normal 2 5 2 2 3 2 4 2 3 2" xfId="36271" xr:uid="{00000000-0005-0000-0000-0000A3400000}"/>
    <cellStyle name="Normal 2 5 2 2 3 2 4 2 4" xfId="19537" xr:uid="{00000000-0005-0000-0000-0000A4400000}"/>
    <cellStyle name="Normal 2 5 2 2 3 2 4 2 4 2" xfId="45090" xr:uid="{00000000-0005-0000-0000-0000A5400000}"/>
    <cellStyle name="Normal 2 5 2 2 3 2 4 2 5" xfId="31027" xr:uid="{00000000-0005-0000-0000-0000A6400000}"/>
    <cellStyle name="Normal 2 5 2 2 3 2 4 3" xfId="6911" xr:uid="{00000000-0005-0000-0000-0000A7400000}"/>
    <cellStyle name="Normal 2 5 2 2 3 2 4 3 2" xfId="15738" xr:uid="{00000000-0005-0000-0000-0000A8400000}"/>
    <cellStyle name="Normal 2 5 2 2 3 2 4 3 2 2" xfId="41293" xr:uid="{00000000-0005-0000-0000-0000A9400000}"/>
    <cellStyle name="Normal 2 5 2 2 3 2 4 3 3" xfId="25989" xr:uid="{00000000-0005-0000-0000-0000AA400000}"/>
    <cellStyle name="Normal 2 5 2 2 3 2 4 3 3 2" xfId="51542" xr:uid="{00000000-0005-0000-0000-0000AB400000}"/>
    <cellStyle name="Normal 2 5 2 2 3 2 4 3 4" xfId="32472" xr:uid="{00000000-0005-0000-0000-0000AC400000}"/>
    <cellStyle name="Normal 2 5 2 2 3 2 4 4" xfId="8357" xr:uid="{00000000-0005-0000-0000-0000AD400000}"/>
    <cellStyle name="Normal 2 5 2 2 3 2 4 4 2" xfId="22439" xr:uid="{00000000-0005-0000-0000-0000AE400000}"/>
    <cellStyle name="Normal 2 5 2 2 3 2 4 4 2 2" xfId="47992" xr:uid="{00000000-0005-0000-0000-0000AF400000}"/>
    <cellStyle name="Normal 2 5 2 2 3 2 4 4 3" xfId="33914" xr:uid="{00000000-0005-0000-0000-0000B0400000}"/>
    <cellStyle name="Normal 2 5 2 2 3 2 4 5" xfId="17432" xr:uid="{00000000-0005-0000-0000-0000B1400000}"/>
    <cellStyle name="Normal 2 5 2 2 3 2 4 5 2" xfId="42985" xr:uid="{00000000-0005-0000-0000-0000B2400000}"/>
    <cellStyle name="Normal 2 5 2 2 3 2 4 6" xfId="28922" xr:uid="{00000000-0005-0000-0000-0000B3400000}"/>
    <cellStyle name="Normal 2 5 2 2 3 2 5" xfId="4412" xr:uid="{00000000-0005-0000-0000-0000B4400000}"/>
    <cellStyle name="Normal 2 5 2 2 3 2 5 2" xfId="13250" xr:uid="{00000000-0005-0000-0000-0000B5400000}"/>
    <cellStyle name="Normal 2 5 2 2 3 2 5 2 2" xfId="23501" xr:uid="{00000000-0005-0000-0000-0000B6400000}"/>
    <cellStyle name="Normal 2 5 2 2 3 2 5 2 2 2" xfId="49054" xr:uid="{00000000-0005-0000-0000-0000B7400000}"/>
    <cellStyle name="Normal 2 5 2 2 3 2 5 2 3" xfId="38805" xr:uid="{00000000-0005-0000-0000-0000B8400000}"/>
    <cellStyle name="Normal 2 5 2 2 3 2 5 3" xfId="9671" xr:uid="{00000000-0005-0000-0000-0000B9400000}"/>
    <cellStyle name="Normal 2 5 2 2 3 2 5 3 2" xfId="35228" xr:uid="{00000000-0005-0000-0000-0000BA400000}"/>
    <cellStyle name="Normal 2 5 2 2 3 2 5 4" xfId="18494" xr:uid="{00000000-0005-0000-0000-0000BB400000}"/>
    <cellStyle name="Normal 2 5 2 2 3 2 5 4 2" xfId="44047" xr:uid="{00000000-0005-0000-0000-0000BC400000}"/>
    <cellStyle name="Normal 2 5 2 2 3 2 5 5" xfId="29984" xr:uid="{00000000-0005-0000-0000-0000BD400000}"/>
    <cellStyle name="Normal 2 5 2 2 3 2 6" xfId="1684" xr:uid="{00000000-0005-0000-0000-0000BE400000}"/>
    <cellStyle name="Normal 2 5 2 2 3 2 6 2" xfId="11061" xr:uid="{00000000-0005-0000-0000-0000BF400000}"/>
    <cellStyle name="Normal 2 5 2 2 3 2 6 2 2" xfId="36616" xr:uid="{00000000-0005-0000-0000-0000C0400000}"/>
    <cellStyle name="Normal 2 5 2 2 3 2 6 3" xfId="21065" xr:uid="{00000000-0005-0000-0000-0000C1400000}"/>
    <cellStyle name="Normal 2 5 2 2 3 2 6 3 2" xfId="46618" xr:uid="{00000000-0005-0000-0000-0000C2400000}"/>
    <cellStyle name="Normal 2 5 2 2 3 2 6 4" xfId="27548" xr:uid="{00000000-0005-0000-0000-0000C3400000}"/>
    <cellStyle name="Normal 2 5 2 2 3 2 7" xfId="5868" xr:uid="{00000000-0005-0000-0000-0000C4400000}"/>
    <cellStyle name="Normal 2 5 2 2 3 2 7 2" xfId="14695" xr:uid="{00000000-0005-0000-0000-0000C5400000}"/>
    <cellStyle name="Normal 2 5 2 2 3 2 7 2 2" xfId="40250" xr:uid="{00000000-0005-0000-0000-0000C6400000}"/>
    <cellStyle name="Normal 2 5 2 2 3 2 7 3" xfId="24946" xr:uid="{00000000-0005-0000-0000-0000C7400000}"/>
    <cellStyle name="Normal 2 5 2 2 3 2 7 3 2" xfId="50499" xr:uid="{00000000-0005-0000-0000-0000C8400000}"/>
    <cellStyle name="Normal 2 5 2 2 3 2 7 4" xfId="31429" xr:uid="{00000000-0005-0000-0000-0000C9400000}"/>
    <cellStyle name="Normal 2 5 2 2 3 2 8" xfId="7312" xr:uid="{00000000-0005-0000-0000-0000CA400000}"/>
    <cellStyle name="Normal 2 5 2 2 3 2 8 2" xfId="20038" xr:uid="{00000000-0005-0000-0000-0000CB400000}"/>
    <cellStyle name="Normal 2 5 2 2 3 2 8 2 2" xfId="45591" xr:uid="{00000000-0005-0000-0000-0000CC400000}"/>
    <cellStyle name="Normal 2 5 2 2 3 2 8 3" xfId="32869" xr:uid="{00000000-0005-0000-0000-0000CD400000}"/>
    <cellStyle name="Normal 2 5 2 2 3 2 9" xfId="16058" xr:uid="{00000000-0005-0000-0000-0000CE400000}"/>
    <cellStyle name="Normal 2 5 2 2 3 2 9 2" xfId="41611" xr:uid="{00000000-0005-0000-0000-0000CF400000}"/>
    <cellStyle name="Normal 2 5 2 2 3 2_Degree data" xfId="3864" xr:uid="{00000000-0005-0000-0000-0000D0400000}"/>
    <cellStyle name="Normal 2 5 2 2 3 3" xfId="388" xr:uid="{00000000-0005-0000-0000-0000D1400000}"/>
    <cellStyle name="Normal 2 5 2 2 3 3 2" xfId="2874" xr:uid="{00000000-0005-0000-0000-0000D2400000}"/>
    <cellStyle name="Normal 2 5 2 2 3 3 2 2" xfId="12162" xr:uid="{00000000-0005-0000-0000-0000D3400000}"/>
    <cellStyle name="Normal 2 5 2 2 3 3 2 2 2" xfId="22235" xr:uid="{00000000-0005-0000-0000-0000D4400000}"/>
    <cellStyle name="Normal 2 5 2 2 3 3 2 2 2 2" xfId="47788" xr:uid="{00000000-0005-0000-0000-0000D5400000}"/>
    <cellStyle name="Normal 2 5 2 2 3 3 2 2 3" xfId="37717" xr:uid="{00000000-0005-0000-0000-0000D6400000}"/>
    <cellStyle name="Normal 2 5 2 2 3 3 2 3" xfId="8517" xr:uid="{00000000-0005-0000-0000-0000D7400000}"/>
    <cellStyle name="Normal 2 5 2 2 3 3 2 3 2" xfId="34074" xr:uid="{00000000-0005-0000-0000-0000D8400000}"/>
    <cellStyle name="Normal 2 5 2 2 3 3 2 4" xfId="17228" xr:uid="{00000000-0005-0000-0000-0000D9400000}"/>
    <cellStyle name="Normal 2 5 2 2 3 3 2 4 2" xfId="42781" xr:uid="{00000000-0005-0000-0000-0000DA400000}"/>
    <cellStyle name="Normal 2 5 2 2 3 3 2 5" xfId="28718" xr:uid="{00000000-0005-0000-0000-0000DB400000}"/>
    <cellStyle name="Normal 2 5 2 2 3 3 3" xfId="4546" xr:uid="{00000000-0005-0000-0000-0000DC400000}"/>
    <cellStyle name="Normal 2 5 2 2 3 3 3 2" xfId="13384" xr:uid="{00000000-0005-0000-0000-0000DD400000}"/>
    <cellStyle name="Normal 2 5 2 2 3 3 3 2 2" xfId="23635" xr:uid="{00000000-0005-0000-0000-0000DE400000}"/>
    <cellStyle name="Normal 2 5 2 2 3 3 3 2 2 2" xfId="49188" xr:uid="{00000000-0005-0000-0000-0000DF400000}"/>
    <cellStyle name="Normal 2 5 2 2 3 3 3 2 3" xfId="38939" xr:uid="{00000000-0005-0000-0000-0000E0400000}"/>
    <cellStyle name="Normal 2 5 2 2 3 3 3 3" xfId="9805" xr:uid="{00000000-0005-0000-0000-0000E1400000}"/>
    <cellStyle name="Normal 2 5 2 2 3 3 3 3 2" xfId="35362" xr:uid="{00000000-0005-0000-0000-0000E2400000}"/>
    <cellStyle name="Normal 2 5 2 2 3 3 3 4" xfId="18628" xr:uid="{00000000-0005-0000-0000-0000E3400000}"/>
    <cellStyle name="Normal 2 5 2 2 3 3 3 4 2" xfId="44181" xr:uid="{00000000-0005-0000-0000-0000E4400000}"/>
    <cellStyle name="Normal 2 5 2 2 3 3 3 5" xfId="30118" xr:uid="{00000000-0005-0000-0000-0000E5400000}"/>
    <cellStyle name="Normal 2 5 2 2 3 3 4" xfId="1983" xr:uid="{00000000-0005-0000-0000-0000E6400000}"/>
    <cellStyle name="Normal 2 5 2 2 3 3 4 2" xfId="11348" xr:uid="{00000000-0005-0000-0000-0000E7400000}"/>
    <cellStyle name="Normal 2 5 2 2 3 3 4 2 2" xfId="36903" xr:uid="{00000000-0005-0000-0000-0000E8400000}"/>
    <cellStyle name="Normal 2 5 2 2 3 3 4 3" xfId="21352" xr:uid="{00000000-0005-0000-0000-0000E9400000}"/>
    <cellStyle name="Normal 2 5 2 2 3 3 4 3 2" xfId="46905" xr:uid="{00000000-0005-0000-0000-0000EA400000}"/>
    <cellStyle name="Normal 2 5 2 2 3 3 4 4" xfId="27835" xr:uid="{00000000-0005-0000-0000-0000EB400000}"/>
    <cellStyle name="Normal 2 5 2 2 3 3 5" xfId="6002" xr:uid="{00000000-0005-0000-0000-0000EC400000}"/>
    <cellStyle name="Normal 2 5 2 2 3 3 5 2" xfId="14829" xr:uid="{00000000-0005-0000-0000-0000ED400000}"/>
    <cellStyle name="Normal 2 5 2 2 3 3 5 2 2" xfId="40384" xr:uid="{00000000-0005-0000-0000-0000EE400000}"/>
    <cellStyle name="Normal 2 5 2 2 3 3 5 3" xfId="25080" xr:uid="{00000000-0005-0000-0000-0000EF400000}"/>
    <cellStyle name="Normal 2 5 2 2 3 3 5 3 2" xfId="50633" xr:uid="{00000000-0005-0000-0000-0000F0400000}"/>
    <cellStyle name="Normal 2 5 2 2 3 3 5 4" xfId="31563" xr:uid="{00000000-0005-0000-0000-0000F1400000}"/>
    <cellStyle name="Normal 2 5 2 2 3 3 6" xfId="7446" xr:uid="{00000000-0005-0000-0000-0000F2400000}"/>
    <cellStyle name="Normal 2 5 2 2 3 3 6 2" xfId="19834" xr:uid="{00000000-0005-0000-0000-0000F3400000}"/>
    <cellStyle name="Normal 2 5 2 2 3 3 6 2 2" xfId="45387" xr:uid="{00000000-0005-0000-0000-0000F4400000}"/>
    <cellStyle name="Normal 2 5 2 2 3 3 6 3" xfId="33003" xr:uid="{00000000-0005-0000-0000-0000F5400000}"/>
    <cellStyle name="Normal 2 5 2 2 3 3 7" xfId="16345" xr:uid="{00000000-0005-0000-0000-0000F6400000}"/>
    <cellStyle name="Normal 2 5 2 2 3 3 7 2" xfId="41898" xr:uid="{00000000-0005-0000-0000-0000F7400000}"/>
    <cellStyle name="Normal 2 5 2 2 3 3 8" xfId="26317" xr:uid="{00000000-0005-0000-0000-0000F8400000}"/>
    <cellStyle name="Normal 2 5 2 2 3 4" xfId="731" xr:uid="{00000000-0005-0000-0000-0000F9400000}"/>
    <cellStyle name="Normal 2 5 2 2 3 4 2" xfId="3217" xr:uid="{00000000-0005-0000-0000-0000FA400000}"/>
    <cellStyle name="Normal 2 5 2 2 3 4 2 2" xfId="12359" xr:uid="{00000000-0005-0000-0000-0000FB400000}"/>
    <cellStyle name="Normal 2 5 2 2 3 4 2 2 2" xfId="22578" xr:uid="{00000000-0005-0000-0000-0000FC400000}"/>
    <cellStyle name="Normal 2 5 2 2 3 4 2 2 2 2" xfId="48131" xr:uid="{00000000-0005-0000-0000-0000FD400000}"/>
    <cellStyle name="Normal 2 5 2 2 3 4 2 2 3" xfId="37914" xr:uid="{00000000-0005-0000-0000-0000FE400000}"/>
    <cellStyle name="Normal 2 5 2 2 3 4 2 3" xfId="8781" xr:uid="{00000000-0005-0000-0000-0000FF400000}"/>
    <cellStyle name="Normal 2 5 2 2 3 4 2 3 2" xfId="34338" xr:uid="{00000000-0005-0000-0000-000000410000}"/>
    <cellStyle name="Normal 2 5 2 2 3 4 2 4" xfId="17571" xr:uid="{00000000-0005-0000-0000-000001410000}"/>
    <cellStyle name="Normal 2 5 2 2 3 4 2 4 2" xfId="43124" xr:uid="{00000000-0005-0000-0000-000002410000}"/>
    <cellStyle name="Normal 2 5 2 2 3 4 2 5" xfId="29061" xr:uid="{00000000-0005-0000-0000-000003410000}"/>
    <cellStyle name="Normal 2 5 2 2 3 4 3" xfId="4895" xr:uid="{00000000-0005-0000-0000-000004410000}"/>
    <cellStyle name="Normal 2 5 2 2 3 4 3 2" xfId="13732" xr:uid="{00000000-0005-0000-0000-000005410000}"/>
    <cellStyle name="Normal 2 5 2 2 3 4 3 2 2" xfId="23983" xr:uid="{00000000-0005-0000-0000-000006410000}"/>
    <cellStyle name="Normal 2 5 2 2 3 4 3 2 2 2" xfId="49536" xr:uid="{00000000-0005-0000-0000-000007410000}"/>
    <cellStyle name="Normal 2 5 2 2 3 4 3 2 3" xfId="39287" xr:uid="{00000000-0005-0000-0000-000008410000}"/>
    <cellStyle name="Normal 2 5 2 2 3 4 3 3" xfId="10153" xr:uid="{00000000-0005-0000-0000-000009410000}"/>
    <cellStyle name="Normal 2 5 2 2 3 4 3 3 2" xfId="35710" xr:uid="{00000000-0005-0000-0000-00000A410000}"/>
    <cellStyle name="Normal 2 5 2 2 3 4 3 4" xfId="18976" xr:uid="{00000000-0005-0000-0000-00000B410000}"/>
    <cellStyle name="Normal 2 5 2 2 3 4 3 4 2" xfId="44529" xr:uid="{00000000-0005-0000-0000-00000C410000}"/>
    <cellStyle name="Normal 2 5 2 2 3 4 3 5" xfId="30466" xr:uid="{00000000-0005-0000-0000-00000D410000}"/>
    <cellStyle name="Normal 2 5 2 2 3 4 4" xfId="2326" xr:uid="{00000000-0005-0000-0000-00000E410000}"/>
    <cellStyle name="Normal 2 5 2 2 3 4 4 2" xfId="11691" xr:uid="{00000000-0005-0000-0000-00000F410000}"/>
    <cellStyle name="Normal 2 5 2 2 3 4 4 2 2" xfId="37246" xr:uid="{00000000-0005-0000-0000-000010410000}"/>
    <cellStyle name="Normal 2 5 2 2 3 4 4 3" xfId="21695" xr:uid="{00000000-0005-0000-0000-000011410000}"/>
    <cellStyle name="Normal 2 5 2 2 3 4 4 3 2" xfId="47248" xr:uid="{00000000-0005-0000-0000-000012410000}"/>
    <cellStyle name="Normal 2 5 2 2 3 4 4 4" xfId="28178" xr:uid="{00000000-0005-0000-0000-000013410000}"/>
    <cellStyle name="Normal 2 5 2 2 3 4 5" xfId="6350" xr:uid="{00000000-0005-0000-0000-000014410000}"/>
    <cellStyle name="Normal 2 5 2 2 3 4 5 2" xfId="15177" xr:uid="{00000000-0005-0000-0000-000015410000}"/>
    <cellStyle name="Normal 2 5 2 2 3 4 5 2 2" xfId="40732" xr:uid="{00000000-0005-0000-0000-000016410000}"/>
    <cellStyle name="Normal 2 5 2 2 3 4 5 3" xfId="25428" xr:uid="{00000000-0005-0000-0000-000017410000}"/>
    <cellStyle name="Normal 2 5 2 2 3 4 5 3 2" xfId="50981" xr:uid="{00000000-0005-0000-0000-000018410000}"/>
    <cellStyle name="Normal 2 5 2 2 3 4 5 4" xfId="31911" xr:uid="{00000000-0005-0000-0000-000019410000}"/>
    <cellStyle name="Normal 2 5 2 2 3 4 6" xfId="7796" xr:uid="{00000000-0005-0000-0000-00001A410000}"/>
    <cellStyle name="Normal 2 5 2 2 3 4 6 2" xfId="20177" xr:uid="{00000000-0005-0000-0000-00001B410000}"/>
    <cellStyle name="Normal 2 5 2 2 3 4 6 2 2" xfId="45730" xr:uid="{00000000-0005-0000-0000-00001C410000}"/>
    <cellStyle name="Normal 2 5 2 2 3 4 6 3" xfId="33353" xr:uid="{00000000-0005-0000-0000-00001D410000}"/>
    <cellStyle name="Normal 2 5 2 2 3 4 7" xfId="16688" xr:uid="{00000000-0005-0000-0000-00001E410000}"/>
    <cellStyle name="Normal 2 5 2 2 3 4 7 2" xfId="42241" xr:uid="{00000000-0005-0000-0000-00001F410000}"/>
    <cellStyle name="Normal 2 5 2 2 3 4 8" xfId="26660" xr:uid="{00000000-0005-0000-0000-000020410000}"/>
    <cellStyle name="Normal 2 5 2 2 3 5" xfId="1160" xr:uid="{00000000-0005-0000-0000-000021410000}"/>
    <cellStyle name="Normal 2 5 2 2 3 5 2" xfId="3589" xr:uid="{00000000-0005-0000-0000-000022410000}"/>
    <cellStyle name="Normal 2 5 2 2 3 5 2 2" xfId="12725" xr:uid="{00000000-0005-0000-0000-000023410000}"/>
    <cellStyle name="Normal 2 5 2 2 3 5 2 2 2" xfId="22944" xr:uid="{00000000-0005-0000-0000-000024410000}"/>
    <cellStyle name="Normal 2 5 2 2 3 5 2 2 2 2" xfId="48497" xr:uid="{00000000-0005-0000-0000-000025410000}"/>
    <cellStyle name="Normal 2 5 2 2 3 5 2 2 3" xfId="38280" xr:uid="{00000000-0005-0000-0000-000026410000}"/>
    <cellStyle name="Normal 2 5 2 2 3 5 2 3" xfId="9146" xr:uid="{00000000-0005-0000-0000-000027410000}"/>
    <cellStyle name="Normal 2 5 2 2 3 5 2 3 2" xfId="34703" xr:uid="{00000000-0005-0000-0000-000028410000}"/>
    <cellStyle name="Normal 2 5 2 2 3 5 2 4" xfId="17937" xr:uid="{00000000-0005-0000-0000-000029410000}"/>
    <cellStyle name="Normal 2 5 2 2 3 5 2 4 2" xfId="43490" xr:uid="{00000000-0005-0000-0000-00002A410000}"/>
    <cellStyle name="Normal 2 5 2 2 3 5 2 5" xfId="29427" xr:uid="{00000000-0005-0000-0000-00002B410000}"/>
    <cellStyle name="Normal 2 5 2 2 3 5 3" xfId="5252" xr:uid="{00000000-0005-0000-0000-00002C410000}"/>
    <cellStyle name="Normal 2 5 2 2 3 5 3 2" xfId="14089" xr:uid="{00000000-0005-0000-0000-00002D410000}"/>
    <cellStyle name="Normal 2 5 2 2 3 5 3 2 2" xfId="24340" xr:uid="{00000000-0005-0000-0000-00002E410000}"/>
    <cellStyle name="Normal 2 5 2 2 3 5 3 2 2 2" xfId="49893" xr:uid="{00000000-0005-0000-0000-00002F410000}"/>
    <cellStyle name="Normal 2 5 2 2 3 5 3 2 3" xfId="39644" xr:uid="{00000000-0005-0000-0000-000030410000}"/>
    <cellStyle name="Normal 2 5 2 2 3 5 3 3" xfId="10510" xr:uid="{00000000-0005-0000-0000-000031410000}"/>
    <cellStyle name="Normal 2 5 2 2 3 5 3 3 2" xfId="36067" xr:uid="{00000000-0005-0000-0000-000032410000}"/>
    <cellStyle name="Normal 2 5 2 2 3 5 3 4" xfId="19333" xr:uid="{00000000-0005-0000-0000-000033410000}"/>
    <cellStyle name="Normal 2 5 2 2 3 5 3 4 2" xfId="44886" xr:uid="{00000000-0005-0000-0000-000034410000}"/>
    <cellStyle name="Normal 2 5 2 2 3 5 3 5" xfId="30823" xr:uid="{00000000-0005-0000-0000-000035410000}"/>
    <cellStyle name="Normal 2 5 2 2 3 5 4" xfId="1867" xr:uid="{00000000-0005-0000-0000-000036410000}"/>
    <cellStyle name="Normal 2 5 2 2 3 5 4 2" xfId="11235" xr:uid="{00000000-0005-0000-0000-000037410000}"/>
    <cellStyle name="Normal 2 5 2 2 3 5 4 2 2" xfId="36790" xr:uid="{00000000-0005-0000-0000-000038410000}"/>
    <cellStyle name="Normal 2 5 2 2 3 5 4 3" xfId="21239" xr:uid="{00000000-0005-0000-0000-000039410000}"/>
    <cellStyle name="Normal 2 5 2 2 3 5 4 3 2" xfId="46792" xr:uid="{00000000-0005-0000-0000-00003A410000}"/>
    <cellStyle name="Normal 2 5 2 2 3 5 4 4" xfId="27722" xr:uid="{00000000-0005-0000-0000-00003B410000}"/>
    <cellStyle name="Normal 2 5 2 2 3 5 5" xfId="6707" xr:uid="{00000000-0005-0000-0000-00003C410000}"/>
    <cellStyle name="Normal 2 5 2 2 3 5 5 2" xfId="15534" xr:uid="{00000000-0005-0000-0000-00003D410000}"/>
    <cellStyle name="Normal 2 5 2 2 3 5 5 2 2" xfId="41089" xr:uid="{00000000-0005-0000-0000-00003E410000}"/>
    <cellStyle name="Normal 2 5 2 2 3 5 5 3" xfId="25785" xr:uid="{00000000-0005-0000-0000-00003F410000}"/>
    <cellStyle name="Normal 2 5 2 2 3 5 5 3 2" xfId="51338" xr:uid="{00000000-0005-0000-0000-000040410000}"/>
    <cellStyle name="Normal 2 5 2 2 3 5 5 4" xfId="32268" xr:uid="{00000000-0005-0000-0000-000041410000}"/>
    <cellStyle name="Normal 2 5 2 2 3 5 6" xfId="8153" xr:uid="{00000000-0005-0000-0000-000042410000}"/>
    <cellStyle name="Normal 2 5 2 2 3 5 6 2" xfId="20543" xr:uid="{00000000-0005-0000-0000-000043410000}"/>
    <cellStyle name="Normal 2 5 2 2 3 5 6 2 2" xfId="46096" xr:uid="{00000000-0005-0000-0000-000044410000}"/>
    <cellStyle name="Normal 2 5 2 2 3 5 6 3" xfId="33710" xr:uid="{00000000-0005-0000-0000-000045410000}"/>
    <cellStyle name="Normal 2 5 2 2 3 5 7" xfId="16232" xr:uid="{00000000-0005-0000-0000-000046410000}"/>
    <cellStyle name="Normal 2 5 2 2 3 5 7 2" xfId="41785" xr:uid="{00000000-0005-0000-0000-000047410000}"/>
    <cellStyle name="Normal 2 5 2 2 3 5 8" xfId="27026" xr:uid="{00000000-0005-0000-0000-000048410000}"/>
    <cellStyle name="Normal 2 5 2 2 3 6" xfId="2761" xr:uid="{00000000-0005-0000-0000-000049410000}"/>
    <cellStyle name="Normal 2 5 2 2 3 6 2" xfId="12078" xr:uid="{00000000-0005-0000-0000-00004A410000}"/>
    <cellStyle name="Normal 2 5 2 2 3 6 2 2" xfId="22122" xr:uid="{00000000-0005-0000-0000-00004B410000}"/>
    <cellStyle name="Normal 2 5 2 2 3 6 2 2 2" xfId="47675" xr:uid="{00000000-0005-0000-0000-00004C410000}"/>
    <cellStyle name="Normal 2 5 2 2 3 6 2 3" xfId="37633" xr:uid="{00000000-0005-0000-0000-00004D410000}"/>
    <cellStyle name="Normal 2 5 2 2 3 6 3" xfId="8538" xr:uid="{00000000-0005-0000-0000-00004E410000}"/>
    <cellStyle name="Normal 2 5 2 2 3 6 3 2" xfId="34095" xr:uid="{00000000-0005-0000-0000-00004F410000}"/>
    <cellStyle name="Normal 2 5 2 2 3 6 4" xfId="17115" xr:uid="{00000000-0005-0000-0000-000050410000}"/>
    <cellStyle name="Normal 2 5 2 2 3 6 4 2" xfId="42668" xr:uid="{00000000-0005-0000-0000-000051410000}"/>
    <cellStyle name="Normal 2 5 2 2 3 6 5" xfId="28605" xr:uid="{00000000-0005-0000-0000-000052410000}"/>
    <cellStyle name="Normal 2 5 2 2 3 7" xfId="4208" xr:uid="{00000000-0005-0000-0000-000053410000}"/>
    <cellStyle name="Normal 2 5 2 2 3 7 2" xfId="13046" xr:uid="{00000000-0005-0000-0000-000054410000}"/>
    <cellStyle name="Normal 2 5 2 2 3 7 2 2" xfId="23297" xr:uid="{00000000-0005-0000-0000-000055410000}"/>
    <cellStyle name="Normal 2 5 2 2 3 7 2 2 2" xfId="48850" xr:uid="{00000000-0005-0000-0000-000056410000}"/>
    <cellStyle name="Normal 2 5 2 2 3 7 2 3" xfId="38601" xr:uid="{00000000-0005-0000-0000-000057410000}"/>
    <cellStyle name="Normal 2 5 2 2 3 7 3" xfId="9467" xr:uid="{00000000-0005-0000-0000-000058410000}"/>
    <cellStyle name="Normal 2 5 2 2 3 7 3 2" xfId="35024" xr:uid="{00000000-0005-0000-0000-000059410000}"/>
    <cellStyle name="Normal 2 5 2 2 3 7 4" xfId="18290" xr:uid="{00000000-0005-0000-0000-00005A410000}"/>
    <cellStyle name="Normal 2 5 2 2 3 7 4 2" xfId="43843" xr:uid="{00000000-0005-0000-0000-00005B410000}"/>
    <cellStyle name="Normal 2 5 2 2 3 7 5" xfId="29780" xr:uid="{00000000-0005-0000-0000-00005C410000}"/>
    <cellStyle name="Normal 2 5 2 2 3 8" xfId="1480" xr:uid="{00000000-0005-0000-0000-00005D410000}"/>
    <cellStyle name="Normal 2 5 2 2 3 8 2" xfId="10857" xr:uid="{00000000-0005-0000-0000-00005E410000}"/>
    <cellStyle name="Normal 2 5 2 2 3 8 2 2" xfId="36412" xr:uid="{00000000-0005-0000-0000-00005F410000}"/>
    <cellStyle name="Normal 2 5 2 2 3 8 3" xfId="20861" xr:uid="{00000000-0005-0000-0000-000060410000}"/>
    <cellStyle name="Normal 2 5 2 2 3 8 3 2" xfId="46414" xr:uid="{00000000-0005-0000-0000-000061410000}"/>
    <cellStyle name="Normal 2 5 2 2 3 8 4" xfId="27344" xr:uid="{00000000-0005-0000-0000-000062410000}"/>
    <cellStyle name="Normal 2 5 2 2 3 9" xfId="5664" xr:uid="{00000000-0005-0000-0000-000063410000}"/>
    <cellStyle name="Normal 2 5 2 2 3 9 2" xfId="14491" xr:uid="{00000000-0005-0000-0000-000064410000}"/>
    <cellStyle name="Normal 2 5 2 2 3 9 2 2" xfId="40046" xr:uid="{00000000-0005-0000-0000-000065410000}"/>
    <cellStyle name="Normal 2 5 2 2 3 9 3" xfId="24742" xr:uid="{00000000-0005-0000-0000-000066410000}"/>
    <cellStyle name="Normal 2 5 2 2 3 9 3 2" xfId="50295" xr:uid="{00000000-0005-0000-0000-000067410000}"/>
    <cellStyle name="Normal 2 5 2 2 3 9 4" xfId="31225" xr:uid="{00000000-0005-0000-0000-000068410000}"/>
    <cellStyle name="Normal 2 5 2 2 3_Degree data" xfId="3819" xr:uid="{00000000-0005-0000-0000-000069410000}"/>
    <cellStyle name="Normal 2 5 2 2 4" xfId="488" xr:uid="{00000000-0005-0000-0000-00006A410000}"/>
    <cellStyle name="Normal 2 5 2 2 4 10" xfId="26417" xr:uid="{00000000-0005-0000-0000-00006B410000}"/>
    <cellStyle name="Normal 2 5 2 2 4 2" xfId="733" xr:uid="{00000000-0005-0000-0000-00006C410000}"/>
    <cellStyle name="Normal 2 5 2 2 4 2 2" xfId="3219" xr:uid="{00000000-0005-0000-0000-00006D410000}"/>
    <cellStyle name="Normal 2 5 2 2 4 2 2 2" xfId="12361" xr:uid="{00000000-0005-0000-0000-00006E410000}"/>
    <cellStyle name="Normal 2 5 2 2 4 2 2 2 2" xfId="22580" xr:uid="{00000000-0005-0000-0000-00006F410000}"/>
    <cellStyle name="Normal 2 5 2 2 4 2 2 2 2 2" xfId="48133" xr:uid="{00000000-0005-0000-0000-000070410000}"/>
    <cellStyle name="Normal 2 5 2 2 4 2 2 2 3" xfId="37916" xr:uid="{00000000-0005-0000-0000-000071410000}"/>
    <cellStyle name="Normal 2 5 2 2 4 2 2 3" xfId="8783" xr:uid="{00000000-0005-0000-0000-000072410000}"/>
    <cellStyle name="Normal 2 5 2 2 4 2 2 3 2" xfId="34340" xr:uid="{00000000-0005-0000-0000-000073410000}"/>
    <cellStyle name="Normal 2 5 2 2 4 2 2 4" xfId="17573" xr:uid="{00000000-0005-0000-0000-000074410000}"/>
    <cellStyle name="Normal 2 5 2 2 4 2 2 4 2" xfId="43126" xr:uid="{00000000-0005-0000-0000-000075410000}"/>
    <cellStyle name="Normal 2 5 2 2 4 2 2 5" xfId="29063" xr:uid="{00000000-0005-0000-0000-000076410000}"/>
    <cellStyle name="Normal 2 5 2 2 4 2 3" xfId="4548" xr:uid="{00000000-0005-0000-0000-000077410000}"/>
    <cellStyle name="Normal 2 5 2 2 4 2 3 2" xfId="13386" xr:uid="{00000000-0005-0000-0000-000078410000}"/>
    <cellStyle name="Normal 2 5 2 2 4 2 3 2 2" xfId="23637" xr:uid="{00000000-0005-0000-0000-000079410000}"/>
    <cellStyle name="Normal 2 5 2 2 4 2 3 2 2 2" xfId="49190" xr:uid="{00000000-0005-0000-0000-00007A410000}"/>
    <cellStyle name="Normal 2 5 2 2 4 2 3 2 3" xfId="38941" xr:uid="{00000000-0005-0000-0000-00007B410000}"/>
    <cellStyle name="Normal 2 5 2 2 4 2 3 3" xfId="9807" xr:uid="{00000000-0005-0000-0000-00007C410000}"/>
    <cellStyle name="Normal 2 5 2 2 4 2 3 3 2" xfId="35364" xr:uid="{00000000-0005-0000-0000-00007D410000}"/>
    <cellStyle name="Normal 2 5 2 2 4 2 3 4" xfId="18630" xr:uid="{00000000-0005-0000-0000-00007E410000}"/>
    <cellStyle name="Normal 2 5 2 2 4 2 3 4 2" xfId="44183" xr:uid="{00000000-0005-0000-0000-00007F410000}"/>
    <cellStyle name="Normal 2 5 2 2 4 2 3 5" xfId="30120" xr:uid="{00000000-0005-0000-0000-000080410000}"/>
    <cellStyle name="Normal 2 5 2 2 4 2 4" xfId="2328" xr:uid="{00000000-0005-0000-0000-000081410000}"/>
    <cellStyle name="Normal 2 5 2 2 4 2 4 2" xfId="11693" xr:uid="{00000000-0005-0000-0000-000082410000}"/>
    <cellStyle name="Normal 2 5 2 2 4 2 4 2 2" xfId="37248" xr:uid="{00000000-0005-0000-0000-000083410000}"/>
    <cellStyle name="Normal 2 5 2 2 4 2 4 3" xfId="21697" xr:uid="{00000000-0005-0000-0000-000084410000}"/>
    <cellStyle name="Normal 2 5 2 2 4 2 4 3 2" xfId="47250" xr:uid="{00000000-0005-0000-0000-000085410000}"/>
    <cellStyle name="Normal 2 5 2 2 4 2 4 4" xfId="28180" xr:uid="{00000000-0005-0000-0000-000086410000}"/>
    <cellStyle name="Normal 2 5 2 2 4 2 5" xfId="6004" xr:uid="{00000000-0005-0000-0000-000087410000}"/>
    <cellStyle name="Normal 2 5 2 2 4 2 5 2" xfId="14831" xr:uid="{00000000-0005-0000-0000-000088410000}"/>
    <cellStyle name="Normal 2 5 2 2 4 2 5 2 2" xfId="40386" xr:uid="{00000000-0005-0000-0000-000089410000}"/>
    <cellStyle name="Normal 2 5 2 2 4 2 5 3" xfId="25082" xr:uid="{00000000-0005-0000-0000-00008A410000}"/>
    <cellStyle name="Normal 2 5 2 2 4 2 5 3 2" xfId="50635" xr:uid="{00000000-0005-0000-0000-00008B410000}"/>
    <cellStyle name="Normal 2 5 2 2 4 2 5 4" xfId="31565" xr:uid="{00000000-0005-0000-0000-00008C410000}"/>
    <cellStyle name="Normal 2 5 2 2 4 2 6" xfId="7448" xr:uid="{00000000-0005-0000-0000-00008D410000}"/>
    <cellStyle name="Normal 2 5 2 2 4 2 6 2" xfId="20179" xr:uid="{00000000-0005-0000-0000-00008E410000}"/>
    <cellStyle name="Normal 2 5 2 2 4 2 6 2 2" xfId="45732" xr:uid="{00000000-0005-0000-0000-00008F410000}"/>
    <cellStyle name="Normal 2 5 2 2 4 2 6 3" xfId="33005" xr:uid="{00000000-0005-0000-0000-000090410000}"/>
    <cellStyle name="Normal 2 5 2 2 4 2 7" xfId="16690" xr:uid="{00000000-0005-0000-0000-000091410000}"/>
    <cellStyle name="Normal 2 5 2 2 4 2 7 2" xfId="42243" xr:uid="{00000000-0005-0000-0000-000092410000}"/>
    <cellStyle name="Normal 2 5 2 2 4 2 8" xfId="26662" xr:uid="{00000000-0005-0000-0000-000093410000}"/>
    <cellStyle name="Normal 2 5 2 2 4 3" xfId="1260" xr:uid="{00000000-0005-0000-0000-000094410000}"/>
    <cellStyle name="Normal 2 5 2 2 4 3 2" xfId="3689" xr:uid="{00000000-0005-0000-0000-000095410000}"/>
    <cellStyle name="Normal 2 5 2 2 4 3 2 2" xfId="12825" xr:uid="{00000000-0005-0000-0000-000096410000}"/>
    <cellStyle name="Normal 2 5 2 2 4 3 2 2 2" xfId="23044" xr:uid="{00000000-0005-0000-0000-000097410000}"/>
    <cellStyle name="Normal 2 5 2 2 4 3 2 2 2 2" xfId="48597" xr:uid="{00000000-0005-0000-0000-000098410000}"/>
    <cellStyle name="Normal 2 5 2 2 4 3 2 2 3" xfId="38380" xr:uid="{00000000-0005-0000-0000-000099410000}"/>
    <cellStyle name="Normal 2 5 2 2 4 3 2 3" xfId="9246" xr:uid="{00000000-0005-0000-0000-00009A410000}"/>
    <cellStyle name="Normal 2 5 2 2 4 3 2 3 2" xfId="34803" xr:uid="{00000000-0005-0000-0000-00009B410000}"/>
    <cellStyle name="Normal 2 5 2 2 4 3 2 4" xfId="18037" xr:uid="{00000000-0005-0000-0000-00009C410000}"/>
    <cellStyle name="Normal 2 5 2 2 4 3 2 4 2" xfId="43590" xr:uid="{00000000-0005-0000-0000-00009D410000}"/>
    <cellStyle name="Normal 2 5 2 2 4 3 2 5" xfId="29527" xr:uid="{00000000-0005-0000-0000-00009E410000}"/>
    <cellStyle name="Normal 2 5 2 2 4 3 3" xfId="4897" xr:uid="{00000000-0005-0000-0000-00009F410000}"/>
    <cellStyle name="Normal 2 5 2 2 4 3 3 2" xfId="13734" xr:uid="{00000000-0005-0000-0000-0000A0410000}"/>
    <cellStyle name="Normal 2 5 2 2 4 3 3 2 2" xfId="23985" xr:uid="{00000000-0005-0000-0000-0000A1410000}"/>
    <cellStyle name="Normal 2 5 2 2 4 3 3 2 2 2" xfId="49538" xr:uid="{00000000-0005-0000-0000-0000A2410000}"/>
    <cellStyle name="Normal 2 5 2 2 4 3 3 2 3" xfId="39289" xr:uid="{00000000-0005-0000-0000-0000A3410000}"/>
    <cellStyle name="Normal 2 5 2 2 4 3 3 3" xfId="10155" xr:uid="{00000000-0005-0000-0000-0000A4410000}"/>
    <cellStyle name="Normal 2 5 2 2 4 3 3 3 2" xfId="35712" xr:uid="{00000000-0005-0000-0000-0000A5410000}"/>
    <cellStyle name="Normal 2 5 2 2 4 3 3 4" xfId="18978" xr:uid="{00000000-0005-0000-0000-0000A6410000}"/>
    <cellStyle name="Normal 2 5 2 2 4 3 3 4 2" xfId="44531" xr:uid="{00000000-0005-0000-0000-0000A7410000}"/>
    <cellStyle name="Normal 2 5 2 2 4 3 3 5" xfId="30468" xr:uid="{00000000-0005-0000-0000-0000A8410000}"/>
    <cellStyle name="Normal 2 5 2 2 4 3 4" xfId="2083" xr:uid="{00000000-0005-0000-0000-0000A9410000}"/>
    <cellStyle name="Normal 2 5 2 2 4 3 4 2" xfId="11448" xr:uid="{00000000-0005-0000-0000-0000AA410000}"/>
    <cellStyle name="Normal 2 5 2 2 4 3 4 2 2" xfId="37003" xr:uid="{00000000-0005-0000-0000-0000AB410000}"/>
    <cellStyle name="Normal 2 5 2 2 4 3 4 3" xfId="21452" xr:uid="{00000000-0005-0000-0000-0000AC410000}"/>
    <cellStyle name="Normal 2 5 2 2 4 3 4 3 2" xfId="47005" xr:uid="{00000000-0005-0000-0000-0000AD410000}"/>
    <cellStyle name="Normal 2 5 2 2 4 3 4 4" xfId="27935" xr:uid="{00000000-0005-0000-0000-0000AE410000}"/>
    <cellStyle name="Normal 2 5 2 2 4 3 5" xfId="6352" xr:uid="{00000000-0005-0000-0000-0000AF410000}"/>
    <cellStyle name="Normal 2 5 2 2 4 3 5 2" xfId="15179" xr:uid="{00000000-0005-0000-0000-0000B0410000}"/>
    <cellStyle name="Normal 2 5 2 2 4 3 5 2 2" xfId="40734" xr:uid="{00000000-0005-0000-0000-0000B1410000}"/>
    <cellStyle name="Normal 2 5 2 2 4 3 5 3" xfId="25430" xr:uid="{00000000-0005-0000-0000-0000B2410000}"/>
    <cellStyle name="Normal 2 5 2 2 4 3 5 3 2" xfId="50983" xr:uid="{00000000-0005-0000-0000-0000B3410000}"/>
    <cellStyle name="Normal 2 5 2 2 4 3 5 4" xfId="31913" xr:uid="{00000000-0005-0000-0000-0000B4410000}"/>
    <cellStyle name="Normal 2 5 2 2 4 3 6" xfId="7798" xr:uid="{00000000-0005-0000-0000-0000B5410000}"/>
    <cellStyle name="Normal 2 5 2 2 4 3 6 2" xfId="20643" xr:uid="{00000000-0005-0000-0000-0000B6410000}"/>
    <cellStyle name="Normal 2 5 2 2 4 3 6 2 2" xfId="46196" xr:uid="{00000000-0005-0000-0000-0000B7410000}"/>
    <cellStyle name="Normal 2 5 2 2 4 3 6 3" xfId="33355" xr:uid="{00000000-0005-0000-0000-0000B8410000}"/>
    <cellStyle name="Normal 2 5 2 2 4 3 7" xfId="16445" xr:uid="{00000000-0005-0000-0000-0000B9410000}"/>
    <cellStyle name="Normal 2 5 2 2 4 3 7 2" xfId="41998" xr:uid="{00000000-0005-0000-0000-0000BA410000}"/>
    <cellStyle name="Normal 2 5 2 2 4 3 8" xfId="27126" xr:uid="{00000000-0005-0000-0000-0000BB410000}"/>
    <cellStyle name="Normal 2 5 2 2 4 4" xfId="2974" xr:uid="{00000000-0005-0000-0000-0000BC410000}"/>
    <cellStyle name="Normal 2 5 2 2 4 4 2" xfId="5352" xr:uid="{00000000-0005-0000-0000-0000BD410000}"/>
    <cellStyle name="Normal 2 5 2 2 4 4 2 2" xfId="14189" xr:uid="{00000000-0005-0000-0000-0000BE410000}"/>
    <cellStyle name="Normal 2 5 2 2 4 4 2 2 2" xfId="24440" xr:uid="{00000000-0005-0000-0000-0000BF410000}"/>
    <cellStyle name="Normal 2 5 2 2 4 4 2 2 2 2" xfId="49993" xr:uid="{00000000-0005-0000-0000-0000C0410000}"/>
    <cellStyle name="Normal 2 5 2 2 4 4 2 2 3" xfId="39744" xr:uid="{00000000-0005-0000-0000-0000C1410000}"/>
    <cellStyle name="Normal 2 5 2 2 4 4 2 3" xfId="10610" xr:uid="{00000000-0005-0000-0000-0000C2410000}"/>
    <cellStyle name="Normal 2 5 2 2 4 4 2 3 2" xfId="36167" xr:uid="{00000000-0005-0000-0000-0000C3410000}"/>
    <cellStyle name="Normal 2 5 2 2 4 4 2 4" xfId="19433" xr:uid="{00000000-0005-0000-0000-0000C4410000}"/>
    <cellStyle name="Normal 2 5 2 2 4 4 2 4 2" xfId="44986" xr:uid="{00000000-0005-0000-0000-0000C5410000}"/>
    <cellStyle name="Normal 2 5 2 2 4 4 2 5" xfId="30923" xr:uid="{00000000-0005-0000-0000-0000C6410000}"/>
    <cellStyle name="Normal 2 5 2 2 4 4 3" xfId="6807" xr:uid="{00000000-0005-0000-0000-0000C7410000}"/>
    <cellStyle name="Normal 2 5 2 2 4 4 3 2" xfId="15634" xr:uid="{00000000-0005-0000-0000-0000C8410000}"/>
    <cellStyle name="Normal 2 5 2 2 4 4 3 2 2" xfId="41189" xr:uid="{00000000-0005-0000-0000-0000C9410000}"/>
    <cellStyle name="Normal 2 5 2 2 4 4 3 3" xfId="25885" xr:uid="{00000000-0005-0000-0000-0000CA410000}"/>
    <cellStyle name="Normal 2 5 2 2 4 4 3 3 2" xfId="51438" xr:uid="{00000000-0005-0000-0000-0000CB410000}"/>
    <cellStyle name="Normal 2 5 2 2 4 4 3 4" xfId="32368" xr:uid="{00000000-0005-0000-0000-0000CC410000}"/>
    <cellStyle name="Normal 2 5 2 2 4 4 4" xfId="8253" xr:uid="{00000000-0005-0000-0000-0000CD410000}"/>
    <cellStyle name="Normal 2 5 2 2 4 4 4 2" xfId="22335" xr:uid="{00000000-0005-0000-0000-0000CE410000}"/>
    <cellStyle name="Normal 2 5 2 2 4 4 4 2 2" xfId="47888" xr:uid="{00000000-0005-0000-0000-0000CF410000}"/>
    <cellStyle name="Normal 2 5 2 2 4 4 4 3" xfId="33810" xr:uid="{00000000-0005-0000-0000-0000D0410000}"/>
    <cellStyle name="Normal 2 5 2 2 4 4 5" xfId="17328" xr:uid="{00000000-0005-0000-0000-0000D1410000}"/>
    <cellStyle name="Normal 2 5 2 2 4 4 5 2" xfId="42881" xr:uid="{00000000-0005-0000-0000-0000D2410000}"/>
    <cellStyle name="Normal 2 5 2 2 4 4 6" xfId="28818" xr:uid="{00000000-0005-0000-0000-0000D3410000}"/>
    <cellStyle name="Normal 2 5 2 2 4 5" xfId="4308" xr:uid="{00000000-0005-0000-0000-0000D4410000}"/>
    <cellStyle name="Normal 2 5 2 2 4 5 2" xfId="13146" xr:uid="{00000000-0005-0000-0000-0000D5410000}"/>
    <cellStyle name="Normal 2 5 2 2 4 5 2 2" xfId="23397" xr:uid="{00000000-0005-0000-0000-0000D6410000}"/>
    <cellStyle name="Normal 2 5 2 2 4 5 2 2 2" xfId="48950" xr:uid="{00000000-0005-0000-0000-0000D7410000}"/>
    <cellStyle name="Normal 2 5 2 2 4 5 2 3" xfId="38701" xr:uid="{00000000-0005-0000-0000-0000D8410000}"/>
    <cellStyle name="Normal 2 5 2 2 4 5 3" xfId="9567" xr:uid="{00000000-0005-0000-0000-0000D9410000}"/>
    <cellStyle name="Normal 2 5 2 2 4 5 3 2" xfId="35124" xr:uid="{00000000-0005-0000-0000-0000DA410000}"/>
    <cellStyle name="Normal 2 5 2 2 4 5 4" xfId="18390" xr:uid="{00000000-0005-0000-0000-0000DB410000}"/>
    <cellStyle name="Normal 2 5 2 2 4 5 4 2" xfId="43943" xr:uid="{00000000-0005-0000-0000-0000DC410000}"/>
    <cellStyle name="Normal 2 5 2 2 4 5 5" xfId="29880" xr:uid="{00000000-0005-0000-0000-0000DD410000}"/>
    <cellStyle name="Normal 2 5 2 2 4 6" xfId="1580" xr:uid="{00000000-0005-0000-0000-0000DE410000}"/>
    <cellStyle name="Normal 2 5 2 2 4 6 2" xfId="10957" xr:uid="{00000000-0005-0000-0000-0000DF410000}"/>
    <cellStyle name="Normal 2 5 2 2 4 6 2 2" xfId="36512" xr:uid="{00000000-0005-0000-0000-0000E0410000}"/>
    <cellStyle name="Normal 2 5 2 2 4 6 3" xfId="20961" xr:uid="{00000000-0005-0000-0000-0000E1410000}"/>
    <cellStyle name="Normal 2 5 2 2 4 6 3 2" xfId="46514" xr:uid="{00000000-0005-0000-0000-0000E2410000}"/>
    <cellStyle name="Normal 2 5 2 2 4 6 4" xfId="27444" xr:uid="{00000000-0005-0000-0000-0000E3410000}"/>
    <cellStyle name="Normal 2 5 2 2 4 7" xfId="5764" xr:uid="{00000000-0005-0000-0000-0000E4410000}"/>
    <cellStyle name="Normal 2 5 2 2 4 7 2" xfId="14591" xr:uid="{00000000-0005-0000-0000-0000E5410000}"/>
    <cellStyle name="Normal 2 5 2 2 4 7 2 2" xfId="40146" xr:uid="{00000000-0005-0000-0000-0000E6410000}"/>
    <cellStyle name="Normal 2 5 2 2 4 7 3" xfId="24842" xr:uid="{00000000-0005-0000-0000-0000E7410000}"/>
    <cellStyle name="Normal 2 5 2 2 4 7 3 2" xfId="50395" xr:uid="{00000000-0005-0000-0000-0000E8410000}"/>
    <cellStyle name="Normal 2 5 2 2 4 7 4" xfId="31325" xr:uid="{00000000-0005-0000-0000-0000E9410000}"/>
    <cellStyle name="Normal 2 5 2 2 4 8" xfId="7208" xr:uid="{00000000-0005-0000-0000-0000EA410000}"/>
    <cellStyle name="Normal 2 5 2 2 4 8 2" xfId="19934" xr:uid="{00000000-0005-0000-0000-0000EB410000}"/>
    <cellStyle name="Normal 2 5 2 2 4 8 2 2" xfId="45487" xr:uid="{00000000-0005-0000-0000-0000EC410000}"/>
    <cellStyle name="Normal 2 5 2 2 4 8 3" xfId="32765" xr:uid="{00000000-0005-0000-0000-0000ED410000}"/>
    <cellStyle name="Normal 2 5 2 2 4 9" xfId="15954" xr:uid="{00000000-0005-0000-0000-0000EE410000}"/>
    <cellStyle name="Normal 2 5 2 2 4 9 2" xfId="41507" xr:uid="{00000000-0005-0000-0000-0000EF410000}"/>
    <cellStyle name="Normal 2 5 2 2 4_Degree data" xfId="3845" xr:uid="{00000000-0005-0000-0000-0000F0410000}"/>
    <cellStyle name="Normal 2 5 2 2 5" xfId="331" xr:uid="{00000000-0005-0000-0000-0000F1410000}"/>
    <cellStyle name="Normal 2 5 2 2 5 10" xfId="26260" xr:uid="{00000000-0005-0000-0000-0000F2410000}"/>
    <cellStyle name="Normal 2 5 2 2 5 2" xfId="734" xr:uid="{00000000-0005-0000-0000-0000F3410000}"/>
    <cellStyle name="Normal 2 5 2 2 5 2 2" xfId="3220" xr:uid="{00000000-0005-0000-0000-0000F4410000}"/>
    <cellStyle name="Normal 2 5 2 2 5 2 2 2" xfId="12362" xr:uid="{00000000-0005-0000-0000-0000F5410000}"/>
    <cellStyle name="Normal 2 5 2 2 5 2 2 2 2" xfId="22581" xr:uid="{00000000-0005-0000-0000-0000F6410000}"/>
    <cellStyle name="Normal 2 5 2 2 5 2 2 2 2 2" xfId="48134" xr:uid="{00000000-0005-0000-0000-0000F7410000}"/>
    <cellStyle name="Normal 2 5 2 2 5 2 2 2 3" xfId="37917" xr:uid="{00000000-0005-0000-0000-0000F8410000}"/>
    <cellStyle name="Normal 2 5 2 2 5 2 2 3" xfId="8784" xr:uid="{00000000-0005-0000-0000-0000F9410000}"/>
    <cellStyle name="Normal 2 5 2 2 5 2 2 3 2" xfId="34341" xr:uid="{00000000-0005-0000-0000-0000FA410000}"/>
    <cellStyle name="Normal 2 5 2 2 5 2 2 4" xfId="17574" xr:uid="{00000000-0005-0000-0000-0000FB410000}"/>
    <cellStyle name="Normal 2 5 2 2 5 2 2 4 2" xfId="43127" xr:uid="{00000000-0005-0000-0000-0000FC410000}"/>
    <cellStyle name="Normal 2 5 2 2 5 2 2 5" xfId="29064" xr:uid="{00000000-0005-0000-0000-0000FD410000}"/>
    <cellStyle name="Normal 2 5 2 2 5 2 3" xfId="4549" xr:uid="{00000000-0005-0000-0000-0000FE410000}"/>
    <cellStyle name="Normal 2 5 2 2 5 2 3 2" xfId="13387" xr:uid="{00000000-0005-0000-0000-0000FF410000}"/>
    <cellStyle name="Normal 2 5 2 2 5 2 3 2 2" xfId="23638" xr:uid="{00000000-0005-0000-0000-000000420000}"/>
    <cellStyle name="Normal 2 5 2 2 5 2 3 2 2 2" xfId="49191" xr:uid="{00000000-0005-0000-0000-000001420000}"/>
    <cellStyle name="Normal 2 5 2 2 5 2 3 2 3" xfId="38942" xr:uid="{00000000-0005-0000-0000-000002420000}"/>
    <cellStyle name="Normal 2 5 2 2 5 2 3 3" xfId="9808" xr:uid="{00000000-0005-0000-0000-000003420000}"/>
    <cellStyle name="Normal 2 5 2 2 5 2 3 3 2" xfId="35365" xr:uid="{00000000-0005-0000-0000-000004420000}"/>
    <cellStyle name="Normal 2 5 2 2 5 2 3 4" xfId="18631" xr:uid="{00000000-0005-0000-0000-000005420000}"/>
    <cellStyle name="Normal 2 5 2 2 5 2 3 4 2" xfId="44184" xr:uid="{00000000-0005-0000-0000-000006420000}"/>
    <cellStyle name="Normal 2 5 2 2 5 2 3 5" xfId="30121" xr:uid="{00000000-0005-0000-0000-000007420000}"/>
    <cellStyle name="Normal 2 5 2 2 5 2 4" xfId="2329" xr:uid="{00000000-0005-0000-0000-000008420000}"/>
    <cellStyle name="Normal 2 5 2 2 5 2 4 2" xfId="11694" xr:uid="{00000000-0005-0000-0000-000009420000}"/>
    <cellStyle name="Normal 2 5 2 2 5 2 4 2 2" xfId="37249" xr:uid="{00000000-0005-0000-0000-00000A420000}"/>
    <cellStyle name="Normal 2 5 2 2 5 2 4 3" xfId="21698" xr:uid="{00000000-0005-0000-0000-00000B420000}"/>
    <cellStyle name="Normal 2 5 2 2 5 2 4 3 2" xfId="47251" xr:uid="{00000000-0005-0000-0000-00000C420000}"/>
    <cellStyle name="Normal 2 5 2 2 5 2 4 4" xfId="28181" xr:uid="{00000000-0005-0000-0000-00000D420000}"/>
    <cellStyle name="Normal 2 5 2 2 5 2 5" xfId="6005" xr:uid="{00000000-0005-0000-0000-00000E420000}"/>
    <cellStyle name="Normal 2 5 2 2 5 2 5 2" xfId="14832" xr:uid="{00000000-0005-0000-0000-00000F420000}"/>
    <cellStyle name="Normal 2 5 2 2 5 2 5 2 2" xfId="40387" xr:uid="{00000000-0005-0000-0000-000010420000}"/>
    <cellStyle name="Normal 2 5 2 2 5 2 5 3" xfId="25083" xr:uid="{00000000-0005-0000-0000-000011420000}"/>
    <cellStyle name="Normal 2 5 2 2 5 2 5 3 2" xfId="50636" xr:uid="{00000000-0005-0000-0000-000012420000}"/>
    <cellStyle name="Normal 2 5 2 2 5 2 5 4" xfId="31566" xr:uid="{00000000-0005-0000-0000-000013420000}"/>
    <cellStyle name="Normal 2 5 2 2 5 2 6" xfId="7449" xr:uid="{00000000-0005-0000-0000-000014420000}"/>
    <cellStyle name="Normal 2 5 2 2 5 2 6 2" xfId="20180" xr:uid="{00000000-0005-0000-0000-000015420000}"/>
    <cellStyle name="Normal 2 5 2 2 5 2 6 2 2" xfId="45733" xr:uid="{00000000-0005-0000-0000-000016420000}"/>
    <cellStyle name="Normal 2 5 2 2 5 2 6 3" xfId="33006" xr:uid="{00000000-0005-0000-0000-000017420000}"/>
    <cellStyle name="Normal 2 5 2 2 5 2 7" xfId="16691" xr:uid="{00000000-0005-0000-0000-000018420000}"/>
    <cellStyle name="Normal 2 5 2 2 5 2 7 2" xfId="42244" xr:uid="{00000000-0005-0000-0000-000019420000}"/>
    <cellStyle name="Normal 2 5 2 2 5 2 8" xfId="26663" xr:uid="{00000000-0005-0000-0000-00001A420000}"/>
    <cellStyle name="Normal 2 5 2 2 5 3" xfId="1103" xr:uid="{00000000-0005-0000-0000-00001B420000}"/>
    <cellStyle name="Normal 2 5 2 2 5 3 2" xfId="3532" xr:uid="{00000000-0005-0000-0000-00001C420000}"/>
    <cellStyle name="Normal 2 5 2 2 5 3 2 2" xfId="12668" xr:uid="{00000000-0005-0000-0000-00001D420000}"/>
    <cellStyle name="Normal 2 5 2 2 5 3 2 2 2" xfId="22887" xr:uid="{00000000-0005-0000-0000-00001E420000}"/>
    <cellStyle name="Normal 2 5 2 2 5 3 2 2 2 2" xfId="48440" xr:uid="{00000000-0005-0000-0000-00001F420000}"/>
    <cellStyle name="Normal 2 5 2 2 5 3 2 2 3" xfId="38223" xr:uid="{00000000-0005-0000-0000-000020420000}"/>
    <cellStyle name="Normal 2 5 2 2 5 3 2 3" xfId="9089" xr:uid="{00000000-0005-0000-0000-000021420000}"/>
    <cellStyle name="Normal 2 5 2 2 5 3 2 3 2" xfId="34646" xr:uid="{00000000-0005-0000-0000-000022420000}"/>
    <cellStyle name="Normal 2 5 2 2 5 3 2 4" xfId="17880" xr:uid="{00000000-0005-0000-0000-000023420000}"/>
    <cellStyle name="Normal 2 5 2 2 5 3 2 4 2" xfId="43433" xr:uid="{00000000-0005-0000-0000-000024420000}"/>
    <cellStyle name="Normal 2 5 2 2 5 3 2 5" xfId="29370" xr:uid="{00000000-0005-0000-0000-000025420000}"/>
    <cellStyle name="Normal 2 5 2 2 5 3 3" xfId="4898" xr:uid="{00000000-0005-0000-0000-000026420000}"/>
    <cellStyle name="Normal 2 5 2 2 5 3 3 2" xfId="13735" xr:uid="{00000000-0005-0000-0000-000027420000}"/>
    <cellStyle name="Normal 2 5 2 2 5 3 3 2 2" xfId="23986" xr:uid="{00000000-0005-0000-0000-000028420000}"/>
    <cellStyle name="Normal 2 5 2 2 5 3 3 2 2 2" xfId="49539" xr:uid="{00000000-0005-0000-0000-000029420000}"/>
    <cellStyle name="Normal 2 5 2 2 5 3 3 2 3" xfId="39290" xr:uid="{00000000-0005-0000-0000-00002A420000}"/>
    <cellStyle name="Normal 2 5 2 2 5 3 3 3" xfId="10156" xr:uid="{00000000-0005-0000-0000-00002B420000}"/>
    <cellStyle name="Normal 2 5 2 2 5 3 3 3 2" xfId="35713" xr:uid="{00000000-0005-0000-0000-00002C420000}"/>
    <cellStyle name="Normal 2 5 2 2 5 3 3 4" xfId="18979" xr:uid="{00000000-0005-0000-0000-00002D420000}"/>
    <cellStyle name="Normal 2 5 2 2 5 3 3 4 2" xfId="44532" xr:uid="{00000000-0005-0000-0000-00002E420000}"/>
    <cellStyle name="Normal 2 5 2 2 5 3 3 5" xfId="30469" xr:uid="{00000000-0005-0000-0000-00002F420000}"/>
    <cellStyle name="Normal 2 5 2 2 5 3 4" xfId="2584" xr:uid="{00000000-0005-0000-0000-000030420000}"/>
    <cellStyle name="Normal 2 5 2 2 5 3 4 2" xfId="11948" xr:uid="{00000000-0005-0000-0000-000031420000}"/>
    <cellStyle name="Normal 2 5 2 2 5 3 4 2 2" xfId="37503" xr:uid="{00000000-0005-0000-0000-000032420000}"/>
    <cellStyle name="Normal 2 5 2 2 5 3 4 3" xfId="21952" xr:uid="{00000000-0005-0000-0000-000033420000}"/>
    <cellStyle name="Normal 2 5 2 2 5 3 4 3 2" xfId="47505" xr:uid="{00000000-0005-0000-0000-000034420000}"/>
    <cellStyle name="Normal 2 5 2 2 5 3 4 4" xfId="28435" xr:uid="{00000000-0005-0000-0000-000035420000}"/>
    <cellStyle name="Normal 2 5 2 2 5 3 5" xfId="6353" xr:uid="{00000000-0005-0000-0000-000036420000}"/>
    <cellStyle name="Normal 2 5 2 2 5 3 5 2" xfId="15180" xr:uid="{00000000-0005-0000-0000-000037420000}"/>
    <cellStyle name="Normal 2 5 2 2 5 3 5 2 2" xfId="40735" xr:uid="{00000000-0005-0000-0000-000038420000}"/>
    <cellStyle name="Normal 2 5 2 2 5 3 5 3" xfId="25431" xr:uid="{00000000-0005-0000-0000-000039420000}"/>
    <cellStyle name="Normal 2 5 2 2 5 3 5 3 2" xfId="50984" xr:uid="{00000000-0005-0000-0000-00003A420000}"/>
    <cellStyle name="Normal 2 5 2 2 5 3 5 4" xfId="31914" xr:uid="{00000000-0005-0000-0000-00003B420000}"/>
    <cellStyle name="Normal 2 5 2 2 5 3 6" xfId="7799" xr:uid="{00000000-0005-0000-0000-00003C420000}"/>
    <cellStyle name="Normal 2 5 2 2 5 3 6 2" xfId="20486" xr:uid="{00000000-0005-0000-0000-00003D420000}"/>
    <cellStyle name="Normal 2 5 2 2 5 3 6 2 2" xfId="46039" xr:uid="{00000000-0005-0000-0000-00003E420000}"/>
    <cellStyle name="Normal 2 5 2 2 5 3 6 3" xfId="33356" xr:uid="{00000000-0005-0000-0000-00003F420000}"/>
    <cellStyle name="Normal 2 5 2 2 5 3 7" xfId="16945" xr:uid="{00000000-0005-0000-0000-000040420000}"/>
    <cellStyle name="Normal 2 5 2 2 5 3 7 2" xfId="42498" xr:uid="{00000000-0005-0000-0000-000041420000}"/>
    <cellStyle name="Normal 2 5 2 2 5 3 8" xfId="26969" xr:uid="{00000000-0005-0000-0000-000042420000}"/>
    <cellStyle name="Normal 2 5 2 2 5 4" xfId="2817" xr:uid="{00000000-0005-0000-0000-000043420000}"/>
    <cellStyle name="Normal 2 5 2 2 5 4 2" xfId="5195" xr:uid="{00000000-0005-0000-0000-000044420000}"/>
    <cellStyle name="Normal 2 5 2 2 5 4 2 2" xfId="14032" xr:uid="{00000000-0005-0000-0000-000045420000}"/>
    <cellStyle name="Normal 2 5 2 2 5 4 2 2 2" xfId="24283" xr:uid="{00000000-0005-0000-0000-000046420000}"/>
    <cellStyle name="Normal 2 5 2 2 5 4 2 2 2 2" xfId="49836" xr:uid="{00000000-0005-0000-0000-000047420000}"/>
    <cellStyle name="Normal 2 5 2 2 5 4 2 2 3" xfId="39587" xr:uid="{00000000-0005-0000-0000-000048420000}"/>
    <cellStyle name="Normal 2 5 2 2 5 4 2 3" xfId="10453" xr:uid="{00000000-0005-0000-0000-000049420000}"/>
    <cellStyle name="Normal 2 5 2 2 5 4 2 3 2" xfId="36010" xr:uid="{00000000-0005-0000-0000-00004A420000}"/>
    <cellStyle name="Normal 2 5 2 2 5 4 2 4" xfId="19276" xr:uid="{00000000-0005-0000-0000-00004B420000}"/>
    <cellStyle name="Normal 2 5 2 2 5 4 2 4 2" xfId="44829" xr:uid="{00000000-0005-0000-0000-00004C420000}"/>
    <cellStyle name="Normal 2 5 2 2 5 4 2 5" xfId="30766" xr:uid="{00000000-0005-0000-0000-00004D420000}"/>
    <cellStyle name="Normal 2 5 2 2 5 4 3" xfId="6650" xr:uid="{00000000-0005-0000-0000-00004E420000}"/>
    <cellStyle name="Normal 2 5 2 2 5 4 3 2" xfId="15477" xr:uid="{00000000-0005-0000-0000-00004F420000}"/>
    <cellStyle name="Normal 2 5 2 2 5 4 3 2 2" xfId="41032" xr:uid="{00000000-0005-0000-0000-000050420000}"/>
    <cellStyle name="Normal 2 5 2 2 5 4 3 3" xfId="25728" xr:uid="{00000000-0005-0000-0000-000051420000}"/>
    <cellStyle name="Normal 2 5 2 2 5 4 3 3 2" xfId="51281" xr:uid="{00000000-0005-0000-0000-000052420000}"/>
    <cellStyle name="Normal 2 5 2 2 5 4 3 4" xfId="32211" xr:uid="{00000000-0005-0000-0000-000053420000}"/>
    <cellStyle name="Normal 2 5 2 2 5 4 4" xfId="8096" xr:uid="{00000000-0005-0000-0000-000054420000}"/>
    <cellStyle name="Normal 2 5 2 2 5 4 4 2" xfId="22178" xr:uid="{00000000-0005-0000-0000-000055420000}"/>
    <cellStyle name="Normal 2 5 2 2 5 4 4 2 2" xfId="47731" xr:uid="{00000000-0005-0000-0000-000056420000}"/>
    <cellStyle name="Normal 2 5 2 2 5 4 4 3" xfId="33653" xr:uid="{00000000-0005-0000-0000-000057420000}"/>
    <cellStyle name="Normal 2 5 2 2 5 4 5" xfId="17171" xr:uid="{00000000-0005-0000-0000-000058420000}"/>
    <cellStyle name="Normal 2 5 2 2 5 4 5 2" xfId="42724" xr:uid="{00000000-0005-0000-0000-000059420000}"/>
    <cellStyle name="Normal 2 5 2 2 5 4 6" xfId="28661" xr:uid="{00000000-0005-0000-0000-00005A420000}"/>
    <cellStyle name="Normal 2 5 2 2 5 5" xfId="4149" xr:uid="{00000000-0005-0000-0000-00005B420000}"/>
    <cellStyle name="Normal 2 5 2 2 5 5 2" xfId="12987" xr:uid="{00000000-0005-0000-0000-00005C420000}"/>
    <cellStyle name="Normal 2 5 2 2 5 5 2 2" xfId="23238" xr:uid="{00000000-0005-0000-0000-00005D420000}"/>
    <cellStyle name="Normal 2 5 2 2 5 5 2 2 2" xfId="48791" xr:uid="{00000000-0005-0000-0000-00005E420000}"/>
    <cellStyle name="Normal 2 5 2 2 5 5 2 3" xfId="38542" xr:uid="{00000000-0005-0000-0000-00005F420000}"/>
    <cellStyle name="Normal 2 5 2 2 5 5 3" xfId="9408" xr:uid="{00000000-0005-0000-0000-000060420000}"/>
    <cellStyle name="Normal 2 5 2 2 5 5 3 2" xfId="34965" xr:uid="{00000000-0005-0000-0000-000061420000}"/>
    <cellStyle name="Normal 2 5 2 2 5 5 4" xfId="18231" xr:uid="{00000000-0005-0000-0000-000062420000}"/>
    <cellStyle name="Normal 2 5 2 2 5 5 4 2" xfId="43784" xr:uid="{00000000-0005-0000-0000-000063420000}"/>
    <cellStyle name="Normal 2 5 2 2 5 5 5" xfId="29721" xr:uid="{00000000-0005-0000-0000-000064420000}"/>
    <cellStyle name="Normal 2 5 2 2 5 6" xfId="1926" xr:uid="{00000000-0005-0000-0000-000065420000}"/>
    <cellStyle name="Normal 2 5 2 2 5 6 2" xfId="11291" xr:uid="{00000000-0005-0000-0000-000066420000}"/>
    <cellStyle name="Normal 2 5 2 2 5 6 2 2" xfId="36846" xr:uid="{00000000-0005-0000-0000-000067420000}"/>
    <cellStyle name="Normal 2 5 2 2 5 6 3" xfId="21295" xr:uid="{00000000-0005-0000-0000-000068420000}"/>
    <cellStyle name="Normal 2 5 2 2 5 6 3 2" xfId="46848" xr:uid="{00000000-0005-0000-0000-000069420000}"/>
    <cellStyle name="Normal 2 5 2 2 5 6 4" xfId="27778" xr:uid="{00000000-0005-0000-0000-00006A420000}"/>
    <cellStyle name="Normal 2 5 2 2 5 7" xfId="5607" xr:uid="{00000000-0005-0000-0000-00006B420000}"/>
    <cellStyle name="Normal 2 5 2 2 5 7 2" xfId="14434" xr:uid="{00000000-0005-0000-0000-00006C420000}"/>
    <cellStyle name="Normal 2 5 2 2 5 7 2 2" xfId="39989" xr:uid="{00000000-0005-0000-0000-00006D420000}"/>
    <cellStyle name="Normal 2 5 2 2 5 7 3" xfId="24685" xr:uid="{00000000-0005-0000-0000-00006E420000}"/>
    <cellStyle name="Normal 2 5 2 2 5 7 3 2" xfId="50238" xr:uid="{00000000-0005-0000-0000-00006F420000}"/>
    <cellStyle name="Normal 2 5 2 2 5 7 4" xfId="31168" xr:uid="{00000000-0005-0000-0000-000070420000}"/>
    <cellStyle name="Normal 2 5 2 2 5 8" xfId="7051" xr:uid="{00000000-0005-0000-0000-000071420000}"/>
    <cellStyle name="Normal 2 5 2 2 5 8 2" xfId="19777" xr:uid="{00000000-0005-0000-0000-000072420000}"/>
    <cellStyle name="Normal 2 5 2 2 5 8 2 2" xfId="45330" xr:uid="{00000000-0005-0000-0000-000073420000}"/>
    <cellStyle name="Normal 2 5 2 2 5 8 3" xfId="32608" xr:uid="{00000000-0005-0000-0000-000074420000}"/>
    <cellStyle name="Normal 2 5 2 2 5 9" xfId="16288" xr:uid="{00000000-0005-0000-0000-000075420000}"/>
    <cellStyle name="Normal 2 5 2 2 5 9 2" xfId="41841" xr:uid="{00000000-0005-0000-0000-000076420000}"/>
    <cellStyle name="Normal 2 5 2 2 5_Degree data" xfId="3815" xr:uid="{00000000-0005-0000-0000-000077420000}"/>
    <cellStyle name="Normal 2 5 2 2 6" xfId="728" xr:uid="{00000000-0005-0000-0000-000078420000}"/>
    <cellStyle name="Normal 2 5 2 2 6 2" xfId="3214" xr:uid="{00000000-0005-0000-0000-000079420000}"/>
    <cellStyle name="Normal 2 5 2 2 6 2 2" xfId="12356" xr:uid="{00000000-0005-0000-0000-00007A420000}"/>
    <cellStyle name="Normal 2 5 2 2 6 2 2 2" xfId="22575" xr:uid="{00000000-0005-0000-0000-00007B420000}"/>
    <cellStyle name="Normal 2 5 2 2 6 2 2 2 2" xfId="48128" xr:uid="{00000000-0005-0000-0000-00007C420000}"/>
    <cellStyle name="Normal 2 5 2 2 6 2 2 3" xfId="37911" xr:uid="{00000000-0005-0000-0000-00007D420000}"/>
    <cellStyle name="Normal 2 5 2 2 6 2 3" xfId="8778" xr:uid="{00000000-0005-0000-0000-00007E420000}"/>
    <cellStyle name="Normal 2 5 2 2 6 2 3 2" xfId="34335" xr:uid="{00000000-0005-0000-0000-00007F420000}"/>
    <cellStyle name="Normal 2 5 2 2 6 2 4" xfId="17568" xr:uid="{00000000-0005-0000-0000-000080420000}"/>
    <cellStyle name="Normal 2 5 2 2 6 2 4 2" xfId="43121" xr:uid="{00000000-0005-0000-0000-000081420000}"/>
    <cellStyle name="Normal 2 5 2 2 6 2 5" xfId="29058" xr:uid="{00000000-0005-0000-0000-000082420000}"/>
    <cellStyle name="Normal 2 5 2 2 6 3" xfId="4543" xr:uid="{00000000-0005-0000-0000-000083420000}"/>
    <cellStyle name="Normal 2 5 2 2 6 3 2" xfId="13381" xr:uid="{00000000-0005-0000-0000-000084420000}"/>
    <cellStyle name="Normal 2 5 2 2 6 3 2 2" xfId="23632" xr:uid="{00000000-0005-0000-0000-000085420000}"/>
    <cellStyle name="Normal 2 5 2 2 6 3 2 2 2" xfId="49185" xr:uid="{00000000-0005-0000-0000-000086420000}"/>
    <cellStyle name="Normal 2 5 2 2 6 3 2 3" xfId="38936" xr:uid="{00000000-0005-0000-0000-000087420000}"/>
    <cellStyle name="Normal 2 5 2 2 6 3 3" xfId="9802" xr:uid="{00000000-0005-0000-0000-000088420000}"/>
    <cellStyle name="Normal 2 5 2 2 6 3 3 2" xfId="35359" xr:uid="{00000000-0005-0000-0000-000089420000}"/>
    <cellStyle name="Normal 2 5 2 2 6 3 4" xfId="18625" xr:uid="{00000000-0005-0000-0000-00008A420000}"/>
    <cellStyle name="Normal 2 5 2 2 6 3 4 2" xfId="44178" xr:uid="{00000000-0005-0000-0000-00008B420000}"/>
    <cellStyle name="Normal 2 5 2 2 6 3 5" xfId="30115" xr:uid="{00000000-0005-0000-0000-00008C420000}"/>
    <cellStyle name="Normal 2 5 2 2 6 4" xfId="2323" xr:uid="{00000000-0005-0000-0000-00008D420000}"/>
    <cellStyle name="Normal 2 5 2 2 6 4 2" xfId="11688" xr:uid="{00000000-0005-0000-0000-00008E420000}"/>
    <cellStyle name="Normal 2 5 2 2 6 4 2 2" xfId="37243" xr:uid="{00000000-0005-0000-0000-00008F420000}"/>
    <cellStyle name="Normal 2 5 2 2 6 4 3" xfId="21692" xr:uid="{00000000-0005-0000-0000-000090420000}"/>
    <cellStyle name="Normal 2 5 2 2 6 4 3 2" xfId="47245" xr:uid="{00000000-0005-0000-0000-000091420000}"/>
    <cellStyle name="Normal 2 5 2 2 6 4 4" xfId="28175" xr:uid="{00000000-0005-0000-0000-000092420000}"/>
    <cellStyle name="Normal 2 5 2 2 6 5" xfId="5999" xr:uid="{00000000-0005-0000-0000-000093420000}"/>
    <cellStyle name="Normal 2 5 2 2 6 5 2" xfId="14826" xr:uid="{00000000-0005-0000-0000-000094420000}"/>
    <cellStyle name="Normal 2 5 2 2 6 5 2 2" xfId="40381" xr:uid="{00000000-0005-0000-0000-000095420000}"/>
    <cellStyle name="Normal 2 5 2 2 6 5 3" xfId="25077" xr:uid="{00000000-0005-0000-0000-000096420000}"/>
    <cellStyle name="Normal 2 5 2 2 6 5 3 2" xfId="50630" xr:uid="{00000000-0005-0000-0000-000097420000}"/>
    <cellStyle name="Normal 2 5 2 2 6 5 4" xfId="31560" xr:uid="{00000000-0005-0000-0000-000098420000}"/>
    <cellStyle name="Normal 2 5 2 2 6 6" xfId="7443" xr:uid="{00000000-0005-0000-0000-000099420000}"/>
    <cellStyle name="Normal 2 5 2 2 6 6 2" xfId="20174" xr:uid="{00000000-0005-0000-0000-00009A420000}"/>
    <cellStyle name="Normal 2 5 2 2 6 6 2 2" xfId="45727" xr:uid="{00000000-0005-0000-0000-00009B420000}"/>
    <cellStyle name="Normal 2 5 2 2 6 6 3" xfId="33000" xr:uid="{00000000-0005-0000-0000-00009C420000}"/>
    <cellStyle name="Normal 2 5 2 2 6 7" xfId="16685" xr:uid="{00000000-0005-0000-0000-00009D420000}"/>
    <cellStyle name="Normal 2 5 2 2 6 7 2" xfId="42238" xr:uid="{00000000-0005-0000-0000-00009E420000}"/>
    <cellStyle name="Normal 2 5 2 2 6 8" xfId="26657" xr:uid="{00000000-0005-0000-0000-00009F420000}"/>
    <cellStyle name="Normal 2 5 2 2 7" xfId="1058" xr:uid="{00000000-0005-0000-0000-0000A0420000}"/>
    <cellStyle name="Normal 2 5 2 2 7 2" xfId="3487" xr:uid="{00000000-0005-0000-0000-0000A1420000}"/>
    <cellStyle name="Normal 2 5 2 2 7 2 2" xfId="12623" xr:uid="{00000000-0005-0000-0000-0000A2420000}"/>
    <cellStyle name="Normal 2 5 2 2 7 2 2 2" xfId="22842" xr:uid="{00000000-0005-0000-0000-0000A3420000}"/>
    <cellStyle name="Normal 2 5 2 2 7 2 2 2 2" xfId="48395" xr:uid="{00000000-0005-0000-0000-0000A4420000}"/>
    <cellStyle name="Normal 2 5 2 2 7 2 2 3" xfId="38178" xr:uid="{00000000-0005-0000-0000-0000A5420000}"/>
    <cellStyle name="Normal 2 5 2 2 7 2 3" xfId="9045" xr:uid="{00000000-0005-0000-0000-0000A6420000}"/>
    <cellStyle name="Normal 2 5 2 2 7 2 3 2" xfId="34602" xr:uid="{00000000-0005-0000-0000-0000A7420000}"/>
    <cellStyle name="Normal 2 5 2 2 7 2 4" xfId="17835" xr:uid="{00000000-0005-0000-0000-0000A8420000}"/>
    <cellStyle name="Normal 2 5 2 2 7 2 4 2" xfId="43388" xr:uid="{00000000-0005-0000-0000-0000A9420000}"/>
    <cellStyle name="Normal 2 5 2 2 7 2 5" xfId="29325" xr:uid="{00000000-0005-0000-0000-0000AA420000}"/>
    <cellStyle name="Normal 2 5 2 2 7 3" xfId="4892" xr:uid="{00000000-0005-0000-0000-0000AB420000}"/>
    <cellStyle name="Normal 2 5 2 2 7 3 2" xfId="13729" xr:uid="{00000000-0005-0000-0000-0000AC420000}"/>
    <cellStyle name="Normal 2 5 2 2 7 3 2 2" xfId="23980" xr:uid="{00000000-0005-0000-0000-0000AD420000}"/>
    <cellStyle name="Normal 2 5 2 2 7 3 2 2 2" xfId="49533" xr:uid="{00000000-0005-0000-0000-0000AE420000}"/>
    <cellStyle name="Normal 2 5 2 2 7 3 2 3" xfId="39284" xr:uid="{00000000-0005-0000-0000-0000AF420000}"/>
    <cellStyle name="Normal 2 5 2 2 7 3 3" xfId="10150" xr:uid="{00000000-0005-0000-0000-0000B0420000}"/>
    <cellStyle name="Normal 2 5 2 2 7 3 3 2" xfId="35707" xr:uid="{00000000-0005-0000-0000-0000B1420000}"/>
    <cellStyle name="Normal 2 5 2 2 7 3 4" xfId="18973" xr:uid="{00000000-0005-0000-0000-0000B2420000}"/>
    <cellStyle name="Normal 2 5 2 2 7 3 4 2" xfId="44526" xr:uid="{00000000-0005-0000-0000-0000B3420000}"/>
    <cellStyle name="Normal 2 5 2 2 7 3 5" xfId="30463" xr:uid="{00000000-0005-0000-0000-0000B4420000}"/>
    <cellStyle name="Normal 2 5 2 2 7 4" xfId="1760" xr:uid="{00000000-0005-0000-0000-0000B5420000}"/>
    <cellStyle name="Normal 2 5 2 2 7 4 2" xfId="11131" xr:uid="{00000000-0005-0000-0000-0000B6420000}"/>
    <cellStyle name="Normal 2 5 2 2 7 4 2 2" xfId="36686" xr:uid="{00000000-0005-0000-0000-0000B7420000}"/>
    <cellStyle name="Normal 2 5 2 2 7 4 3" xfId="21135" xr:uid="{00000000-0005-0000-0000-0000B8420000}"/>
    <cellStyle name="Normal 2 5 2 2 7 4 3 2" xfId="46688" xr:uid="{00000000-0005-0000-0000-0000B9420000}"/>
    <cellStyle name="Normal 2 5 2 2 7 4 4" xfId="27618" xr:uid="{00000000-0005-0000-0000-0000BA420000}"/>
    <cellStyle name="Normal 2 5 2 2 7 5" xfId="6347" xr:uid="{00000000-0005-0000-0000-0000BB420000}"/>
    <cellStyle name="Normal 2 5 2 2 7 5 2" xfId="15174" xr:uid="{00000000-0005-0000-0000-0000BC420000}"/>
    <cellStyle name="Normal 2 5 2 2 7 5 2 2" xfId="40729" xr:uid="{00000000-0005-0000-0000-0000BD420000}"/>
    <cellStyle name="Normal 2 5 2 2 7 5 3" xfId="25425" xr:uid="{00000000-0005-0000-0000-0000BE420000}"/>
    <cellStyle name="Normal 2 5 2 2 7 5 3 2" xfId="50978" xr:uid="{00000000-0005-0000-0000-0000BF420000}"/>
    <cellStyle name="Normal 2 5 2 2 7 5 4" xfId="31908" xr:uid="{00000000-0005-0000-0000-0000C0420000}"/>
    <cellStyle name="Normal 2 5 2 2 7 6" xfId="7793" xr:uid="{00000000-0005-0000-0000-0000C1420000}"/>
    <cellStyle name="Normal 2 5 2 2 7 6 2" xfId="20441" xr:uid="{00000000-0005-0000-0000-0000C2420000}"/>
    <cellStyle name="Normal 2 5 2 2 7 6 2 2" xfId="45994" xr:uid="{00000000-0005-0000-0000-0000C3420000}"/>
    <cellStyle name="Normal 2 5 2 2 7 6 3" xfId="33350" xr:uid="{00000000-0005-0000-0000-0000C4420000}"/>
    <cellStyle name="Normal 2 5 2 2 7 7" xfId="16128" xr:uid="{00000000-0005-0000-0000-0000C5420000}"/>
    <cellStyle name="Normal 2 5 2 2 7 7 2" xfId="41681" xr:uid="{00000000-0005-0000-0000-0000C6420000}"/>
    <cellStyle name="Normal 2 5 2 2 7 8" xfId="26924" xr:uid="{00000000-0005-0000-0000-0000C7420000}"/>
    <cellStyle name="Normal 2 5 2 2 8" xfId="2657" xr:uid="{00000000-0005-0000-0000-0000C8420000}"/>
    <cellStyle name="Normal 2 5 2 2 8 2" xfId="5150" xr:uid="{00000000-0005-0000-0000-0000C9420000}"/>
    <cellStyle name="Normal 2 5 2 2 8 2 2" xfId="13987" xr:uid="{00000000-0005-0000-0000-0000CA420000}"/>
    <cellStyle name="Normal 2 5 2 2 8 2 2 2" xfId="24238" xr:uid="{00000000-0005-0000-0000-0000CB420000}"/>
    <cellStyle name="Normal 2 5 2 2 8 2 2 2 2" xfId="49791" xr:uid="{00000000-0005-0000-0000-0000CC420000}"/>
    <cellStyle name="Normal 2 5 2 2 8 2 2 3" xfId="39542" xr:uid="{00000000-0005-0000-0000-0000CD420000}"/>
    <cellStyle name="Normal 2 5 2 2 8 2 3" xfId="10408" xr:uid="{00000000-0005-0000-0000-0000CE420000}"/>
    <cellStyle name="Normal 2 5 2 2 8 2 3 2" xfId="35965" xr:uid="{00000000-0005-0000-0000-0000CF420000}"/>
    <cellStyle name="Normal 2 5 2 2 8 2 4" xfId="19231" xr:uid="{00000000-0005-0000-0000-0000D0420000}"/>
    <cellStyle name="Normal 2 5 2 2 8 2 4 2" xfId="44784" xr:uid="{00000000-0005-0000-0000-0000D1420000}"/>
    <cellStyle name="Normal 2 5 2 2 8 2 5" xfId="30721" xr:uid="{00000000-0005-0000-0000-0000D2420000}"/>
    <cellStyle name="Normal 2 5 2 2 8 3" xfId="6605" xr:uid="{00000000-0005-0000-0000-0000D3420000}"/>
    <cellStyle name="Normal 2 5 2 2 8 3 2" xfId="15432" xr:uid="{00000000-0005-0000-0000-0000D4420000}"/>
    <cellStyle name="Normal 2 5 2 2 8 3 2 2" xfId="40987" xr:uid="{00000000-0005-0000-0000-0000D5420000}"/>
    <cellStyle name="Normal 2 5 2 2 8 3 3" xfId="25683" xr:uid="{00000000-0005-0000-0000-0000D6420000}"/>
    <cellStyle name="Normal 2 5 2 2 8 3 3 2" xfId="51236" xr:uid="{00000000-0005-0000-0000-0000D7420000}"/>
    <cellStyle name="Normal 2 5 2 2 8 3 4" xfId="32166" xr:uid="{00000000-0005-0000-0000-0000D8420000}"/>
    <cellStyle name="Normal 2 5 2 2 8 4" xfId="8051" xr:uid="{00000000-0005-0000-0000-0000D9420000}"/>
    <cellStyle name="Normal 2 5 2 2 8 4 2" xfId="22018" xr:uid="{00000000-0005-0000-0000-0000DA420000}"/>
    <cellStyle name="Normal 2 5 2 2 8 4 2 2" xfId="47571" xr:uid="{00000000-0005-0000-0000-0000DB420000}"/>
    <cellStyle name="Normal 2 5 2 2 8 4 3" xfId="33608" xr:uid="{00000000-0005-0000-0000-0000DC420000}"/>
    <cellStyle name="Normal 2 5 2 2 8 5" xfId="17011" xr:uid="{00000000-0005-0000-0000-0000DD420000}"/>
    <cellStyle name="Normal 2 5 2 2 8 5 2" xfId="42564" xr:uid="{00000000-0005-0000-0000-0000DE420000}"/>
    <cellStyle name="Normal 2 5 2 2 8 6" xfId="28501" xr:uid="{00000000-0005-0000-0000-0000DF420000}"/>
    <cellStyle name="Normal 2 5 2 2 9" xfId="4104" xr:uid="{00000000-0005-0000-0000-0000E0420000}"/>
    <cellStyle name="Normal 2 5 2 2 9 2" xfId="5562" xr:uid="{00000000-0005-0000-0000-0000E1420000}"/>
    <cellStyle name="Normal 2 5 2 2 9 2 2" xfId="14389" xr:uid="{00000000-0005-0000-0000-0000E2420000}"/>
    <cellStyle name="Normal 2 5 2 2 9 2 2 2" xfId="39944" xr:uid="{00000000-0005-0000-0000-0000E3420000}"/>
    <cellStyle name="Normal 2 5 2 2 9 2 3" xfId="24640" xr:uid="{00000000-0005-0000-0000-0000E4420000}"/>
    <cellStyle name="Normal 2 5 2 2 9 2 3 2" xfId="50193" xr:uid="{00000000-0005-0000-0000-0000E5420000}"/>
    <cellStyle name="Normal 2 5 2 2 9 2 4" xfId="31123" xr:uid="{00000000-0005-0000-0000-0000E6420000}"/>
    <cellStyle name="Normal 2 5 2 2 9 3" xfId="7006" xr:uid="{00000000-0005-0000-0000-0000E7420000}"/>
    <cellStyle name="Normal 2 5 2 2 9 3 2" xfId="23193" xr:uid="{00000000-0005-0000-0000-0000E8420000}"/>
    <cellStyle name="Normal 2 5 2 2 9 3 2 2" xfId="48746" xr:uid="{00000000-0005-0000-0000-0000E9420000}"/>
    <cellStyle name="Normal 2 5 2 2 9 3 3" xfId="32563" xr:uid="{00000000-0005-0000-0000-0000EA420000}"/>
    <cellStyle name="Normal 2 5 2 2 9 4" xfId="18186" xr:uid="{00000000-0005-0000-0000-0000EB420000}"/>
    <cellStyle name="Normal 2 5 2 2 9 4 2" xfId="43739" xr:uid="{00000000-0005-0000-0000-0000EC420000}"/>
    <cellStyle name="Normal 2 5 2 2 9 5" xfId="29676" xr:uid="{00000000-0005-0000-0000-0000ED420000}"/>
    <cellStyle name="Normal 2 5 2 2_Degree data" xfId="3920" xr:uid="{00000000-0005-0000-0000-0000EE420000}"/>
    <cellStyle name="Normal 2 5 2 3" xfId="141" xr:uid="{00000000-0005-0000-0000-0000EF420000}"/>
    <cellStyle name="Normal 2 5 2 3 10" xfId="1409" xr:uid="{00000000-0005-0000-0000-0000F0420000}"/>
    <cellStyle name="Normal 2 5 2 3 10 2" xfId="10786" xr:uid="{00000000-0005-0000-0000-0000F1420000}"/>
    <cellStyle name="Normal 2 5 2 3 10 2 2" xfId="36341" xr:uid="{00000000-0005-0000-0000-0000F2420000}"/>
    <cellStyle name="Normal 2 5 2 3 10 3" xfId="20790" xr:uid="{00000000-0005-0000-0000-0000F3420000}"/>
    <cellStyle name="Normal 2 5 2 3 10 3 2" xfId="46343" xr:uid="{00000000-0005-0000-0000-0000F4420000}"/>
    <cellStyle name="Normal 2 5 2 3 10 4" xfId="27273" xr:uid="{00000000-0005-0000-0000-0000F5420000}"/>
    <cellStyle name="Normal 2 5 2 3 11" xfId="5520" xr:uid="{00000000-0005-0000-0000-0000F6420000}"/>
    <cellStyle name="Normal 2 5 2 3 11 2" xfId="14347" xr:uid="{00000000-0005-0000-0000-0000F7420000}"/>
    <cellStyle name="Normal 2 5 2 3 11 2 2" xfId="39902" xr:uid="{00000000-0005-0000-0000-0000F8420000}"/>
    <cellStyle name="Normal 2 5 2 3 11 3" xfId="24598" xr:uid="{00000000-0005-0000-0000-0000F9420000}"/>
    <cellStyle name="Normal 2 5 2 3 11 3 2" xfId="50151" xr:uid="{00000000-0005-0000-0000-0000FA420000}"/>
    <cellStyle name="Normal 2 5 2 3 11 4" xfId="31081" xr:uid="{00000000-0005-0000-0000-0000FB420000}"/>
    <cellStyle name="Normal 2 5 2 3 12" xfId="6960" xr:uid="{00000000-0005-0000-0000-0000FC420000}"/>
    <cellStyle name="Normal 2 5 2 3 12 2" xfId="19605" xr:uid="{00000000-0005-0000-0000-0000FD420000}"/>
    <cellStyle name="Normal 2 5 2 3 12 2 2" xfId="45158" xr:uid="{00000000-0005-0000-0000-0000FE420000}"/>
    <cellStyle name="Normal 2 5 2 3 12 3" xfId="32518" xr:uid="{00000000-0005-0000-0000-0000FF420000}"/>
    <cellStyle name="Normal 2 5 2 3 13" xfId="15783" xr:uid="{00000000-0005-0000-0000-000000430000}"/>
    <cellStyle name="Normal 2 5 2 3 13 2" xfId="41336" xr:uid="{00000000-0005-0000-0000-000001430000}"/>
    <cellStyle name="Normal 2 5 2 3 14" xfId="26088" xr:uid="{00000000-0005-0000-0000-000002430000}"/>
    <cellStyle name="Normal 2 5 2 3 2" xfId="191" xr:uid="{00000000-0005-0000-0000-000003430000}"/>
    <cellStyle name="Normal 2 5 2 3 2 10" xfId="7139" xr:uid="{00000000-0005-0000-0000-000004430000}"/>
    <cellStyle name="Normal 2 5 2 3 2 10 2" xfId="19648" xr:uid="{00000000-0005-0000-0000-000005430000}"/>
    <cellStyle name="Normal 2 5 2 3 2 10 2 2" xfId="45201" xr:uid="{00000000-0005-0000-0000-000006430000}"/>
    <cellStyle name="Normal 2 5 2 3 2 10 3" xfId="32696" xr:uid="{00000000-0005-0000-0000-000007430000}"/>
    <cellStyle name="Normal 2 5 2 3 2 11" xfId="15885" xr:uid="{00000000-0005-0000-0000-000008430000}"/>
    <cellStyle name="Normal 2 5 2 3 2 11 2" xfId="41438" xr:uid="{00000000-0005-0000-0000-000009430000}"/>
    <cellStyle name="Normal 2 5 2 3 2 12" xfId="26131" xr:uid="{00000000-0005-0000-0000-00000A430000}"/>
    <cellStyle name="Normal 2 5 2 3 2 2" xfId="519" xr:uid="{00000000-0005-0000-0000-00000B430000}"/>
    <cellStyle name="Normal 2 5 2 3 2 2 10" xfId="26448" xr:uid="{00000000-0005-0000-0000-00000C430000}"/>
    <cellStyle name="Normal 2 5 2 3 2 2 2" xfId="737" xr:uid="{00000000-0005-0000-0000-00000D430000}"/>
    <cellStyle name="Normal 2 5 2 3 2 2 2 2" xfId="3223" xr:uid="{00000000-0005-0000-0000-00000E430000}"/>
    <cellStyle name="Normal 2 5 2 3 2 2 2 2 2" xfId="12365" xr:uid="{00000000-0005-0000-0000-00000F430000}"/>
    <cellStyle name="Normal 2 5 2 3 2 2 2 2 2 2" xfId="22584" xr:uid="{00000000-0005-0000-0000-000010430000}"/>
    <cellStyle name="Normal 2 5 2 3 2 2 2 2 2 2 2" xfId="48137" xr:uid="{00000000-0005-0000-0000-000011430000}"/>
    <cellStyle name="Normal 2 5 2 3 2 2 2 2 2 3" xfId="37920" xr:uid="{00000000-0005-0000-0000-000012430000}"/>
    <cellStyle name="Normal 2 5 2 3 2 2 2 2 3" xfId="8787" xr:uid="{00000000-0005-0000-0000-000013430000}"/>
    <cellStyle name="Normal 2 5 2 3 2 2 2 2 3 2" xfId="34344" xr:uid="{00000000-0005-0000-0000-000014430000}"/>
    <cellStyle name="Normal 2 5 2 3 2 2 2 2 4" xfId="17577" xr:uid="{00000000-0005-0000-0000-000015430000}"/>
    <cellStyle name="Normal 2 5 2 3 2 2 2 2 4 2" xfId="43130" xr:uid="{00000000-0005-0000-0000-000016430000}"/>
    <cellStyle name="Normal 2 5 2 3 2 2 2 2 5" xfId="29067" xr:uid="{00000000-0005-0000-0000-000017430000}"/>
    <cellStyle name="Normal 2 5 2 3 2 2 2 3" xfId="4552" xr:uid="{00000000-0005-0000-0000-000018430000}"/>
    <cellStyle name="Normal 2 5 2 3 2 2 2 3 2" xfId="13390" xr:uid="{00000000-0005-0000-0000-000019430000}"/>
    <cellStyle name="Normal 2 5 2 3 2 2 2 3 2 2" xfId="23641" xr:uid="{00000000-0005-0000-0000-00001A430000}"/>
    <cellStyle name="Normal 2 5 2 3 2 2 2 3 2 2 2" xfId="49194" xr:uid="{00000000-0005-0000-0000-00001B430000}"/>
    <cellStyle name="Normal 2 5 2 3 2 2 2 3 2 3" xfId="38945" xr:uid="{00000000-0005-0000-0000-00001C430000}"/>
    <cellStyle name="Normal 2 5 2 3 2 2 2 3 3" xfId="9811" xr:uid="{00000000-0005-0000-0000-00001D430000}"/>
    <cellStyle name="Normal 2 5 2 3 2 2 2 3 3 2" xfId="35368" xr:uid="{00000000-0005-0000-0000-00001E430000}"/>
    <cellStyle name="Normal 2 5 2 3 2 2 2 3 4" xfId="18634" xr:uid="{00000000-0005-0000-0000-00001F430000}"/>
    <cellStyle name="Normal 2 5 2 3 2 2 2 3 4 2" xfId="44187" xr:uid="{00000000-0005-0000-0000-000020430000}"/>
    <cellStyle name="Normal 2 5 2 3 2 2 2 3 5" xfId="30124" xr:uid="{00000000-0005-0000-0000-000021430000}"/>
    <cellStyle name="Normal 2 5 2 3 2 2 2 4" xfId="2332" xr:uid="{00000000-0005-0000-0000-000022430000}"/>
    <cellStyle name="Normal 2 5 2 3 2 2 2 4 2" xfId="11697" xr:uid="{00000000-0005-0000-0000-000023430000}"/>
    <cellStyle name="Normal 2 5 2 3 2 2 2 4 2 2" xfId="37252" xr:uid="{00000000-0005-0000-0000-000024430000}"/>
    <cellStyle name="Normal 2 5 2 3 2 2 2 4 3" xfId="21701" xr:uid="{00000000-0005-0000-0000-000025430000}"/>
    <cellStyle name="Normal 2 5 2 3 2 2 2 4 3 2" xfId="47254" xr:uid="{00000000-0005-0000-0000-000026430000}"/>
    <cellStyle name="Normal 2 5 2 3 2 2 2 4 4" xfId="28184" xr:uid="{00000000-0005-0000-0000-000027430000}"/>
    <cellStyle name="Normal 2 5 2 3 2 2 2 5" xfId="6008" xr:uid="{00000000-0005-0000-0000-000028430000}"/>
    <cellStyle name="Normal 2 5 2 3 2 2 2 5 2" xfId="14835" xr:uid="{00000000-0005-0000-0000-000029430000}"/>
    <cellStyle name="Normal 2 5 2 3 2 2 2 5 2 2" xfId="40390" xr:uid="{00000000-0005-0000-0000-00002A430000}"/>
    <cellStyle name="Normal 2 5 2 3 2 2 2 5 3" xfId="25086" xr:uid="{00000000-0005-0000-0000-00002B430000}"/>
    <cellStyle name="Normal 2 5 2 3 2 2 2 5 3 2" xfId="50639" xr:uid="{00000000-0005-0000-0000-00002C430000}"/>
    <cellStyle name="Normal 2 5 2 3 2 2 2 5 4" xfId="31569" xr:uid="{00000000-0005-0000-0000-00002D430000}"/>
    <cellStyle name="Normal 2 5 2 3 2 2 2 6" xfId="7452" xr:uid="{00000000-0005-0000-0000-00002E430000}"/>
    <cellStyle name="Normal 2 5 2 3 2 2 2 6 2" xfId="20183" xr:uid="{00000000-0005-0000-0000-00002F430000}"/>
    <cellStyle name="Normal 2 5 2 3 2 2 2 6 2 2" xfId="45736" xr:uid="{00000000-0005-0000-0000-000030430000}"/>
    <cellStyle name="Normal 2 5 2 3 2 2 2 6 3" xfId="33009" xr:uid="{00000000-0005-0000-0000-000031430000}"/>
    <cellStyle name="Normal 2 5 2 3 2 2 2 7" xfId="16694" xr:uid="{00000000-0005-0000-0000-000032430000}"/>
    <cellStyle name="Normal 2 5 2 3 2 2 2 7 2" xfId="42247" xr:uid="{00000000-0005-0000-0000-000033430000}"/>
    <cellStyle name="Normal 2 5 2 3 2 2 2 8" xfId="26666" xr:uid="{00000000-0005-0000-0000-000034430000}"/>
    <cellStyle name="Normal 2 5 2 3 2 2 3" xfId="1291" xr:uid="{00000000-0005-0000-0000-000035430000}"/>
    <cellStyle name="Normal 2 5 2 3 2 2 3 2" xfId="3720" xr:uid="{00000000-0005-0000-0000-000036430000}"/>
    <cellStyle name="Normal 2 5 2 3 2 2 3 2 2" xfId="12856" xr:uid="{00000000-0005-0000-0000-000037430000}"/>
    <cellStyle name="Normal 2 5 2 3 2 2 3 2 2 2" xfId="23075" xr:uid="{00000000-0005-0000-0000-000038430000}"/>
    <cellStyle name="Normal 2 5 2 3 2 2 3 2 2 2 2" xfId="48628" xr:uid="{00000000-0005-0000-0000-000039430000}"/>
    <cellStyle name="Normal 2 5 2 3 2 2 3 2 2 3" xfId="38411" xr:uid="{00000000-0005-0000-0000-00003A430000}"/>
    <cellStyle name="Normal 2 5 2 3 2 2 3 2 3" xfId="9277" xr:uid="{00000000-0005-0000-0000-00003B430000}"/>
    <cellStyle name="Normal 2 5 2 3 2 2 3 2 3 2" xfId="34834" xr:uid="{00000000-0005-0000-0000-00003C430000}"/>
    <cellStyle name="Normal 2 5 2 3 2 2 3 2 4" xfId="18068" xr:uid="{00000000-0005-0000-0000-00003D430000}"/>
    <cellStyle name="Normal 2 5 2 3 2 2 3 2 4 2" xfId="43621" xr:uid="{00000000-0005-0000-0000-00003E430000}"/>
    <cellStyle name="Normal 2 5 2 3 2 2 3 2 5" xfId="29558" xr:uid="{00000000-0005-0000-0000-00003F430000}"/>
    <cellStyle name="Normal 2 5 2 3 2 2 3 3" xfId="4901" xr:uid="{00000000-0005-0000-0000-000040430000}"/>
    <cellStyle name="Normal 2 5 2 3 2 2 3 3 2" xfId="13738" xr:uid="{00000000-0005-0000-0000-000041430000}"/>
    <cellStyle name="Normal 2 5 2 3 2 2 3 3 2 2" xfId="23989" xr:uid="{00000000-0005-0000-0000-000042430000}"/>
    <cellStyle name="Normal 2 5 2 3 2 2 3 3 2 2 2" xfId="49542" xr:uid="{00000000-0005-0000-0000-000043430000}"/>
    <cellStyle name="Normal 2 5 2 3 2 2 3 3 2 3" xfId="39293" xr:uid="{00000000-0005-0000-0000-000044430000}"/>
    <cellStyle name="Normal 2 5 2 3 2 2 3 3 3" xfId="10159" xr:uid="{00000000-0005-0000-0000-000045430000}"/>
    <cellStyle name="Normal 2 5 2 3 2 2 3 3 3 2" xfId="35716" xr:uid="{00000000-0005-0000-0000-000046430000}"/>
    <cellStyle name="Normal 2 5 2 3 2 2 3 3 4" xfId="18982" xr:uid="{00000000-0005-0000-0000-000047430000}"/>
    <cellStyle name="Normal 2 5 2 3 2 2 3 3 4 2" xfId="44535" xr:uid="{00000000-0005-0000-0000-000048430000}"/>
    <cellStyle name="Normal 2 5 2 3 2 2 3 3 5" xfId="30472" xr:uid="{00000000-0005-0000-0000-000049430000}"/>
    <cellStyle name="Normal 2 5 2 3 2 2 3 4" xfId="2114" xr:uid="{00000000-0005-0000-0000-00004A430000}"/>
    <cellStyle name="Normal 2 5 2 3 2 2 3 4 2" xfId="11479" xr:uid="{00000000-0005-0000-0000-00004B430000}"/>
    <cellStyle name="Normal 2 5 2 3 2 2 3 4 2 2" xfId="37034" xr:uid="{00000000-0005-0000-0000-00004C430000}"/>
    <cellStyle name="Normal 2 5 2 3 2 2 3 4 3" xfId="21483" xr:uid="{00000000-0005-0000-0000-00004D430000}"/>
    <cellStyle name="Normal 2 5 2 3 2 2 3 4 3 2" xfId="47036" xr:uid="{00000000-0005-0000-0000-00004E430000}"/>
    <cellStyle name="Normal 2 5 2 3 2 2 3 4 4" xfId="27966" xr:uid="{00000000-0005-0000-0000-00004F430000}"/>
    <cellStyle name="Normal 2 5 2 3 2 2 3 5" xfId="6356" xr:uid="{00000000-0005-0000-0000-000050430000}"/>
    <cellStyle name="Normal 2 5 2 3 2 2 3 5 2" xfId="15183" xr:uid="{00000000-0005-0000-0000-000051430000}"/>
    <cellStyle name="Normal 2 5 2 3 2 2 3 5 2 2" xfId="40738" xr:uid="{00000000-0005-0000-0000-000052430000}"/>
    <cellStyle name="Normal 2 5 2 3 2 2 3 5 3" xfId="25434" xr:uid="{00000000-0005-0000-0000-000053430000}"/>
    <cellStyle name="Normal 2 5 2 3 2 2 3 5 3 2" xfId="50987" xr:uid="{00000000-0005-0000-0000-000054430000}"/>
    <cellStyle name="Normal 2 5 2 3 2 2 3 5 4" xfId="31917" xr:uid="{00000000-0005-0000-0000-000055430000}"/>
    <cellStyle name="Normal 2 5 2 3 2 2 3 6" xfId="7802" xr:uid="{00000000-0005-0000-0000-000056430000}"/>
    <cellStyle name="Normal 2 5 2 3 2 2 3 6 2" xfId="20674" xr:uid="{00000000-0005-0000-0000-000057430000}"/>
    <cellStyle name="Normal 2 5 2 3 2 2 3 6 2 2" xfId="46227" xr:uid="{00000000-0005-0000-0000-000058430000}"/>
    <cellStyle name="Normal 2 5 2 3 2 2 3 6 3" xfId="33359" xr:uid="{00000000-0005-0000-0000-000059430000}"/>
    <cellStyle name="Normal 2 5 2 3 2 2 3 7" xfId="16476" xr:uid="{00000000-0005-0000-0000-00005A430000}"/>
    <cellStyle name="Normal 2 5 2 3 2 2 3 7 2" xfId="42029" xr:uid="{00000000-0005-0000-0000-00005B430000}"/>
    <cellStyle name="Normal 2 5 2 3 2 2 3 8" xfId="27157" xr:uid="{00000000-0005-0000-0000-00005C430000}"/>
    <cellStyle name="Normal 2 5 2 3 2 2 4" xfId="3005" xr:uid="{00000000-0005-0000-0000-00005D430000}"/>
    <cellStyle name="Normal 2 5 2 3 2 2 4 2" xfId="5383" xr:uid="{00000000-0005-0000-0000-00005E430000}"/>
    <cellStyle name="Normal 2 5 2 3 2 2 4 2 2" xfId="14220" xr:uid="{00000000-0005-0000-0000-00005F430000}"/>
    <cellStyle name="Normal 2 5 2 3 2 2 4 2 2 2" xfId="24471" xr:uid="{00000000-0005-0000-0000-000060430000}"/>
    <cellStyle name="Normal 2 5 2 3 2 2 4 2 2 2 2" xfId="50024" xr:uid="{00000000-0005-0000-0000-000061430000}"/>
    <cellStyle name="Normal 2 5 2 3 2 2 4 2 2 3" xfId="39775" xr:uid="{00000000-0005-0000-0000-000062430000}"/>
    <cellStyle name="Normal 2 5 2 3 2 2 4 2 3" xfId="10641" xr:uid="{00000000-0005-0000-0000-000063430000}"/>
    <cellStyle name="Normal 2 5 2 3 2 2 4 2 3 2" xfId="36198" xr:uid="{00000000-0005-0000-0000-000064430000}"/>
    <cellStyle name="Normal 2 5 2 3 2 2 4 2 4" xfId="19464" xr:uid="{00000000-0005-0000-0000-000065430000}"/>
    <cellStyle name="Normal 2 5 2 3 2 2 4 2 4 2" xfId="45017" xr:uid="{00000000-0005-0000-0000-000066430000}"/>
    <cellStyle name="Normal 2 5 2 3 2 2 4 2 5" xfId="30954" xr:uid="{00000000-0005-0000-0000-000067430000}"/>
    <cellStyle name="Normal 2 5 2 3 2 2 4 3" xfId="6838" xr:uid="{00000000-0005-0000-0000-000068430000}"/>
    <cellStyle name="Normal 2 5 2 3 2 2 4 3 2" xfId="15665" xr:uid="{00000000-0005-0000-0000-000069430000}"/>
    <cellStyle name="Normal 2 5 2 3 2 2 4 3 2 2" xfId="41220" xr:uid="{00000000-0005-0000-0000-00006A430000}"/>
    <cellStyle name="Normal 2 5 2 3 2 2 4 3 3" xfId="25916" xr:uid="{00000000-0005-0000-0000-00006B430000}"/>
    <cellStyle name="Normal 2 5 2 3 2 2 4 3 3 2" xfId="51469" xr:uid="{00000000-0005-0000-0000-00006C430000}"/>
    <cellStyle name="Normal 2 5 2 3 2 2 4 3 4" xfId="32399" xr:uid="{00000000-0005-0000-0000-00006D430000}"/>
    <cellStyle name="Normal 2 5 2 3 2 2 4 4" xfId="8284" xr:uid="{00000000-0005-0000-0000-00006E430000}"/>
    <cellStyle name="Normal 2 5 2 3 2 2 4 4 2" xfId="22366" xr:uid="{00000000-0005-0000-0000-00006F430000}"/>
    <cellStyle name="Normal 2 5 2 3 2 2 4 4 2 2" xfId="47919" xr:uid="{00000000-0005-0000-0000-000070430000}"/>
    <cellStyle name="Normal 2 5 2 3 2 2 4 4 3" xfId="33841" xr:uid="{00000000-0005-0000-0000-000071430000}"/>
    <cellStyle name="Normal 2 5 2 3 2 2 4 5" xfId="17359" xr:uid="{00000000-0005-0000-0000-000072430000}"/>
    <cellStyle name="Normal 2 5 2 3 2 2 4 5 2" xfId="42912" xr:uid="{00000000-0005-0000-0000-000073430000}"/>
    <cellStyle name="Normal 2 5 2 3 2 2 4 6" xfId="28849" xr:uid="{00000000-0005-0000-0000-000074430000}"/>
    <cellStyle name="Normal 2 5 2 3 2 2 5" xfId="4339" xr:uid="{00000000-0005-0000-0000-000075430000}"/>
    <cellStyle name="Normal 2 5 2 3 2 2 5 2" xfId="13177" xr:uid="{00000000-0005-0000-0000-000076430000}"/>
    <cellStyle name="Normal 2 5 2 3 2 2 5 2 2" xfId="23428" xr:uid="{00000000-0005-0000-0000-000077430000}"/>
    <cellStyle name="Normal 2 5 2 3 2 2 5 2 2 2" xfId="48981" xr:uid="{00000000-0005-0000-0000-000078430000}"/>
    <cellStyle name="Normal 2 5 2 3 2 2 5 2 3" xfId="38732" xr:uid="{00000000-0005-0000-0000-000079430000}"/>
    <cellStyle name="Normal 2 5 2 3 2 2 5 3" xfId="9598" xr:uid="{00000000-0005-0000-0000-00007A430000}"/>
    <cellStyle name="Normal 2 5 2 3 2 2 5 3 2" xfId="35155" xr:uid="{00000000-0005-0000-0000-00007B430000}"/>
    <cellStyle name="Normal 2 5 2 3 2 2 5 4" xfId="18421" xr:uid="{00000000-0005-0000-0000-00007C430000}"/>
    <cellStyle name="Normal 2 5 2 3 2 2 5 4 2" xfId="43974" xr:uid="{00000000-0005-0000-0000-00007D430000}"/>
    <cellStyle name="Normal 2 5 2 3 2 2 5 5" xfId="29911" xr:uid="{00000000-0005-0000-0000-00007E430000}"/>
    <cellStyle name="Normal 2 5 2 3 2 2 6" xfId="1611" xr:uid="{00000000-0005-0000-0000-00007F430000}"/>
    <cellStyle name="Normal 2 5 2 3 2 2 6 2" xfId="10988" xr:uid="{00000000-0005-0000-0000-000080430000}"/>
    <cellStyle name="Normal 2 5 2 3 2 2 6 2 2" xfId="36543" xr:uid="{00000000-0005-0000-0000-000081430000}"/>
    <cellStyle name="Normal 2 5 2 3 2 2 6 3" xfId="20992" xr:uid="{00000000-0005-0000-0000-000082430000}"/>
    <cellStyle name="Normal 2 5 2 3 2 2 6 3 2" xfId="46545" xr:uid="{00000000-0005-0000-0000-000083430000}"/>
    <cellStyle name="Normal 2 5 2 3 2 2 6 4" xfId="27475" xr:uid="{00000000-0005-0000-0000-000084430000}"/>
    <cellStyle name="Normal 2 5 2 3 2 2 7" xfId="5795" xr:uid="{00000000-0005-0000-0000-000085430000}"/>
    <cellStyle name="Normal 2 5 2 3 2 2 7 2" xfId="14622" xr:uid="{00000000-0005-0000-0000-000086430000}"/>
    <cellStyle name="Normal 2 5 2 3 2 2 7 2 2" xfId="40177" xr:uid="{00000000-0005-0000-0000-000087430000}"/>
    <cellStyle name="Normal 2 5 2 3 2 2 7 3" xfId="24873" xr:uid="{00000000-0005-0000-0000-000088430000}"/>
    <cellStyle name="Normal 2 5 2 3 2 2 7 3 2" xfId="50426" xr:uid="{00000000-0005-0000-0000-000089430000}"/>
    <cellStyle name="Normal 2 5 2 3 2 2 7 4" xfId="31356" xr:uid="{00000000-0005-0000-0000-00008A430000}"/>
    <cellStyle name="Normal 2 5 2 3 2 2 8" xfId="7239" xr:uid="{00000000-0005-0000-0000-00008B430000}"/>
    <cellStyle name="Normal 2 5 2 3 2 2 8 2" xfId="19965" xr:uid="{00000000-0005-0000-0000-00008C430000}"/>
    <cellStyle name="Normal 2 5 2 3 2 2 8 2 2" xfId="45518" xr:uid="{00000000-0005-0000-0000-00008D430000}"/>
    <cellStyle name="Normal 2 5 2 3 2 2 8 3" xfId="32796" xr:uid="{00000000-0005-0000-0000-00008E430000}"/>
    <cellStyle name="Normal 2 5 2 3 2 2 9" xfId="15985" xr:uid="{00000000-0005-0000-0000-00008F430000}"/>
    <cellStyle name="Normal 2 5 2 3 2 2 9 2" xfId="41538" xr:uid="{00000000-0005-0000-0000-000090430000}"/>
    <cellStyle name="Normal 2 5 2 3 2 2_Degree data" xfId="3849" xr:uid="{00000000-0005-0000-0000-000091430000}"/>
    <cellStyle name="Normal 2 5 2 3 2 3" xfId="419" xr:uid="{00000000-0005-0000-0000-000092430000}"/>
    <cellStyle name="Normal 2 5 2 3 2 3 2" xfId="2905" xr:uid="{00000000-0005-0000-0000-000093430000}"/>
    <cellStyle name="Normal 2 5 2 3 2 3 2 2" xfId="12193" xr:uid="{00000000-0005-0000-0000-000094430000}"/>
    <cellStyle name="Normal 2 5 2 3 2 3 2 2 2" xfId="22266" xr:uid="{00000000-0005-0000-0000-000095430000}"/>
    <cellStyle name="Normal 2 5 2 3 2 3 2 2 2 2" xfId="47819" xr:uid="{00000000-0005-0000-0000-000096430000}"/>
    <cellStyle name="Normal 2 5 2 3 2 3 2 2 3" xfId="37748" xr:uid="{00000000-0005-0000-0000-000097430000}"/>
    <cellStyle name="Normal 2 5 2 3 2 3 2 3" xfId="8430" xr:uid="{00000000-0005-0000-0000-000098430000}"/>
    <cellStyle name="Normal 2 5 2 3 2 3 2 3 2" xfId="33987" xr:uid="{00000000-0005-0000-0000-000099430000}"/>
    <cellStyle name="Normal 2 5 2 3 2 3 2 4" xfId="17259" xr:uid="{00000000-0005-0000-0000-00009A430000}"/>
    <cellStyle name="Normal 2 5 2 3 2 3 2 4 2" xfId="42812" xr:uid="{00000000-0005-0000-0000-00009B430000}"/>
    <cellStyle name="Normal 2 5 2 3 2 3 2 5" xfId="28749" xr:uid="{00000000-0005-0000-0000-00009C430000}"/>
    <cellStyle name="Normal 2 5 2 3 2 3 3" xfId="4551" xr:uid="{00000000-0005-0000-0000-00009D430000}"/>
    <cellStyle name="Normal 2 5 2 3 2 3 3 2" xfId="13389" xr:uid="{00000000-0005-0000-0000-00009E430000}"/>
    <cellStyle name="Normal 2 5 2 3 2 3 3 2 2" xfId="23640" xr:uid="{00000000-0005-0000-0000-00009F430000}"/>
    <cellStyle name="Normal 2 5 2 3 2 3 3 2 2 2" xfId="49193" xr:uid="{00000000-0005-0000-0000-0000A0430000}"/>
    <cellStyle name="Normal 2 5 2 3 2 3 3 2 3" xfId="38944" xr:uid="{00000000-0005-0000-0000-0000A1430000}"/>
    <cellStyle name="Normal 2 5 2 3 2 3 3 3" xfId="9810" xr:uid="{00000000-0005-0000-0000-0000A2430000}"/>
    <cellStyle name="Normal 2 5 2 3 2 3 3 3 2" xfId="35367" xr:uid="{00000000-0005-0000-0000-0000A3430000}"/>
    <cellStyle name="Normal 2 5 2 3 2 3 3 4" xfId="18633" xr:uid="{00000000-0005-0000-0000-0000A4430000}"/>
    <cellStyle name="Normal 2 5 2 3 2 3 3 4 2" xfId="44186" xr:uid="{00000000-0005-0000-0000-0000A5430000}"/>
    <cellStyle name="Normal 2 5 2 3 2 3 3 5" xfId="30123" xr:uid="{00000000-0005-0000-0000-0000A6430000}"/>
    <cellStyle name="Normal 2 5 2 3 2 3 4" xfId="2014" xr:uid="{00000000-0005-0000-0000-0000A7430000}"/>
    <cellStyle name="Normal 2 5 2 3 2 3 4 2" xfId="11379" xr:uid="{00000000-0005-0000-0000-0000A8430000}"/>
    <cellStyle name="Normal 2 5 2 3 2 3 4 2 2" xfId="36934" xr:uid="{00000000-0005-0000-0000-0000A9430000}"/>
    <cellStyle name="Normal 2 5 2 3 2 3 4 3" xfId="21383" xr:uid="{00000000-0005-0000-0000-0000AA430000}"/>
    <cellStyle name="Normal 2 5 2 3 2 3 4 3 2" xfId="46936" xr:uid="{00000000-0005-0000-0000-0000AB430000}"/>
    <cellStyle name="Normal 2 5 2 3 2 3 4 4" xfId="27866" xr:uid="{00000000-0005-0000-0000-0000AC430000}"/>
    <cellStyle name="Normal 2 5 2 3 2 3 5" xfId="6007" xr:uid="{00000000-0005-0000-0000-0000AD430000}"/>
    <cellStyle name="Normal 2 5 2 3 2 3 5 2" xfId="14834" xr:uid="{00000000-0005-0000-0000-0000AE430000}"/>
    <cellStyle name="Normal 2 5 2 3 2 3 5 2 2" xfId="40389" xr:uid="{00000000-0005-0000-0000-0000AF430000}"/>
    <cellStyle name="Normal 2 5 2 3 2 3 5 3" xfId="25085" xr:uid="{00000000-0005-0000-0000-0000B0430000}"/>
    <cellStyle name="Normal 2 5 2 3 2 3 5 3 2" xfId="50638" xr:uid="{00000000-0005-0000-0000-0000B1430000}"/>
    <cellStyle name="Normal 2 5 2 3 2 3 5 4" xfId="31568" xr:uid="{00000000-0005-0000-0000-0000B2430000}"/>
    <cellStyle name="Normal 2 5 2 3 2 3 6" xfId="7451" xr:uid="{00000000-0005-0000-0000-0000B3430000}"/>
    <cellStyle name="Normal 2 5 2 3 2 3 6 2" xfId="19865" xr:uid="{00000000-0005-0000-0000-0000B4430000}"/>
    <cellStyle name="Normal 2 5 2 3 2 3 6 2 2" xfId="45418" xr:uid="{00000000-0005-0000-0000-0000B5430000}"/>
    <cellStyle name="Normal 2 5 2 3 2 3 6 3" xfId="33008" xr:uid="{00000000-0005-0000-0000-0000B6430000}"/>
    <cellStyle name="Normal 2 5 2 3 2 3 7" xfId="16376" xr:uid="{00000000-0005-0000-0000-0000B7430000}"/>
    <cellStyle name="Normal 2 5 2 3 2 3 7 2" xfId="41929" xr:uid="{00000000-0005-0000-0000-0000B8430000}"/>
    <cellStyle name="Normal 2 5 2 3 2 3 8" xfId="26348" xr:uid="{00000000-0005-0000-0000-0000B9430000}"/>
    <cellStyle name="Normal 2 5 2 3 2 4" xfId="736" xr:uid="{00000000-0005-0000-0000-0000BA430000}"/>
    <cellStyle name="Normal 2 5 2 3 2 4 2" xfId="3222" xr:uid="{00000000-0005-0000-0000-0000BB430000}"/>
    <cellStyle name="Normal 2 5 2 3 2 4 2 2" xfId="12364" xr:uid="{00000000-0005-0000-0000-0000BC430000}"/>
    <cellStyle name="Normal 2 5 2 3 2 4 2 2 2" xfId="22583" xr:uid="{00000000-0005-0000-0000-0000BD430000}"/>
    <cellStyle name="Normal 2 5 2 3 2 4 2 2 2 2" xfId="48136" xr:uid="{00000000-0005-0000-0000-0000BE430000}"/>
    <cellStyle name="Normal 2 5 2 3 2 4 2 2 3" xfId="37919" xr:uid="{00000000-0005-0000-0000-0000BF430000}"/>
    <cellStyle name="Normal 2 5 2 3 2 4 2 3" xfId="8786" xr:uid="{00000000-0005-0000-0000-0000C0430000}"/>
    <cellStyle name="Normal 2 5 2 3 2 4 2 3 2" xfId="34343" xr:uid="{00000000-0005-0000-0000-0000C1430000}"/>
    <cellStyle name="Normal 2 5 2 3 2 4 2 4" xfId="17576" xr:uid="{00000000-0005-0000-0000-0000C2430000}"/>
    <cellStyle name="Normal 2 5 2 3 2 4 2 4 2" xfId="43129" xr:uid="{00000000-0005-0000-0000-0000C3430000}"/>
    <cellStyle name="Normal 2 5 2 3 2 4 2 5" xfId="29066" xr:uid="{00000000-0005-0000-0000-0000C4430000}"/>
    <cellStyle name="Normal 2 5 2 3 2 4 3" xfId="4900" xr:uid="{00000000-0005-0000-0000-0000C5430000}"/>
    <cellStyle name="Normal 2 5 2 3 2 4 3 2" xfId="13737" xr:uid="{00000000-0005-0000-0000-0000C6430000}"/>
    <cellStyle name="Normal 2 5 2 3 2 4 3 2 2" xfId="23988" xr:uid="{00000000-0005-0000-0000-0000C7430000}"/>
    <cellStyle name="Normal 2 5 2 3 2 4 3 2 2 2" xfId="49541" xr:uid="{00000000-0005-0000-0000-0000C8430000}"/>
    <cellStyle name="Normal 2 5 2 3 2 4 3 2 3" xfId="39292" xr:uid="{00000000-0005-0000-0000-0000C9430000}"/>
    <cellStyle name="Normal 2 5 2 3 2 4 3 3" xfId="10158" xr:uid="{00000000-0005-0000-0000-0000CA430000}"/>
    <cellStyle name="Normal 2 5 2 3 2 4 3 3 2" xfId="35715" xr:uid="{00000000-0005-0000-0000-0000CB430000}"/>
    <cellStyle name="Normal 2 5 2 3 2 4 3 4" xfId="18981" xr:uid="{00000000-0005-0000-0000-0000CC430000}"/>
    <cellStyle name="Normal 2 5 2 3 2 4 3 4 2" xfId="44534" xr:uid="{00000000-0005-0000-0000-0000CD430000}"/>
    <cellStyle name="Normal 2 5 2 3 2 4 3 5" xfId="30471" xr:uid="{00000000-0005-0000-0000-0000CE430000}"/>
    <cellStyle name="Normal 2 5 2 3 2 4 4" xfId="2331" xr:uid="{00000000-0005-0000-0000-0000CF430000}"/>
    <cellStyle name="Normal 2 5 2 3 2 4 4 2" xfId="11696" xr:uid="{00000000-0005-0000-0000-0000D0430000}"/>
    <cellStyle name="Normal 2 5 2 3 2 4 4 2 2" xfId="37251" xr:uid="{00000000-0005-0000-0000-0000D1430000}"/>
    <cellStyle name="Normal 2 5 2 3 2 4 4 3" xfId="21700" xr:uid="{00000000-0005-0000-0000-0000D2430000}"/>
    <cellStyle name="Normal 2 5 2 3 2 4 4 3 2" xfId="47253" xr:uid="{00000000-0005-0000-0000-0000D3430000}"/>
    <cellStyle name="Normal 2 5 2 3 2 4 4 4" xfId="28183" xr:uid="{00000000-0005-0000-0000-0000D4430000}"/>
    <cellStyle name="Normal 2 5 2 3 2 4 5" xfId="6355" xr:uid="{00000000-0005-0000-0000-0000D5430000}"/>
    <cellStyle name="Normal 2 5 2 3 2 4 5 2" xfId="15182" xr:uid="{00000000-0005-0000-0000-0000D6430000}"/>
    <cellStyle name="Normal 2 5 2 3 2 4 5 2 2" xfId="40737" xr:uid="{00000000-0005-0000-0000-0000D7430000}"/>
    <cellStyle name="Normal 2 5 2 3 2 4 5 3" xfId="25433" xr:uid="{00000000-0005-0000-0000-0000D8430000}"/>
    <cellStyle name="Normal 2 5 2 3 2 4 5 3 2" xfId="50986" xr:uid="{00000000-0005-0000-0000-0000D9430000}"/>
    <cellStyle name="Normal 2 5 2 3 2 4 5 4" xfId="31916" xr:uid="{00000000-0005-0000-0000-0000DA430000}"/>
    <cellStyle name="Normal 2 5 2 3 2 4 6" xfId="7801" xr:uid="{00000000-0005-0000-0000-0000DB430000}"/>
    <cellStyle name="Normal 2 5 2 3 2 4 6 2" xfId="20182" xr:uid="{00000000-0005-0000-0000-0000DC430000}"/>
    <cellStyle name="Normal 2 5 2 3 2 4 6 2 2" xfId="45735" xr:uid="{00000000-0005-0000-0000-0000DD430000}"/>
    <cellStyle name="Normal 2 5 2 3 2 4 6 3" xfId="33358" xr:uid="{00000000-0005-0000-0000-0000DE430000}"/>
    <cellStyle name="Normal 2 5 2 3 2 4 7" xfId="16693" xr:uid="{00000000-0005-0000-0000-0000DF430000}"/>
    <cellStyle name="Normal 2 5 2 3 2 4 7 2" xfId="42246" xr:uid="{00000000-0005-0000-0000-0000E0430000}"/>
    <cellStyle name="Normal 2 5 2 3 2 4 8" xfId="26665" xr:uid="{00000000-0005-0000-0000-0000E1430000}"/>
    <cellStyle name="Normal 2 5 2 3 2 5" xfId="1191" xr:uid="{00000000-0005-0000-0000-0000E2430000}"/>
    <cellStyle name="Normal 2 5 2 3 2 5 2" xfId="3620" xr:uid="{00000000-0005-0000-0000-0000E3430000}"/>
    <cellStyle name="Normal 2 5 2 3 2 5 2 2" xfId="12756" xr:uid="{00000000-0005-0000-0000-0000E4430000}"/>
    <cellStyle name="Normal 2 5 2 3 2 5 2 2 2" xfId="22975" xr:uid="{00000000-0005-0000-0000-0000E5430000}"/>
    <cellStyle name="Normal 2 5 2 3 2 5 2 2 2 2" xfId="48528" xr:uid="{00000000-0005-0000-0000-0000E6430000}"/>
    <cellStyle name="Normal 2 5 2 3 2 5 2 2 3" xfId="38311" xr:uid="{00000000-0005-0000-0000-0000E7430000}"/>
    <cellStyle name="Normal 2 5 2 3 2 5 2 3" xfId="9177" xr:uid="{00000000-0005-0000-0000-0000E8430000}"/>
    <cellStyle name="Normal 2 5 2 3 2 5 2 3 2" xfId="34734" xr:uid="{00000000-0005-0000-0000-0000E9430000}"/>
    <cellStyle name="Normal 2 5 2 3 2 5 2 4" xfId="17968" xr:uid="{00000000-0005-0000-0000-0000EA430000}"/>
    <cellStyle name="Normal 2 5 2 3 2 5 2 4 2" xfId="43521" xr:uid="{00000000-0005-0000-0000-0000EB430000}"/>
    <cellStyle name="Normal 2 5 2 3 2 5 2 5" xfId="29458" xr:uid="{00000000-0005-0000-0000-0000EC430000}"/>
    <cellStyle name="Normal 2 5 2 3 2 5 3" xfId="5283" xr:uid="{00000000-0005-0000-0000-0000ED430000}"/>
    <cellStyle name="Normal 2 5 2 3 2 5 3 2" xfId="14120" xr:uid="{00000000-0005-0000-0000-0000EE430000}"/>
    <cellStyle name="Normal 2 5 2 3 2 5 3 2 2" xfId="24371" xr:uid="{00000000-0005-0000-0000-0000EF430000}"/>
    <cellStyle name="Normal 2 5 2 3 2 5 3 2 2 2" xfId="49924" xr:uid="{00000000-0005-0000-0000-0000F0430000}"/>
    <cellStyle name="Normal 2 5 2 3 2 5 3 2 3" xfId="39675" xr:uid="{00000000-0005-0000-0000-0000F1430000}"/>
    <cellStyle name="Normal 2 5 2 3 2 5 3 3" xfId="10541" xr:uid="{00000000-0005-0000-0000-0000F2430000}"/>
    <cellStyle name="Normal 2 5 2 3 2 5 3 3 2" xfId="36098" xr:uid="{00000000-0005-0000-0000-0000F3430000}"/>
    <cellStyle name="Normal 2 5 2 3 2 5 3 4" xfId="19364" xr:uid="{00000000-0005-0000-0000-0000F4430000}"/>
    <cellStyle name="Normal 2 5 2 3 2 5 3 4 2" xfId="44917" xr:uid="{00000000-0005-0000-0000-0000F5430000}"/>
    <cellStyle name="Normal 2 5 2 3 2 5 3 5" xfId="30854" xr:uid="{00000000-0005-0000-0000-0000F6430000}"/>
    <cellStyle name="Normal 2 5 2 3 2 5 4" xfId="1793" xr:uid="{00000000-0005-0000-0000-0000F7430000}"/>
    <cellStyle name="Normal 2 5 2 3 2 5 4 2" xfId="11162" xr:uid="{00000000-0005-0000-0000-0000F8430000}"/>
    <cellStyle name="Normal 2 5 2 3 2 5 4 2 2" xfId="36717" xr:uid="{00000000-0005-0000-0000-0000F9430000}"/>
    <cellStyle name="Normal 2 5 2 3 2 5 4 3" xfId="21166" xr:uid="{00000000-0005-0000-0000-0000FA430000}"/>
    <cellStyle name="Normal 2 5 2 3 2 5 4 3 2" xfId="46719" xr:uid="{00000000-0005-0000-0000-0000FB430000}"/>
    <cellStyle name="Normal 2 5 2 3 2 5 4 4" xfId="27649" xr:uid="{00000000-0005-0000-0000-0000FC430000}"/>
    <cellStyle name="Normal 2 5 2 3 2 5 5" xfId="6738" xr:uid="{00000000-0005-0000-0000-0000FD430000}"/>
    <cellStyle name="Normal 2 5 2 3 2 5 5 2" xfId="15565" xr:uid="{00000000-0005-0000-0000-0000FE430000}"/>
    <cellStyle name="Normal 2 5 2 3 2 5 5 2 2" xfId="41120" xr:uid="{00000000-0005-0000-0000-0000FF430000}"/>
    <cellStyle name="Normal 2 5 2 3 2 5 5 3" xfId="25816" xr:uid="{00000000-0005-0000-0000-000000440000}"/>
    <cellStyle name="Normal 2 5 2 3 2 5 5 3 2" xfId="51369" xr:uid="{00000000-0005-0000-0000-000001440000}"/>
    <cellStyle name="Normal 2 5 2 3 2 5 5 4" xfId="32299" xr:uid="{00000000-0005-0000-0000-000002440000}"/>
    <cellStyle name="Normal 2 5 2 3 2 5 6" xfId="8184" xr:uid="{00000000-0005-0000-0000-000003440000}"/>
    <cellStyle name="Normal 2 5 2 3 2 5 6 2" xfId="20574" xr:uid="{00000000-0005-0000-0000-000004440000}"/>
    <cellStyle name="Normal 2 5 2 3 2 5 6 2 2" xfId="46127" xr:uid="{00000000-0005-0000-0000-000005440000}"/>
    <cellStyle name="Normal 2 5 2 3 2 5 6 3" xfId="33741" xr:uid="{00000000-0005-0000-0000-000006440000}"/>
    <cellStyle name="Normal 2 5 2 3 2 5 7" xfId="16159" xr:uid="{00000000-0005-0000-0000-000007440000}"/>
    <cellStyle name="Normal 2 5 2 3 2 5 7 2" xfId="41712" xr:uid="{00000000-0005-0000-0000-000008440000}"/>
    <cellStyle name="Normal 2 5 2 3 2 5 8" xfId="27057" xr:uid="{00000000-0005-0000-0000-000009440000}"/>
    <cellStyle name="Normal 2 5 2 3 2 6" xfId="2688" xr:uid="{00000000-0005-0000-0000-00000A440000}"/>
    <cellStyle name="Normal 2 5 2 3 2 6 2" xfId="12005" xr:uid="{00000000-0005-0000-0000-00000B440000}"/>
    <cellStyle name="Normal 2 5 2 3 2 6 2 2" xfId="22049" xr:uid="{00000000-0005-0000-0000-00000C440000}"/>
    <cellStyle name="Normal 2 5 2 3 2 6 2 2 2" xfId="47602" xr:uid="{00000000-0005-0000-0000-00000D440000}"/>
    <cellStyle name="Normal 2 5 2 3 2 6 2 3" xfId="37560" xr:uid="{00000000-0005-0000-0000-00000E440000}"/>
    <cellStyle name="Normal 2 5 2 3 2 6 3" xfId="8556" xr:uid="{00000000-0005-0000-0000-00000F440000}"/>
    <cellStyle name="Normal 2 5 2 3 2 6 3 2" xfId="34113" xr:uid="{00000000-0005-0000-0000-000010440000}"/>
    <cellStyle name="Normal 2 5 2 3 2 6 4" xfId="17042" xr:uid="{00000000-0005-0000-0000-000011440000}"/>
    <cellStyle name="Normal 2 5 2 3 2 6 4 2" xfId="42595" xr:uid="{00000000-0005-0000-0000-000012440000}"/>
    <cellStyle name="Normal 2 5 2 3 2 6 5" xfId="28532" xr:uid="{00000000-0005-0000-0000-000013440000}"/>
    <cellStyle name="Normal 2 5 2 3 2 7" xfId="4239" xr:uid="{00000000-0005-0000-0000-000014440000}"/>
    <cellStyle name="Normal 2 5 2 3 2 7 2" xfId="13077" xr:uid="{00000000-0005-0000-0000-000015440000}"/>
    <cellStyle name="Normal 2 5 2 3 2 7 2 2" xfId="23328" xr:uid="{00000000-0005-0000-0000-000016440000}"/>
    <cellStyle name="Normal 2 5 2 3 2 7 2 2 2" xfId="48881" xr:uid="{00000000-0005-0000-0000-000017440000}"/>
    <cellStyle name="Normal 2 5 2 3 2 7 2 3" xfId="38632" xr:uid="{00000000-0005-0000-0000-000018440000}"/>
    <cellStyle name="Normal 2 5 2 3 2 7 3" xfId="9498" xr:uid="{00000000-0005-0000-0000-000019440000}"/>
    <cellStyle name="Normal 2 5 2 3 2 7 3 2" xfId="35055" xr:uid="{00000000-0005-0000-0000-00001A440000}"/>
    <cellStyle name="Normal 2 5 2 3 2 7 4" xfId="18321" xr:uid="{00000000-0005-0000-0000-00001B440000}"/>
    <cellStyle name="Normal 2 5 2 3 2 7 4 2" xfId="43874" xr:uid="{00000000-0005-0000-0000-00001C440000}"/>
    <cellStyle name="Normal 2 5 2 3 2 7 5" xfId="29811" xr:uid="{00000000-0005-0000-0000-00001D440000}"/>
    <cellStyle name="Normal 2 5 2 3 2 8" xfId="1511" xr:uid="{00000000-0005-0000-0000-00001E440000}"/>
    <cellStyle name="Normal 2 5 2 3 2 8 2" xfId="10888" xr:uid="{00000000-0005-0000-0000-00001F440000}"/>
    <cellStyle name="Normal 2 5 2 3 2 8 2 2" xfId="36443" xr:uid="{00000000-0005-0000-0000-000020440000}"/>
    <cellStyle name="Normal 2 5 2 3 2 8 3" xfId="20892" xr:uid="{00000000-0005-0000-0000-000021440000}"/>
    <cellStyle name="Normal 2 5 2 3 2 8 3 2" xfId="46445" xr:uid="{00000000-0005-0000-0000-000022440000}"/>
    <cellStyle name="Normal 2 5 2 3 2 8 4" xfId="27375" xr:uid="{00000000-0005-0000-0000-000023440000}"/>
    <cellStyle name="Normal 2 5 2 3 2 9" xfId="5695" xr:uid="{00000000-0005-0000-0000-000024440000}"/>
    <cellStyle name="Normal 2 5 2 3 2 9 2" xfId="14522" xr:uid="{00000000-0005-0000-0000-000025440000}"/>
    <cellStyle name="Normal 2 5 2 3 2 9 2 2" xfId="40077" xr:uid="{00000000-0005-0000-0000-000026440000}"/>
    <cellStyle name="Normal 2 5 2 3 2 9 3" xfId="24773" xr:uid="{00000000-0005-0000-0000-000027440000}"/>
    <cellStyle name="Normal 2 5 2 3 2 9 3 2" xfId="50326" xr:uid="{00000000-0005-0000-0000-000028440000}"/>
    <cellStyle name="Normal 2 5 2 3 2 9 4" xfId="31256" xr:uid="{00000000-0005-0000-0000-000029440000}"/>
    <cellStyle name="Normal 2 5 2 3 2_Degree data" xfId="3913" xr:uid="{00000000-0005-0000-0000-00002A440000}"/>
    <cellStyle name="Normal 2 5 2 3 3" xfId="258" xr:uid="{00000000-0005-0000-0000-00002B440000}"/>
    <cellStyle name="Normal 2 5 2 3 3 10" xfId="7096" xr:uid="{00000000-0005-0000-0000-00002C440000}"/>
    <cellStyle name="Normal 2 5 2 3 3 10 2" xfId="19710" xr:uid="{00000000-0005-0000-0000-00002D440000}"/>
    <cellStyle name="Normal 2 5 2 3 3 10 2 2" xfId="45263" xr:uid="{00000000-0005-0000-0000-00002E440000}"/>
    <cellStyle name="Normal 2 5 2 3 3 10 3" xfId="32653" xr:uid="{00000000-0005-0000-0000-00002F440000}"/>
    <cellStyle name="Normal 2 5 2 3 3 11" xfId="15842" xr:uid="{00000000-0005-0000-0000-000030440000}"/>
    <cellStyle name="Normal 2 5 2 3 3 11 2" xfId="41395" xr:uid="{00000000-0005-0000-0000-000031440000}"/>
    <cellStyle name="Normal 2 5 2 3 3 12" xfId="26193" xr:uid="{00000000-0005-0000-0000-000032440000}"/>
    <cellStyle name="Normal 2 5 2 3 3 2" xfId="581" xr:uid="{00000000-0005-0000-0000-000033440000}"/>
    <cellStyle name="Normal 2 5 2 3 3 2 10" xfId="26510" xr:uid="{00000000-0005-0000-0000-000034440000}"/>
    <cellStyle name="Normal 2 5 2 3 3 2 2" xfId="739" xr:uid="{00000000-0005-0000-0000-000035440000}"/>
    <cellStyle name="Normal 2 5 2 3 3 2 2 2" xfId="3225" xr:uid="{00000000-0005-0000-0000-000036440000}"/>
    <cellStyle name="Normal 2 5 2 3 3 2 2 2 2" xfId="12367" xr:uid="{00000000-0005-0000-0000-000037440000}"/>
    <cellStyle name="Normal 2 5 2 3 3 2 2 2 2 2" xfId="22586" xr:uid="{00000000-0005-0000-0000-000038440000}"/>
    <cellStyle name="Normal 2 5 2 3 3 2 2 2 2 2 2" xfId="48139" xr:uid="{00000000-0005-0000-0000-000039440000}"/>
    <cellStyle name="Normal 2 5 2 3 3 2 2 2 2 3" xfId="37922" xr:uid="{00000000-0005-0000-0000-00003A440000}"/>
    <cellStyle name="Normal 2 5 2 3 3 2 2 2 3" xfId="8789" xr:uid="{00000000-0005-0000-0000-00003B440000}"/>
    <cellStyle name="Normal 2 5 2 3 3 2 2 2 3 2" xfId="34346" xr:uid="{00000000-0005-0000-0000-00003C440000}"/>
    <cellStyle name="Normal 2 5 2 3 3 2 2 2 4" xfId="17579" xr:uid="{00000000-0005-0000-0000-00003D440000}"/>
    <cellStyle name="Normal 2 5 2 3 3 2 2 2 4 2" xfId="43132" xr:uid="{00000000-0005-0000-0000-00003E440000}"/>
    <cellStyle name="Normal 2 5 2 3 3 2 2 2 5" xfId="29069" xr:uid="{00000000-0005-0000-0000-00003F440000}"/>
    <cellStyle name="Normal 2 5 2 3 3 2 2 3" xfId="4554" xr:uid="{00000000-0005-0000-0000-000040440000}"/>
    <cellStyle name="Normal 2 5 2 3 3 2 2 3 2" xfId="13392" xr:uid="{00000000-0005-0000-0000-000041440000}"/>
    <cellStyle name="Normal 2 5 2 3 3 2 2 3 2 2" xfId="23643" xr:uid="{00000000-0005-0000-0000-000042440000}"/>
    <cellStyle name="Normal 2 5 2 3 3 2 2 3 2 2 2" xfId="49196" xr:uid="{00000000-0005-0000-0000-000043440000}"/>
    <cellStyle name="Normal 2 5 2 3 3 2 2 3 2 3" xfId="38947" xr:uid="{00000000-0005-0000-0000-000044440000}"/>
    <cellStyle name="Normal 2 5 2 3 3 2 2 3 3" xfId="9813" xr:uid="{00000000-0005-0000-0000-000045440000}"/>
    <cellStyle name="Normal 2 5 2 3 3 2 2 3 3 2" xfId="35370" xr:uid="{00000000-0005-0000-0000-000046440000}"/>
    <cellStyle name="Normal 2 5 2 3 3 2 2 3 4" xfId="18636" xr:uid="{00000000-0005-0000-0000-000047440000}"/>
    <cellStyle name="Normal 2 5 2 3 3 2 2 3 4 2" xfId="44189" xr:uid="{00000000-0005-0000-0000-000048440000}"/>
    <cellStyle name="Normal 2 5 2 3 3 2 2 3 5" xfId="30126" xr:uid="{00000000-0005-0000-0000-000049440000}"/>
    <cellStyle name="Normal 2 5 2 3 3 2 2 4" xfId="2334" xr:uid="{00000000-0005-0000-0000-00004A440000}"/>
    <cellStyle name="Normal 2 5 2 3 3 2 2 4 2" xfId="11699" xr:uid="{00000000-0005-0000-0000-00004B440000}"/>
    <cellStyle name="Normal 2 5 2 3 3 2 2 4 2 2" xfId="37254" xr:uid="{00000000-0005-0000-0000-00004C440000}"/>
    <cellStyle name="Normal 2 5 2 3 3 2 2 4 3" xfId="21703" xr:uid="{00000000-0005-0000-0000-00004D440000}"/>
    <cellStyle name="Normal 2 5 2 3 3 2 2 4 3 2" xfId="47256" xr:uid="{00000000-0005-0000-0000-00004E440000}"/>
    <cellStyle name="Normal 2 5 2 3 3 2 2 4 4" xfId="28186" xr:uid="{00000000-0005-0000-0000-00004F440000}"/>
    <cellStyle name="Normal 2 5 2 3 3 2 2 5" xfId="6010" xr:uid="{00000000-0005-0000-0000-000050440000}"/>
    <cellStyle name="Normal 2 5 2 3 3 2 2 5 2" xfId="14837" xr:uid="{00000000-0005-0000-0000-000051440000}"/>
    <cellStyle name="Normal 2 5 2 3 3 2 2 5 2 2" xfId="40392" xr:uid="{00000000-0005-0000-0000-000052440000}"/>
    <cellStyle name="Normal 2 5 2 3 3 2 2 5 3" xfId="25088" xr:uid="{00000000-0005-0000-0000-000053440000}"/>
    <cellStyle name="Normal 2 5 2 3 3 2 2 5 3 2" xfId="50641" xr:uid="{00000000-0005-0000-0000-000054440000}"/>
    <cellStyle name="Normal 2 5 2 3 3 2 2 5 4" xfId="31571" xr:uid="{00000000-0005-0000-0000-000055440000}"/>
    <cellStyle name="Normal 2 5 2 3 3 2 2 6" xfId="7454" xr:uid="{00000000-0005-0000-0000-000056440000}"/>
    <cellStyle name="Normal 2 5 2 3 3 2 2 6 2" xfId="20185" xr:uid="{00000000-0005-0000-0000-000057440000}"/>
    <cellStyle name="Normal 2 5 2 3 3 2 2 6 2 2" xfId="45738" xr:uid="{00000000-0005-0000-0000-000058440000}"/>
    <cellStyle name="Normal 2 5 2 3 3 2 2 6 3" xfId="33011" xr:uid="{00000000-0005-0000-0000-000059440000}"/>
    <cellStyle name="Normal 2 5 2 3 3 2 2 7" xfId="16696" xr:uid="{00000000-0005-0000-0000-00005A440000}"/>
    <cellStyle name="Normal 2 5 2 3 3 2 2 7 2" xfId="42249" xr:uid="{00000000-0005-0000-0000-00005B440000}"/>
    <cellStyle name="Normal 2 5 2 3 3 2 2 8" xfId="26668" xr:uid="{00000000-0005-0000-0000-00005C440000}"/>
    <cellStyle name="Normal 2 5 2 3 3 2 3" xfId="1353" xr:uid="{00000000-0005-0000-0000-00005D440000}"/>
    <cellStyle name="Normal 2 5 2 3 3 2 3 2" xfId="3782" xr:uid="{00000000-0005-0000-0000-00005E440000}"/>
    <cellStyle name="Normal 2 5 2 3 3 2 3 2 2" xfId="12918" xr:uid="{00000000-0005-0000-0000-00005F440000}"/>
    <cellStyle name="Normal 2 5 2 3 3 2 3 2 2 2" xfId="23137" xr:uid="{00000000-0005-0000-0000-000060440000}"/>
    <cellStyle name="Normal 2 5 2 3 3 2 3 2 2 2 2" xfId="48690" xr:uid="{00000000-0005-0000-0000-000061440000}"/>
    <cellStyle name="Normal 2 5 2 3 3 2 3 2 2 3" xfId="38473" xr:uid="{00000000-0005-0000-0000-000062440000}"/>
    <cellStyle name="Normal 2 5 2 3 3 2 3 2 3" xfId="9339" xr:uid="{00000000-0005-0000-0000-000063440000}"/>
    <cellStyle name="Normal 2 5 2 3 3 2 3 2 3 2" xfId="34896" xr:uid="{00000000-0005-0000-0000-000064440000}"/>
    <cellStyle name="Normal 2 5 2 3 3 2 3 2 4" xfId="18130" xr:uid="{00000000-0005-0000-0000-000065440000}"/>
    <cellStyle name="Normal 2 5 2 3 3 2 3 2 4 2" xfId="43683" xr:uid="{00000000-0005-0000-0000-000066440000}"/>
    <cellStyle name="Normal 2 5 2 3 3 2 3 2 5" xfId="29620" xr:uid="{00000000-0005-0000-0000-000067440000}"/>
    <cellStyle name="Normal 2 5 2 3 3 2 3 3" xfId="4903" xr:uid="{00000000-0005-0000-0000-000068440000}"/>
    <cellStyle name="Normal 2 5 2 3 3 2 3 3 2" xfId="13740" xr:uid="{00000000-0005-0000-0000-000069440000}"/>
    <cellStyle name="Normal 2 5 2 3 3 2 3 3 2 2" xfId="23991" xr:uid="{00000000-0005-0000-0000-00006A440000}"/>
    <cellStyle name="Normal 2 5 2 3 3 2 3 3 2 2 2" xfId="49544" xr:uid="{00000000-0005-0000-0000-00006B440000}"/>
    <cellStyle name="Normal 2 5 2 3 3 2 3 3 2 3" xfId="39295" xr:uid="{00000000-0005-0000-0000-00006C440000}"/>
    <cellStyle name="Normal 2 5 2 3 3 2 3 3 3" xfId="10161" xr:uid="{00000000-0005-0000-0000-00006D440000}"/>
    <cellStyle name="Normal 2 5 2 3 3 2 3 3 3 2" xfId="35718" xr:uid="{00000000-0005-0000-0000-00006E440000}"/>
    <cellStyle name="Normal 2 5 2 3 3 2 3 3 4" xfId="18984" xr:uid="{00000000-0005-0000-0000-00006F440000}"/>
    <cellStyle name="Normal 2 5 2 3 3 2 3 3 4 2" xfId="44537" xr:uid="{00000000-0005-0000-0000-000070440000}"/>
    <cellStyle name="Normal 2 5 2 3 3 2 3 3 5" xfId="30474" xr:uid="{00000000-0005-0000-0000-000071440000}"/>
    <cellStyle name="Normal 2 5 2 3 3 2 3 4" xfId="2176" xr:uid="{00000000-0005-0000-0000-000072440000}"/>
    <cellStyle name="Normal 2 5 2 3 3 2 3 4 2" xfId="11541" xr:uid="{00000000-0005-0000-0000-000073440000}"/>
    <cellStyle name="Normal 2 5 2 3 3 2 3 4 2 2" xfId="37096" xr:uid="{00000000-0005-0000-0000-000074440000}"/>
    <cellStyle name="Normal 2 5 2 3 3 2 3 4 3" xfId="21545" xr:uid="{00000000-0005-0000-0000-000075440000}"/>
    <cellStyle name="Normal 2 5 2 3 3 2 3 4 3 2" xfId="47098" xr:uid="{00000000-0005-0000-0000-000076440000}"/>
    <cellStyle name="Normal 2 5 2 3 3 2 3 4 4" xfId="28028" xr:uid="{00000000-0005-0000-0000-000077440000}"/>
    <cellStyle name="Normal 2 5 2 3 3 2 3 5" xfId="6358" xr:uid="{00000000-0005-0000-0000-000078440000}"/>
    <cellStyle name="Normal 2 5 2 3 3 2 3 5 2" xfId="15185" xr:uid="{00000000-0005-0000-0000-000079440000}"/>
    <cellStyle name="Normal 2 5 2 3 3 2 3 5 2 2" xfId="40740" xr:uid="{00000000-0005-0000-0000-00007A440000}"/>
    <cellStyle name="Normal 2 5 2 3 3 2 3 5 3" xfId="25436" xr:uid="{00000000-0005-0000-0000-00007B440000}"/>
    <cellStyle name="Normal 2 5 2 3 3 2 3 5 3 2" xfId="50989" xr:uid="{00000000-0005-0000-0000-00007C440000}"/>
    <cellStyle name="Normal 2 5 2 3 3 2 3 5 4" xfId="31919" xr:uid="{00000000-0005-0000-0000-00007D440000}"/>
    <cellStyle name="Normal 2 5 2 3 3 2 3 6" xfId="7804" xr:uid="{00000000-0005-0000-0000-00007E440000}"/>
    <cellStyle name="Normal 2 5 2 3 3 2 3 6 2" xfId="20736" xr:uid="{00000000-0005-0000-0000-00007F440000}"/>
    <cellStyle name="Normal 2 5 2 3 3 2 3 6 2 2" xfId="46289" xr:uid="{00000000-0005-0000-0000-000080440000}"/>
    <cellStyle name="Normal 2 5 2 3 3 2 3 6 3" xfId="33361" xr:uid="{00000000-0005-0000-0000-000081440000}"/>
    <cellStyle name="Normal 2 5 2 3 3 2 3 7" xfId="16538" xr:uid="{00000000-0005-0000-0000-000082440000}"/>
    <cellStyle name="Normal 2 5 2 3 3 2 3 7 2" xfId="42091" xr:uid="{00000000-0005-0000-0000-000083440000}"/>
    <cellStyle name="Normal 2 5 2 3 3 2 3 8" xfId="27219" xr:uid="{00000000-0005-0000-0000-000084440000}"/>
    <cellStyle name="Normal 2 5 2 3 3 2 4" xfId="3067" xr:uid="{00000000-0005-0000-0000-000085440000}"/>
    <cellStyle name="Normal 2 5 2 3 3 2 4 2" xfId="5445" xr:uid="{00000000-0005-0000-0000-000086440000}"/>
    <cellStyle name="Normal 2 5 2 3 3 2 4 2 2" xfId="14282" xr:uid="{00000000-0005-0000-0000-000087440000}"/>
    <cellStyle name="Normal 2 5 2 3 3 2 4 2 2 2" xfId="24533" xr:uid="{00000000-0005-0000-0000-000088440000}"/>
    <cellStyle name="Normal 2 5 2 3 3 2 4 2 2 2 2" xfId="50086" xr:uid="{00000000-0005-0000-0000-000089440000}"/>
    <cellStyle name="Normal 2 5 2 3 3 2 4 2 2 3" xfId="39837" xr:uid="{00000000-0005-0000-0000-00008A440000}"/>
    <cellStyle name="Normal 2 5 2 3 3 2 4 2 3" xfId="10703" xr:uid="{00000000-0005-0000-0000-00008B440000}"/>
    <cellStyle name="Normal 2 5 2 3 3 2 4 2 3 2" xfId="36260" xr:uid="{00000000-0005-0000-0000-00008C440000}"/>
    <cellStyle name="Normal 2 5 2 3 3 2 4 2 4" xfId="19526" xr:uid="{00000000-0005-0000-0000-00008D440000}"/>
    <cellStyle name="Normal 2 5 2 3 3 2 4 2 4 2" xfId="45079" xr:uid="{00000000-0005-0000-0000-00008E440000}"/>
    <cellStyle name="Normal 2 5 2 3 3 2 4 2 5" xfId="31016" xr:uid="{00000000-0005-0000-0000-00008F440000}"/>
    <cellStyle name="Normal 2 5 2 3 3 2 4 3" xfId="6900" xr:uid="{00000000-0005-0000-0000-000090440000}"/>
    <cellStyle name="Normal 2 5 2 3 3 2 4 3 2" xfId="15727" xr:uid="{00000000-0005-0000-0000-000091440000}"/>
    <cellStyle name="Normal 2 5 2 3 3 2 4 3 2 2" xfId="41282" xr:uid="{00000000-0005-0000-0000-000092440000}"/>
    <cellStyle name="Normal 2 5 2 3 3 2 4 3 3" xfId="25978" xr:uid="{00000000-0005-0000-0000-000093440000}"/>
    <cellStyle name="Normal 2 5 2 3 3 2 4 3 3 2" xfId="51531" xr:uid="{00000000-0005-0000-0000-000094440000}"/>
    <cellStyle name="Normal 2 5 2 3 3 2 4 3 4" xfId="32461" xr:uid="{00000000-0005-0000-0000-000095440000}"/>
    <cellStyle name="Normal 2 5 2 3 3 2 4 4" xfId="8346" xr:uid="{00000000-0005-0000-0000-000096440000}"/>
    <cellStyle name="Normal 2 5 2 3 3 2 4 4 2" xfId="22428" xr:uid="{00000000-0005-0000-0000-000097440000}"/>
    <cellStyle name="Normal 2 5 2 3 3 2 4 4 2 2" xfId="47981" xr:uid="{00000000-0005-0000-0000-000098440000}"/>
    <cellStyle name="Normal 2 5 2 3 3 2 4 4 3" xfId="33903" xr:uid="{00000000-0005-0000-0000-000099440000}"/>
    <cellStyle name="Normal 2 5 2 3 3 2 4 5" xfId="17421" xr:uid="{00000000-0005-0000-0000-00009A440000}"/>
    <cellStyle name="Normal 2 5 2 3 3 2 4 5 2" xfId="42974" xr:uid="{00000000-0005-0000-0000-00009B440000}"/>
    <cellStyle name="Normal 2 5 2 3 3 2 4 6" xfId="28911" xr:uid="{00000000-0005-0000-0000-00009C440000}"/>
    <cellStyle name="Normal 2 5 2 3 3 2 5" xfId="4401" xr:uid="{00000000-0005-0000-0000-00009D440000}"/>
    <cellStyle name="Normal 2 5 2 3 3 2 5 2" xfId="13239" xr:uid="{00000000-0005-0000-0000-00009E440000}"/>
    <cellStyle name="Normal 2 5 2 3 3 2 5 2 2" xfId="23490" xr:uid="{00000000-0005-0000-0000-00009F440000}"/>
    <cellStyle name="Normal 2 5 2 3 3 2 5 2 2 2" xfId="49043" xr:uid="{00000000-0005-0000-0000-0000A0440000}"/>
    <cellStyle name="Normal 2 5 2 3 3 2 5 2 3" xfId="38794" xr:uid="{00000000-0005-0000-0000-0000A1440000}"/>
    <cellStyle name="Normal 2 5 2 3 3 2 5 3" xfId="9660" xr:uid="{00000000-0005-0000-0000-0000A2440000}"/>
    <cellStyle name="Normal 2 5 2 3 3 2 5 3 2" xfId="35217" xr:uid="{00000000-0005-0000-0000-0000A3440000}"/>
    <cellStyle name="Normal 2 5 2 3 3 2 5 4" xfId="18483" xr:uid="{00000000-0005-0000-0000-0000A4440000}"/>
    <cellStyle name="Normal 2 5 2 3 3 2 5 4 2" xfId="44036" xr:uid="{00000000-0005-0000-0000-0000A5440000}"/>
    <cellStyle name="Normal 2 5 2 3 3 2 5 5" xfId="29973" xr:uid="{00000000-0005-0000-0000-0000A6440000}"/>
    <cellStyle name="Normal 2 5 2 3 3 2 6" xfId="1673" xr:uid="{00000000-0005-0000-0000-0000A7440000}"/>
    <cellStyle name="Normal 2 5 2 3 3 2 6 2" xfId="11050" xr:uid="{00000000-0005-0000-0000-0000A8440000}"/>
    <cellStyle name="Normal 2 5 2 3 3 2 6 2 2" xfId="36605" xr:uid="{00000000-0005-0000-0000-0000A9440000}"/>
    <cellStyle name="Normal 2 5 2 3 3 2 6 3" xfId="21054" xr:uid="{00000000-0005-0000-0000-0000AA440000}"/>
    <cellStyle name="Normal 2 5 2 3 3 2 6 3 2" xfId="46607" xr:uid="{00000000-0005-0000-0000-0000AB440000}"/>
    <cellStyle name="Normal 2 5 2 3 3 2 6 4" xfId="27537" xr:uid="{00000000-0005-0000-0000-0000AC440000}"/>
    <cellStyle name="Normal 2 5 2 3 3 2 7" xfId="5857" xr:uid="{00000000-0005-0000-0000-0000AD440000}"/>
    <cellStyle name="Normal 2 5 2 3 3 2 7 2" xfId="14684" xr:uid="{00000000-0005-0000-0000-0000AE440000}"/>
    <cellStyle name="Normal 2 5 2 3 3 2 7 2 2" xfId="40239" xr:uid="{00000000-0005-0000-0000-0000AF440000}"/>
    <cellStyle name="Normal 2 5 2 3 3 2 7 3" xfId="24935" xr:uid="{00000000-0005-0000-0000-0000B0440000}"/>
    <cellStyle name="Normal 2 5 2 3 3 2 7 3 2" xfId="50488" xr:uid="{00000000-0005-0000-0000-0000B1440000}"/>
    <cellStyle name="Normal 2 5 2 3 3 2 7 4" xfId="31418" xr:uid="{00000000-0005-0000-0000-0000B2440000}"/>
    <cellStyle name="Normal 2 5 2 3 3 2 8" xfId="7301" xr:uid="{00000000-0005-0000-0000-0000B3440000}"/>
    <cellStyle name="Normal 2 5 2 3 3 2 8 2" xfId="20027" xr:uid="{00000000-0005-0000-0000-0000B4440000}"/>
    <cellStyle name="Normal 2 5 2 3 3 2 8 2 2" xfId="45580" xr:uid="{00000000-0005-0000-0000-0000B5440000}"/>
    <cellStyle name="Normal 2 5 2 3 3 2 8 3" xfId="32858" xr:uid="{00000000-0005-0000-0000-0000B6440000}"/>
    <cellStyle name="Normal 2 5 2 3 3 2 9" xfId="16047" xr:uid="{00000000-0005-0000-0000-0000B7440000}"/>
    <cellStyle name="Normal 2 5 2 3 3 2 9 2" xfId="41600" xr:uid="{00000000-0005-0000-0000-0000B8440000}"/>
    <cellStyle name="Normal 2 5 2 3 3 2_Degree data" xfId="3914" xr:uid="{00000000-0005-0000-0000-0000B9440000}"/>
    <cellStyle name="Normal 2 5 2 3 3 3" xfId="376" xr:uid="{00000000-0005-0000-0000-0000BA440000}"/>
    <cellStyle name="Normal 2 5 2 3 3 3 2" xfId="2862" xr:uid="{00000000-0005-0000-0000-0000BB440000}"/>
    <cellStyle name="Normal 2 5 2 3 3 3 2 2" xfId="12150" xr:uid="{00000000-0005-0000-0000-0000BC440000}"/>
    <cellStyle name="Normal 2 5 2 3 3 3 2 2 2" xfId="22223" xr:uid="{00000000-0005-0000-0000-0000BD440000}"/>
    <cellStyle name="Normal 2 5 2 3 3 3 2 2 2 2" xfId="47776" xr:uid="{00000000-0005-0000-0000-0000BE440000}"/>
    <cellStyle name="Normal 2 5 2 3 3 3 2 2 3" xfId="37705" xr:uid="{00000000-0005-0000-0000-0000BF440000}"/>
    <cellStyle name="Normal 2 5 2 3 3 3 2 3" xfId="8461" xr:uid="{00000000-0005-0000-0000-0000C0440000}"/>
    <cellStyle name="Normal 2 5 2 3 3 3 2 3 2" xfId="34018" xr:uid="{00000000-0005-0000-0000-0000C1440000}"/>
    <cellStyle name="Normal 2 5 2 3 3 3 2 4" xfId="17216" xr:uid="{00000000-0005-0000-0000-0000C2440000}"/>
    <cellStyle name="Normal 2 5 2 3 3 3 2 4 2" xfId="42769" xr:uid="{00000000-0005-0000-0000-0000C3440000}"/>
    <cellStyle name="Normal 2 5 2 3 3 3 2 5" xfId="28706" xr:uid="{00000000-0005-0000-0000-0000C4440000}"/>
    <cellStyle name="Normal 2 5 2 3 3 3 3" xfId="4553" xr:uid="{00000000-0005-0000-0000-0000C5440000}"/>
    <cellStyle name="Normal 2 5 2 3 3 3 3 2" xfId="13391" xr:uid="{00000000-0005-0000-0000-0000C6440000}"/>
    <cellStyle name="Normal 2 5 2 3 3 3 3 2 2" xfId="23642" xr:uid="{00000000-0005-0000-0000-0000C7440000}"/>
    <cellStyle name="Normal 2 5 2 3 3 3 3 2 2 2" xfId="49195" xr:uid="{00000000-0005-0000-0000-0000C8440000}"/>
    <cellStyle name="Normal 2 5 2 3 3 3 3 2 3" xfId="38946" xr:uid="{00000000-0005-0000-0000-0000C9440000}"/>
    <cellStyle name="Normal 2 5 2 3 3 3 3 3" xfId="9812" xr:uid="{00000000-0005-0000-0000-0000CA440000}"/>
    <cellStyle name="Normal 2 5 2 3 3 3 3 3 2" xfId="35369" xr:uid="{00000000-0005-0000-0000-0000CB440000}"/>
    <cellStyle name="Normal 2 5 2 3 3 3 3 4" xfId="18635" xr:uid="{00000000-0005-0000-0000-0000CC440000}"/>
    <cellStyle name="Normal 2 5 2 3 3 3 3 4 2" xfId="44188" xr:uid="{00000000-0005-0000-0000-0000CD440000}"/>
    <cellStyle name="Normal 2 5 2 3 3 3 3 5" xfId="30125" xr:uid="{00000000-0005-0000-0000-0000CE440000}"/>
    <cellStyle name="Normal 2 5 2 3 3 3 4" xfId="1971" xr:uid="{00000000-0005-0000-0000-0000CF440000}"/>
    <cellStyle name="Normal 2 5 2 3 3 3 4 2" xfId="11336" xr:uid="{00000000-0005-0000-0000-0000D0440000}"/>
    <cellStyle name="Normal 2 5 2 3 3 3 4 2 2" xfId="36891" xr:uid="{00000000-0005-0000-0000-0000D1440000}"/>
    <cellStyle name="Normal 2 5 2 3 3 3 4 3" xfId="21340" xr:uid="{00000000-0005-0000-0000-0000D2440000}"/>
    <cellStyle name="Normal 2 5 2 3 3 3 4 3 2" xfId="46893" xr:uid="{00000000-0005-0000-0000-0000D3440000}"/>
    <cellStyle name="Normal 2 5 2 3 3 3 4 4" xfId="27823" xr:uid="{00000000-0005-0000-0000-0000D4440000}"/>
    <cellStyle name="Normal 2 5 2 3 3 3 5" xfId="6009" xr:uid="{00000000-0005-0000-0000-0000D5440000}"/>
    <cellStyle name="Normal 2 5 2 3 3 3 5 2" xfId="14836" xr:uid="{00000000-0005-0000-0000-0000D6440000}"/>
    <cellStyle name="Normal 2 5 2 3 3 3 5 2 2" xfId="40391" xr:uid="{00000000-0005-0000-0000-0000D7440000}"/>
    <cellStyle name="Normal 2 5 2 3 3 3 5 3" xfId="25087" xr:uid="{00000000-0005-0000-0000-0000D8440000}"/>
    <cellStyle name="Normal 2 5 2 3 3 3 5 3 2" xfId="50640" xr:uid="{00000000-0005-0000-0000-0000D9440000}"/>
    <cellStyle name="Normal 2 5 2 3 3 3 5 4" xfId="31570" xr:uid="{00000000-0005-0000-0000-0000DA440000}"/>
    <cellStyle name="Normal 2 5 2 3 3 3 6" xfId="7453" xr:uid="{00000000-0005-0000-0000-0000DB440000}"/>
    <cellStyle name="Normal 2 5 2 3 3 3 6 2" xfId="19822" xr:uid="{00000000-0005-0000-0000-0000DC440000}"/>
    <cellStyle name="Normal 2 5 2 3 3 3 6 2 2" xfId="45375" xr:uid="{00000000-0005-0000-0000-0000DD440000}"/>
    <cellStyle name="Normal 2 5 2 3 3 3 6 3" xfId="33010" xr:uid="{00000000-0005-0000-0000-0000DE440000}"/>
    <cellStyle name="Normal 2 5 2 3 3 3 7" xfId="16333" xr:uid="{00000000-0005-0000-0000-0000DF440000}"/>
    <cellStyle name="Normal 2 5 2 3 3 3 7 2" xfId="41886" xr:uid="{00000000-0005-0000-0000-0000E0440000}"/>
    <cellStyle name="Normal 2 5 2 3 3 3 8" xfId="26305" xr:uid="{00000000-0005-0000-0000-0000E1440000}"/>
    <cellStyle name="Normal 2 5 2 3 3 4" xfId="738" xr:uid="{00000000-0005-0000-0000-0000E2440000}"/>
    <cellStyle name="Normal 2 5 2 3 3 4 2" xfId="3224" xr:uid="{00000000-0005-0000-0000-0000E3440000}"/>
    <cellStyle name="Normal 2 5 2 3 3 4 2 2" xfId="12366" xr:uid="{00000000-0005-0000-0000-0000E4440000}"/>
    <cellStyle name="Normal 2 5 2 3 3 4 2 2 2" xfId="22585" xr:uid="{00000000-0005-0000-0000-0000E5440000}"/>
    <cellStyle name="Normal 2 5 2 3 3 4 2 2 2 2" xfId="48138" xr:uid="{00000000-0005-0000-0000-0000E6440000}"/>
    <cellStyle name="Normal 2 5 2 3 3 4 2 2 3" xfId="37921" xr:uid="{00000000-0005-0000-0000-0000E7440000}"/>
    <cellStyle name="Normal 2 5 2 3 3 4 2 3" xfId="8788" xr:uid="{00000000-0005-0000-0000-0000E8440000}"/>
    <cellStyle name="Normal 2 5 2 3 3 4 2 3 2" xfId="34345" xr:uid="{00000000-0005-0000-0000-0000E9440000}"/>
    <cellStyle name="Normal 2 5 2 3 3 4 2 4" xfId="17578" xr:uid="{00000000-0005-0000-0000-0000EA440000}"/>
    <cellStyle name="Normal 2 5 2 3 3 4 2 4 2" xfId="43131" xr:uid="{00000000-0005-0000-0000-0000EB440000}"/>
    <cellStyle name="Normal 2 5 2 3 3 4 2 5" xfId="29068" xr:uid="{00000000-0005-0000-0000-0000EC440000}"/>
    <cellStyle name="Normal 2 5 2 3 3 4 3" xfId="4902" xr:uid="{00000000-0005-0000-0000-0000ED440000}"/>
    <cellStyle name="Normal 2 5 2 3 3 4 3 2" xfId="13739" xr:uid="{00000000-0005-0000-0000-0000EE440000}"/>
    <cellStyle name="Normal 2 5 2 3 3 4 3 2 2" xfId="23990" xr:uid="{00000000-0005-0000-0000-0000EF440000}"/>
    <cellStyle name="Normal 2 5 2 3 3 4 3 2 2 2" xfId="49543" xr:uid="{00000000-0005-0000-0000-0000F0440000}"/>
    <cellStyle name="Normal 2 5 2 3 3 4 3 2 3" xfId="39294" xr:uid="{00000000-0005-0000-0000-0000F1440000}"/>
    <cellStyle name="Normal 2 5 2 3 3 4 3 3" xfId="10160" xr:uid="{00000000-0005-0000-0000-0000F2440000}"/>
    <cellStyle name="Normal 2 5 2 3 3 4 3 3 2" xfId="35717" xr:uid="{00000000-0005-0000-0000-0000F3440000}"/>
    <cellStyle name="Normal 2 5 2 3 3 4 3 4" xfId="18983" xr:uid="{00000000-0005-0000-0000-0000F4440000}"/>
    <cellStyle name="Normal 2 5 2 3 3 4 3 4 2" xfId="44536" xr:uid="{00000000-0005-0000-0000-0000F5440000}"/>
    <cellStyle name="Normal 2 5 2 3 3 4 3 5" xfId="30473" xr:uid="{00000000-0005-0000-0000-0000F6440000}"/>
    <cellStyle name="Normal 2 5 2 3 3 4 4" xfId="2333" xr:uid="{00000000-0005-0000-0000-0000F7440000}"/>
    <cellStyle name="Normal 2 5 2 3 3 4 4 2" xfId="11698" xr:uid="{00000000-0005-0000-0000-0000F8440000}"/>
    <cellStyle name="Normal 2 5 2 3 3 4 4 2 2" xfId="37253" xr:uid="{00000000-0005-0000-0000-0000F9440000}"/>
    <cellStyle name="Normal 2 5 2 3 3 4 4 3" xfId="21702" xr:uid="{00000000-0005-0000-0000-0000FA440000}"/>
    <cellStyle name="Normal 2 5 2 3 3 4 4 3 2" xfId="47255" xr:uid="{00000000-0005-0000-0000-0000FB440000}"/>
    <cellStyle name="Normal 2 5 2 3 3 4 4 4" xfId="28185" xr:uid="{00000000-0005-0000-0000-0000FC440000}"/>
    <cellStyle name="Normal 2 5 2 3 3 4 5" xfId="6357" xr:uid="{00000000-0005-0000-0000-0000FD440000}"/>
    <cellStyle name="Normal 2 5 2 3 3 4 5 2" xfId="15184" xr:uid="{00000000-0005-0000-0000-0000FE440000}"/>
    <cellStyle name="Normal 2 5 2 3 3 4 5 2 2" xfId="40739" xr:uid="{00000000-0005-0000-0000-0000FF440000}"/>
    <cellStyle name="Normal 2 5 2 3 3 4 5 3" xfId="25435" xr:uid="{00000000-0005-0000-0000-000000450000}"/>
    <cellStyle name="Normal 2 5 2 3 3 4 5 3 2" xfId="50988" xr:uid="{00000000-0005-0000-0000-000001450000}"/>
    <cellStyle name="Normal 2 5 2 3 3 4 5 4" xfId="31918" xr:uid="{00000000-0005-0000-0000-000002450000}"/>
    <cellStyle name="Normal 2 5 2 3 3 4 6" xfId="7803" xr:uid="{00000000-0005-0000-0000-000003450000}"/>
    <cellStyle name="Normal 2 5 2 3 3 4 6 2" xfId="20184" xr:uid="{00000000-0005-0000-0000-000004450000}"/>
    <cellStyle name="Normal 2 5 2 3 3 4 6 2 2" xfId="45737" xr:uid="{00000000-0005-0000-0000-000005450000}"/>
    <cellStyle name="Normal 2 5 2 3 3 4 6 3" xfId="33360" xr:uid="{00000000-0005-0000-0000-000006450000}"/>
    <cellStyle name="Normal 2 5 2 3 3 4 7" xfId="16695" xr:uid="{00000000-0005-0000-0000-000007450000}"/>
    <cellStyle name="Normal 2 5 2 3 3 4 7 2" xfId="42248" xr:uid="{00000000-0005-0000-0000-000008450000}"/>
    <cellStyle name="Normal 2 5 2 3 3 4 8" xfId="26667" xr:uid="{00000000-0005-0000-0000-000009450000}"/>
    <cellStyle name="Normal 2 5 2 3 3 5" xfId="1148" xr:uid="{00000000-0005-0000-0000-00000A450000}"/>
    <cellStyle name="Normal 2 5 2 3 3 5 2" xfId="3577" xr:uid="{00000000-0005-0000-0000-00000B450000}"/>
    <cellStyle name="Normal 2 5 2 3 3 5 2 2" xfId="12713" xr:uid="{00000000-0005-0000-0000-00000C450000}"/>
    <cellStyle name="Normal 2 5 2 3 3 5 2 2 2" xfId="22932" xr:uid="{00000000-0005-0000-0000-00000D450000}"/>
    <cellStyle name="Normal 2 5 2 3 3 5 2 2 2 2" xfId="48485" xr:uid="{00000000-0005-0000-0000-00000E450000}"/>
    <cellStyle name="Normal 2 5 2 3 3 5 2 2 3" xfId="38268" xr:uid="{00000000-0005-0000-0000-00000F450000}"/>
    <cellStyle name="Normal 2 5 2 3 3 5 2 3" xfId="9134" xr:uid="{00000000-0005-0000-0000-000010450000}"/>
    <cellStyle name="Normal 2 5 2 3 3 5 2 3 2" xfId="34691" xr:uid="{00000000-0005-0000-0000-000011450000}"/>
    <cellStyle name="Normal 2 5 2 3 3 5 2 4" xfId="17925" xr:uid="{00000000-0005-0000-0000-000012450000}"/>
    <cellStyle name="Normal 2 5 2 3 3 5 2 4 2" xfId="43478" xr:uid="{00000000-0005-0000-0000-000013450000}"/>
    <cellStyle name="Normal 2 5 2 3 3 5 2 5" xfId="29415" xr:uid="{00000000-0005-0000-0000-000014450000}"/>
    <cellStyle name="Normal 2 5 2 3 3 5 3" xfId="5240" xr:uid="{00000000-0005-0000-0000-000015450000}"/>
    <cellStyle name="Normal 2 5 2 3 3 5 3 2" xfId="14077" xr:uid="{00000000-0005-0000-0000-000016450000}"/>
    <cellStyle name="Normal 2 5 2 3 3 5 3 2 2" xfId="24328" xr:uid="{00000000-0005-0000-0000-000017450000}"/>
    <cellStyle name="Normal 2 5 2 3 3 5 3 2 2 2" xfId="49881" xr:uid="{00000000-0005-0000-0000-000018450000}"/>
    <cellStyle name="Normal 2 5 2 3 3 5 3 2 3" xfId="39632" xr:uid="{00000000-0005-0000-0000-000019450000}"/>
    <cellStyle name="Normal 2 5 2 3 3 5 3 3" xfId="10498" xr:uid="{00000000-0005-0000-0000-00001A450000}"/>
    <cellStyle name="Normal 2 5 2 3 3 5 3 3 2" xfId="36055" xr:uid="{00000000-0005-0000-0000-00001B450000}"/>
    <cellStyle name="Normal 2 5 2 3 3 5 3 4" xfId="19321" xr:uid="{00000000-0005-0000-0000-00001C450000}"/>
    <cellStyle name="Normal 2 5 2 3 3 5 3 4 2" xfId="44874" xr:uid="{00000000-0005-0000-0000-00001D450000}"/>
    <cellStyle name="Normal 2 5 2 3 3 5 3 5" xfId="30811" xr:uid="{00000000-0005-0000-0000-00001E450000}"/>
    <cellStyle name="Normal 2 5 2 3 3 5 4" xfId="1856" xr:uid="{00000000-0005-0000-0000-00001F450000}"/>
    <cellStyle name="Normal 2 5 2 3 3 5 4 2" xfId="11224" xr:uid="{00000000-0005-0000-0000-000020450000}"/>
    <cellStyle name="Normal 2 5 2 3 3 5 4 2 2" xfId="36779" xr:uid="{00000000-0005-0000-0000-000021450000}"/>
    <cellStyle name="Normal 2 5 2 3 3 5 4 3" xfId="21228" xr:uid="{00000000-0005-0000-0000-000022450000}"/>
    <cellStyle name="Normal 2 5 2 3 3 5 4 3 2" xfId="46781" xr:uid="{00000000-0005-0000-0000-000023450000}"/>
    <cellStyle name="Normal 2 5 2 3 3 5 4 4" xfId="27711" xr:uid="{00000000-0005-0000-0000-000024450000}"/>
    <cellStyle name="Normal 2 5 2 3 3 5 5" xfId="6695" xr:uid="{00000000-0005-0000-0000-000025450000}"/>
    <cellStyle name="Normal 2 5 2 3 3 5 5 2" xfId="15522" xr:uid="{00000000-0005-0000-0000-000026450000}"/>
    <cellStyle name="Normal 2 5 2 3 3 5 5 2 2" xfId="41077" xr:uid="{00000000-0005-0000-0000-000027450000}"/>
    <cellStyle name="Normal 2 5 2 3 3 5 5 3" xfId="25773" xr:uid="{00000000-0005-0000-0000-000028450000}"/>
    <cellStyle name="Normal 2 5 2 3 3 5 5 3 2" xfId="51326" xr:uid="{00000000-0005-0000-0000-000029450000}"/>
    <cellStyle name="Normal 2 5 2 3 3 5 5 4" xfId="32256" xr:uid="{00000000-0005-0000-0000-00002A450000}"/>
    <cellStyle name="Normal 2 5 2 3 3 5 6" xfId="8141" xr:uid="{00000000-0005-0000-0000-00002B450000}"/>
    <cellStyle name="Normal 2 5 2 3 3 5 6 2" xfId="20531" xr:uid="{00000000-0005-0000-0000-00002C450000}"/>
    <cellStyle name="Normal 2 5 2 3 3 5 6 2 2" xfId="46084" xr:uid="{00000000-0005-0000-0000-00002D450000}"/>
    <cellStyle name="Normal 2 5 2 3 3 5 6 3" xfId="33698" xr:uid="{00000000-0005-0000-0000-00002E450000}"/>
    <cellStyle name="Normal 2 5 2 3 3 5 7" xfId="16221" xr:uid="{00000000-0005-0000-0000-00002F450000}"/>
    <cellStyle name="Normal 2 5 2 3 3 5 7 2" xfId="41774" xr:uid="{00000000-0005-0000-0000-000030450000}"/>
    <cellStyle name="Normal 2 5 2 3 3 5 8" xfId="27014" xr:uid="{00000000-0005-0000-0000-000031450000}"/>
    <cellStyle name="Normal 2 5 2 3 3 6" xfId="2750" xr:uid="{00000000-0005-0000-0000-000032450000}"/>
    <cellStyle name="Normal 2 5 2 3 3 6 2" xfId="12067" xr:uid="{00000000-0005-0000-0000-000033450000}"/>
    <cellStyle name="Normal 2 5 2 3 3 6 2 2" xfId="22111" xr:uid="{00000000-0005-0000-0000-000034450000}"/>
    <cellStyle name="Normal 2 5 2 3 3 6 2 2 2" xfId="47664" xr:uid="{00000000-0005-0000-0000-000035450000}"/>
    <cellStyle name="Normal 2 5 2 3 3 6 2 3" xfId="37622" xr:uid="{00000000-0005-0000-0000-000036450000}"/>
    <cellStyle name="Normal 2 5 2 3 3 6 3" xfId="8482" xr:uid="{00000000-0005-0000-0000-000037450000}"/>
    <cellStyle name="Normal 2 5 2 3 3 6 3 2" xfId="34039" xr:uid="{00000000-0005-0000-0000-000038450000}"/>
    <cellStyle name="Normal 2 5 2 3 3 6 4" xfId="17104" xr:uid="{00000000-0005-0000-0000-000039450000}"/>
    <cellStyle name="Normal 2 5 2 3 3 6 4 2" xfId="42657" xr:uid="{00000000-0005-0000-0000-00003A450000}"/>
    <cellStyle name="Normal 2 5 2 3 3 6 5" xfId="28594" xr:uid="{00000000-0005-0000-0000-00003B450000}"/>
    <cellStyle name="Normal 2 5 2 3 3 7" xfId="4196" xr:uid="{00000000-0005-0000-0000-00003C450000}"/>
    <cellStyle name="Normal 2 5 2 3 3 7 2" xfId="13034" xr:uid="{00000000-0005-0000-0000-00003D450000}"/>
    <cellStyle name="Normal 2 5 2 3 3 7 2 2" xfId="23285" xr:uid="{00000000-0005-0000-0000-00003E450000}"/>
    <cellStyle name="Normal 2 5 2 3 3 7 2 2 2" xfId="48838" xr:uid="{00000000-0005-0000-0000-00003F450000}"/>
    <cellStyle name="Normal 2 5 2 3 3 7 2 3" xfId="38589" xr:uid="{00000000-0005-0000-0000-000040450000}"/>
    <cellStyle name="Normal 2 5 2 3 3 7 3" xfId="9455" xr:uid="{00000000-0005-0000-0000-000041450000}"/>
    <cellStyle name="Normal 2 5 2 3 3 7 3 2" xfId="35012" xr:uid="{00000000-0005-0000-0000-000042450000}"/>
    <cellStyle name="Normal 2 5 2 3 3 7 4" xfId="18278" xr:uid="{00000000-0005-0000-0000-000043450000}"/>
    <cellStyle name="Normal 2 5 2 3 3 7 4 2" xfId="43831" xr:uid="{00000000-0005-0000-0000-000044450000}"/>
    <cellStyle name="Normal 2 5 2 3 3 7 5" xfId="29768" xr:uid="{00000000-0005-0000-0000-000045450000}"/>
    <cellStyle name="Normal 2 5 2 3 3 8" xfId="1468" xr:uid="{00000000-0005-0000-0000-000046450000}"/>
    <cellStyle name="Normal 2 5 2 3 3 8 2" xfId="10845" xr:uid="{00000000-0005-0000-0000-000047450000}"/>
    <cellStyle name="Normal 2 5 2 3 3 8 2 2" xfId="36400" xr:uid="{00000000-0005-0000-0000-000048450000}"/>
    <cellStyle name="Normal 2 5 2 3 3 8 3" xfId="20849" xr:uid="{00000000-0005-0000-0000-000049450000}"/>
    <cellStyle name="Normal 2 5 2 3 3 8 3 2" xfId="46402" xr:uid="{00000000-0005-0000-0000-00004A450000}"/>
    <cellStyle name="Normal 2 5 2 3 3 8 4" xfId="27332" xr:uid="{00000000-0005-0000-0000-00004B450000}"/>
    <cellStyle name="Normal 2 5 2 3 3 9" xfId="5652" xr:uid="{00000000-0005-0000-0000-00004C450000}"/>
    <cellStyle name="Normal 2 5 2 3 3 9 2" xfId="14479" xr:uid="{00000000-0005-0000-0000-00004D450000}"/>
    <cellStyle name="Normal 2 5 2 3 3 9 2 2" xfId="40034" xr:uid="{00000000-0005-0000-0000-00004E450000}"/>
    <cellStyle name="Normal 2 5 2 3 3 9 3" xfId="24730" xr:uid="{00000000-0005-0000-0000-00004F450000}"/>
    <cellStyle name="Normal 2 5 2 3 3 9 3 2" xfId="50283" xr:uid="{00000000-0005-0000-0000-000050450000}"/>
    <cellStyle name="Normal 2 5 2 3 3 9 4" xfId="31213" xr:uid="{00000000-0005-0000-0000-000051450000}"/>
    <cellStyle name="Normal 2 5 2 3 3_Degree data" xfId="3461" xr:uid="{00000000-0005-0000-0000-000052450000}"/>
    <cellStyle name="Normal 2 5 2 3 4" xfId="476" xr:uid="{00000000-0005-0000-0000-000053450000}"/>
    <cellStyle name="Normal 2 5 2 3 4 10" xfId="26405" xr:uid="{00000000-0005-0000-0000-000054450000}"/>
    <cellStyle name="Normal 2 5 2 3 4 2" xfId="740" xr:uid="{00000000-0005-0000-0000-000055450000}"/>
    <cellStyle name="Normal 2 5 2 3 4 2 2" xfId="3226" xr:uid="{00000000-0005-0000-0000-000056450000}"/>
    <cellStyle name="Normal 2 5 2 3 4 2 2 2" xfId="12368" xr:uid="{00000000-0005-0000-0000-000057450000}"/>
    <cellStyle name="Normal 2 5 2 3 4 2 2 2 2" xfId="22587" xr:uid="{00000000-0005-0000-0000-000058450000}"/>
    <cellStyle name="Normal 2 5 2 3 4 2 2 2 2 2" xfId="48140" xr:uid="{00000000-0005-0000-0000-000059450000}"/>
    <cellStyle name="Normal 2 5 2 3 4 2 2 2 3" xfId="37923" xr:uid="{00000000-0005-0000-0000-00005A450000}"/>
    <cellStyle name="Normal 2 5 2 3 4 2 2 3" xfId="8790" xr:uid="{00000000-0005-0000-0000-00005B450000}"/>
    <cellStyle name="Normal 2 5 2 3 4 2 2 3 2" xfId="34347" xr:uid="{00000000-0005-0000-0000-00005C450000}"/>
    <cellStyle name="Normal 2 5 2 3 4 2 2 4" xfId="17580" xr:uid="{00000000-0005-0000-0000-00005D450000}"/>
    <cellStyle name="Normal 2 5 2 3 4 2 2 4 2" xfId="43133" xr:uid="{00000000-0005-0000-0000-00005E450000}"/>
    <cellStyle name="Normal 2 5 2 3 4 2 2 5" xfId="29070" xr:uid="{00000000-0005-0000-0000-00005F450000}"/>
    <cellStyle name="Normal 2 5 2 3 4 2 3" xfId="4555" xr:uid="{00000000-0005-0000-0000-000060450000}"/>
    <cellStyle name="Normal 2 5 2 3 4 2 3 2" xfId="13393" xr:uid="{00000000-0005-0000-0000-000061450000}"/>
    <cellStyle name="Normal 2 5 2 3 4 2 3 2 2" xfId="23644" xr:uid="{00000000-0005-0000-0000-000062450000}"/>
    <cellStyle name="Normal 2 5 2 3 4 2 3 2 2 2" xfId="49197" xr:uid="{00000000-0005-0000-0000-000063450000}"/>
    <cellStyle name="Normal 2 5 2 3 4 2 3 2 3" xfId="38948" xr:uid="{00000000-0005-0000-0000-000064450000}"/>
    <cellStyle name="Normal 2 5 2 3 4 2 3 3" xfId="9814" xr:uid="{00000000-0005-0000-0000-000065450000}"/>
    <cellStyle name="Normal 2 5 2 3 4 2 3 3 2" xfId="35371" xr:uid="{00000000-0005-0000-0000-000066450000}"/>
    <cellStyle name="Normal 2 5 2 3 4 2 3 4" xfId="18637" xr:uid="{00000000-0005-0000-0000-000067450000}"/>
    <cellStyle name="Normal 2 5 2 3 4 2 3 4 2" xfId="44190" xr:uid="{00000000-0005-0000-0000-000068450000}"/>
    <cellStyle name="Normal 2 5 2 3 4 2 3 5" xfId="30127" xr:uid="{00000000-0005-0000-0000-000069450000}"/>
    <cellStyle name="Normal 2 5 2 3 4 2 4" xfId="2335" xr:uid="{00000000-0005-0000-0000-00006A450000}"/>
    <cellStyle name="Normal 2 5 2 3 4 2 4 2" xfId="11700" xr:uid="{00000000-0005-0000-0000-00006B450000}"/>
    <cellStyle name="Normal 2 5 2 3 4 2 4 2 2" xfId="37255" xr:uid="{00000000-0005-0000-0000-00006C450000}"/>
    <cellStyle name="Normal 2 5 2 3 4 2 4 3" xfId="21704" xr:uid="{00000000-0005-0000-0000-00006D450000}"/>
    <cellStyle name="Normal 2 5 2 3 4 2 4 3 2" xfId="47257" xr:uid="{00000000-0005-0000-0000-00006E450000}"/>
    <cellStyle name="Normal 2 5 2 3 4 2 4 4" xfId="28187" xr:uid="{00000000-0005-0000-0000-00006F450000}"/>
    <cellStyle name="Normal 2 5 2 3 4 2 5" xfId="6011" xr:uid="{00000000-0005-0000-0000-000070450000}"/>
    <cellStyle name="Normal 2 5 2 3 4 2 5 2" xfId="14838" xr:uid="{00000000-0005-0000-0000-000071450000}"/>
    <cellStyle name="Normal 2 5 2 3 4 2 5 2 2" xfId="40393" xr:uid="{00000000-0005-0000-0000-000072450000}"/>
    <cellStyle name="Normal 2 5 2 3 4 2 5 3" xfId="25089" xr:uid="{00000000-0005-0000-0000-000073450000}"/>
    <cellStyle name="Normal 2 5 2 3 4 2 5 3 2" xfId="50642" xr:uid="{00000000-0005-0000-0000-000074450000}"/>
    <cellStyle name="Normal 2 5 2 3 4 2 5 4" xfId="31572" xr:uid="{00000000-0005-0000-0000-000075450000}"/>
    <cellStyle name="Normal 2 5 2 3 4 2 6" xfId="7455" xr:uid="{00000000-0005-0000-0000-000076450000}"/>
    <cellStyle name="Normal 2 5 2 3 4 2 6 2" xfId="20186" xr:uid="{00000000-0005-0000-0000-000077450000}"/>
    <cellStyle name="Normal 2 5 2 3 4 2 6 2 2" xfId="45739" xr:uid="{00000000-0005-0000-0000-000078450000}"/>
    <cellStyle name="Normal 2 5 2 3 4 2 6 3" xfId="33012" xr:uid="{00000000-0005-0000-0000-000079450000}"/>
    <cellStyle name="Normal 2 5 2 3 4 2 7" xfId="16697" xr:uid="{00000000-0005-0000-0000-00007A450000}"/>
    <cellStyle name="Normal 2 5 2 3 4 2 7 2" xfId="42250" xr:uid="{00000000-0005-0000-0000-00007B450000}"/>
    <cellStyle name="Normal 2 5 2 3 4 2 8" xfId="26669" xr:uid="{00000000-0005-0000-0000-00007C450000}"/>
    <cellStyle name="Normal 2 5 2 3 4 3" xfId="1248" xr:uid="{00000000-0005-0000-0000-00007D450000}"/>
    <cellStyle name="Normal 2 5 2 3 4 3 2" xfId="3677" xr:uid="{00000000-0005-0000-0000-00007E450000}"/>
    <cellStyle name="Normal 2 5 2 3 4 3 2 2" xfId="12813" xr:uid="{00000000-0005-0000-0000-00007F450000}"/>
    <cellStyle name="Normal 2 5 2 3 4 3 2 2 2" xfId="23032" xr:uid="{00000000-0005-0000-0000-000080450000}"/>
    <cellStyle name="Normal 2 5 2 3 4 3 2 2 2 2" xfId="48585" xr:uid="{00000000-0005-0000-0000-000081450000}"/>
    <cellStyle name="Normal 2 5 2 3 4 3 2 2 3" xfId="38368" xr:uid="{00000000-0005-0000-0000-000082450000}"/>
    <cellStyle name="Normal 2 5 2 3 4 3 2 3" xfId="9234" xr:uid="{00000000-0005-0000-0000-000083450000}"/>
    <cellStyle name="Normal 2 5 2 3 4 3 2 3 2" xfId="34791" xr:uid="{00000000-0005-0000-0000-000084450000}"/>
    <cellStyle name="Normal 2 5 2 3 4 3 2 4" xfId="18025" xr:uid="{00000000-0005-0000-0000-000085450000}"/>
    <cellStyle name="Normal 2 5 2 3 4 3 2 4 2" xfId="43578" xr:uid="{00000000-0005-0000-0000-000086450000}"/>
    <cellStyle name="Normal 2 5 2 3 4 3 2 5" xfId="29515" xr:uid="{00000000-0005-0000-0000-000087450000}"/>
    <cellStyle name="Normal 2 5 2 3 4 3 3" xfId="4904" xr:uid="{00000000-0005-0000-0000-000088450000}"/>
    <cellStyle name="Normal 2 5 2 3 4 3 3 2" xfId="13741" xr:uid="{00000000-0005-0000-0000-000089450000}"/>
    <cellStyle name="Normal 2 5 2 3 4 3 3 2 2" xfId="23992" xr:uid="{00000000-0005-0000-0000-00008A450000}"/>
    <cellStyle name="Normal 2 5 2 3 4 3 3 2 2 2" xfId="49545" xr:uid="{00000000-0005-0000-0000-00008B450000}"/>
    <cellStyle name="Normal 2 5 2 3 4 3 3 2 3" xfId="39296" xr:uid="{00000000-0005-0000-0000-00008C450000}"/>
    <cellStyle name="Normal 2 5 2 3 4 3 3 3" xfId="10162" xr:uid="{00000000-0005-0000-0000-00008D450000}"/>
    <cellStyle name="Normal 2 5 2 3 4 3 3 3 2" xfId="35719" xr:uid="{00000000-0005-0000-0000-00008E450000}"/>
    <cellStyle name="Normal 2 5 2 3 4 3 3 4" xfId="18985" xr:uid="{00000000-0005-0000-0000-00008F450000}"/>
    <cellStyle name="Normal 2 5 2 3 4 3 3 4 2" xfId="44538" xr:uid="{00000000-0005-0000-0000-000090450000}"/>
    <cellStyle name="Normal 2 5 2 3 4 3 3 5" xfId="30475" xr:uid="{00000000-0005-0000-0000-000091450000}"/>
    <cellStyle name="Normal 2 5 2 3 4 3 4" xfId="2071" xr:uid="{00000000-0005-0000-0000-000092450000}"/>
    <cellStyle name="Normal 2 5 2 3 4 3 4 2" xfId="11436" xr:uid="{00000000-0005-0000-0000-000093450000}"/>
    <cellStyle name="Normal 2 5 2 3 4 3 4 2 2" xfId="36991" xr:uid="{00000000-0005-0000-0000-000094450000}"/>
    <cellStyle name="Normal 2 5 2 3 4 3 4 3" xfId="21440" xr:uid="{00000000-0005-0000-0000-000095450000}"/>
    <cellStyle name="Normal 2 5 2 3 4 3 4 3 2" xfId="46993" xr:uid="{00000000-0005-0000-0000-000096450000}"/>
    <cellStyle name="Normal 2 5 2 3 4 3 4 4" xfId="27923" xr:uid="{00000000-0005-0000-0000-000097450000}"/>
    <cellStyle name="Normal 2 5 2 3 4 3 5" xfId="6359" xr:uid="{00000000-0005-0000-0000-000098450000}"/>
    <cellStyle name="Normal 2 5 2 3 4 3 5 2" xfId="15186" xr:uid="{00000000-0005-0000-0000-000099450000}"/>
    <cellStyle name="Normal 2 5 2 3 4 3 5 2 2" xfId="40741" xr:uid="{00000000-0005-0000-0000-00009A450000}"/>
    <cellStyle name="Normal 2 5 2 3 4 3 5 3" xfId="25437" xr:uid="{00000000-0005-0000-0000-00009B450000}"/>
    <cellStyle name="Normal 2 5 2 3 4 3 5 3 2" xfId="50990" xr:uid="{00000000-0005-0000-0000-00009C450000}"/>
    <cellStyle name="Normal 2 5 2 3 4 3 5 4" xfId="31920" xr:uid="{00000000-0005-0000-0000-00009D450000}"/>
    <cellStyle name="Normal 2 5 2 3 4 3 6" xfId="7805" xr:uid="{00000000-0005-0000-0000-00009E450000}"/>
    <cellStyle name="Normal 2 5 2 3 4 3 6 2" xfId="20631" xr:uid="{00000000-0005-0000-0000-00009F450000}"/>
    <cellStyle name="Normal 2 5 2 3 4 3 6 2 2" xfId="46184" xr:uid="{00000000-0005-0000-0000-0000A0450000}"/>
    <cellStyle name="Normal 2 5 2 3 4 3 6 3" xfId="33362" xr:uid="{00000000-0005-0000-0000-0000A1450000}"/>
    <cellStyle name="Normal 2 5 2 3 4 3 7" xfId="16433" xr:uid="{00000000-0005-0000-0000-0000A2450000}"/>
    <cellStyle name="Normal 2 5 2 3 4 3 7 2" xfId="41986" xr:uid="{00000000-0005-0000-0000-0000A3450000}"/>
    <cellStyle name="Normal 2 5 2 3 4 3 8" xfId="27114" xr:uid="{00000000-0005-0000-0000-0000A4450000}"/>
    <cellStyle name="Normal 2 5 2 3 4 4" xfId="2962" xr:uid="{00000000-0005-0000-0000-0000A5450000}"/>
    <cellStyle name="Normal 2 5 2 3 4 4 2" xfId="5340" xr:uid="{00000000-0005-0000-0000-0000A6450000}"/>
    <cellStyle name="Normal 2 5 2 3 4 4 2 2" xfId="14177" xr:uid="{00000000-0005-0000-0000-0000A7450000}"/>
    <cellStyle name="Normal 2 5 2 3 4 4 2 2 2" xfId="24428" xr:uid="{00000000-0005-0000-0000-0000A8450000}"/>
    <cellStyle name="Normal 2 5 2 3 4 4 2 2 2 2" xfId="49981" xr:uid="{00000000-0005-0000-0000-0000A9450000}"/>
    <cellStyle name="Normal 2 5 2 3 4 4 2 2 3" xfId="39732" xr:uid="{00000000-0005-0000-0000-0000AA450000}"/>
    <cellStyle name="Normal 2 5 2 3 4 4 2 3" xfId="10598" xr:uid="{00000000-0005-0000-0000-0000AB450000}"/>
    <cellStyle name="Normal 2 5 2 3 4 4 2 3 2" xfId="36155" xr:uid="{00000000-0005-0000-0000-0000AC450000}"/>
    <cellStyle name="Normal 2 5 2 3 4 4 2 4" xfId="19421" xr:uid="{00000000-0005-0000-0000-0000AD450000}"/>
    <cellStyle name="Normal 2 5 2 3 4 4 2 4 2" xfId="44974" xr:uid="{00000000-0005-0000-0000-0000AE450000}"/>
    <cellStyle name="Normal 2 5 2 3 4 4 2 5" xfId="30911" xr:uid="{00000000-0005-0000-0000-0000AF450000}"/>
    <cellStyle name="Normal 2 5 2 3 4 4 3" xfId="6795" xr:uid="{00000000-0005-0000-0000-0000B0450000}"/>
    <cellStyle name="Normal 2 5 2 3 4 4 3 2" xfId="15622" xr:uid="{00000000-0005-0000-0000-0000B1450000}"/>
    <cellStyle name="Normal 2 5 2 3 4 4 3 2 2" xfId="41177" xr:uid="{00000000-0005-0000-0000-0000B2450000}"/>
    <cellStyle name="Normal 2 5 2 3 4 4 3 3" xfId="25873" xr:uid="{00000000-0005-0000-0000-0000B3450000}"/>
    <cellStyle name="Normal 2 5 2 3 4 4 3 3 2" xfId="51426" xr:uid="{00000000-0005-0000-0000-0000B4450000}"/>
    <cellStyle name="Normal 2 5 2 3 4 4 3 4" xfId="32356" xr:uid="{00000000-0005-0000-0000-0000B5450000}"/>
    <cellStyle name="Normal 2 5 2 3 4 4 4" xfId="8241" xr:uid="{00000000-0005-0000-0000-0000B6450000}"/>
    <cellStyle name="Normal 2 5 2 3 4 4 4 2" xfId="22323" xr:uid="{00000000-0005-0000-0000-0000B7450000}"/>
    <cellStyle name="Normal 2 5 2 3 4 4 4 2 2" xfId="47876" xr:uid="{00000000-0005-0000-0000-0000B8450000}"/>
    <cellStyle name="Normal 2 5 2 3 4 4 4 3" xfId="33798" xr:uid="{00000000-0005-0000-0000-0000B9450000}"/>
    <cellStyle name="Normal 2 5 2 3 4 4 5" xfId="17316" xr:uid="{00000000-0005-0000-0000-0000BA450000}"/>
    <cellStyle name="Normal 2 5 2 3 4 4 5 2" xfId="42869" xr:uid="{00000000-0005-0000-0000-0000BB450000}"/>
    <cellStyle name="Normal 2 5 2 3 4 4 6" xfId="28806" xr:uid="{00000000-0005-0000-0000-0000BC450000}"/>
    <cellStyle name="Normal 2 5 2 3 4 5" xfId="4296" xr:uid="{00000000-0005-0000-0000-0000BD450000}"/>
    <cellStyle name="Normal 2 5 2 3 4 5 2" xfId="13134" xr:uid="{00000000-0005-0000-0000-0000BE450000}"/>
    <cellStyle name="Normal 2 5 2 3 4 5 2 2" xfId="23385" xr:uid="{00000000-0005-0000-0000-0000BF450000}"/>
    <cellStyle name="Normal 2 5 2 3 4 5 2 2 2" xfId="48938" xr:uid="{00000000-0005-0000-0000-0000C0450000}"/>
    <cellStyle name="Normal 2 5 2 3 4 5 2 3" xfId="38689" xr:uid="{00000000-0005-0000-0000-0000C1450000}"/>
    <cellStyle name="Normal 2 5 2 3 4 5 3" xfId="9555" xr:uid="{00000000-0005-0000-0000-0000C2450000}"/>
    <cellStyle name="Normal 2 5 2 3 4 5 3 2" xfId="35112" xr:uid="{00000000-0005-0000-0000-0000C3450000}"/>
    <cellStyle name="Normal 2 5 2 3 4 5 4" xfId="18378" xr:uid="{00000000-0005-0000-0000-0000C4450000}"/>
    <cellStyle name="Normal 2 5 2 3 4 5 4 2" xfId="43931" xr:uid="{00000000-0005-0000-0000-0000C5450000}"/>
    <cellStyle name="Normal 2 5 2 3 4 5 5" xfId="29868" xr:uid="{00000000-0005-0000-0000-0000C6450000}"/>
    <cellStyle name="Normal 2 5 2 3 4 6" xfId="1568" xr:uid="{00000000-0005-0000-0000-0000C7450000}"/>
    <cellStyle name="Normal 2 5 2 3 4 6 2" xfId="10945" xr:uid="{00000000-0005-0000-0000-0000C8450000}"/>
    <cellStyle name="Normal 2 5 2 3 4 6 2 2" xfId="36500" xr:uid="{00000000-0005-0000-0000-0000C9450000}"/>
    <cellStyle name="Normal 2 5 2 3 4 6 3" xfId="20949" xr:uid="{00000000-0005-0000-0000-0000CA450000}"/>
    <cellStyle name="Normal 2 5 2 3 4 6 3 2" xfId="46502" xr:uid="{00000000-0005-0000-0000-0000CB450000}"/>
    <cellStyle name="Normal 2 5 2 3 4 6 4" xfId="27432" xr:uid="{00000000-0005-0000-0000-0000CC450000}"/>
    <cellStyle name="Normal 2 5 2 3 4 7" xfId="5752" xr:uid="{00000000-0005-0000-0000-0000CD450000}"/>
    <cellStyle name="Normal 2 5 2 3 4 7 2" xfId="14579" xr:uid="{00000000-0005-0000-0000-0000CE450000}"/>
    <cellStyle name="Normal 2 5 2 3 4 7 2 2" xfId="40134" xr:uid="{00000000-0005-0000-0000-0000CF450000}"/>
    <cellStyle name="Normal 2 5 2 3 4 7 3" xfId="24830" xr:uid="{00000000-0005-0000-0000-0000D0450000}"/>
    <cellStyle name="Normal 2 5 2 3 4 7 3 2" xfId="50383" xr:uid="{00000000-0005-0000-0000-0000D1450000}"/>
    <cellStyle name="Normal 2 5 2 3 4 7 4" xfId="31313" xr:uid="{00000000-0005-0000-0000-0000D2450000}"/>
    <cellStyle name="Normal 2 5 2 3 4 8" xfId="7196" xr:uid="{00000000-0005-0000-0000-0000D3450000}"/>
    <cellStyle name="Normal 2 5 2 3 4 8 2" xfId="19922" xr:uid="{00000000-0005-0000-0000-0000D4450000}"/>
    <cellStyle name="Normal 2 5 2 3 4 8 2 2" xfId="45475" xr:uid="{00000000-0005-0000-0000-0000D5450000}"/>
    <cellStyle name="Normal 2 5 2 3 4 8 3" xfId="32753" xr:uid="{00000000-0005-0000-0000-0000D6450000}"/>
    <cellStyle name="Normal 2 5 2 3 4 9" xfId="15942" xr:uid="{00000000-0005-0000-0000-0000D7450000}"/>
    <cellStyle name="Normal 2 5 2 3 4 9 2" xfId="41495" xr:uid="{00000000-0005-0000-0000-0000D8450000}"/>
    <cellStyle name="Normal 2 5 2 3 4_Degree data" xfId="3908" xr:uid="{00000000-0005-0000-0000-0000D9450000}"/>
    <cellStyle name="Normal 2 5 2 3 5" xfId="317" xr:uid="{00000000-0005-0000-0000-0000DA450000}"/>
    <cellStyle name="Normal 2 5 2 3 5 2" xfId="2803" xr:uid="{00000000-0005-0000-0000-0000DB450000}"/>
    <cellStyle name="Normal 2 5 2 3 5 2 2" xfId="12107" xr:uid="{00000000-0005-0000-0000-0000DC450000}"/>
    <cellStyle name="Normal 2 5 2 3 5 2 2 2" xfId="22164" xr:uid="{00000000-0005-0000-0000-0000DD450000}"/>
    <cellStyle name="Normal 2 5 2 3 5 2 2 2 2" xfId="47717" xr:uid="{00000000-0005-0000-0000-0000DE450000}"/>
    <cellStyle name="Normal 2 5 2 3 5 2 2 3" xfId="37662" xr:uid="{00000000-0005-0000-0000-0000DF450000}"/>
    <cellStyle name="Normal 2 5 2 3 5 2 3" xfId="8405" xr:uid="{00000000-0005-0000-0000-0000E0450000}"/>
    <cellStyle name="Normal 2 5 2 3 5 2 3 2" xfId="33962" xr:uid="{00000000-0005-0000-0000-0000E1450000}"/>
    <cellStyle name="Normal 2 5 2 3 5 2 4" xfId="17157" xr:uid="{00000000-0005-0000-0000-0000E2450000}"/>
    <cellStyle name="Normal 2 5 2 3 5 2 4 2" xfId="42710" xr:uid="{00000000-0005-0000-0000-0000E3450000}"/>
    <cellStyle name="Normal 2 5 2 3 5 2 5" xfId="28647" xr:uid="{00000000-0005-0000-0000-0000E4450000}"/>
    <cellStyle name="Normal 2 5 2 3 5 3" xfId="4550" xr:uid="{00000000-0005-0000-0000-0000E5450000}"/>
    <cellStyle name="Normal 2 5 2 3 5 3 2" xfId="13388" xr:uid="{00000000-0005-0000-0000-0000E6450000}"/>
    <cellStyle name="Normal 2 5 2 3 5 3 2 2" xfId="23639" xr:uid="{00000000-0005-0000-0000-0000E7450000}"/>
    <cellStyle name="Normal 2 5 2 3 5 3 2 2 2" xfId="49192" xr:uid="{00000000-0005-0000-0000-0000E8450000}"/>
    <cellStyle name="Normal 2 5 2 3 5 3 2 3" xfId="38943" xr:uid="{00000000-0005-0000-0000-0000E9450000}"/>
    <cellStyle name="Normal 2 5 2 3 5 3 3" xfId="9809" xr:uid="{00000000-0005-0000-0000-0000EA450000}"/>
    <cellStyle name="Normal 2 5 2 3 5 3 3 2" xfId="35366" xr:uid="{00000000-0005-0000-0000-0000EB450000}"/>
    <cellStyle name="Normal 2 5 2 3 5 3 4" xfId="18632" xr:uid="{00000000-0005-0000-0000-0000EC450000}"/>
    <cellStyle name="Normal 2 5 2 3 5 3 4 2" xfId="44185" xr:uid="{00000000-0005-0000-0000-0000ED450000}"/>
    <cellStyle name="Normal 2 5 2 3 5 3 5" xfId="30122" xr:uid="{00000000-0005-0000-0000-0000EE450000}"/>
    <cellStyle name="Normal 2 5 2 3 5 4" xfId="1912" xr:uid="{00000000-0005-0000-0000-0000EF450000}"/>
    <cellStyle name="Normal 2 5 2 3 5 4 2" xfId="11277" xr:uid="{00000000-0005-0000-0000-0000F0450000}"/>
    <cellStyle name="Normal 2 5 2 3 5 4 2 2" xfId="36832" xr:uid="{00000000-0005-0000-0000-0000F1450000}"/>
    <cellStyle name="Normal 2 5 2 3 5 4 3" xfId="21281" xr:uid="{00000000-0005-0000-0000-0000F2450000}"/>
    <cellStyle name="Normal 2 5 2 3 5 4 3 2" xfId="46834" xr:uid="{00000000-0005-0000-0000-0000F3450000}"/>
    <cellStyle name="Normal 2 5 2 3 5 4 4" xfId="27764" xr:uid="{00000000-0005-0000-0000-0000F4450000}"/>
    <cellStyle name="Normal 2 5 2 3 5 5" xfId="6006" xr:uid="{00000000-0005-0000-0000-0000F5450000}"/>
    <cellStyle name="Normal 2 5 2 3 5 5 2" xfId="14833" xr:uid="{00000000-0005-0000-0000-0000F6450000}"/>
    <cellStyle name="Normal 2 5 2 3 5 5 2 2" xfId="40388" xr:uid="{00000000-0005-0000-0000-0000F7450000}"/>
    <cellStyle name="Normal 2 5 2 3 5 5 3" xfId="25084" xr:uid="{00000000-0005-0000-0000-0000F8450000}"/>
    <cellStyle name="Normal 2 5 2 3 5 5 3 2" xfId="50637" xr:uid="{00000000-0005-0000-0000-0000F9450000}"/>
    <cellStyle name="Normal 2 5 2 3 5 5 4" xfId="31567" xr:uid="{00000000-0005-0000-0000-0000FA450000}"/>
    <cellStyle name="Normal 2 5 2 3 5 6" xfId="7450" xr:uid="{00000000-0005-0000-0000-0000FB450000}"/>
    <cellStyle name="Normal 2 5 2 3 5 6 2" xfId="19763" xr:uid="{00000000-0005-0000-0000-0000FC450000}"/>
    <cellStyle name="Normal 2 5 2 3 5 6 2 2" xfId="45316" xr:uid="{00000000-0005-0000-0000-0000FD450000}"/>
    <cellStyle name="Normal 2 5 2 3 5 6 3" xfId="33007" xr:uid="{00000000-0005-0000-0000-0000FE450000}"/>
    <cellStyle name="Normal 2 5 2 3 5 7" xfId="16274" xr:uid="{00000000-0005-0000-0000-0000FF450000}"/>
    <cellStyle name="Normal 2 5 2 3 5 7 2" xfId="41827" xr:uid="{00000000-0005-0000-0000-000000460000}"/>
    <cellStyle name="Normal 2 5 2 3 5 8" xfId="26246" xr:uid="{00000000-0005-0000-0000-000001460000}"/>
    <cellStyle name="Normal 2 5 2 3 6" xfId="735" xr:uid="{00000000-0005-0000-0000-000002460000}"/>
    <cellStyle name="Normal 2 5 2 3 6 2" xfId="3221" xr:uid="{00000000-0005-0000-0000-000003460000}"/>
    <cellStyle name="Normal 2 5 2 3 6 2 2" xfId="12363" xr:uid="{00000000-0005-0000-0000-000004460000}"/>
    <cellStyle name="Normal 2 5 2 3 6 2 2 2" xfId="22582" xr:uid="{00000000-0005-0000-0000-000005460000}"/>
    <cellStyle name="Normal 2 5 2 3 6 2 2 2 2" xfId="48135" xr:uid="{00000000-0005-0000-0000-000006460000}"/>
    <cellStyle name="Normal 2 5 2 3 6 2 2 3" xfId="37918" xr:uid="{00000000-0005-0000-0000-000007460000}"/>
    <cellStyle name="Normal 2 5 2 3 6 2 3" xfId="8785" xr:uid="{00000000-0005-0000-0000-000008460000}"/>
    <cellStyle name="Normal 2 5 2 3 6 2 3 2" xfId="34342" xr:uid="{00000000-0005-0000-0000-000009460000}"/>
    <cellStyle name="Normal 2 5 2 3 6 2 4" xfId="17575" xr:uid="{00000000-0005-0000-0000-00000A460000}"/>
    <cellStyle name="Normal 2 5 2 3 6 2 4 2" xfId="43128" xr:uid="{00000000-0005-0000-0000-00000B460000}"/>
    <cellStyle name="Normal 2 5 2 3 6 2 5" xfId="29065" xr:uid="{00000000-0005-0000-0000-00000C460000}"/>
    <cellStyle name="Normal 2 5 2 3 6 3" xfId="4899" xr:uid="{00000000-0005-0000-0000-00000D460000}"/>
    <cellStyle name="Normal 2 5 2 3 6 3 2" xfId="13736" xr:uid="{00000000-0005-0000-0000-00000E460000}"/>
    <cellStyle name="Normal 2 5 2 3 6 3 2 2" xfId="23987" xr:uid="{00000000-0005-0000-0000-00000F460000}"/>
    <cellStyle name="Normal 2 5 2 3 6 3 2 2 2" xfId="49540" xr:uid="{00000000-0005-0000-0000-000010460000}"/>
    <cellStyle name="Normal 2 5 2 3 6 3 2 3" xfId="39291" xr:uid="{00000000-0005-0000-0000-000011460000}"/>
    <cellStyle name="Normal 2 5 2 3 6 3 3" xfId="10157" xr:uid="{00000000-0005-0000-0000-000012460000}"/>
    <cellStyle name="Normal 2 5 2 3 6 3 3 2" xfId="35714" xr:uid="{00000000-0005-0000-0000-000013460000}"/>
    <cellStyle name="Normal 2 5 2 3 6 3 4" xfId="18980" xr:uid="{00000000-0005-0000-0000-000014460000}"/>
    <cellStyle name="Normal 2 5 2 3 6 3 4 2" xfId="44533" xr:uid="{00000000-0005-0000-0000-000015460000}"/>
    <cellStyle name="Normal 2 5 2 3 6 3 5" xfId="30470" xr:uid="{00000000-0005-0000-0000-000016460000}"/>
    <cellStyle name="Normal 2 5 2 3 6 4" xfId="2330" xr:uid="{00000000-0005-0000-0000-000017460000}"/>
    <cellStyle name="Normal 2 5 2 3 6 4 2" xfId="11695" xr:uid="{00000000-0005-0000-0000-000018460000}"/>
    <cellStyle name="Normal 2 5 2 3 6 4 2 2" xfId="37250" xr:uid="{00000000-0005-0000-0000-000019460000}"/>
    <cellStyle name="Normal 2 5 2 3 6 4 3" xfId="21699" xr:uid="{00000000-0005-0000-0000-00001A460000}"/>
    <cellStyle name="Normal 2 5 2 3 6 4 3 2" xfId="47252" xr:uid="{00000000-0005-0000-0000-00001B460000}"/>
    <cellStyle name="Normal 2 5 2 3 6 4 4" xfId="28182" xr:uid="{00000000-0005-0000-0000-00001C460000}"/>
    <cellStyle name="Normal 2 5 2 3 6 5" xfId="6354" xr:uid="{00000000-0005-0000-0000-00001D460000}"/>
    <cellStyle name="Normal 2 5 2 3 6 5 2" xfId="15181" xr:uid="{00000000-0005-0000-0000-00001E460000}"/>
    <cellStyle name="Normal 2 5 2 3 6 5 2 2" xfId="40736" xr:uid="{00000000-0005-0000-0000-00001F460000}"/>
    <cellStyle name="Normal 2 5 2 3 6 5 3" xfId="25432" xr:uid="{00000000-0005-0000-0000-000020460000}"/>
    <cellStyle name="Normal 2 5 2 3 6 5 3 2" xfId="50985" xr:uid="{00000000-0005-0000-0000-000021460000}"/>
    <cellStyle name="Normal 2 5 2 3 6 5 4" xfId="31915" xr:uid="{00000000-0005-0000-0000-000022460000}"/>
    <cellStyle name="Normal 2 5 2 3 6 6" xfId="7800" xr:uid="{00000000-0005-0000-0000-000023460000}"/>
    <cellStyle name="Normal 2 5 2 3 6 6 2" xfId="20181" xr:uid="{00000000-0005-0000-0000-000024460000}"/>
    <cellStyle name="Normal 2 5 2 3 6 6 2 2" xfId="45734" xr:uid="{00000000-0005-0000-0000-000025460000}"/>
    <cellStyle name="Normal 2 5 2 3 6 6 3" xfId="33357" xr:uid="{00000000-0005-0000-0000-000026460000}"/>
    <cellStyle name="Normal 2 5 2 3 6 7" xfId="16692" xr:uid="{00000000-0005-0000-0000-000027460000}"/>
    <cellStyle name="Normal 2 5 2 3 6 7 2" xfId="42245" xr:uid="{00000000-0005-0000-0000-000028460000}"/>
    <cellStyle name="Normal 2 5 2 3 6 8" xfId="26664" xr:uid="{00000000-0005-0000-0000-000029460000}"/>
    <cellStyle name="Normal 2 5 2 3 7" xfId="1089" xr:uid="{00000000-0005-0000-0000-00002A460000}"/>
    <cellStyle name="Normal 2 5 2 3 7 2" xfId="3518" xr:uid="{00000000-0005-0000-0000-00002B460000}"/>
    <cellStyle name="Normal 2 5 2 3 7 2 2" xfId="12654" xr:uid="{00000000-0005-0000-0000-00002C460000}"/>
    <cellStyle name="Normal 2 5 2 3 7 2 2 2" xfId="22873" xr:uid="{00000000-0005-0000-0000-00002D460000}"/>
    <cellStyle name="Normal 2 5 2 3 7 2 2 2 2" xfId="48426" xr:uid="{00000000-0005-0000-0000-00002E460000}"/>
    <cellStyle name="Normal 2 5 2 3 7 2 2 3" xfId="38209" xr:uid="{00000000-0005-0000-0000-00002F460000}"/>
    <cellStyle name="Normal 2 5 2 3 7 2 3" xfId="9076" xr:uid="{00000000-0005-0000-0000-000030460000}"/>
    <cellStyle name="Normal 2 5 2 3 7 2 3 2" xfId="34633" xr:uid="{00000000-0005-0000-0000-000031460000}"/>
    <cellStyle name="Normal 2 5 2 3 7 2 4" xfId="17866" xr:uid="{00000000-0005-0000-0000-000032460000}"/>
    <cellStyle name="Normal 2 5 2 3 7 2 4 2" xfId="43419" xr:uid="{00000000-0005-0000-0000-000033460000}"/>
    <cellStyle name="Normal 2 5 2 3 7 2 5" xfId="29356" xr:uid="{00000000-0005-0000-0000-000034460000}"/>
    <cellStyle name="Normal 2 5 2 3 7 3" xfId="5181" xr:uid="{00000000-0005-0000-0000-000035460000}"/>
    <cellStyle name="Normal 2 5 2 3 7 3 2" xfId="14018" xr:uid="{00000000-0005-0000-0000-000036460000}"/>
    <cellStyle name="Normal 2 5 2 3 7 3 2 2" xfId="24269" xr:uid="{00000000-0005-0000-0000-000037460000}"/>
    <cellStyle name="Normal 2 5 2 3 7 3 2 2 2" xfId="49822" xr:uid="{00000000-0005-0000-0000-000038460000}"/>
    <cellStyle name="Normal 2 5 2 3 7 3 2 3" xfId="39573" xr:uid="{00000000-0005-0000-0000-000039460000}"/>
    <cellStyle name="Normal 2 5 2 3 7 3 3" xfId="10439" xr:uid="{00000000-0005-0000-0000-00003A460000}"/>
    <cellStyle name="Normal 2 5 2 3 7 3 3 2" xfId="35996" xr:uid="{00000000-0005-0000-0000-00003B460000}"/>
    <cellStyle name="Normal 2 5 2 3 7 3 4" xfId="19262" xr:uid="{00000000-0005-0000-0000-00003C460000}"/>
    <cellStyle name="Normal 2 5 2 3 7 3 4 2" xfId="44815" xr:uid="{00000000-0005-0000-0000-00003D460000}"/>
    <cellStyle name="Normal 2 5 2 3 7 3 5" xfId="30752" xr:uid="{00000000-0005-0000-0000-00003E460000}"/>
    <cellStyle name="Normal 2 5 2 3 7 4" xfId="1747" xr:uid="{00000000-0005-0000-0000-00003F460000}"/>
    <cellStyle name="Normal 2 5 2 3 7 4 2" xfId="11118" xr:uid="{00000000-0005-0000-0000-000040460000}"/>
    <cellStyle name="Normal 2 5 2 3 7 4 2 2" xfId="36673" xr:uid="{00000000-0005-0000-0000-000041460000}"/>
    <cellStyle name="Normal 2 5 2 3 7 4 3" xfId="21122" xr:uid="{00000000-0005-0000-0000-000042460000}"/>
    <cellStyle name="Normal 2 5 2 3 7 4 3 2" xfId="46675" xr:uid="{00000000-0005-0000-0000-000043460000}"/>
    <cellStyle name="Normal 2 5 2 3 7 4 4" xfId="27605" xr:uid="{00000000-0005-0000-0000-000044460000}"/>
    <cellStyle name="Normal 2 5 2 3 7 5" xfId="6636" xr:uid="{00000000-0005-0000-0000-000045460000}"/>
    <cellStyle name="Normal 2 5 2 3 7 5 2" xfId="15463" xr:uid="{00000000-0005-0000-0000-000046460000}"/>
    <cellStyle name="Normal 2 5 2 3 7 5 2 2" xfId="41018" xr:uid="{00000000-0005-0000-0000-000047460000}"/>
    <cellStyle name="Normal 2 5 2 3 7 5 3" xfId="25714" xr:uid="{00000000-0005-0000-0000-000048460000}"/>
    <cellStyle name="Normal 2 5 2 3 7 5 3 2" xfId="51267" xr:uid="{00000000-0005-0000-0000-000049460000}"/>
    <cellStyle name="Normal 2 5 2 3 7 5 4" xfId="32197" xr:uid="{00000000-0005-0000-0000-00004A460000}"/>
    <cellStyle name="Normal 2 5 2 3 7 6" xfId="8082" xr:uid="{00000000-0005-0000-0000-00004B460000}"/>
    <cellStyle name="Normal 2 5 2 3 7 6 2" xfId="20472" xr:uid="{00000000-0005-0000-0000-00004C460000}"/>
    <cellStyle name="Normal 2 5 2 3 7 6 2 2" xfId="46025" xr:uid="{00000000-0005-0000-0000-00004D460000}"/>
    <cellStyle name="Normal 2 5 2 3 7 6 3" xfId="33639" xr:uid="{00000000-0005-0000-0000-00004E460000}"/>
    <cellStyle name="Normal 2 5 2 3 7 7" xfId="16115" xr:uid="{00000000-0005-0000-0000-00004F460000}"/>
    <cellStyle name="Normal 2 5 2 3 7 7 2" xfId="41668" xr:uid="{00000000-0005-0000-0000-000050460000}"/>
    <cellStyle name="Normal 2 5 2 3 7 8" xfId="26955" xr:uid="{00000000-0005-0000-0000-000051460000}"/>
    <cellStyle name="Normal 2 5 2 3 8" xfId="2645" xr:uid="{00000000-0005-0000-0000-000052460000}"/>
    <cellStyle name="Normal 2 5 2 3 8 2" xfId="5593" xr:uid="{00000000-0005-0000-0000-000053460000}"/>
    <cellStyle name="Normal 2 5 2 3 8 2 2" xfId="14420" xr:uid="{00000000-0005-0000-0000-000054460000}"/>
    <cellStyle name="Normal 2 5 2 3 8 2 2 2" xfId="39975" xr:uid="{00000000-0005-0000-0000-000055460000}"/>
    <cellStyle name="Normal 2 5 2 3 8 2 3" xfId="24671" xr:uid="{00000000-0005-0000-0000-000056460000}"/>
    <cellStyle name="Normal 2 5 2 3 8 2 3 2" xfId="50224" xr:uid="{00000000-0005-0000-0000-000057460000}"/>
    <cellStyle name="Normal 2 5 2 3 8 2 4" xfId="31154" xr:uid="{00000000-0005-0000-0000-000058460000}"/>
    <cellStyle name="Normal 2 5 2 3 8 3" xfId="7037" xr:uid="{00000000-0005-0000-0000-000059460000}"/>
    <cellStyle name="Normal 2 5 2 3 8 3 2" xfId="22006" xr:uid="{00000000-0005-0000-0000-00005A460000}"/>
    <cellStyle name="Normal 2 5 2 3 8 3 2 2" xfId="47559" xr:uid="{00000000-0005-0000-0000-00005B460000}"/>
    <cellStyle name="Normal 2 5 2 3 8 3 3" xfId="32594" xr:uid="{00000000-0005-0000-0000-00005C460000}"/>
    <cellStyle name="Normal 2 5 2 3 8 4" xfId="16999" xr:uid="{00000000-0005-0000-0000-00005D460000}"/>
    <cellStyle name="Normal 2 5 2 3 8 4 2" xfId="42552" xr:uid="{00000000-0005-0000-0000-00005E460000}"/>
    <cellStyle name="Normal 2 5 2 3 8 5" xfId="28489" xr:uid="{00000000-0005-0000-0000-00005F460000}"/>
    <cellStyle name="Normal 2 5 2 3 9" xfId="4135" xr:uid="{00000000-0005-0000-0000-000060460000}"/>
    <cellStyle name="Normal 2 5 2 3 9 2" xfId="12973" xr:uid="{00000000-0005-0000-0000-000061460000}"/>
    <cellStyle name="Normal 2 5 2 3 9 2 2" xfId="23224" xr:uid="{00000000-0005-0000-0000-000062460000}"/>
    <cellStyle name="Normal 2 5 2 3 9 2 2 2" xfId="48777" xr:uid="{00000000-0005-0000-0000-000063460000}"/>
    <cellStyle name="Normal 2 5 2 3 9 2 3" xfId="38528" xr:uid="{00000000-0005-0000-0000-000064460000}"/>
    <cellStyle name="Normal 2 5 2 3 9 3" xfId="9394" xr:uid="{00000000-0005-0000-0000-000065460000}"/>
    <cellStyle name="Normal 2 5 2 3 9 3 2" xfId="34951" xr:uid="{00000000-0005-0000-0000-000066460000}"/>
    <cellStyle name="Normal 2 5 2 3 9 4" xfId="18217" xr:uid="{00000000-0005-0000-0000-000067460000}"/>
    <cellStyle name="Normal 2 5 2 3 9 4 2" xfId="43770" xr:uid="{00000000-0005-0000-0000-000068460000}"/>
    <cellStyle name="Normal 2 5 2 3 9 5" xfId="29707" xr:uid="{00000000-0005-0000-0000-000069460000}"/>
    <cellStyle name="Normal 2 5 2 3_Degree data" xfId="3818" xr:uid="{00000000-0005-0000-0000-00006A460000}"/>
    <cellStyle name="Normal 2 5 2 4" xfId="181" xr:uid="{00000000-0005-0000-0000-00006B460000}"/>
    <cellStyle name="Normal 2 5 2 4 10" xfId="7129" xr:uid="{00000000-0005-0000-0000-00006C460000}"/>
    <cellStyle name="Normal 2 5 2 4 10 2" xfId="19638" xr:uid="{00000000-0005-0000-0000-00006D460000}"/>
    <cellStyle name="Normal 2 5 2 4 10 2 2" xfId="45191" xr:uid="{00000000-0005-0000-0000-00006E460000}"/>
    <cellStyle name="Normal 2 5 2 4 10 3" xfId="32686" xr:uid="{00000000-0005-0000-0000-00006F460000}"/>
    <cellStyle name="Normal 2 5 2 4 11" xfId="15875" xr:uid="{00000000-0005-0000-0000-000070460000}"/>
    <cellStyle name="Normal 2 5 2 4 11 2" xfId="41428" xr:uid="{00000000-0005-0000-0000-000071460000}"/>
    <cellStyle name="Normal 2 5 2 4 12" xfId="26121" xr:uid="{00000000-0005-0000-0000-000072460000}"/>
    <cellStyle name="Normal 2 5 2 4 2" xfId="509" xr:uid="{00000000-0005-0000-0000-000073460000}"/>
    <cellStyle name="Normal 2 5 2 4 2 10" xfId="26438" xr:uid="{00000000-0005-0000-0000-000074460000}"/>
    <cellStyle name="Normal 2 5 2 4 2 2" xfId="742" xr:uid="{00000000-0005-0000-0000-000075460000}"/>
    <cellStyle name="Normal 2 5 2 4 2 2 2" xfId="3228" xr:uid="{00000000-0005-0000-0000-000076460000}"/>
    <cellStyle name="Normal 2 5 2 4 2 2 2 2" xfId="12370" xr:uid="{00000000-0005-0000-0000-000077460000}"/>
    <cellStyle name="Normal 2 5 2 4 2 2 2 2 2" xfId="22589" xr:uid="{00000000-0005-0000-0000-000078460000}"/>
    <cellStyle name="Normal 2 5 2 4 2 2 2 2 2 2" xfId="48142" xr:uid="{00000000-0005-0000-0000-000079460000}"/>
    <cellStyle name="Normal 2 5 2 4 2 2 2 2 3" xfId="37925" xr:uid="{00000000-0005-0000-0000-00007A460000}"/>
    <cellStyle name="Normal 2 5 2 4 2 2 2 3" xfId="8792" xr:uid="{00000000-0005-0000-0000-00007B460000}"/>
    <cellStyle name="Normal 2 5 2 4 2 2 2 3 2" xfId="34349" xr:uid="{00000000-0005-0000-0000-00007C460000}"/>
    <cellStyle name="Normal 2 5 2 4 2 2 2 4" xfId="17582" xr:uid="{00000000-0005-0000-0000-00007D460000}"/>
    <cellStyle name="Normal 2 5 2 4 2 2 2 4 2" xfId="43135" xr:uid="{00000000-0005-0000-0000-00007E460000}"/>
    <cellStyle name="Normal 2 5 2 4 2 2 2 5" xfId="29072" xr:uid="{00000000-0005-0000-0000-00007F460000}"/>
    <cellStyle name="Normal 2 5 2 4 2 2 3" xfId="4557" xr:uid="{00000000-0005-0000-0000-000080460000}"/>
    <cellStyle name="Normal 2 5 2 4 2 2 3 2" xfId="13395" xr:uid="{00000000-0005-0000-0000-000081460000}"/>
    <cellStyle name="Normal 2 5 2 4 2 2 3 2 2" xfId="23646" xr:uid="{00000000-0005-0000-0000-000082460000}"/>
    <cellStyle name="Normal 2 5 2 4 2 2 3 2 2 2" xfId="49199" xr:uid="{00000000-0005-0000-0000-000083460000}"/>
    <cellStyle name="Normal 2 5 2 4 2 2 3 2 3" xfId="38950" xr:uid="{00000000-0005-0000-0000-000084460000}"/>
    <cellStyle name="Normal 2 5 2 4 2 2 3 3" xfId="9816" xr:uid="{00000000-0005-0000-0000-000085460000}"/>
    <cellStyle name="Normal 2 5 2 4 2 2 3 3 2" xfId="35373" xr:uid="{00000000-0005-0000-0000-000086460000}"/>
    <cellStyle name="Normal 2 5 2 4 2 2 3 4" xfId="18639" xr:uid="{00000000-0005-0000-0000-000087460000}"/>
    <cellStyle name="Normal 2 5 2 4 2 2 3 4 2" xfId="44192" xr:uid="{00000000-0005-0000-0000-000088460000}"/>
    <cellStyle name="Normal 2 5 2 4 2 2 3 5" xfId="30129" xr:uid="{00000000-0005-0000-0000-000089460000}"/>
    <cellStyle name="Normal 2 5 2 4 2 2 4" xfId="2337" xr:uid="{00000000-0005-0000-0000-00008A460000}"/>
    <cellStyle name="Normal 2 5 2 4 2 2 4 2" xfId="11702" xr:uid="{00000000-0005-0000-0000-00008B460000}"/>
    <cellStyle name="Normal 2 5 2 4 2 2 4 2 2" xfId="37257" xr:uid="{00000000-0005-0000-0000-00008C460000}"/>
    <cellStyle name="Normal 2 5 2 4 2 2 4 3" xfId="21706" xr:uid="{00000000-0005-0000-0000-00008D460000}"/>
    <cellStyle name="Normal 2 5 2 4 2 2 4 3 2" xfId="47259" xr:uid="{00000000-0005-0000-0000-00008E460000}"/>
    <cellStyle name="Normal 2 5 2 4 2 2 4 4" xfId="28189" xr:uid="{00000000-0005-0000-0000-00008F460000}"/>
    <cellStyle name="Normal 2 5 2 4 2 2 5" xfId="6013" xr:uid="{00000000-0005-0000-0000-000090460000}"/>
    <cellStyle name="Normal 2 5 2 4 2 2 5 2" xfId="14840" xr:uid="{00000000-0005-0000-0000-000091460000}"/>
    <cellStyle name="Normal 2 5 2 4 2 2 5 2 2" xfId="40395" xr:uid="{00000000-0005-0000-0000-000092460000}"/>
    <cellStyle name="Normal 2 5 2 4 2 2 5 3" xfId="25091" xr:uid="{00000000-0005-0000-0000-000093460000}"/>
    <cellStyle name="Normal 2 5 2 4 2 2 5 3 2" xfId="50644" xr:uid="{00000000-0005-0000-0000-000094460000}"/>
    <cellStyle name="Normal 2 5 2 4 2 2 5 4" xfId="31574" xr:uid="{00000000-0005-0000-0000-000095460000}"/>
    <cellStyle name="Normal 2 5 2 4 2 2 6" xfId="7457" xr:uid="{00000000-0005-0000-0000-000096460000}"/>
    <cellStyle name="Normal 2 5 2 4 2 2 6 2" xfId="20188" xr:uid="{00000000-0005-0000-0000-000097460000}"/>
    <cellStyle name="Normal 2 5 2 4 2 2 6 2 2" xfId="45741" xr:uid="{00000000-0005-0000-0000-000098460000}"/>
    <cellStyle name="Normal 2 5 2 4 2 2 6 3" xfId="33014" xr:uid="{00000000-0005-0000-0000-000099460000}"/>
    <cellStyle name="Normal 2 5 2 4 2 2 7" xfId="16699" xr:uid="{00000000-0005-0000-0000-00009A460000}"/>
    <cellStyle name="Normal 2 5 2 4 2 2 7 2" xfId="42252" xr:uid="{00000000-0005-0000-0000-00009B460000}"/>
    <cellStyle name="Normal 2 5 2 4 2 2 8" xfId="26671" xr:uid="{00000000-0005-0000-0000-00009C460000}"/>
    <cellStyle name="Normal 2 5 2 4 2 3" xfId="1281" xr:uid="{00000000-0005-0000-0000-00009D460000}"/>
    <cellStyle name="Normal 2 5 2 4 2 3 2" xfId="3710" xr:uid="{00000000-0005-0000-0000-00009E460000}"/>
    <cellStyle name="Normal 2 5 2 4 2 3 2 2" xfId="12846" xr:uid="{00000000-0005-0000-0000-00009F460000}"/>
    <cellStyle name="Normal 2 5 2 4 2 3 2 2 2" xfId="23065" xr:uid="{00000000-0005-0000-0000-0000A0460000}"/>
    <cellStyle name="Normal 2 5 2 4 2 3 2 2 2 2" xfId="48618" xr:uid="{00000000-0005-0000-0000-0000A1460000}"/>
    <cellStyle name="Normal 2 5 2 4 2 3 2 2 3" xfId="38401" xr:uid="{00000000-0005-0000-0000-0000A2460000}"/>
    <cellStyle name="Normal 2 5 2 4 2 3 2 3" xfId="9267" xr:uid="{00000000-0005-0000-0000-0000A3460000}"/>
    <cellStyle name="Normal 2 5 2 4 2 3 2 3 2" xfId="34824" xr:uid="{00000000-0005-0000-0000-0000A4460000}"/>
    <cellStyle name="Normal 2 5 2 4 2 3 2 4" xfId="18058" xr:uid="{00000000-0005-0000-0000-0000A5460000}"/>
    <cellStyle name="Normal 2 5 2 4 2 3 2 4 2" xfId="43611" xr:uid="{00000000-0005-0000-0000-0000A6460000}"/>
    <cellStyle name="Normal 2 5 2 4 2 3 2 5" xfId="29548" xr:uid="{00000000-0005-0000-0000-0000A7460000}"/>
    <cellStyle name="Normal 2 5 2 4 2 3 3" xfId="4906" xr:uid="{00000000-0005-0000-0000-0000A8460000}"/>
    <cellStyle name="Normal 2 5 2 4 2 3 3 2" xfId="13743" xr:uid="{00000000-0005-0000-0000-0000A9460000}"/>
    <cellStyle name="Normal 2 5 2 4 2 3 3 2 2" xfId="23994" xr:uid="{00000000-0005-0000-0000-0000AA460000}"/>
    <cellStyle name="Normal 2 5 2 4 2 3 3 2 2 2" xfId="49547" xr:uid="{00000000-0005-0000-0000-0000AB460000}"/>
    <cellStyle name="Normal 2 5 2 4 2 3 3 2 3" xfId="39298" xr:uid="{00000000-0005-0000-0000-0000AC460000}"/>
    <cellStyle name="Normal 2 5 2 4 2 3 3 3" xfId="10164" xr:uid="{00000000-0005-0000-0000-0000AD460000}"/>
    <cellStyle name="Normal 2 5 2 4 2 3 3 3 2" xfId="35721" xr:uid="{00000000-0005-0000-0000-0000AE460000}"/>
    <cellStyle name="Normal 2 5 2 4 2 3 3 4" xfId="18987" xr:uid="{00000000-0005-0000-0000-0000AF460000}"/>
    <cellStyle name="Normal 2 5 2 4 2 3 3 4 2" xfId="44540" xr:uid="{00000000-0005-0000-0000-0000B0460000}"/>
    <cellStyle name="Normal 2 5 2 4 2 3 3 5" xfId="30477" xr:uid="{00000000-0005-0000-0000-0000B1460000}"/>
    <cellStyle name="Normal 2 5 2 4 2 3 4" xfId="2104" xr:uid="{00000000-0005-0000-0000-0000B2460000}"/>
    <cellStyle name="Normal 2 5 2 4 2 3 4 2" xfId="11469" xr:uid="{00000000-0005-0000-0000-0000B3460000}"/>
    <cellStyle name="Normal 2 5 2 4 2 3 4 2 2" xfId="37024" xr:uid="{00000000-0005-0000-0000-0000B4460000}"/>
    <cellStyle name="Normal 2 5 2 4 2 3 4 3" xfId="21473" xr:uid="{00000000-0005-0000-0000-0000B5460000}"/>
    <cellStyle name="Normal 2 5 2 4 2 3 4 3 2" xfId="47026" xr:uid="{00000000-0005-0000-0000-0000B6460000}"/>
    <cellStyle name="Normal 2 5 2 4 2 3 4 4" xfId="27956" xr:uid="{00000000-0005-0000-0000-0000B7460000}"/>
    <cellStyle name="Normal 2 5 2 4 2 3 5" xfId="6361" xr:uid="{00000000-0005-0000-0000-0000B8460000}"/>
    <cellStyle name="Normal 2 5 2 4 2 3 5 2" xfId="15188" xr:uid="{00000000-0005-0000-0000-0000B9460000}"/>
    <cellStyle name="Normal 2 5 2 4 2 3 5 2 2" xfId="40743" xr:uid="{00000000-0005-0000-0000-0000BA460000}"/>
    <cellStyle name="Normal 2 5 2 4 2 3 5 3" xfId="25439" xr:uid="{00000000-0005-0000-0000-0000BB460000}"/>
    <cellStyle name="Normal 2 5 2 4 2 3 5 3 2" xfId="50992" xr:uid="{00000000-0005-0000-0000-0000BC460000}"/>
    <cellStyle name="Normal 2 5 2 4 2 3 5 4" xfId="31922" xr:uid="{00000000-0005-0000-0000-0000BD460000}"/>
    <cellStyle name="Normal 2 5 2 4 2 3 6" xfId="7807" xr:uid="{00000000-0005-0000-0000-0000BE460000}"/>
    <cellStyle name="Normal 2 5 2 4 2 3 6 2" xfId="20664" xr:uid="{00000000-0005-0000-0000-0000BF460000}"/>
    <cellStyle name="Normal 2 5 2 4 2 3 6 2 2" xfId="46217" xr:uid="{00000000-0005-0000-0000-0000C0460000}"/>
    <cellStyle name="Normal 2 5 2 4 2 3 6 3" xfId="33364" xr:uid="{00000000-0005-0000-0000-0000C1460000}"/>
    <cellStyle name="Normal 2 5 2 4 2 3 7" xfId="16466" xr:uid="{00000000-0005-0000-0000-0000C2460000}"/>
    <cellStyle name="Normal 2 5 2 4 2 3 7 2" xfId="42019" xr:uid="{00000000-0005-0000-0000-0000C3460000}"/>
    <cellStyle name="Normal 2 5 2 4 2 3 8" xfId="27147" xr:uid="{00000000-0005-0000-0000-0000C4460000}"/>
    <cellStyle name="Normal 2 5 2 4 2 4" xfId="2995" xr:uid="{00000000-0005-0000-0000-0000C5460000}"/>
    <cellStyle name="Normal 2 5 2 4 2 4 2" xfId="5373" xr:uid="{00000000-0005-0000-0000-0000C6460000}"/>
    <cellStyle name="Normal 2 5 2 4 2 4 2 2" xfId="14210" xr:uid="{00000000-0005-0000-0000-0000C7460000}"/>
    <cellStyle name="Normal 2 5 2 4 2 4 2 2 2" xfId="24461" xr:uid="{00000000-0005-0000-0000-0000C8460000}"/>
    <cellStyle name="Normal 2 5 2 4 2 4 2 2 2 2" xfId="50014" xr:uid="{00000000-0005-0000-0000-0000C9460000}"/>
    <cellStyle name="Normal 2 5 2 4 2 4 2 2 3" xfId="39765" xr:uid="{00000000-0005-0000-0000-0000CA460000}"/>
    <cellStyle name="Normal 2 5 2 4 2 4 2 3" xfId="10631" xr:uid="{00000000-0005-0000-0000-0000CB460000}"/>
    <cellStyle name="Normal 2 5 2 4 2 4 2 3 2" xfId="36188" xr:uid="{00000000-0005-0000-0000-0000CC460000}"/>
    <cellStyle name="Normal 2 5 2 4 2 4 2 4" xfId="19454" xr:uid="{00000000-0005-0000-0000-0000CD460000}"/>
    <cellStyle name="Normal 2 5 2 4 2 4 2 4 2" xfId="45007" xr:uid="{00000000-0005-0000-0000-0000CE460000}"/>
    <cellStyle name="Normal 2 5 2 4 2 4 2 5" xfId="30944" xr:uid="{00000000-0005-0000-0000-0000CF460000}"/>
    <cellStyle name="Normal 2 5 2 4 2 4 3" xfId="6828" xr:uid="{00000000-0005-0000-0000-0000D0460000}"/>
    <cellStyle name="Normal 2 5 2 4 2 4 3 2" xfId="15655" xr:uid="{00000000-0005-0000-0000-0000D1460000}"/>
    <cellStyle name="Normal 2 5 2 4 2 4 3 2 2" xfId="41210" xr:uid="{00000000-0005-0000-0000-0000D2460000}"/>
    <cellStyle name="Normal 2 5 2 4 2 4 3 3" xfId="25906" xr:uid="{00000000-0005-0000-0000-0000D3460000}"/>
    <cellStyle name="Normal 2 5 2 4 2 4 3 3 2" xfId="51459" xr:uid="{00000000-0005-0000-0000-0000D4460000}"/>
    <cellStyle name="Normal 2 5 2 4 2 4 3 4" xfId="32389" xr:uid="{00000000-0005-0000-0000-0000D5460000}"/>
    <cellStyle name="Normal 2 5 2 4 2 4 4" xfId="8274" xr:uid="{00000000-0005-0000-0000-0000D6460000}"/>
    <cellStyle name="Normal 2 5 2 4 2 4 4 2" xfId="22356" xr:uid="{00000000-0005-0000-0000-0000D7460000}"/>
    <cellStyle name="Normal 2 5 2 4 2 4 4 2 2" xfId="47909" xr:uid="{00000000-0005-0000-0000-0000D8460000}"/>
    <cellStyle name="Normal 2 5 2 4 2 4 4 3" xfId="33831" xr:uid="{00000000-0005-0000-0000-0000D9460000}"/>
    <cellStyle name="Normal 2 5 2 4 2 4 5" xfId="17349" xr:uid="{00000000-0005-0000-0000-0000DA460000}"/>
    <cellStyle name="Normal 2 5 2 4 2 4 5 2" xfId="42902" xr:uid="{00000000-0005-0000-0000-0000DB460000}"/>
    <cellStyle name="Normal 2 5 2 4 2 4 6" xfId="28839" xr:uid="{00000000-0005-0000-0000-0000DC460000}"/>
    <cellStyle name="Normal 2 5 2 4 2 5" xfId="4329" xr:uid="{00000000-0005-0000-0000-0000DD460000}"/>
    <cellStyle name="Normal 2 5 2 4 2 5 2" xfId="13167" xr:uid="{00000000-0005-0000-0000-0000DE460000}"/>
    <cellStyle name="Normal 2 5 2 4 2 5 2 2" xfId="23418" xr:uid="{00000000-0005-0000-0000-0000DF460000}"/>
    <cellStyle name="Normal 2 5 2 4 2 5 2 2 2" xfId="48971" xr:uid="{00000000-0005-0000-0000-0000E0460000}"/>
    <cellStyle name="Normal 2 5 2 4 2 5 2 3" xfId="38722" xr:uid="{00000000-0005-0000-0000-0000E1460000}"/>
    <cellStyle name="Normal 2 5 2 4 2 5 3" xfId="9588" xr:uid="{00000000-0005-0000-0000-0000E2460000}"/>
    <cellStyle name="Normal 2 5 2 4 2 5 3 2" xfId="35145" xr:uid="{00000000-0005-0000-0000-0000E3460000}"/>
    <cellStyle name="Normal 2 5 2 4 2 5 4" xfId="18411" xr:uid="{00000000-0005-0000-0000-0000E4460000}"/>
    <cellStyle name="Normal 2 5 2 4 2 5 4 2" xfId="43964" xr:uid="{00000000-0005-0000-0000-0000E5460000}"/>
    <cellStyle name="Normal 2 5 2 4 2 5 5" xfId="29901" xr:uid="{00000000-0005-0000-0000-0000E6460000}"/>
    <cellStyle name="Normal 2 5 2 4 2 6" xfId="1601" xr:uid="{00000000-0005-0000-0000-0000E7460000}"/>
    <cellStyle name="Normal 2 5 2 4 2 6 2" xfId="10978" xr:uid="{00000000-0005-0000-0000-0000E8460000}"/>
    <cellStyle name="Normal 2 5 2 4 2 6 2 2" xfId="36533" xr:uid="{00000000-0005-0000-0000-0000E9460000}"/>
    <cellStyle name="Normal 2 5 2 4 2 6 3" xfId="20982" xr:uid="{00000000-0005-0000-0000-0000EA460000}"/>
    <cellStyle name="Normal 2 5 2 4 2 6 3 2" xfId="46535" xr:uid="{00000000-0005-0000-0000-0000EB460000}"/>
    <cellStyle name="Normal 2 5 2 4 2 6 4" xfId="27465" xr:uid="{00000000-0005-0000-0000-0000EC460000}"/>
    <cellStyle name="Normal 2 5 2 4 2 7" xfId="5785" xr:uid="{00000000-0005-0000-0000-0000ED460000}"/>
    <cellStyle name="Normal 2 5 2 4 2 7 2" xfId="14612" xr:uid="{00000000-0005-0000-0000-0000EE460000}"/>
    <cellStyle name="Normal 2 5 2 4 2 7 2 2" xfId="40167" xr:uid="{00000000-0005-0000-0000-0000EF460000}"/>
    <cellStyle name="Normal 2 5 2 4 2 7 3" xfId="24863" xr:uid="{00000000-0005-0000-0000-0000F0460000}"/>
    <cellStyle name="Normal 2 5 2 4 2 7 3 2" xfId="50416" xr:uid="{00000000-0005-0000-0000-0000F1460000}"/>
    <cellStyle name="Normal 2 5 2 4 2 7 4" xfId="31346" xr:uid="{00000000-0005-0000-0000-0000F2460000}"/>
    <cellStyle name="Normal 2 5 2 4 2 8" xfId="7229" xr:uid="{00000000-0005-0000-0000-0000F3460000}"/>
    <cellStyle name="Normal 2 5 2 4 2 8 2" xfId="19955" xr:uid="{00000000-0005-0000-0000-0000F4460000}"/>
    <cellStyle name="Normal 2 5 2 4 2 8 2 2" xfId="45508" xr:uid="{00000000-0005-0000-0000-0000F5460000}"/>
    <cellStyle name="Normal 2 5 2 4 2 8 3" xfId="32786" xr:uid="{00000000-0005-0000-0000-0000F6460000}"/>
    <cellStyle name="Normal 2 5 2 4 2 9" xfId="15975" xr:uid="{00000000-0005-0000-0000-0000F7460000}"/>
    <cellStyle name="Normal 2 5 2 4 2 9 2" xfId="41528" xr:uid="{00000000-0005-0000-0000-0000F8460000}"/>
    <cellStyle name="Normal 2 5 2 4 2_Degree data" xfId="3873" xr:uid="{00000000-0005-0000-0000-0000F9460000}"/>
    <cellStyle name="Normal 2 5 2 4 3" xfId="409" xr:uid="{00000000-0005-0000-0000-0000FA460000}"/>
    <cellStyle name="Normal 2 5 2 4 3 2" xfId="2895" xr:uid="{00000000-0005-0000-0000-0000FB460000}"/>
    <cellStyle name="Normal 2 5 2 4 3 2 2" xfId="12183" xr:uid="{00000000-0005-0000-0000-0000FC460000}"/>
    <cellStyle name="Normal 2 5 2 4 3 2 2 2" xfId="22256" xr:uid="{00000000-0005-0000-0000-0000FD460000}"/>
    <cellStyle name="Normal 2 5 2 4 3 2 2 2 2" xfId="47809" xr:uid="{00000000-0005-0000-0000-0000FE460000}"/>
    <cellStyle name="Normal 2 5 2 4 3 2 2 3" xfId="37738" xr:uid="{00000000-0005-0000-0000-0000FF460000}"/>
    <cellStyle name="Normal 2 5 2 4 3 2 3" xfId="8640" xr:uid="{00000000-0005-0000-0000-000000470000}"/>
    <cellStyle name="Normal 2 5 2 4 3 2 3 2" xfId="34197" xr:uid="{00000000-0005-0000-0000-000001470000}"/>
    <cellStyle name="Normal 2 5 2 4 3 2 4" xfId="17249" xr:uid="{00000000-0005-0000-0000-000002470000}"/>
    <cellStyle name="Normal 2 5 2 4 3 2 4 2" xfId="42802" xr:uid="{00000000-0005-0000-0000-000003470000}"/>
    <cellStyle name="Normal 2 5 2 4 3 2 5" xfId="28739" xr:uid="{00000000-0005-0000-0000-000004470000}"/>
    <cellStyle name="Normal 2 5 2 4 3 3" xfId="4556" xr:uid="{00000000-0005-0000-0000-000005470000}"/>
    <cellStyle name="Normal 2 5 2 4 3 3 2" xfId="13394" xr:uid="{00000000-0005-0000-0000-000006470000}"/>
    <cellStyle name="Normal 2 5 2 4 3 3 2 2" xfId="23645" xr:uid="{00000000-0005-0000-0000-000007470000}"/>
    <cellStyle name="Normal 2 5 2 4 3 3 2 2 2" xfId="49198" xr:uid="{00000000-0005-0000-0000-000008470000}"/>
    <cellStyle name="Normal 2 5 2 4 3 3 2 3" xfId="38949" xr:uid="{00000000-0005-0000-0000-000009470000}"/>
    <cellStyle name="Normal 2 5 2 4 3 3 3" xfId="9815" xr:uid="{00000000-0005-0000-0000-00000A470000}"/>
    <cellStyle name="Normal 2 5 2 4 3 3 3 2" xfId="35372" xr:uid="{00000000-0005-0000-0000-00000B470000}"/>
    <cellStyle name="Normal 2 5 2 4 3 3 4" xfId="18638" xr:uid="{00000000-0005-0000-0000-00000C470000}"/>
    <cellStyle name="Normal 2 5 2 4 3 3 4 2" xfId="44191" xr:uid="{00000000-0005-0000-0000-00000D470000}"/>
    <cellStyle name="Normal 2 5 2 4 3 3 5" xfId="30128" xr:uid="{00000000-0005-0000-0000-00000E470000}"/>
    <cellStyle name="Normal 2 5 2 4 3 4" xfId="2004" xr:uid="{00000000-0005-0000-0000-00000F470000}"/>
    <cellStyle name="Normal 2 5 2 4 3 4 2" xfId="11369" xr:uid="{00000000-0005-0000-0000-000010470000}"/>
    <cellStyle name="Normal 2 5 2 4 3 4 2 2" xfId="36924" xr:uid="{00000000-0005-0000-0000-000011470000}"/>
    <cellStyle name="Normal 2 5 2 4 3 4 3" xfId="21373" xr:uid="{00000000-0005-0000-0000-000012470000}"/>
    <cellStyle name="Normal 2 5 2 4 3 4 3 2" xfId="46926" xr:uid="{00000000-0005-0000-0000-000013470000}"/>
    <cellStyle name="Normal 2 5 2 4 3 4 4" xfId="27856" xr:uid="{00000000-0005-0000-0000-000014470000}"/>
    <cellStyle name="Normal 2 5 2 4 3 5" xfId="6012" xr:uid="{00000000-0005-0000-0000-000015470000}"/>
    <cellStyle name="Normal 2 5 2 4 3 5 2" xfId="14839" xr:uid="{00000000-0005-0000-0000-000016470000}"/>
    <cellStyle name="Normal 2 5 2 4 3 5 2 2" xfId="40394" xr:uid="{00000000-0005-0000-0000-000017470000}"/>
    <cellStyle name="Normal 2 5 2 4 3 5 3" xfId="25090" xr:uid="{00000000-0005-0000-0000-000018470000}"/>
    <cellStyle name="Normal 2 5 2 4 3 5 3 2" xfId="50643" xr:uid="{00000000-0005-0000-0000-000019470000}"/>
    <cellStyle name="Normal 2 5 2 4 3 5 4" xfId="31573" xr:uid="{00000000-0005-0000-0000-00001A470000}"/>
    <cellStyle name="Normal 2 5 2 4 3 6" xfId="7456" xr:uid="{00000000-0005-0000-0000-00001B470000}"/>
    <cellStyle name="Normal 2 5 2 4 3 6 2" xfId="19855" xr:uid="{00000000-0005-0000-0000-00001C470000}"/>
    <cellStyle name="Normal 2 5 2 4 3 6 2 2" xfId="45408" xr:uid="{00000000-0005-0000-0000-00001D470000}"/>
    <cellStyle name="Normal 2 5 2 4 3 6 3" xfId="33013" xr:uid="{00000000-0005-0000-0000-00001E470000}"/>
    <cellStyle name="Normal 2 5 2 4 3 7" xfId="16366" xr:uid="{00000000-0005-0000-0000-00001F470000}"/>
    <cellStyle name="Normal 2 5 2 4 3 7 2" xfId="41919" xr:uid="{00000000-0005-0000-0000-000020470000}"/>
    <cellStyle name="Normal 2 5 2 4 3 8" xfId="26338" xr:uid="{00000000-0005-0000-0000-000021470000}"/>
    <cellStyle name="Normal 2 5 2 4 4" xfId="741" xr:uid="{00000000-0005-0000-0000-000022470000}"/>
    <cellStyle name="Normal 2 5 2 4 4 2" xfId="3227" xr:uid="{00000000-0005-0000-0000-000023470000}"/>
    <cellStyle name="Normal 2 5 2 4 4 2 2" xfId="12369" xr:uid="{00000000-0005-0000-0000-000024470000}"/>
    <cellStyle name="Normal 2 5 2 4 4 2 2 2" xfId="22588" xr:uid="{00000000-0005-0000-0000-000025470000}"/>
    <cellStyle name="Normal 2 5 2 4 4 2 2 2 2" xfId="48141" xr:uid="{00000000-0005-0000-0000-000026470000}"/>
    <cellStyle name="Normal 2 5 2 4 4 2 2 3" xfId="37924" xr:uid="{00000000-0005-0000-0000-000027470000}"/>
    <cellStyle name="Normal 2 5 2 4 4 2 3" xfId="8791" xr:uid="{00000000-0005-0000-0000-000028470000}"/>
    <cellStyle name="Normal 2 5 2 4 4 2 3 2" xfId="34348" xr:uid="{00000000-0005-0000-0000-000029470000}"/>
    <cellStyle name="Normal 2 5 2 4 4 2 4" xfId="17581" xr:uid="{00000000-0005-0000-0000-00002A470000}"/>
    <cellStyle name="Normal 2 5 2 4 4 2 4 2" xfId="43134" xr:uid="{00000000-0005-0000-0000-00002B470000}"/>
    <cellStyle name="Normal 2 5 2 4 4 2 5" xfId="29071" xr:uid="{00000000-0005-0000-0000-00002C470000}"/>
    <cellStyle name="Normal 2 5 2 4 4 3" xfId="4905" xr:uid="{00000000-0005-0000-0000-00002D470000}"/>
    <cellStyle name="Normal 2 5 2 4 4 3 2" xfId="13742" xr:uid="{00000000-0005-0000-0000-00002E470000}"/>
    <cellStyle name="Normal 2 5 2 4 4 3 2 2" xfId="23993" xr:uid="{00000000-0005-0000-0000-00002F470000}"/>
    <cellStyle name="Normal 2 5 2 4 4 3 2 2 2" xfId="49546" xr:uid="{00000000-0005-0000-0000-000030470000}"/>
    <cellStyle name="Normal 2 5 2 4 4 3 2 3" xfId="39297" xr:uid="{00000000-0005-0000-0000-000031470000}"/>
    <cellStyle name="Normal 2 5 2 4 4 3 3" xfId="10163" xr:uid="{00000000-0005-0000-0000-000032470000}"/>
    <cellStyle name="Normal 2 5 2 4 4 3 3 2" xfId="35720" xr:uid="{00000000-0005-0000-0000-000033470000}"/>
    <cellStyle name="Normal 2 5 2 4 4 3 4" xfId="18986" xr:uid="{00000000-0005-0000-0000-000034470000}"/>
    <cellStyle name="Normal 2 5 2 4 4 3 4 2" xfId="44539" xr:uid="{00000000-0005-0000-0000-000035470000}"/>
    <cellStyle name="Normal 2 5 2 4 4 3 5" xfId="30476" xr:uid="{00000000-0005-0000-0000-000036470000}"/>
    <cellStyle name="Normal 2 5 2 4 4 4" xfId="2336" xr:uid="{00000000-0005-0000-0000-000037470000}"/>
    <cellStyle name="Normal 2 5 2 4 4 4 2" xfId="11701" xr:uid="{00000000-0005-0000-0000-000038470000}"/>
    <cellStyle name="Normal 2 5 2 4 4 4 2 2" xfId="37256" xr:uid="{00000000-0005-0000-0000-000039470000}"/>
    <cellStyle name="Normal 2 5 2 4 4 4 3" xfId="21705" xr:uid="{00000000-0005-0000-0000-00003A470000}"/>
    <cellStyle name="Normal 2 5 2 4 4 4 3 2" xfId="47258" xr:uid="{00000000-0005-0000-0000-00003B470000}"/>
    <cellStyle name="Normal 2 5 2 4 4 4 4" xfId="28188" xr:uid="{00000000-0005-0000-0000-00003C470000}"/>
    <cellStyle name="Normal 2 5 2 4 4 5" xfId="6360" xr:uid="{00000000-0005-0000-0000-00003D470000}"/>
    <cellStyle name="Normal 2 5 2 4 4 5 2" xfId="15187" xr:uid="{00000000-0005-0000-0000-00003E470000}"/>
    <cellStyle name="Normal 2 5 2 4 4 5 2 2" xfId="40742" xr:uid="{00000000-0005-0000-0000-00003F470000}"/>
    <cellStyle name="Normal 2 5 2 4 4 5 3" xfId="25438" xr:uid="{00000000-0005-0000-0000-000040470000}"/>
    <cellStyle name="Normal 2 5 2 4 4 5 3 2" xfId="50991" xr:uid="{00000000-0005-0000-0000-000041470000}"/>
    <cellStyle name="Normal 2 5 2 4 4 5 4" xfId="31921" xr:uid="{00000000-0005-0000-0000-000042470000}"/>
    <cellStyle name="Normal 2 5 2 4 4 6" xfId="7806" xr:uid="{00000000-0005-0000-0000-000043470000}"/>
    <cellStyle name="Normal 2 5 2 4 4 6 2" xfId="20187" xr:uid="{00000000-0005-0000-0000-000044470000}"/>
    <cellStyle name="Normal 2 5 2 4 4 6 2 2" xfId="45740" xr:uid="{00000000-0005-0000-0000-000045470000}"/>
    <cellStyle name="Normal 2 5 2 4 4 6 3" xfId="33363" xr:uid="{00000000-0005-0000-0000-000046470000}"/>
    <cellStyle name="Normal 2 5 2 4 4 7" xfId="16698" xr:uid="{00000000-0005-0000-0000-000047470000}"/>
    <cellStyle name="Normal 2 5 2 4 4 7 2" xfId="42251" xr:uid="{00000000-0005-0000-0000-000048470000}"/>
    <cellStyle name="Normal 2 5 2 4 4 8" xfId="26670" xr:uid="{00000000-0005-0000-0000-000049470000}"/>
    <cellStyle name="Normal 2 5 2 4 5" xfId="1181" xr:uid="{00000000-0005-0000-0000-00004A470000}"/>
    <cellStyle name="Normal 2 5 2 4 5 2" xfId="3610" xr:uid="{00000000-0005-0000-0000-00004B470000}"/>
    <cellStyle name="Normal 2 5 2 4 5 2 2" xfId="12746" xr:uid="{00000000-0005-0000-0000-00004C470000}"/>
    <cellStyle name="Normal 2 5 2 4 5 2 2 2" xfId="22965" xr:uid="{00000000-0005-0000-0000-00004D470000}"/>
    <cellStyle name="Normal 2 5 2 4 5 2 2 2 2" xfId="48518" xr:uid="{00000000-0005-0000-0000-00004E470000}"/>
    <cellStyle name="Normal 2 5 2 4 5 2 2 3" xfId="38301" xr:uid="{00000000-0005-0000-0000-00004F470000}"/>
    <cellStyle name="Normal 2 5 2 4 5 2 3" xfId="9167" xr:uid="{00000000-0005-0000-0000-000050470000}"/>
    <cellStyle name="Normal 2 5 2 4 5 2 3 2" xfId="34724" xr:uid="{00000000-0005-0000-0000-000051470000}"/>
    <cellStyle name="Normal 2 5 2 4 5 2 4" xfId="17958" xr:uid="{00000000-0005-0000-0000-000052470000}"/>
    <cellStyle name="Normal 2 5 2 4 5 2 4 2" xfId="43511" xr:uid="{00000000-0005-0000-0000-000053470000}"/>
    <cellStyle name="Normal 2 5 2 4 5 2 5" xfId="29448" xr:uid="{00000000-0005-0000-0000-000054470000}"/>
    <cellStyle name="Normal 2 5 2 4 5 3" xfId="5273" xr:uid="{00000000-0005-0000-0000-000055470000}"/>
    <cellStyle name="Normal 2 5 2 4 5 3 2" xfId="14110" xr:uid="{00000000-0005-0000-0000-000056470000}"/>
    <cellStyle name="Normal 2 5 2 4 5 3 2 2" xfId="24361" xr:uid="{00000000-0005-0000-0000-000057470000}"/>
    <cellStyle name="Normal 2 5 2 4 5 3 2 2 2" xfId="49914" xr:uid="{00000000-0005-0000-0000-000058470000}"/>
    <cellStyle name="Normal 2 5 2 4 5 3 2 3" xfId="39665" xr:uid="{00000000-0005-0000-0000-000059470000}"/>
    <cellStyle name="Normal 2 5 2 4 5 3 3" xfId="10531" xr:uid="{00000000-0005-0000-0000-00005A470000}"/>
    <cellStyle name="Normal 2 5 2 4 5 3 3 2" xfId="36088" xr:uid="{00000000-0005-0000-0000-00005B470000}"/>
    <cellStyle name="Normal 2 5 2 4 5 3 4" xfId="19354" xr:uid="{00000000-0005-0000-0000-00005C470000}"/>
    <cellStyle name="Normal 2 5 2 4 5 3 4 2" xfId="44907" xr:uid="{00000000-0005-0000-0000-00005D470000}"/>
    <cellStyle name="Normal 2 5 2 4 5 3 5" xfId="30844" xr:uid="{00000000-0005-0000-0000-00005E470000}"/>
    <cellStyle name="Normal 2 5 2 4 5 4" xfId="1783" xr:uid="{00000000-0005-0000-0000-00005F470000}"/>
    <cellStyle name="Normal 2 5 2 4 5 4 2" xfId="11152" xr:uid="{00000000-0005-0000-0000-000060470000}"/>
    <cellStyle name="Normal 2 5 2 4 5 4 2 2" xfId="36707" xr:uid="{00000000-0005-0000-0000-000061470000}"/>
    <cellStyle name="Normal 2 5 2 4 5 4 3" xfId="21156" xr:uid="{00000000-0005-0000-0000-000062470000}"/>
    <cellStyle name="Normal 2 5 2 4 5 4 3 2" xfId="46709" xr:uid="{00000000-0005-0000-0000-000063470000}"/>
    <cellStyle name="Normal 2 5 2 4 5 4 4" xfId="27639" xr:uid="{00000000-0005-0000-0000-000064470000}"/>
    <cellStyle name="Normal 2 5 2 4 5 5" xfId="6728" xr:uid="{00000000-0005-0000-0000-000065470000}"/>
    <cellStyle name="Normal 2 5 2 4 5 5 2" xfId="15555" xr:uid="{00000000-0005-0000-0000-000066470000}"/>
    <cellStyle name="Normal 2 5 2 4 5 5 2 2" xfId="41110" xr:uid="{00000000-0005-0000-0000-000067470000}"/>
    <cellStyle name="Normal 2 5 2 4 5 5 3" xfId="25806" xr:uid="{00000000-0005-0000-0000-000068470000}"/>
    <cellStyle name="Normal 2 5 2 4 5 5 3 2" xfId="51359" xr:uid="{00000000-0005-0000-0000-000069470000}"/>
    <cellStyle name="Normal 2 5 2 4 5 5 4" xfId="32289" xr:uid="{00000000-0005-0000-0000-00006A470000}"/>
    <cellStyle name="Normal 2 5 2 4 5 6" xfId="8174" xr:uid="{00000000-0005-0000-0000-00006B470000}"/>
    <cellStyle name="Normal 2 5 2 4 5 6 2" xfId="20564" xr:uid="{00000000-0005-0000-0000-00006C470000}"/>
    <cellStyle name="Normal 2 5 2 4 5 6 2 2" xfId="46117" xr:uid="{00000000-0005-0000-0000-00006D470000}"/>
    <cellStyle name="Normal 2 5 2 4 5 6 3" xfId="33731" xr:uid="{00000000-0005-0000-0000-00006E470000}"/>
    <cellStyle name="Normal 2 5 2 4 5 7" xfId="16149" xr:uid="{00000000-0005-0000-0000-00006F470000}"/>
    <cellStyle name="Normal 2 5 2 4 5 7 2" xfId="41702" xr:uid="{00000000-0005-0000-0000-000070470000}"/>
    <cellStyle name="Normal 2 5 2 4 5 8" xfId="27047" xr:uid="{00000000-0005-0000-0000-000071470000}"/>
    <cellStyle name="Normal 2 5 2 4 6" xfId="2678" xr:uid="{00000000-0005-0000-0000-000072470000}"/>
    <cellStyle name="Normal 2 5 2 4 6 2" xfId="11995" xr:uid="{00000000-0005-0000-0000-000073470000}"/>
    <cellStyle name="Normal 2 5 2 4 6 2 2" xfId="22039" xr:uid="{00000000-0005-0000-0000-000074470000}"/>
    <cellStyle name="Normal 2 5 2 4 6 2 2 2" xfId="47592" xr:uid="{00000000-0005-0000-0000-000075470000}"/>
    <cellStyle name="Normal 2 5 2 4 6 2 3" xfId="37550" xr:uid="{00000000-0005-0000-0000-000076470000}"/>
    <cellStyle name="Normal 2 5 2 4 6 3" xfId="8617" xr:uid="{00000000-0005-0000-0000-000077470000}"/>
    <cellStyle name="Normal 2 5 2 4 6 3 2" xfId="34174" xr:uid="{00000000-0005-0000-0000-000078470000}"/>
    <cellStyle name="Normal 2 5 2 4 6 4" xfId="17032" xr:uid="{00000000-0005-0000-0000-000079470000}"/>
    <cellStyle name="Normal 2 5 2 4 6 4 2" xfId="42585" xr:uid="{00000000-0005-0000-0000-00007A470000}"/>
    <cellStyle name="Normal 2 5 2 4 6 5" xfId="28522" xr:uid="{00000000-0005-0000-0000-00007B470000}"/>
    <cellStyle name="Normal 2 5 2 4 7" xfId="4229" xr:uid="{00000000-0005-0000-0000-00007C470000}"/>
    <cellStyle name="Normal 2 5 2 4 7 2" xfId="13067" xr:uid="{00000000-0005-0000-0000-00007D470000}"/>
    <cellStyle name="Normal 2 5 2 4 7 2 2" xfId="23318" xr:uid="{00000000-0005-0000-0000-00007E470000}"/>
    <cellStyle name="Normal 2 5 2 4 7 2 2 2" xfId="48871" xr:uid="{00000000-0005-0000-0000-00007F470000}"/>
    <cellStyle name="Normal 2 5 2 4 7 2 3" xfId="38622" xr:uid="{00000000-0005-0000-0000-000080470000}"/>
    <cellStyle name="Normal 2 5 2 4 7 3" xfId="9488" xr:uid="{00000000-0005-0000-0000-000081470000}"/>
    <cellStyle name="Normal 2 5 2 4 7 3 2" xfId="35045" xr:uid="{00000000-0005-0000-0000-000082470000}"/>
    <cellStyle name="Normal 2 5 2 4 7 4" xfId="18311" xr:uid="{00000000-0005-0000-0000-000083470000}"/>
    <cellStyle name="Normal 2 5 2 4 7 4 2" xfId="43864" xr:uid="{00000000-0005-0000-0000-000084470000}"/>
    <cellStyle name="Normal 2 5 2 4 7 5" xfId="29801" xr:uid="{00000000-0005-0000-0000-000085470000}"/>
    <cellStyle name="Normal 2 5 2 4 8" xfId="1501" xr:uid="{00000000-0005-0000-0000-000086470000}"/>
    <cellStyle name="Normal 2 5 2 4 8 2" xfId="10878" xr:uid="{00000000-0005-0000-0000-000087470000}"/>
    <cellStyle name="Normal 2 5 2 4 8 2 2" xfId="36433" xr:uid="{00000000-0005-0000-0000-000088470000}"/>
    <cellStyle name="Normal 2 5 2 4 8 3" xfId="20882" xr:uid="{00000000-0005-0000-0000-000089470000}"/>
    <cellStyle name="Normal 2 5 2 4 8 3 2" xfId="46435" xr:uid="{00000000-0005-0000-0000-00008A470000}"/>
    <cellStyle name="Normal 2 5 2 4 8 4" xfId="27365" xr:uid="{00000000-0005-0000-0000-00008B470000}"/>
    <cellStyle name="Normal 2 5 2 4 9" xfId="5685" xr:uid="{00000000-0005-0000-0000-00008C470000}"/>
    <cellStyle name="Normal 2 5 2 4 9 2" xfId="14512" xr:uid="{00000000-0005-0000-0000-00008D470000}"/>
    <cellStyle name="Normal 2 5 2 4 9 2 2" xfId="40067" xr:uid="{00000000-0005-0000-0000-00008E470000}"/>
    <cellStyle name="Normal 2 5 2 4 9 3" xfId="24763" xr:uid="{00000000-0005-0000-0000-00008F470000}"/>
    <cellStyle name="Normal 2 5 2 4 9 3 2" xfId="50316" xr:uid="{00000000-0005-0000-0000-000090470000}"/>
    <cellStyle name="Normal 2 5 2 4 9 4" xfId="31246" xr:uid="{00000000-0005-0000-0000-000091470000}"/>
    <cellStyle name="Normal 2 5 2 4_Degree data" xfId="3839" xr:uid="{00000000-0005-0000-0000-000092470000}"/>
    <cellStyle name="Normal 2 5 2 5" xfId="240" xr:uid="{00000000-0005-0000-0000-000093470000}"/>
    <cellStyle name="Normal 2 5 2 5 10" xfId="7078" xr:uid="{00000000-0005-0000-0000-000094470000}"/>
    <cellStyle name="Normal 2 5 2 5 10 2" xfId="19692" xr:uid="{00000000-0005-0000-0000-000095470000}"/>
    <cellStyle name="Normal 2 5 2 5 10 2 2" xfId="45245" xr:uid="{00000000-0005-0000-0000-000096470000}"/>
    <cellStyle name="Normal 2 5 2 5 10 3" xfId="32635" xr:uid="{00000000-0005-0000-0000-000097470000}"/>
    <cellStyle name="Normal 2 5 2 5 11" xfId="15824" xr:uid="{00000000-0005-0000-0000-000098470000}"/>
    <cellStyle name="Normal 2 5 2 5 11 2" xfId="41377" xr:uid="{00000000-0005-0000-0000-000099470000}"/>
    <cellStyle name="Normal 2 5 2 5 12" xfId="26175" xr:uid="{00000000-0005-0000-0000-00009A470000}"/>
    <cellStyle name="Normal 2 5 2 5 2" xfId="563" xr:uid="{00000000-0005-0000-0000-00009B470000}"/>
    <cellStyle name="Normal 2 5 2 5 2 10" xfId="26492" xr:uid="{00000000-0005-0000-0000-00009C470000}"/>
    <cellStyle name="Normal 2 5 2 5 2 2" xfId="744" xr:uid="{00000000-0005-0000-0000-00009D470000}"/>
    <cellStyle name="Normal 2 5 2 5 2 2 2" xfId="3230" xr:uid="{00000000-0005-0000-0000-00009E470000}"/>
    <cellStyle name="Normal 2 5 2 5 2 2 2 2" xfId="12372" xr:uid="{00000000-0005-0000-0000-00009F470000}"/>
    <cellStyle name="Normal 2 5 2 5 2 2 2 2 2" xfId="22591" xr:uid="{00000000-0005-0000-0000-0000A0470000}"/>
    <cellStyle name="Normal 2 5 2 5 2 2 2 2 2 2" xfId="48144" xr:uid="{00000000-0005-0000-0000-0000A1470000}"/>
    <cellStyle name="Normal 2 5 2 5 2 2 2 2 3" xfId="37927" xr:uid="{00000000-0005-0000-0000-0000A2470000}"/>
    <cellStyle name="Normal 2 5 2 5 2 2 2 3" xfId="8794" xr:uid="{00000000-0005-0000-0000-0000A3470000}"/>
    <cellStyle name="Normal 2 5 2 5 2 2 2 3 2" xfId="34351" xr:uid="{00000000-0005-0000-0000-0000A4470000}"/>
    <cellStyle name="Normal 2 5 2 5 2 2 2 4" xfId="17584" xr:uid="{00000000-0005-0000-0000-0000A5470000}"/>
    <cellStyle name="Normal 2 5 2 5 2 2 2 4 2" xfId="43137" xr:uid="{00000000-0005-0000-0000-0000A6470000}"/>
    <cellStyle name="Normal 2 5 2 5 2 2 2 5" xfId="29074" xr:uid="{00000000-0005-0000-0000-0000A7470000}"/>
    <cellStyle name="Normal 2 5 2 5 2 2 3" xfId="4559" xr:uid="{00000000-0005-0000-0000-0000A8470000}"/>
    <cellStyle name="Normal 2 5 2 5 2 2 3 2" xfId="13397" xr:uid="{00000000-0005-0000-0000-0000A9470000}"/>
    <cellStyle name="Normal 2 5 2 5 2 2 3 2 2" xfId="23648" xr:uid="{00000000-0005-0000-0000-0000AA470000}"/>
    <cellStyle name="Normal 2 5 2 5 2 2 3 2 2 2" xfId="49201" xr:uid="{00000000-0005-0000-0000-0000AB470000}"/>
    <cellStyle name="Normal 2 5 2 5 2 2 3 2 3" xfId="38952" xr:uid="{00000000-0005-0000-0000-0000AC470000}"/>
    <cellStyle name="Normal 2 5 2 5 2 2 3 3" xfId="9818" xr:uid="{00000000-0005-0000-0000-0000AD470000}"/>
    <cellStyle name="Normal 2 5 2 5 2 2 3 3 2" xfId="35375" xr:uid="{00000000-0005-0000-0000-0000AE470000}"/>
    <cellStyle name="Normal 2 5 2 5 2 2 3 4" xfId="18641" xr:uid="{00000000-0005-0000-0000-0000AF470000}"/>
    <cellStyle name="Normal 2 5 2 5 2 2 3 4 2" xfId="44194" xr:uid="{00000000-0005-0000-0000-0000B0470000}"/>
    <cellStyle name="Normal 2 5 2 5 2 2 3 5" xfId="30131" xr:uid="{00000000-0005-0000-0000-0000B1470000}"/>
    <cellStyle name="Normal 2 5 2 5 2 2 4" xfId="2339" xr:uid="{00000000-0005-0000-0000-0000B2470000}"/>
    <cellStyle name="Normal 2 5 2 5 2 2 4 2" xfId="11704" xr:uid="{00000000-0005-0000-0000-0000B3470000}"/>
    <cellStyle name="Normal 2 5 2 5 2 2 4 2 2" xfId="37259" xr:uid="{00000000-0005-0000-0000-0000B4470000}"/>
    <cellStyle name="Normal 2 5 2 5 2 2 4 3" xfId="21708" xr:uid="{00000000-0005-0000-0000-0000B5470000}"/>
    <cellStyle name="Normal 2 5 2 5 2 2 4 3 2" xfId="47261" xr:uid="{00000000-0005-0000-0000-0000B6470000}"/>
    <cellStyle name="Normal 2 5 2 5 2 2 4 4" xfId="28191" xr:uid="{00000000-0005-0000-0000-0000B7470000}"/>
    <cellStyle name="Normal 2 5 2 5 2 2 5" xfId="6015" xr:uid="{00000000-0005-0000-0000-0000B8470000}"/>
    <cellStyle name="Normal 2 5 2 5 2 2 5 2" xfId="14842" xr:uid="{00000000-0005-0000-0000-0000B9470000}"/>
    <cellStyle name="Normal 2 5 2 5 2 2 5 2 2" xfId="40397" xr:uid="{00000000-0005-0000-0000-0000BA470000}"/>
    <cellStyle name="Normal 2 5 2 5 2 2 5 3" xfId="25093" xr:uid="{00000000-0005-0000-0000-0000BB470000}"/>
    <cellStyle name="Normal 2 5 2 5 2 2 5 3 2" xfId="50646" xr:uid="{00000000-0005-0000-0000-0000BC470000}"/>
    <cellStyle name="Normal 2 5 2 5 2 2 5 4" xfId="31576" xr:uid="{00000000-0005-0000-0000-0000BD470000}"/>
    <cellStyle name="Normal 2 5 2 5 2 2 6" xfId="7459" xr:uid="{00000000-0005-0000-0000-0000BE470000}"/>
    <cellStyle name="Normal 2 5 2 5 2 2 6 2" xfId="20190" xr:uid="{00000000-0005-0000-0000-0000BF470000}"/>
    <cellStyle name="Normal 2 5 2 5 2 2 6 2 2" xfId="45743" xr:uid="{00000000-0005-0000-0000-0000C0470000}"/>
    <cellStyle name="Normal 2 5 2 5 2 2 6 3" xfId="33016" xr:uid="{00000000-0005-0000-0000-0000C1470000}"/>
    <cellStyle name="Normal 2 5 2 5 2 2 7" xfId="16701" xr:uid="{00000000-0005-0000-0000-0000C2470000}"/>
    <cellStyle name="Normal 2 5 2 5 2 2 7 2" xfId="42254" xr:uid="{00000000-0005-0000-0000-0000C3470000}"/>
    <cellStyle name="Normal 2 5 2 5 2 2 8" xfId="26673" xr:uid="{00000000-0005-0000-0000-0000C4470000}"/>
    <cellStyle name="Normal 2 5 2 5 2 3" xfId="1335" xr:uid="{00000000-0005-0000-0000-0000C5470000}"/>
    <cellStyle name="Normal 2 5 2 5 2 3 2" xfId="3764" xr:uid="{00000000-0005-0000-0000-0000C6470000}"/>
    <cellStyle name="Normal 2 5 2 5 2 3 2 2" xfId="12900" xr:uid="{00000000-0005-0000-0000-0000C7470000}"/>
    <cellStyle name="Normal 2 5 2 5 2 3 2 2 2" xfId="23119" xr:uid="{00000000-0005-0000-0000-0000C8470000}"/>
    <cellStyle name="Normal 2 5 2 5 2 3 2 2 2 2" xfId="48672" xr:uid="{00000000-0005-0000-0000-0000C9470000}"/>
    <cellStyle name="Normal 2 5 2 5 2 3 2 2 3" xfId="38455" xr:uid="{00000000-0005-0000-0000-0000CA470000}"/>
    <cellStyle name="Normal 2 5 2 5 2 3 2 3" xfId="9321" xr:uid="{00000000-0005-0000-0000-0000CB470000}"/>
    <cellStyle name="Normal 2 5 2 5 2 3 2 3 2" xfId="34878" xr:uid="{00000000-0005-0000-0000-0000CC470000}"/>
    <cellStyle name="Normal 2 5 2 5 2 3 2 4" xfId="18112" xr:uid="{00000000-0005-0000-0000-0000CD470000}"/>
    <cellStyle name="Normal 2 5 2 5 2 3 2 4 2" xfId="43665" xr:uid="{00000000-0005-0000-0000-0000CE470000}"/>
    <cellStyle name="Normal 2 5 2 5 2 3 2 5" xfId="29602" xr:uid="{00000000-0005-0000-0000-0000CF470000}"/>
    <cellStyle name="Normal 2 5 2 5 2 3 3" xfId="4908" xr:uid="{00000000-0005-0000-0000-0000D0470000}"/>
    <cellStyle name="Normal 2 5 2 5 2 3 3 2" xfId="13745" xr:uid="{00000000-0005-0000-0000-0000D1470000}"/>
    <cellStyle name="Normal 2 5 2 5 2 3 3 2 2" xfId="23996" xr:uid="{00000000-0005-0000-0000-0000D2470000}"/>
    <cellStyle name="Normal 2 5 2 5 2 3 3 2 2 2" xfId="49549" xr:uid="{00000000-0005-0000-0000-0000D3470000}"/>
    <cellStyle name="Normal 2 5 2 5 2 3 3 2 3" xfId="39300" xr:uid="{00000000-0005-0000-0000-0000D4470000}"/>
    <cellStyle name="Normal 2 5 2 5 2 3 3 3" xfId="10166" xr:uid="{00000000-0005-0000-0000-0000D5470000}"/>
    <cellStyle name="Normal 2 5 2 5 2 3 3 3 2" xfId="35723" xr:uid="{00000000-0005-0000-0000-0000D6470000}"/>
    <cellStyle name="Normal 2 5 2 5 2 3 3 4" xfId="18989" xr:uid="{00000000-0005-0000-0000-0000D7470000}"/>
    <cellStyle name="Normal 2 5 2 5 2 3 3 4 2" xfId="44542" xr:uid="{00000000-0005-0000-0000-0000D8470000}"/>
    <cellStyle name="Normal 2 5 2 5 2 3 3 5" xfId="30479" xr:uid="{00000000-0005-0000-0000-0000D9470000}"/>
    <cellStyle name="Normal 2 5 2 5 2 3 4" xfId="2158" xr:uid="{00000000-0005-0000-0000-0000DA470000}"/>
    <cellStyle name="Normal 2 5 2 5 2 3 4 2" xfId="11523" xr:uid="{00000000-0005-0000-0000-0000DB470000}"/>
    <cellStyle name="Normal 2 5 2 5 2 3 4 2 2" xfId="37078" xr:uid="{00000000-0005-0000-0000-0000DC470000}"/>
    <cellStyle name="Normal 2 5 2 5 2 3 4 3" xfId="21527" xr:uid="{00000000-0005-0000-0000-0000DD470000}"/>
    <cellStyle name="Normal 2 5 2 5 2 3 4 3 2" xfId="47080" xr:uid="{00000000-0005-0000-0000-0000DE470000}"/>
    <cellStyle name="Normal 2 5 2 5 2 3 4 4" xfId="28010" xr:uid="{00000000-0005-0000-0000-0000DF470000}"/>
    <cellStyle name="Normal 2 5 2 5 2 3 5" xfId="6363" xr:uid="{00000000-0005-0000-0000-0000E0470000}"/>
    <cellStyle name="Normal 2 5 2 5 2 3 5 2" xfId="15190" xr:uid="{00000000-0005-0000-0000-0000E1470000}"/>
    <cellStyle name="Normal 2 5 2 5 2 3 5 2 2" xfId="40745" xr:uid="{00000000-0005-0000-0000-0000E2470000}"/>
    <cellStyle name="Normal 2 5 2 5 2 3 5 3" xfId="25441" xr:uid="{00000000-0005-0000-0000-0000E3470000}"/>
    <cellStyle name="Normal 2 5 2 5 2 3 5 3 2" xfId="50994" xr:uid="{00000000-0005-0000-0000-0000E4470000}"/>
    <cellStyle name="Normal 2 5 2 5 2 3 5 4" xfId="31924" xr:uid="{00000000-0005-0000-0000-0000E5470000}"/>
    <cellStyle name="Normal 2 5 2 5 2 3 6" xfId="7809" xr:uid="{00000000-0005-0000-0000-0000E6470000}"/>
    <cellStyle name="Normal 2 5 2 5 2 3 6 2" xfId="20718" xr:uid="{00000000-0005-0000-0000-0000E7470000}"/>
    <cellStyle name="Normal 2 5 2 5 2 3 6 2 2" xfId="46271" xr:uid="{00000000-0005-0000-0000-0000E8470000}"/>
    <cellStyle name="Normal 2 5 2 5 2 3 6 3" xfId="33366" xr:uid="{00000000-0005-0000-0000-0000E9470000}"/>
    <cellStyle name="Normal 2 5 2 5 2 3 7" xfId="16520" xr:uid="{00000000-0005-0000-0000-0000EA470000}"/>
    <cellStyle name="Normal 2 5 2 5 2 3 7 2" xfId="42073" xr:uid="{00000000-0005-0000-0000-0000EB470000}"/>
    <cellStyle name="Normal 2 5 2 5 2 3 8" xfId="27201" xr:uid="{00000000-0005-0000-0000-0000EC470000}"/>
    <cellStyle name="Normal 2 5 2 5 2 4" xfId="3049" xr:uid="{00000000-0005-0000-0000-0000ED470000}"/>
    <cellStyle name="Normal 2 5 2 5 2 4 2" xfId="5427" xr:uid="{00000000-0005-0000-0000-0000EE470000}"/>
    <cellStyle name="Normal 2 5 2 5 2 4 2 2" xfId="14264" xr:uid="{00000000-0005-0000-0000-0000EF470000}"/>
    <cellStyle name="Normal 2 5 2 5 2 4 2 2 2" xfId="24515" xr:uid="{00000000-0005-0000-0000-0000F0470000}"/>
    <cellStyle name="Normal 2 5 2 5 2 4 2 2 2 2" xfId="50068" xr:uid="{00000000-0005-0000-0000-0000F1470000}"/>
    <cellStyle name="Normal 2 5 2 5 2 4 2 2 3" xfId="39819" xr:uid="{00000000-0005-0000-0000-0000F2470000}"/>
    <cellStyle name="Normal 2 5 2 5 2 4 2 3" xfId="10685" xr:uid="{00000000-0005-0000-0000-0000F3470000}"/>
    <cellStyle name="Normal 2 5 2 5 2 4 2 3 2" xfId="36242" xr:uid="{00000000-0005-0000-0000-0000F4470000}"/>
    <cellStyle name="Normal 2 5 2 5 2 4 2 4" xfId="19508" xr:uid="{00000000-0005-0000-0000-0000F5470000}"/>
    <cellStyle name="Normal 2 5 2 5 2 4 2 4 2" xfId="45061" xr:uid="{00000000-0005-0000-0000-0000F6470000}"/>
    <cellStyle name="Normal 2 5 2 5 2 4 2 5" xfId="30998" xr:uid="{00000000-0005-0000-0000-0000F7470000}"/>
    <cellStyle name="Normal 2 5 2 5 2 4 3" xfId="6882" xr:uid="{00000000-0005-0000-0000-0000F8470000}"/>
    <cellStyle name="Normal 2 5 2 5 2 4 3 2" xfId="15709" xr:uid="{00000000-0005-0000-0000-0000F9470000}"/>
    <cellStyle name="Normal 2 5 2 5 2 4 3 2 2" xfId="41264" xr:uid="{00000000-0005-0000-0000-0000FA470000}"/>
    <cellStyle name="Normal 2 5 2 5 2 4 3 3" xfId="25960" xr:uid="{00000000-0005-0000-0000-0000FB470000}"/>
    <cellStyle name="Normal 2 5 2 5 2 4 3 3 2" xfId="51513" xr:uid="{00000000-0005-0000-0000-0000FC470000}"/>
    <cellStyle name="Normal 2 5 2 5 2 4 3 4" xfId="32443" xr:uid="{00000000-0005-0000-0000-0000FD470000}"/>
    <cellStyle name="Normal 2 5 2 5 2 4 4" xfId="8328" xr:uid="{00000000-0005-0000-0000-0000FE470000}"/>
    <cellStyle name="Normal 2 5 2 5 2 4 4 2" xfId="22410" xr:uid="{00000000-0005-0000-0000-0000FF470000}"/>
    <cellStyle name="Normal 2 5 2 5 2 4 4 2 2" xfId="47963" xr:uid="{00000000-0005-0000-0000-000000480000}"/>
    <cellStyle name="Normal 2 5 2 5 2 4 4 3" xfId="33885" xr:uid="{00000000-0005-0000-0000-000001480000}"/>
    <cellStyle name="Normal 2 5 2 5 2 4 5" xfId="17403" xr:uid="{00000000-0005-0000-0000-000002480000}"/>
    <cellStyle name="Normal 2 5 2 5 2 4 5 2" xfId="42956" xr:uid="{00000000-0005-0000-0000-000003480000}"/>
    <cellStyle name="Normal 2 5 2 5 2 4 6" xfId="28893" xr:uid="{00000000-0005-0000-0000-000004480000}"/>
    <cellStyle name="Normal 2 5 2 5 2 5" xfId="4383" xr:uid="{00000000-0005-0000-0000-000005480000}"/>
    <cellStyle name="Normal 2 5 2 5 2 5 2" xfId="13221" xr:uid="{00000000-0005-0000-0000-000006480000}"/>
    <cellStyle name="Normal 2 5 2 5 2 5 2 2" xfId="23472" xr:uid="{00000000-0005-0000-0000-000007480000}"/>
    <cellStyle name="Normal 2 5 2 5 2 5 2 2 2" xfId="49025" xr:uid="{00000000-0005-0000-0000-000008480000}"/>
    <cellStyle name="Normal 2 5 2 5 2 5 2 3" xfId="38776" xr:uid="{00000000-0005-0000-0000-000009480000}"/>
    <cellStyle name="Normal 2 5 2 5 2 5 3" xfId="9642" xr:uid="{00000000-0005-0000-0000-00000A480000}"/>
    <cellStyle name="Normal 2 5 2 5 2 5 3 2" xfId="35199" xr:uid="{00000000-0005-0000-0000-00000B480000}"/>
    <cellStyle name="Normal 2 5 2 5 2 5 4" xfId="18465" xr:uid="{00000000-0005-0000-0000-00000C480000}"/>
    <cellStyle name="Normal 2 5 2 5 2 5 4 2" xfId="44018" xr:uid="{00000000-0005-0000-0000-00000D480000}"/>
    <cellStyle name="Normal 2 5 2 5 2 5 5" xfId="29955" xr:uid="{00000000-0005-0000-0000-00000E480000}"/>
    <cellStyle name="Normal 2 5 2 5 2 6" xfId="1655" xr:uid="{00000000-0005-0000-0000-00000F480000}"/>
    <cellStyle name="Normal 2 5 2 5 2 6 2" xfId="11032" xr:uid="{00000000-0005-0000-0000-000010480000}"/>
    <cellStyle name="Normal 2 5 2 5 2 6 2 2" xfId="36587" xr:uid="{00000000-0005-0000-0000-000011480000}"/>
    <cellStyle name="Normal 2 5 2 5 2 6 3" xfId="21036" xr:uid="{00000000-0005-0000-0000-000012480000}"/>
    <cellStyle name="Normal 2 5 2 5 2 6 3 2" xfId="46589" xr:uid="{00000000-0005-0000-0000-000013480000}"/>
    <cellStyle name="Normal 2 5 2 5 2 6 4" xfId="27519" xr:uid="{00000000-0005-0000-0000-000014480000}"/>
    <cellStyle name="Normal 2 5 2 5 2 7" xfId="5839" xr:uid="{00000000-0005-0000-0000-000015480000}"/>
    <cellStyle name="Normal 2 5 2 5 2 7 2" xfId="14666" xr:uid="{00000000-0005-0000-0000-000016480000}"/>
    <cellStyle name="Normal 2 5 2 5 2 7 2 2" xfId="40221" xr:uid="{00000000-0005-0000-0000-000017480000}"/>
    <cellStyle name="Normal 2 5 2 5 2 7 3" xfId="24917" xr:uid="{00000000-0005-0000-0000-000018480000}"/>
    <cellStyle name="Normal 2 5 2 5 2 7 3 2" xfId="50470" xr:uid="{00000000-0005-0000-0000-000019480000}"/>
    <cellStyle name="Normal 2 5 2 5 2 7 4" xfId="31400" xr:uid="{00000000-0005-0000-0000-00001A480000}"/>
    <cellStyle name="Normal 2 5 2 5 2 8" xfId="7283" xr:uid="{00000000-0005-0000-0000-00001B480000}"/>
    <cellStyle name="Normal 2 5 2 5 2 8 2" xfId="20009" xr:uid="{00000000-0005-0000-0000-00001C480000}"/>
    <cellStyle name="Normal 2 5 2 5 2 8 2 2" xfId="45562" xr:uid="{00000000-0005-0000-0000-00001D480000}"/>
    <cellStyle name="Normal 2 5 2 5 2 8 3" xfId="32840" xr:uid="{00000000-0005-0000-0000-00001E480000}"/>
    <cellStyle name="Normal 2 5 2 5 2 9" xfId="16029" xr:uid="{00000000-0005-0000-0000-00001F480000}"/>
    <cellStyle name="Normal 2 5 2 5 2 9 2" xfId="41582" xr:uid="{00000000-0005-0000-0000-000020480000}"/>
    <cellStyle name="Normal 2 5 2 5 2_Degree data" xfId="3814" xr:uid="{00000000-0005-0000-0000-000021480000}"/>
    <cellStyle name="Normal 2 5 2 5 3" xfId="358" xr:uid="{00000000-0005-0000-0000-000022480000}"/>
    <cellStyle name="Normal 2 5 2 5 3 2" xfId="2844" xr:uid="{00000000-0005-0000-0000-000023480000}"/>
    <cellStyle name="Normal 2 5 2 5 3 2 2" xfId="12132" xr:uid="{00000000-0005-0000-0000-000024480000}"/>
    <cellStyle name="Normal 2 5 2 5 3 2 2 2" xfId="22205" xr:uid="{00000000-0005-0000-0000-000025480000}"/>
    <cellStyle name="Normal 2 5 2 5 3 2 2 2 2" xfId="47758" xr:uid="{00000000-0005-0000-0000-000026480000}"/>
    <cellStyle name="Normal 2 5 2 5 3 2 2 3" xfId="37687" xr:uid="{00000000-0005-0000-0000-000027480000}"/>
    <cellStyle name="Normal 2 5 2 5 3 2 3" xfId="8382" xr:uid="{00000000-0005-0000-0000-000028480000}"/>
    <cellStyle name="Normal 2 5 2 5 3 2 3 2" xfId="33939" xr:uid="{00000000-0005-0000-0000-000029480000}"/>
    <cellStyle name="Normal 2 5 2 5 3 2 4" xfId="17198" xr:uid="{00000000-0005-0000-0000-00002A480000}"/>
    <cellStyle name="Normal 2 5 2 5 3 2 4 2" xfId="42751" xr:uid="{00000000-0005-0000-0000-00002B480000}"/>
    <cellStyle name="Normal 2 5 2 5 3 2 5" xfId="28688" xr:uid="{00000000-0005-0000-0000-00002C480000}"/>
    <cellStyle name="Normal 2 5 2 5 3 3" xfId="4558" xr:uid="{00000000-0005-0000-0000-00002D480000}"/>
    <cellStyle name="Normal 2 5 2 5 3 3 2" xfId="13396" xr:uid="{00000000-0005-0000-0000-00002E480000}"/>
    <cellStyle name="Normal 2 5 2 5 3 3 2 2" xfId="23647" xr:uid="{00000000-0005-0000-0000-00002F480000}"/>
    <cellStyle name="Normal 2 5 2 5 3 3 2 2 2" xfId="49200" xr:uid="{00000000-0005-0000-0000-000030480000}"/>
    <cellStyle name="Normal 2 5 2 5 3 3 2 3" xfId="38951" xr:uid="{00000000-0005-0000-0000-000031480000}"/>
    <cellStyle name="Normal 2 5 2 5 3 3 3" xfId="9817" xr:uid="{00000000-0005-0000-0000-000032480000}"/>
    <cellStyle name="Normal 2 5 2 5 3 3 3 2" xfId="35374" xr:uid="{00000000-0005-0000-0000-000033480000}"/>
    <cellStyle name="Normal 2 5 2 5 3 3 4" xfId="18640" xr:uid="{00000000-0005-0000-0000-000034480000}"/>
    <cellStyle name="Normal 2 5 2 5 3 3 4 2" xfId="44193" xr:uid="{00000000-0005-0000-0000-000035480000}"/>
    <cellStyle name="Normal 2 5 2 5 3 3 5" xfId="30130" xr:uid="{00000000-0005-0000-0000-000036480000}"/>
    <cellStyle name="Normal 2 5 2 5 3 4" xfId="1953" xr:uid="{00000000-0005-0000-0000-000037480000}"/>
    <cellStyle name="Normal 2 5 2 5 3 4 2" xfId="11318" xr:uid="{00000000-0005-0000-0000-000038480000}"/>
    <cellStyle name="Normal 2 5 2 5 3 4 2 2" xfId="36873" xr:uid="{00000000-0005-0000-0000-000039480000}"/>
    <cellStyle name="Normal 2 5 2 5 3 4 3" xfId="21322" xr:uid="{00000000-0005-0000-0000-00003A480000}"/>
    <cellStyle name="Normal 2 5 2 5 3 4 3 2" xfId="46875" xr:uid="{00000000-0005-0000-0000-00003B480000}"/>
    <cellStyle name="Normal 2 5 2 5 3 4 4" xfId="27805" xr:uid="{00000000-0005-0000-0000-00003C480000}"/>
    <cellStyle name="Normal 2 5 2 5 3 5" xfId="6014" xr:uid="{00000000-0005-0000-0000-00003D480000}"/>
    <cellStyle name="Normal 2 5 2 5 3 5 2" xfId="14841" xr:uid="{00000000-0005-0000-0000-00003E480000}"/>
    <cellStyle name="Normal 2 5 2 5 3 5 2 2" xfId="40396" xr:uid="{00000000-0005-0000-0000-00003F480000}"/>
    <cellStyle name="Normal 2 5 2 5 3 5 3" xfId="25092" xr:uid="{00000000-0005-0000-0000-000040480000}"/>
    <cellStyle name="Normal 2 5 2 5 3 5 3 2" xfId="50645" xr:uid="{00000000-0005-0000-0000-000041480000}"/>
    <cellStyle name="Normal 2 5 2 5 3 5 4" xfId="31575" xr:uid="{00000000-0005-0000-0000-000042480000}"/>
    <cellStyle name="Normal 2 5 2 5 3 6" xfId="7458" xr:uid="{00000000-0005-0000-0000-000043480000}"/>
    <cellStyle name="Normal 2 5 2 5 3 6 2" xfId="19804" xr:uid="{00000000-0005-0000-0000-000044480000}"/>
    <cellStyle name="Normal 2 5 2 5 3 6 2 2" xfId="45357" xr:uid="{00000000-0005-0000-0000-000045480000}"/>
    <cellStyle name="Normal 2 5 2 5 3 6 3" xfId="33015" xr:uid="{00000000-0005-0000-0000-000046480000}"/>
    <cellStyle name="Normal 2 5 2 5 3 7" xfId="16315" xr:uid="{00000000-0005-0000-0000-000047480000}"/>
    <cellStyle name="Normal 2 5 2 5 3 7 2" xfId="41868" xr:uid="{00000000-0005-0000-0000-000048480000}"/>
    <cellStyle name="Normal 2 5 2 5 3 8" xfId="26287" xr:uid="{00000000-0005-0000-0000-000049480000}"/>
    <cellStyle name="Normal 2 5 2 5 4" xfId="743" xr:uid="{00000000-0005-0000-0000-00004A480000}"/>
    <cellStyle name="Normal 2 5 2 5 4 2" xfId="3229" xr:uid="{00000000-0005-0000-0000-00004B480000}"/>
    <cellStyle name="Normal 2 5 2 5 4 2 2" xfId="12371" xr:uid="{00000000-0005-0000-0000-00004C480000}"/>
    <cellStyle name="Normal 2 5 2 5 4 2 2 2" xfId="22590" xr:uid="{00000000-0005-0000-0000-00004D480000}"/>
    <cellStyle name="Normal 2 5 2 5 4 2 2 2 2" xfId="48143" xr:uid="{00000000-0005-0000-0000-00004E480000}"/>
    <cellStyle name="Normal 2 5 2 5 4 2 2 3" xfId="37926" xr:uid="{00000000-0005-0000-0000-00004F480000}"/>
    <cellStyle name="Normal 2 5 2 5 4 2 3" xfId="8793" xr:uid="{00000000-0005-0000-0000-000050480000}"/>
    <cellStyle name="Normal 2 5 2 5 4 2 3 2" xfId="34350" xr:uid="{00000000-0005-0000-0000-000051480000}"/>
    <cellStyle name="Normal 2 5 2 5 4 2 4" xfId="17583" xr:uid="{00000000-0005-0000-0000-000052480000}"/>
    <cellStyle name="Normal 2 5 2 5 4 2 4 2" xfId="43136" xr:uid="{00000000-0005-0000-0000-000053480000}"/>
    <cellStyle name="Normal 2 5 2 5 4 2 5" xfId="29073" xr:uid="{00000000-0005-0000-0000-000054480000}"/>
    <cellStyle name="Normal 2 5 2 5 4 3" xfId="4907" xr:uid="{00000000-0005-0000-0000-000055480000}"/>
    <cellStyle name="Normal 2 5 2 5 4 3 2" xfId="13744" xr:uid="{00000000-0005-0000-0000-000056480000}"/>
    <cellStyle name="Normal 2 5 2 5 4 3 2 2" xfId="23995" xr:uid="{00000000-0005-0000-0000-000057480000}"/>
    <cellStyle name="Normal 2 5 2 5 4 3 2 2 2" xfId="49548" xr:uid="{00000000-0005-0000-0000-000058480000}"/>
    <cellStyle name="Normal 2 5 2 5 4 3 2 3" xfId="39299" xr:uid="{00000000-0005-0000-0000-000059480000}"/>
    <cellStyle name="Normal 2 5 2 5 4 3 3" xfId="10165" xr:uid="{00000000-0005-0000-0000-00005A480000}"/>
    <cellStyle name="Normal 2 5 2 5 4 3 3 2" xfId="35722" xr:uid="{00000000-0005-0000-0000-00005B480000}"/>
    <cellStyle name="Normal 2 5 2 5 4 3 4" xfId="18988" xr:uid="{00000000-0005-0000-0000-00005C480000}"/>
    <cellStyle name="Normal 2 5 2 5 4 3 4 2" xfId="44541" xr:uid="{00000000-0005-0000-0000-00005D480000}"/>
    <cellStyle name="Normal 2 5 2 5 4 3 5" xfId="30478" xr:uid="{00000000-0005-0000-0000-00005E480000}"/>
    <cellStyle name="Normal 2 5 2 5 4 4" xfId="2338" xr:uid="{00000000-0005-0000-0000-00005F480000}"/>
    <cellStyle name="Normal 2 5 2 5 4 4 2" xfId="11703" xr:uid="{00000000-0005-0000-0000-000060480000}"/>
    <cellStyle name="Normal 2 5 2 5 4 4 2 2" xfId="37258" xr:uid="{00000000-0005-0000-0000-000061480000}"/>
    <cellStyle name="Normal 2 5 2 5 4 4 3" xfId="21707" xr:uid="{00000000-0005-0000-0000-000062480000}"/>
    <cellStyle name="Normal 2 5 2 5 4 4 3 2" xfId="47260" xr:uid="{00000000-0005-0000-0000-000063480000}"/>
    <cellStyle name="Normal 2 5 2 5 4 4 4" xfId="28190" xr:uid="{00000000-0005-0000-0000-000064480000}"/>
    <cellStyle name="Normal 2 5 2 5 4 5" xfId="6362" xr:uid="{00000000-0005-0000-0000-000065480000}"/>
    <cellStyle name="Normal 2 5 2 5 4 5 2" xfId="15189" xr:uid="{00000000-0005-0000-0000-000066480000}"/>
    <cellStyle name="Normal 2 5 2 5 4 5 2 2" xfId="40744" xr:uid="{00000000-0005-0000-0000-000067480000}"/>
    <cellStyle name="Normal 2 5 2 5 4 5 3" xfId="25440" xr:uid="{00000000-0005-0000-0000-000068480000}"/>
    <cellStyle name="Normal 2 5 2 5 4 5 3 2" xfId="50993" xr:uid="{00000000-0005-0000-0000-000069480000}"/>
    <cellStyle name="Normal 2 5 2 5 4 5 4" xfId="31923" xr:uid="{00000000-0005-0000-0000-00006A480000}"/>
    <cellStyle name="Normal 2 5 2 5 4 6" xfId="7808" xr:uid="{00000000-0005-0000-0000-00006B480000}"/>
    <cellStyle name="Normal 2 5 2 5 4 6 2" xfId="20189" xr:uid="{00000000-0005-0000-0000-00006C480000}"/>
    <cellStyle name="Normal 2 5 2 5 4 6 2 2" xfId="45742" xr:uid="{00000000-0005-0000-0000-00006D480000}"/>
    <cellStyle name="Normal 2 5 2 5 4 6 3" xfId="33365" xr:uid="{00000000-0005-0000-0000-00006E480000}"/>
    <cellStyle name="Normal 2 5 2 5 4 7" xfId="16700" xr:uid="{00000000-0005-0000-0000-00006F480000}"/>
    <cellStyle name="Normal 2 5 2 5 4 7 2" xfId="42253" xr:uid="{00000000-0005-0000-0000-000070480000}"/>
    <cellStyle name="Normal 2 5 2 5 4 8" xfId="26672" xr:uid="{00000000-0005-0000-0000-000071480000}"/>
    <cellStyle name="Normal 2 5 2 5 5" xfId="1130" xr:uid="{00000000-0005-0000-0000-000072480000}"/>
    <cellStyle name="Normal 2 5 2 5 5 2" xfId="3559" xr:uid="{00000000-0005-0000-0000-000073480000}"/>
    <cellStyle name="Normal 2 5 2 5 5 2 2" xfId="12695" xr:uid="{00000000-0005-0000-0000-000074480000}"/>
    <cellStyle name="Normal 2 5 2 5 5 2 2 2" xfId="22914" xr:uid="{00000000-0005-0000-0000-000075480000}"/>
    <cellStyle name="Normal 2 5 2 5 5 2 2 2 2" xfId="48467" xr:uid="{00000000-0005-0000-0000-000076480000}"/>
    <cellStyle name="Normal 2 5 2 5 5 2 2 3" xfId="38250" xr:uid="{00000000-0005-0000-0000-000077480000}"/>
    <cellStyle name="Normal 2 5 2 5 5 2 3" xfId="9116" xr:uid="{00000000-0005-0000-0000-000078480000}"/>
    <cellStyle name="Normal 2 5 2 5 5 2 3 2" xfId="34673" xr:uid="{00000000-0005-0000-0000-000079480000}"/>
    <cellStyle name="Normal 2 5 2 5 5 2 4" xfId="17907" xr:uid="{00000000-0005-0000-0000-00007A480000}"/>
    <cellStyle name="Normal 2 5 2 5 5 2 4 2" xfId="43460" xr:uid="{00000000-0005-0000-0000-00007B480000}"/>
    <cellStyle name="Normal 2 5 2 5 5 2 5" xfId="29397" xr:uid="{00000000-0005-0000-0000-00007C480000}"/>
    <cellStyle name="Normal 2 5 2 5 5 3" xfId="5222" xr:uid="{00000000-0005-0000-0000-00007D480000}"/>
    <cellStyle name="Normal 2 5 2 5 5 3 2" xfId="14059" xr:uid="{00000000-0005-0000-0000-00007E480000}"/>
    <cellStyle name="Normal 2 5 2 5 5 3 2 2" xfId="24310" xr:uid="{00000000-0005-0000-0000-00007F480000}"/>
    <cellStyle name="Normal 2 5 2 5 5 3 2 2 2" xfId="49863" xr:uid="{00000000-0005-0000-0000-000080480000}"/>
    <cellStyle name="Normal 2 5 2 5 5 3 2 3" xfId="39614" xr:uid="{00000000-0005-0000-0000-000081480000}"/>
    <cellStyle name="Normal 2 5 2 5 5 3 3" xfId="10480" xr:uid="{00000000-0005-0000-0000-000082480000}"/>
    <cellStyle name="Normal 2 5 2 5 5 3 3 2" xfId="36037" xr:uid="{00000000-0005-0000-0000-000083480000}"/>
    <cellStyle name="Normal 2 5 2 5 5 3 4" xfId="19303" xr:uid="{00000000-0005-0000-0000-000084480000}"/>
    <cellStyle name="Normal 2 5 2 5 5 3 4 2" xfId="44856" xr:uid="{00000000-0005-0000-0000-000085480000}"/>
    <cellStyle name="Normal 2 5 2 5 5 3 5" xfId="30793" xr:uid="{00000000-0005-0000-0000-000086480000}"/>
    <cellStyle name="Normal 2 5 2 5 5 4" xfId="1838" xr:uid="{00000000-0005-0000-0000-000087480000}"/>
    <cellStyle name="Normal 2 5 2 5 5 4 2" xfId="11206" xr:uid="{00000000-0005-0000-0000-000088480000}"/>
    <cellStyle name="Normal 2 5 2 5 5 4 2 2" xfId="36761" xr:uid="{00000000-0005-0000-0000-000089480000}"/>
    <cellStyle name="Normal 2 5 2 5 5 4 3" xfId="21210" xr:uid="{00000000-0005-0000-0000-00008A480000}"/>
    <cellStyle name="Normal 2 5 2 5 5 4 3 2" xfId="46763" xr:uid="{00000000-0005-0000-0000-00008B480000}"/>
    <cellStyle name="Normal 2 5 2 5 5 4 4" xfId="27693" xr:uid="{00000000-0005-0000-0000-00008C480000}"/>
    <cellStyle name="Normal 2 5 2 5 5 5" xfId="6677" xr:uid="{00000000-0005-0000-0000-00008D480000}"/>
    <cellStyle name="Normal 2 5 2 5 5 5 2" xfId="15504" xr:uid="{00000000-0005-0000-0000-00008E480000}"/>
    <cellStyle name="Normal 2 5 2 5 5 5 2 2" xfId="41059" xr:uid="{00000000-0005-0000-0000-00008F480000}"/>
    <cellStyle name="Normal 2 5 2 5 5 5 3" xfId="25755" xr:uid="{00000000-0005-0000-0000-000090480000}"/>
    <cellStyle name="Normal 2 5 2 5 5 5 3 2" xfId="51308" xr:uid="{00000000-0005-0000-0000-000091480000}"/>
    <cellStyle name="Normal 2 5 2 5 5 5 4" xfId="32238" xr:uid="{00000000-0005-0000-0000-000092480000}"/>
    <cellStyle name="Normal 2 5 2 5 5 6" xfId="8123" xr:uid="{00000000-0005-0000-0000-000093480000}"/>
    <cellStyle name="Normal 2 5 2 5 5 6 2" xfId="20513" xr:uid="{00000000-0005-0000-0000-000094480000}"/>
    <cellStyle name="Normal 2 5 2 5 5 6 2 2" xfId="46066" xr:uid="{00000000-0005-0000-0000-000095480000}"/>
    <cellStyle name="Normal 2 5 2 5 5 6 3" xfId="33680" xr:uid="{00000000-0005-0000-0000-000096480000}"/>
    <cellStyle name="Normal 2 5 2 5 5 7" xfId="16203" xr:uid="{00000000-0005-0000-0000-000097480000}"/>
    <cellStyle name="Normal 2 5 2 5 5 7 2" xfId="41756" xr:uid="{00000000-0005-0000-0000-000098480000}"/>
    <cellStyle name="Normal 2 5 2 5 5 8" xfId="26996" xr:uid="{00000000-0005-0000-0000-000099480000}"/>
    <cellStyle name="Normal 2 5 2 5 6" xfId="2732" xr:uid="{00000000-0005-0000-0000-00009A480000}"/>
    <cellStyle name="Normal 2 5 2 5 6 2" xfId="12049" xr:uid="{00000000-0005-0000-0000-00009B480000}"/>
    <cellStyle name="Normal 2 5 2 5 6 2 2" xfId="22093" xr:uid="{00000000-0005-0000-0000-00009C480000}"/>
    <cellStyle name="Normal 2 5 2 5 6 2 2 2" xfId="47646" xr:uid="{00000000-0005-0000-0000-00009D480000}"/>
    <cellStyle name="Normal 2 5 2 5 6 2 3" xfId="37604" xr:uid="{00000000-0005-0000-0000-00009E480000}"/>
    <cellStyle name="Normal 2 5 2 5 6 3" xfId="8424" xr:uid="{00000000-0005-0000-0000-00009F480000}"/>
    <cellStyle name="Normal 2 5 2 5 6 3 2" xfId="33981" xr:uid="{00000000-0005-0000-0000-0000A0480000}"/>
    <cellStyle name="Normal 2 5 2 5 6 4" xfId="17086" xr:uid="{00000000-0005-0000-0000-0000A1480000}"/>
    <cellStyle name="Normal 2 5 2 5 6 4 2" xfId="42639" xr:uid="{00000000-0005-0000-0000-0000A2480000}"/>
    <cellStyle name="Normal 2 5 2 5 6 5" xfId="28576" xr:uid="{00000000-0005-0000-0000-0000A3480000}"/>
    <cellStyle name="Normal 2 5 2 5 7" xfId="4178" xr:uid="{00000000-0005-0000-0000-0000A4480000}"/>
    <cellStyle name="Normal 2 5 2 5 7 2" xfId="13016" xr:uid="{00000000-0005-0000-0000-0000A5480000}"/>
    <cellStyle name="Normal 2 5 2 5 7 2 2" xfId="23267" xr:uid="{00000000-0005-0000-0000-0000A6480000}"/>
    <cellStyle name="Normal 2 5 2 5 7 2 2 2" xfId="48820" xr:uid="{00000000-0005-0000-0000-0000A7480000}"/>
    <cellStyle name="Normal 2 5 2 5 7 2 3" xfId="38571" xr:uid="{00000000-0005-0000-0000-0000A8480000}"/>
    <cellStyle name="Normal 2 5 2 5 7 3" xfId="9437" xr:uid="{00000000-0005-0000-0000-0000A9480000}"/>
    <cellStyle name="Normal 2 5 2 5 7 3 2" xfId="34994" xr:uid="{00000000-0005-0000-0000-0000AA480000}"/>
    <cellStyle name="Normal 2 5 2 5 7 4" xfId="18260" xr:uid="{00000000-0005-0000-0000-0000AB480000}"/>
    <cellStyle name="Normal 2 5 2 5 7 4 2" xfId="43813" xr:uid="{00000000-0005-0000-0000-0000AC480000}"/>
    <cellStyle name="Normal 2 5 2 5 7 5" xfId="29750" xr:uid="{00000000-0005-0000-0000-0000AD480000}"/>
    <cellStyle name="Normal 2 5 2 5 8" xfId="1450" xr:uid="{00000000-0005-0000-0000-0000AE480000}"/>
    <cellStyle name="Normal 2 5 2 5 8 2" xfId="10827" xr:uid="{00000000-0005-0000-0000-0000AF480000}"/>
    <cellStyle name="Normal 2 5 2 5 8 2 2" xfId="36382" xr:uid="{00000000-0005-0000-0000-0000B0480000}"/>
    <cellStyle name="Normal 2 5 2 5 8 3" xfId="20831" xr:uid="{00000000-0005-0000-0000-0000B1480000}"/>
    <cellStyle name="Normal 2 5 2 5 8 3 2" xfId="46384" xr:uid="{00000000-0005-0000-0000-0000B2480000}"/>
    <cellStyle name="Normal 2 5 2 5 8 4" xfId="27314" xr:uid="{00000000-0005-0000-0000-0000B3480000}"/>
    <cellStyle name="Normal 2 5 2 5 9" xfId="5634" xr:uid="{00000000-0005-0000-0000-0000B4480000}"/>
    <cellStyle name="Normal 2 5 2 5 9 2" xfId="14461" xr:uid="{00000000-0005-0000-0000-0000B5480000}"/>
    <cellStyle name="Normal 2 5 2 5 9 2 2" xfId="40016" xr:uid="{00000000-0005-0000-0000-0000B6480000}"/>
    <cellStyle name="Normal 2 5 2 5 9 3" xfId="24712" xr:uid="{00000000-0005-0000-0000-0000B7480000}"/>
    <cellStyle name="Normal 2 5 2 5 9 3 2" xfId="50265" xr:uid="{00000000-0005-0000-0000-0000B8480000}"/>
    <cellStyle name="Normal 2 5 2 5 9 4" xfId="31195" xr:uid="{00000000-0005-0000-0000-0000B9480000}"/>
    <cellStyle name="Normal 2 5 2 5_Degree data" xfId="3905" xr:uid="{00000000-0005-0000-0000-0000BA480000}"/>
    <cellStyle name="Normal 2 5 2 6" xfId="458" xr:uid="{00000000-0005-0000-0000-0000BB480000}"/>
    <cellStyle name="Normal 2 5 2 6 10" xfId="26387" xr:uid="{00000000-0005-0000-0000-0000BC480000}"/>
    <cellStyle name="Normal 2 5 2 6 2" xfId="745" xr:uid="{00000000-0005-0000-0000-0000BD480000}"/>
    <cellStyle name="Normal 2 5 2 6 2 2" xfId="3231" xr:uid="{00000000-0005-0000-0000-0000BE480000}"/>
    <cellStyle name="Normal 2 5 2 6 2 2 2" xfId="12373" xr:uid="{00000000-0005-0000-0000-0000BF480000}"/>
    <cellStyle name="Normal 2 5 2 6 2 2 2 2" xfId="22592" xr:uid="{00000000-0005-0000-0000-0000C0480000}"/>
    <cellStyle name="Normal 2 5 2 6 2 2 2 2 2" xfId="48145" xr:uid="{00000000-0005-0000-0000-0000C1480000}"/>
    <cellStyle name="Normal 2 5 2 6 2 2 2 3" xfId="37928" xr:uid="{00000000-0005-0000-0000-0000C2480000}"/>
    <cellStyle name="Normal 2 5 2 6 2 2 3" xfId="8795" xr:uid="{00000000-0005-0000-0000-0000C3480000}"/>
    <cellStyle name="Normal 2 5 2 6 2 2 3 2" xfId="34352" xr:uid="{00000000-0005-0000-0000-0000C4480000}"/>
    <cellStyle name="Normal 2 5 2 6 2 2 4" xfId="17585" xr:uid="{00000000-0005-0000-0000-0000C5480000}"/>
    <cellStyle name="Normal 2 5 2 6 2 2 4 2" xfId="43138" xr:uid="{00000000-0005-0000-0000-0000C6480000}"/>
    <cellStyle name="Normal 2 5 2 6 2 2 5" xfId="29075" xr:uid="{00000000-0005-0000-0000-0000C7480000}"/>
    <cellStyle name="Normal 2 5 2 6 2 3" xfId="4560" xr:uid="{00000000-0005-0000-0000-0000C8480000}"/>
    <cellStyle name="Normal 2 5 2 6 2 3 2" xfId="13398" xr:uid="{00000000-0005-0000-0000-0000C9480000}"/>
    <cellStyle name="Normal 2 5 2 6 2 3 2 2" xfId="23649" xr:uid="{00000000-0005-0000-0000-0000CA480000}"/>
    <cellStyle name="Normal 2 5 2 6 2 3 2 2 2" xfId="49202" xr:uid="{00000000-0005-0000-0000-0000CB480000}"/>
    <cellStyle name="Normal 2 5 2 6 2 3 2 3" xfId="38953" xr:uid="{00000000-0005-0000-0000-0000CC480000}"/>
    <cellStyle name="Normal 2 5 2 6 2 3 3" xfId="9819" xr:uid="{00000000-0005-0000-0000-0000CD480000}"/>
    <cellStyle name="Normal 2 5 2 6 2 3 3 2" xfId="35376" xr:uid="{00000000-0005-0000-0000-0000CE480000}"/>
    <cellStyle name="Normal 2 5 2 6 2 3 4" xfId="18642" xr:uid="{00000000-0005-0000-0000-0000CF480000}"/>
    <cellStyle name="Normal 2 5 2 6 2 3 4 2" xfId="44195" xr:uid="{00000000-0005-0000-0000-0000D0480000}"/>
    <cellStyle name="Normal 2 5 2 6 2 3 5" xfId="30132" xr:uid="{00000000-0005-0000-0000-0000D1480000}"/>
    <cellStyle name="Normal 2 5 2 6 2 4" xfId="2340" xr:uid="{00000000-0005-0000-0000-0000D2480000}"/>
    <cellStyle name="Normal 2 5 2 6 2 4 2" xfId="11705" xr:uid="{00000000-0005-0000-0000-0000D3480000}"/>
    <cellStyle name="Normal 2 5 2 6 2 4 2 2" xfId="37260" xr:uid="{00000000-0005-0000-0000-0000D4480000}"/>
    <cellStyle name="Normal 2 5 2 6 2 4 3" xfId="21709" xr:uid="{00000000-0005-0000-0000-0000D5480000}"/>
    <cellStyle name="Normal 2 5 2 6 2 4 3 2" xfId="47262" xr:uid="{00000000-0005-0000-0000-0000D6480000}"/>
    <cellStyle name="Normal 2 5 2 6 2 4 4" xfId="28192" xr:uid="{00000000-0005-0000-0000-0000D7480000}"/>
    <cellStyle name="Normal 2 5 2 6 2 5" xfId="6016" xr:uid="{00000000-0005-0000-0000-0000D8480000}"/>
    <cellStyle name="Normal 2 5 2 6 2 5 2" xfId="14843" xr:uid="{00000000-0005-0000-0000-0000D9480000}"/>
    <cellStyle name="Normal 2 5 2 6 2 5 2 2" xfId="40398" xr:uid="{00000000-0005-0000-0000-0000DA480000}"/>
    <cellStyle name="Normal 2 5 2 6 2 5 3" xfId="25094" xr:uid="{00000000-0005-0000-0000-0000DB480000}"/>
    <cellStyle name="Normal 2 5 2 6 2 5 3 2" xfId="50647" xr:uid="{00000000-0005-0000-0000-0000DC480000}"/>
    <cellStyle name="Normal 2 5 2 6 2 5 4" xfId="31577" xr:uid="{00000000-0005-0000-0000-0000DD480000}"/>
    <cellStyle name="Normal 2 5 2 6 2 6" xfId="7460" xr:uid="{00000000-0005-0000-0000-0000DE480000}"/>
    <cellStyle name="Normal 2 5 2 6 2 6 2" xfId="20191" xr:uid="{00000000-0005-0000-0000-0000DF480000}"/>
    <cellStyle name="Normal 2 5 2 6 2 6 2 2" xfId="45744" xr:uid="{00000000-0005-0000-0000-0000E0480000}"/>
    <cellStyle name="Normal 2 5 2 6 2 6 3" xfId="33017" xr:uid="{00000000-0005-0000-0000-0000E1480000}"/>
    <cellStyle name="Normal 2 5 2 6 2 7" xfId="16702" xr:uid="{00000000-0005-0000-0000-0000E2480000}"/>
    <cellStyle name="Normal 2 5 2 6 2 7 2" xfId="42255" xr:uid="{00000000-0005-0000-0000-0000E3480000}"/>
    <cellStyle name="Normal 2 5 2 6 2 8" xfId="26674" xr:uid="{00000000-0005-0000-0000-0000E4480000}"/>
    <cellStyle name="Normal 2 5 2 6 3" xfId="1230" xr:uid="{00000000-0005-0000-0000-0000E5480000}"/>
    <cellStyle name="Normal 2 5 2 6 3 2" xfId="3659" xr:uid="{00000000-0005-0000-0000-0000E6480000}"/>
    <cellStyle name="Normal 2 5 2 6 3 2 2" xfId="12795" xr:uid="{00000000-0005-0000-0000-0000E7480000}"/>
    <cellStyle name="Normal 2 5 2 6 3 2 2 2" xfId="23014" xr:uid="{00000000-0005-0000-0000-0000E8480000}"/>
    <cellStyle name="Normal 2 5 2 6 3 2 2 2 2" xfId="48567" xr:uid="{00000000-0005-0000-0000-0000E9480000}"/>
    <cellStyle name="Normal 2 5 2 6 3 2 2 3" xfId="38350" xr:uid="{00000000-0005-0000-0000-0000EA480000}"/>
    <cellStyle name="Normal 2 5 2 6 3 2 3" xfId="9216" xr:uid="{00000000-0005-0000-0000-0000EB480000}"/>
    <cellStyle name="Normal 2 5 2 6 3 2 3 2" xfId="34773" xr:uid="{00000000-0005-0000-0000-0000EC480000}"/>
    <cellStyle name="Normal 2 5 2 6 3 2 4" xfId="18007" xr:uid="{00000000-0005-0000-0000-0000ED480000}"/>
    <cellStyle name="Normal 2 5 2 6 3 2 4 2" xfId="43560" xr:uid="{00000000-0005-0000-0000-0000EE480000}"/>
    <cellStyle name="Normal 2 5 2 6 3 2 5" xfId="29497" xr:uid="{00000000-0005-0000-0000-0000EF480000}"/>
    <cellStyle name="Normal 2 5 2 6 3 3" xfId="4909" xr:uid="{00000000-0005-0000-0000-0000F0480000}"/>
    <cellStyle name="Normal 2 5 2 6 3 3 2" xfId="13746" xr:uid="{00000000-0005-0000-0000-0000F1480000}"/>
    <cellStyle name="Normal 2 5 2 6 3 3 2 2" xfId="23997" xr:uid="{00000000-0005-0000-0000-0000F2480000}"/>
    <cellStyle name="Normal 2 5 2 6 3 3 2 2 2" xfId="49550" xr:uid="{00000000-0005-0000-0000-0000F3480000}"/>
    <cellStyle name="Normal 2 5 2 6 3 3 2 3" xfId="39301" xr:uid="{00000000-0005-0000-0000-0000F4480000}"/>
    <cellStyle name="Normal 2 5 2 6 3 3 3" xfId="10167" xr:uid="{00000000-0005-0000-0000-0000F5480000}"/>
    <cellStyle name="Normal 2 5 2 6 3 3 3 2" xfId="35724" xr:uid="{00000000-0005-0000-0000-0000F6480000}"/>
    <cellStyle name="Normal 2 5 2 6 3 3 4" xfId="18990" xr:uid="{00000000-0005-0000-0000-0000F7480000}"/>
    <cellStyle name="Normal 2 5 2 6 3 3 4 2" xfId="44543" xr:uid="{00000000-0005-0000-0000-0000F8480000}"/>
    <cellStyle name="Normal 2 5 2 6 3 3 5" xfId="30480" xr:uid="{00000000-0005-0000-0000-0000F9480000}"/>
    <cellStyle name="Normal 2 5 2 6 3 4" xfId="2053" xr:uid="{00000000-0005-0000-0000-0000FA480000}"/>
    <cellStyle name="Normal 2 5 2 6 3 4 2" xfId="11418" xr:uid="{00000000-0005-0000-0000-0000FB480000}"/>
    <cellStyle name="Normal 2 5 2 6 3 4 2 2" xfId="36973" xr:uid="{00000000-0005-0000-0000-0000FC480000}"/>
    <cellStyle name="Normal 2 5 2 6 3 4 3" xfId="21422" xr:uid="{00000000-0005-0000-0000-0000FD480000}"/>
    <cellStyle name="Normal 2 5 2 6 3 4 3 2" xfId="46975" xr:uid="{00000000-0005-0000-0000-0000FE480000}"/>
    <cellStyle name="Normal 2 5 2 6 3 4 4" xfId="27905" xr:uid="{00000000-0005-0000-0000-0000FF480000}"/>
    <cellStyle name="Normal 2 5 2 6 3 5" xfId="6364" xr:uid="{00000000-0005-0000-0000-000000490000}"/>
    <cellStyle name="Normal 2 5 2 6 3 5 2" xfId="15191" xr:uid="{00000000-0005-0000-0000-000001490000}"/>
    <cellStyle name="Normal 2 5 2 6 3 5 2 2" xfId="40746" xr:uid="{00000000-0005-0000-0000-000002490000}"/>
    <cellStyle name="Normal 2 5 2 6 3 5 3" xfId="25442" xr:uid="{00000000-0005-0000-0000-000003490000}"/>
    <cellStyle name="Normal 2 5 2 6 3 5 3 2" xfId="50995" xr:uid="{00000000-0005-0000-0000-000004490000}"/>
    <cellStyle name="Normal 2 5 2 6 3 5 4" xfId="31925" xr:uid="{00000000-0005-0000-0000-000005490000}"/>
    <cellStyle name="Normal 2 5 2 6 3 6" xfId="7810" xr:uid="{00000000-0005-0000-0000-000006490000}"/>
    <cellStyle name="Normal 2 5 2 6 3 6 2" xfId="20613" xr:uid="{00000000-0005-0000-0000-000007490000}"/>
    <cellStyle name="Normal 2 5 2 6 3 6 2 2" xfId="46166" xr:uid="{00000000-0005-0000-0000-000008490000}"/>
    <cellStyle name="Normal 2 5 2 6 3 6 3" xfId="33367" xr:uid="{00000000-0005-0000-0000-000009490000}"/>
    <cellStyle name="Normal 2 5 2 6 3 7" xfId="16415" xr:uid="{00000000-0005-0000-0000-00000A490000}"/>
    <cellStyle name="Normal 2 5 2 6 3 7 2" xfId="41968" xr:uid="{00000000-0005-0000-0000-00000B490000}"/>
    <cellStyle name="Normal 2 5 2 6 3 8" xfId="27096" xr:uid="{00000000-0005-0000-0000-00000C490000}"/>
    <cellStyle name="Normal 2 5 2 6 4" xfId="2944" xr:uid="{00000000-0005-0000-0000-00000D490000}"/>
    <cellStyle name="Normal 2 5 2 6 4 2" xfId="5322" xr:uid="{00000000-0005-0000-0000-00000E490000}"/>
    <cellStyle name="Normal 2 5 2 6 4 2 2" xfId="14159" xr:uid="{00000000-0005-0000-0000-00000F490000}"/>
    <cellStyle name="Normal 2 5 2 6 4 2 2 2" xfId="24410" xr:uid="{00000000-0005-0000-0000-000010490000}"/>
    <cellStyle name="Normal 2 5 2 6 4 2 2 2 2" xfId="49963" xr:uid="{00000000-0005-0000-0000-000011490000}"/>
    <cellStyle name="Normal 2 5 2 6 4 2 2 3" xfId="39714" xr:uid="{00000000-0005-0000-0000-000012490000}"/>
    <cellStyle name="Normal 2 5 2 6 4 2 3" xfId="10580" xr:uid="{00000000-0005-0000-0000-000013490000}"/>
    <cellStyle name="Normal 2 5 2 6 4 2 3 2" xfId="36137" xr:uid="{00000000-0005-0000-0000-000014490000}"/>
    <cellStyle name="Normal 2 5 2 6 4 2 4" xfId="19403" xr:uid="{00000000-0005-0000-0000-000015490000}"/>
    <cellStyle name="Normal 2 5 2 6 4 2 4 2" xfId="44956" xr:uid="{00000000-0005-0000-0000-000016490000}"/>
    <cellStyle name="Normal 2 5 2 6 4 2 5" xfId="30893" xr:uid="{00000000-0005-0000-0000-000017490000}"/>
    <cellStyle name="Normal 2 5 2 6 4 3" xfId="6777" xr:uid="{00000000-0005-0000-0000-000018490000}"/>
    <cellStyle name="Normal 2 5 2 6 4 3 2" xfId="15604" xr:uid="{00000000-0005-0000-0000-000019490000}"/>
    <cellStyle name="Normal 2 5 2 6 4 3 2 2" xfId="41159" xr:uid="{00000000-0005-0000-0000-00001A490000}"/>
    <cellStyle name="Normal 2 5 2 6 4 3 3" xfId="25855" xr:uid="{00000000-0005-0000-0000-00001B490000}"/>
    <cellStyle name="Normal 2 5 2 6 4 3 3 2" xfId="51408" xr:uid="{00000000-0005-0000-0000-00001C490000}"/>
    <cellStyle name="Normal 2 5 2 6 4 3 4" xfId="32338" xr:uid="{00000000-0005-0000-0000-00001D490000}"/>
    <cellStyle name="Normal 2 5 2 6 4 4" xfId="8223" xr:uid="{00000000-0005-0000-0000-00001E490000}"/>
    <cellStyle name="Normal 2 5 2 6 4 4 2" xfId="22305" xr:uid="{00000000-0005-0000-0000-00001F490000}"/>
    <cellStyle name="Normal 2 5 2 6 4 4 2 2" xfId="47858" xr:uid="{00000000-0005-0000-0000-000020490000}"/>
    <cellStyle name="Normal 2 5 2 6 4 4 3" xfId="33780" xr:uid="{00000000-0005-0000-0000-000021490000}"/>
    <cellStyle name="Normal 2 5 2 6 4 5" xfId="17298" xr:uid="{00000000-0005-0000-0000-000022490000}"/>
    <cellStyle name="Normal 2 5 2 6 4 5 2" xfId="42851" xr:uid="{00000000-0005-0000-0000-000023490000}"/>
    <cellStyle name="Normal 2 5 2 6 4 6" xfId="28788" xr:uid="{00000000-0005-0000-0000-000024490000}"/>
    <cellStyle name="Normal 2 5 2 6 5" xfId="4278" xr:uid="{00000000-0005-0000-0000-000025490000}"/>
    <cellStyle name="Normal 2 5 2 6 5 2" xfId="13116" xr:uid="{00000000-0005-0000-0000-000026490000}"/>
    <cellStyle name="Normal 2 5 2 6 5 2 2" xfId="23367" xr:uid="{00000000-0005-0000-0000-000027490000}"/>
    <cellStyle name="Normal 2 5 2 6 5 2 2 2" xfId="48920" xr:uid="{00000000-0005-0000-0000-000028490000}"/>
    <cellStyle name="Normal 2 5 2 6 5 2 3" xfId="38671" xr:uid="{00000000-0005-0000-0000-000029490000}"/>
    <cellStyle name="Normal 2 5 2 6 5 3" xfId="9537" xr:uid="{00000000-0005-0000-0000-00002A490000}"/>
    <cellStyle name="Normal 2 5 2 6 5 3 2" xfId="35094" xr:uid="{00000000-0005-0000-0000-00002B490000}"/>
    <cellStyle name="Normal 2 5 2 6 5 4" xfId="18360" xr:uid="{00000000-0005-0000-0000-00002C490000}"/>
    <cellStyle name="Normal 2 5 2 6 5 4 2" xfId="43913" xr:uid="{00000000-0005-0000-0000-00002D490000}"/>
    <cellStyle name="Normal 2 5 2 6 5 5" xfId="29850" xr:uid="{00000000-0005-0000-0000-00002E490000}"/>
    <cellStyle name="Normal 2 5 2 6 6" xfId="1550" xr:uid="{00000000-0005-0000-0000-00002F490000}"/>
    <cellStyle name="Normal 2 5 2 6 6 2" xfId="10927" xr:uid="{00000000-0005-0000-0000-000030490000}"/>
    <cellStyle name="Normal 2 5 2 6 6 2 2" xfId="36482" xr:uid="{00000000-0005-0000-0000-000031490000}"/>
    <cellStyle name="Normal 2 5 2 6 6 3" xfId="20931" xr:uid="{00000000-0005-0000-0000-000032490000}"/>
    <cellStyle name="Normal 2 5 2 6 6 3 2" xfId="46484" xr:uid="{00000000-0005-0000-0000-000033490000}"/>
    <cellStyle name="Normal 2 5 2 6 6 4" xfId="27414" xr:uid="{00000000-0005-0000-0000-000034490000}"/>
    <cellStyle name="Normal 2 5 2 6 7" xfId="5734" xr:uid="{00000000-0005-0000-0000-000035490000}"/>
    <cellStyle name="Normal 2 5 2 6 7 2" xfId="14561" xr:uid="{00000000-0005-0000-0000-000036490000}"/>
    <cellStyle name="Normal 2 5 2 6 7 2 2" xfId="40116" xr:uid="{00000000-0005-0000-0000-000037490000}"/>
    <cellStyle name="Normal 2 5 2 6 7 3" xfId="24812" xr:uid="{00000000-0005-0000-0000-000038490000}"/>
    <cellStyle name="Normal 2 5 2 6 7 3 2" xfId="50365" xr:uid="{00000000-0005-0000-0000-000039490000}"/>
    <cellStyle name="Normal 2 5 2 6 7 4" xfId="31295" xr:uid="{00000000-0005-0000-0000-00003A490000}"/>
    <cellStyle name="Normal 2 5 2 6 8" xfId="7178" xr:uid="{00000000-0005-0000-0000-00003B490000}"/>
    <cellStyle name="Normal 2 5 2 6 8 2" xfId="19904" xr:uid="{00000000-0005-0000-0000-00003C490000}"/>
    <cellStyle name="Normal 2 5 2 6 8 2 2" xfId="45457" xr:uid="{00000000-0005-0000-0000-00003D490000}"/>
    <cellStyle name="Normal 2 5 2 6 8 3" xfId="32735" xr:uid="{00000000-0005-0000-0000-00003E490000}"/>
    <cellStyle name="Normal 2 5 2 6 9" xfId="15924" xr:uid="{00000000-0005-0000-0000-00003F490000}"/>
    <cellStyle name="Normal 2 5 2 6 9 2" xfId="41477" xr:uid="{00000000-0005-0000-0000-000040490000}"/>
    <cellStyle name="Normal 2 5 2 6_Degree data" xfId="3883" xr:uid="{00000000-0005-0000-0000-000041490000}"/>
    <cellStyle name="Normal 2 5 2 7" xfId="306" xr:uid="{00000000-0005-0000-0000-000042490000}"/>
    <cellStyle name="Normal 2 5 2 7 10" xfId="26235" xr:uid="{00000000-0005-0000-0000-000043490000}"/>
    <cellStyle name="Normal 2 5 2 7 2" xfId="746" xr:uid="{00000000-0005-0000-0000-000044490000}"/>
    <cellStyle name="Normal 2 5 2 7 2 2" xfId="3232" xr:uid="{00000000-0005-0000-0000-000045490000}"/>
    <cellStyle name="Normal 2 5 2 7 2 2 2" xfId="12374" xr:uid="{00000000-0005-0000-0000-000046490000}"/>
    <cellStyle name="Normal 2 5 2 7 2 2 2 2" xfId="22593" xr:uid="{00000000-0005-0000-0000-000047490000}"/>
    <cellStyle name="Normal 2 5 2 7 2 2 2 2 2" xfId="48146" xr:uid="{00000000-0005-0000-0000-000048490000}"/>
    <cellStyle name="Normal 2 5 2 7 2 2 2 3" xfId="37929" xr:uid="{00000000-0005-0000-0000-000049490000}"/>
    <cellStyle name="Normal 2 5 2 7 2 2 3" xfId="8796" xr:uid="{00000000-0005-0000-0000-00004A490000}"/>
    <cellStyle name="Normal 2 5 2 7 2 2 3 2" xfId="34353" xr:uid="{00000000-0005-0000-0000-00004B490000}"/>
    <cellStyle name="Normal 2 5 2 7 2 2 4" xfId="17586" xr:uid="{00000000-0005-0000-0000-00004C490000}"/>
    <cellStyle name="Normal 2 5 2 7 2 2 4 2" xfId="43139" xr:uid="{00000000-0005-0000-0000-00004D490000}"/>
    <cellStyle name="Normal 2 5 2 7 2 2 5" xfId="29076" xr:uid="{00000000-0005-0000-0000-00004E490000}"/>
    <cellStyle name="Normal 2 5 2 7 2 3" xfId="4561" xr:uid="{00000000-0005-0000-0000-00004F490000}"/>
    <cellStyle name="Normal 2 5 2 7 2 3 2" xfId="13399" xr:uid="{00000000-0005-0000-0000-000050490000}"/>
    <cellStyle name="Normal 2 5 2 7 2 3 2 2" xfId="23650" xr:uid="{00000000-0005-0000-0000-000051490000}"/>
    <cellStyle name="Normal 2 5 2 7 2 3 2 2 2" xfId="49203" xr:uid="{00000000-0005-0000-0000-000052490000}"/>
    <cellStyle name="Normal 2 5 2 7 2 3 2 3" xfId="38954" xr:uid="{00000000-0005-0000-0000-000053490000}"/>
    <cellStyle name="Normal 2 5 2 7 2 3 3" xfId="9820" xr:uid="{00000000-0005-0000-0000-000054490000}"/>
    <cellStyle name="Normal 2 5 2 7 2 3 3 2" xfId="35377" xr:uid="{00000000-0005-0000-0000-000055490000}"/>
    <cellStyle name="Normal 2 5 2 7 2 3 4" xfId="18643" xr:uid="{00000000-0005-0000-0000-000056490000}"/>
    <cellStyle name="Normal 2 5 2 7 2 3 4 2" xfId="44196" xr:uid="{00000000-0005-0000-0000-000057490000}"/>
    <cellStyle name="Normal 2 5 2 7 2 3 5" xfId="30133" xr:uid="{00000000-0005-0000-0000-000058490000}"/>
    <cellStyle name="Normal 2 5 2 7 2 4" xfId="2341" xr:uid="{00000000-0005-0000-0000-000059490000}"/>
    <cellStyle name="Normal 2 5 2 7 2 4 2" xfId="11706" xr:uid="{00000000-0005-0000-0000-00005A490000}"/>
    <cellStyle name="Normal 2 5 2 7 2 4 2 2" xfId="37261" xr:uid="{00000000-0005-0000-0000-00005B490000}"/>
    <cellStyle name="Normal 2 5 2 7 2 4 3" xfId="21710" xr:uid="{00000000-0005-0000-0000-00005C490000}"/>
    <cellStyle name="Normal 2 5 2 7 2 4 3 2" xfId="47263" xr:uid="{00000000-0005-0000-0000-00005D490000}"/>
    <cellStyle name="Normal 2 5 2 7 2 4 4" xfId="28193" xr:uid="{00000000-0005-0000-0000-00005E490000}"/>
    <cellStyle name="Normal 2 5 2 7 2 5" xfId="6017" xr:uid="{00000000-0005-0000-0000-00005F490000}"/>
    <cellStyle name="Normal 2 5 2 7 2 5 2" xfId="14844" xr:uid="{00000000-0005-0000-0000-000060490000}"/>
    <cellStyle name="Normal 2 5 2 7 2 5 2 2" xfId="40399" xr:uid="{00000000-0005-0000-0000-000061490000}"/>
    <cellStyle name="Normal 2 5 2 7 2 5 3" xfId="25095" xr:uid="{00000000-0005-0000-0000-000062490000}"/>
    <cellStyle name="Normal 2 5 2 7 2 5 3 2" xfId="50648" xr:uid="{00000000-0005-0000-0000-000063490000}"/>
    <cellStyle name="Normal 2 5 2 7 2 5 4" xfId="31578" xr:uid="{00000000-0005-0000-0000-000064490000}"/>
    <cellStyle name="Normal 2 5 2 7 2 6" xfId="7461" xr:uid="{00000000-0005-0000-0000-000065490000}"/>
    <cellStyle name="Normal 2 5 2 7 2 6 2" xfId="20192" xr:uid="{00000000-0005-0000-0000-000066490000}"/>
    <cellStyle name="Normal 2 5 2 7 2 6 2 2" xfId="45745" xr:uid="{00000000-0005-0000-0000-000067490000}"/>
    <cellStyle name="Normal 2 5 2 7 2 6 3" xfId="33018" xr:uid="{00000000-0005-0000-0000-000068490000}"/>
    <cellStyle name="Normal 2 5 2 7 2 7" xfId="16703" xr:uid="{00000000-0005-0000-0000-000069490000}"/>
    <cellStyle name="Normal 2 5 2 7 2 7 2" xfId="42256" xr:uid="{00000000-0005-0000-0000-00006A490000}"/>
    <cellStyle name="Normal 2 5 2 7 2 8" xfId="26675" xr:uid="{00000000-0005-0000-0000-00006B490000}"/>
    <cellStyle name="Normal 2 5 2 7 3" xfId="1078" xr:uid="{00000000-0005-0000-0000-00006C490000}"/>
    <cellStyle name="Normal 2 5 2 7 3 2" xfId="3507" xr:uid="{00000000-0005-0000-0000-00006D490000}"/>
    <cellStyle name="Normal 2 5 2 7 3 2 2" xfId="12643" xr:uid="{00000000-0005-0000-0000-00006E490000}"/>
    <cellStyle name="Normal 2 5 2 7 3 2 2 2" xfId="22862" xr:uid="{00000000-0005-0000-0000-00006F490000}"/>
    <cellStyle name="Normal 2 5 2 7 3 2 2 2 2" xfId="48415" xr:uid="{00000000-0005-0000-0000-000070490000}"/>
    <cellStyle name="Normal 2 5 2 7 3 2 2 3" xfId="38198" xr:uid="{00000000-0005-0000-0000-000071490000}"/>
    <cellStyle name="Normal 2 5 2 7 3 2 3" xfId="9065" xr:uid="{00000000-0005-0000-0000-000072490000}"/>
    <cellStyle name="Normal 2 5 2 7 3 2 3 2" xfId="34622" xr:uid="{00000000-0005-0000-0000-000073490000}"/>
    <cellStyle name="Normal 2 5 2 7 3 2 4" xfId="17855" xr:uid="{00000000-0005-0000-0000-000074490000}"/>
    <cellStyle name="Normal 2 5 2 7 3 2 4 2" xfId="43408" xr:uid="{00000000-0005-0000-0000-000075490000}"/>
    <cellStyle name="Normal 2 5 2 7 3 2 5" xfId="29345" xr:uid="{00000000-0005-0000-0000-000076490000}"/>
    <cellStyle name="Normal 2 5 2 7 3 3" xfId="4910" xr:uid="{00000000-0005-0000-0000-000077490000}"/>
    <cellStyle name="Normal 2 5 2 7 3 3 2" xfId="13747" xr:uid="{00000000-0005-0000-0000-000078490000}"/>
    <cellStyle name="Normal 2 5 2 7 3 3 2 2" xfId="23998" xr:uid="{00000000-0005-0000-0000-000079490000}"/>
    <cellStyle name="Normal 2 5 2 7 3 3 2 2 2" xfId="49551" xr:uid="{00000000-0005-0000-0000-00007A490000}"/>
    <cellStyle name="Normal 2 5 2 7 3 3 2 3" xfId="39302" xr:uid="{00000000-0005-0000-0000-00007B490000}"/>
    <cellStyle name="Normal 2 5 2 7 3 3 3" xfId="10168" xr:uid="{00000000-0005-0000-0000-00007C490000}"/>
    <cellStyle name="Normal 2 5 2 7 3 3 3 2" xfId="35725" xr:uid="{00000000-0005-0000-0000-00007D490000}"/>
    <cellStyle name="Normal 2 5 2 7 3 3 4" xfId="18991" xr:uid="{00000000-0005-0000-0000-00007E490000}"/>
    <cellStyle name="Normal 2 5 2 7 3 3 4 2" xfId="44544" xr:uid="{00000000-0005-0000-0000-00007F490000}"/>
    <cellStyle name="Normal 2 5 2 7 3 3 5" xfId="30481" xr:uid="{00000000-0005-0000-0000-000080490000}"/>
    <cellStyle name="Normal 2 5 2 7 3 4" xfId="1753" xr:uid="{00000000-0005-0000-0000-000081490000}"/>
    <cellStyle name="Normal 2 5 2 7 3 4 2" xfId="11124" xr:uid="{00000000-0005-0000-0000-000082490000}"/>
    <cellStyle name="Normal 2 5 2 7 3 4 2 2" xfId="36679" xr:uid="{00000000-0005-0000-0000-000083490000}"/>
    <cellStyle name="Normal 2 5 2 7 3 4 3" xfId="21128" xr:uid="{00000000-0005-0000-0000-000084490000}"/>
    <cellStyle name="Normal 2 5 2 7 3 4 3 2" xfId="46681" xr:uid="{00000000-0005-0000-0000-000085490000}"/>
    <cellStyle name="Normal 2 5 2 7 3 4 4" xfId="27611" xr:uid="{00000000-0005-0000-0000-000086490000}"/>
    <cellStyle name="Normal 2 5 2 7 3 5" xfId="6365" xr:uid="{00000000-0005-0000-0000-000087490000}"/>
    <cellStyle name="Normal 2 5 2 7 3 5 2" xfId="15192" xr:uid="{00000000-0005-0000-0000-000088490000}"/>
    <cellStyle name="Normal 2 5 2 7 3 5 2 2" xfId="40747" xr:uid="{00000000-0005-0000-0000-000089490000}"/>
    <cellStyle name="Normal 2 5 2 7 3 5 3" xfId="25443" xr:uid="{00000000-0005-0000-0000-00008A490000}"/>
    <cellStyle name="Normal 2 5 2 7 3 5 3 2" xfId="50996" xr:uid="{00000000-0005-0000-0000-00008B490000}"/>
    <cellStyle name="Normal 2 5 2 7 3 5 4" xfId="31926" xr:uid="{00000000-0005-0000-0000-00008C490000}"/>
    <cellStyle name="Normal 2 5 2 7 3 6" xfId="7811" xr:uid="{00000000-0005-0000-0000-00008D490000}"/>
    <cellStyle name="Normal 2 5 2 7 3 6 2" xfId="20461" xr:uid="{00000000-0005-0000-0000-00008E490000}"/>
    <cellStyle name="Normal 2 5 2 7 3 6 2 2" xfId="46014" xr:uid="{00000000-0005-0000-0000-00008F490000}"/>
    <cellStyle name="Normal 2 5 2 7 3 6 3" xfId="33368" xr:uid="{00000000-0005-0000-0000-000090490000}"/>
    <cellStyle name="Normal 2 5 2 7 3 7" xfId="16121" xr:uid="{00000000-0005-0000-0000-000091490000}"/>
    <cellStyle name="Normal 2 5 2 7 3 7 2" xfId="41674" xr:uid="{00000000-0005-0000-0000-000092490000}"/>
    <cellStyle name="Normal 2 5 2 7 3 8" xfId="26944" xr:uid="{00000000-0005-0000-0000-000093490000}"/>
    <cellStyle name="Normal 2 5 2 7 4" xfId="2792" xr:uid="{00000000-0005-0000-0000-000094490000}"/>
    <cellStyle name="Normal 2 5 2 7 4 2" xfId="5170" xr:uid="{00000000-0005-0000-0000-000095490000}"/>
    <cellStyle name="Normal 2 5 2 7 4 2 2" xfId="14007" xr:uid="{00000000-0005-0000-0000-000096490000}"/>
    <cellStyle name="Normal 2 5 2 7 4 2 2 2" xfId="24258" xr:uid="{00000000-0005-0000-0000-000097490000}"/>
    <cellStyle name="Normal 2 5 2 7 4 2 2 2 2" xfId="49811" xr:uid="{00000000-0005-0000-0000-000098490000}"/>
    <cellStyle name="Normal 2 5 2 7 4 2 2 3" xfId="39562" xr:uid="{00000000-0005-0000-0000-000099490000}"/>
    <cellStyle name="Normal 2 5 2 7 4 2 3" xfId="10428" xr:uid="{00000000-0005-0000-0000-00009A490000}"/>
    <cellStyle name="Normal 2 5 2 7 4 2 3 2" xfId="35985" xr:uid="{00000000-0005-0000-0000-00009B490000}"/>
    <cellStyle name="Normal 2 5 2 7 4 2 4" xfId="19251" xr:uid="{00000000-0005-0000-0000-00009C490000}"/>
    <cellStyle name="Normal 2 5 2 7 4 2 4 2" xfId="44804" xr:uid="{00000000-0005-0000-0000-00009D490000}"/>
    <cellStyle name="Normal 2 5 2 7 4 2 5" xfId="30741" xr:uid="{00000000-0005-0000-0000-00009E490000}"/>
    <cellStyle name="Normal 2 5 2 7 4 3" xfId="6625" xr:uid="{00000000-0005-0000-0000-00009F490000}"/>
    <cellStyle name="Normal 2 5 2 7 4 3 2" xfId="15452" xr:uid="{00000000-0005-0000-0000-0000A0490000}"/>
    <cellStyle name="Normal 2 5 2 7 4 3 2 2" xfId="41007" xr:uid="{00000000-0005-0000-0000-0000A1490000}"/>
    <cellStyle name="Normal 2 5 2 7 4 3 3" xfId="25703" xr:uid="{00000000-0005-0000-0000-0000A2490000}"/>
    <cellStyle name="Normal 2 5 2 7 4 3 3 2" xfId="51256" xr:uid="{00000000-0005-0000-0000-0000A3490000}"/>
    <cellStyle name="Normal 2 5 2 7 4 3 4" xfId="32186" xr:uid="{00000000-0005-0000-0000-0000A4490000}"/>
    <cellStyle name="Normal 2 5 2 7 4 4" xfId="8071" xr:uid="{00000000-0005-0000-0000-0000A5490000}"/>
    <cellStyle name="Normal 2 5 2 7 4 4 2" xfId="22153" xr:uid="{00000000-0005-0000-0000-0000A6490000}"/>
    <cellStyle name="Normal 2 5 2 7 4 4 2 2" xfId="47706" xr:uid="{00000000-0005-0000-0000-0000A7490000}"/>
    <cellStyle name="Normal 2 5 2 7 4 4 3" xfId="33628" xr:uid="{00000000-0005-0000-0000-0000A8490000}"/>
    <cellStyle name="Normal 2 5 2 7 4 5" xfId="17146" xr:uid="{00000000-0005-0000-0000-0000A9490000}"/>
    <cellStyle name="Normal 2 5 2 7 4 5 2" xfId="42699" xr:uid="{00000000-0005-0000-0000-0000AA490000}"/>
    <cellStyle name="Normal 2 5 2 7 4 6" xfId="28636" xr:uid="{00000000-0005-0000-0000-0000AB490000}"/>
    <cellStyle name="Normal 2 5 2 7 5" xfId="4124" xr:uid="{00000000-0005-0000-0000-0000AC490000}"/>
    <cellStyle name="Normal 2 5 2 7 5 2" xfId="12962" xr:uid="{00000000-0005-0000-0000-0000AD490000}"/>
    <cellStyle name="Normal 2 5 2 7 5 2 2" xfId="23213" xr:uid="{00000000-0005-0000-0000-0000AE490000}"/>
    <cellStyle name="Normal 2 5 2 7 5 2 2 2" xfId="48766" xr:uid="{00000000-0005-0000-0000-0000AF490000}"/>
    <cellStyle name="Normal 2 5 2 7 5 2 3" xfId="38517" xr:uid="{00000000-0005-0000-0000-0000B0490000}"/>
    <cellStyle name="Normal 2 5 2 7 5 3" xfId="9383" xr:uid="{00000000-0005-0000-0000-0000B1490000}"/>
    <cellStyle name="Normal 2 5 2 7 5 3 2" xfId="34940" xr:uid="{00000000-0005-0000-0000-0000B2490000}"/>
    <cellStyle name="Normal 2 5 2 7 5 4" xfId="18206" xr:uid="{00000000-0005-0000-0000-0000B3490000}"/>
    <cellStyle name="Normal 2 5 2 7 5 4 2" xfId="43759" xr:uid="{00000000-0005-0000-0000-0000B4490000}"/>
    <cellStyle name="Normal 2 5 2 7 5 5" xfId="29696" xr:uid="{00000000-0005-0000-0000-0000B5490000}"/>
    <cellStyle name="Normal 2 5 2 7 6" xfId="1901" xr:uid="{00000000-0005-0000-0000-0000B6490000}"/>
    <cellStyle name="Normal 2 5 2 7 6 2" xfId="11266" xr:uid="{00000000-0005-0000-0000-0000B7490000}"/>
    <cellStyle name="Normal 2 5 2 7 6 2 2" xfId="36821" xr:uid="{00000000-0005-0000-0000-0000B8490000}"/>
    <cellStyle name="Normal 2 5 2 7 6 3" xfId="21270" xr:uid="{00000000-0005-0000-0000-0000B9490000}"/>
    <cellStyle name="Normal 2 5 2 7 6 3 2" xfId="46823" xr:uid="{00000000-0005-0000-0000-0000BA490000}"/>
    <cellStyle name="Normal 2 5 2 7 6 4" xfId="27753" xr:uid="{00000000-0005-0000-0000-0000BB490000}"/>
    <cellStyle name="Normal 2 5 2 7 7" xfId="5582" xr:uid="{00000000-0005-0000-0000-0000BC490000}"/>
    <cellStyle name="Normal 2 5 2 7 7 2" xfId="14409" xr:uid="{00000000-0005-0000-0000-0000BD490000}"/>
    <cellStyle name="Normal 2 5 2 7 7 2 2" xfId="39964" xr:uid="{00000000-0005-0000-0000-0000BE490000}"/>
    <cellStyle name="Normal 2 5 2 7 7 3" xfId="24660" xr:uid="{00000000-0005-0000-0000-0000BF490000}"/>
    <cellStyle name="Normal 2 5 2 7 7 3 2" xfId="50213" xr:uid="{00000000-0005-0000-0000-0000C0490000}"/>
    <cellStyle name="Normal 2 5 2 7 7 4" xfId="31143" xr:uid="{00000000-0005-0000-0000-0000C1490000}"/>
    <cellStyle name="Normal 2 5 2 7 8" xfId="7026" xr:uid="{00000000-0005-0000-0000-0000C2490000}"/>
    <cellStyle name="Normal 2 5 2 7 8 2" xfId="19752" xr:uid="{00000000-0005-0000-0000-0000C3490000}"/>
    <cellStyle name="Normal 2 5 2 7 8 2 2" xfId="45305" xr:uid="{00000000-0005-0000-0000-0000C4490000}"/>
    <cellStyle name="Normal 2 5 2 7 8 3" xfId="32583" xr:uid="{00000000-0005-0000-0000-0000C5490000}"/>
    <cellStyle name="Normal 2 5 2 7 9" xfId="16263" xr:uid="{00000000-0005-0000-0000-0000C6490000}"/>
    <cellStyle name="Normal 2 5 2 7 9 2" xfId="41816" xr:uid="{00000000-0005-0000-0000-0000C7490000}"/>
    <cellStyle name="Normal 2 5 2 7_Degree data" xfId="3923" xr:uid="{00000000-0005-0000-0000-0000C8490000}"/>
    <cellStyle name="Normal 2 5 2 8" xfId="727" xr:uid="{00000000-0005-0000-0000-0000C9490000}"/>
    <cellStyle name="Normal 2 5 2 8 2" xfId="3213" xr:uid="{00000000-0005-0000-0000-0000CA490000}"/>
    <cellStyle name="Normal 2 5 2 8 2 2" xfId="12355" xr:uid="{00000000-0005-0000-0000-0000CB490000}"/>
    <cellStyle name="Normal 2 5 2 8 2 2 2" xfId="22574" xr:uid="{00000000-0005-0000-0000-0000CC490000}"/>
    <cellStyle name="Normal 2 5 2 8 2 2 2 2" xfId="48127" xr:uid="{00000000-0005-0000-0000-0000CD490000}"/>
    <cellStyle name="Normal 2 5 2 8 2 2 3" xfId="37910" xr:uid="{00000000-0005-0000-0000-0000CE490000}"/>
    <cellStyle name="Normal 2 5 2 8 2 3" xfId="8777" xr:uid="{00000000-0005-0000-0000-0000CF490000}"/>
    <cellStyle name="Normal 2 5 2 8 2 3 2" xfId="34334" xr:uid="{00000000-0005-0000-0000-0000D0490000}"/>
    <cellStyle name="Normal 2 5 2 8 2 4" xfId="17567" xr:uid="{00000000-0005-0000-0000-0000D1490000}"/>
    <cellStyle name="Normal 2 5 2 8 2 4 2" xfId="43120" xr:uid="{00000000-0005-0000-0000-0000D2490000}"/>
    <cellStyle name="Normal 2 5 2 8 2 5" xfId="29057" xr:uid="{00000000-0005-0000-0000-0000D3490000}"/>
    <cellStyle name="Normal 2 5 2 8 3" xfId="4542" xr:uid="{00000000-0005-0000-0000-0000D4490000}"/>
    <cellStyle name="Normal 2 5 2 8 3 2" xfId="13380" xr:uid="{00000000-0005-0000-0000-0000D5490000}"/>
    <cellStyle name="Normal 2 5 2 8 3 2 2" xfId="23631" xr:uid="{00000000-0005-0000-0000-0000D6490000}"/>
    <cellStyle name="Normal 2 5 2 8 3 2 2 2" xfId="49184" xr:uid="{00000000-0005-0000-0000-0000D7490000}"/>
    <cellStyle name="Normal 2 5 2 8 3 2 3" xfId="38935" xr:uid="{00000000-0005-0000-0000-0000D8490000}"/>
    <cellStyle name="Normal 2 5 2 8 3 3" xfId="9801" xr:uid="{00000000-0005-0000-0000-0000D9490000}"/>
    <cellStyle name="Normal 2 5 2 8 3 3 2" xfId="35358" xr:uid="{00000000-0005-0000-0000-0000DA490000}"/>
    <cellStyle name="Normal 2 5 2 8 3 4" xfId="18624" xr:uid="{00000000-0005-0000-0000-0000DB490000}"/>
    <cellStyle name="Normal 2 5 2 8 3 4 2" xfId="44177" xr:uid="{00000000-0005-0000-0000-0000DC490000}"/>
    <cellStyle name="Normal 2 5 2 8 3 5" xfId="30114" xr:uid="{00000000-0005-0000-0000-0000DD490000}"/>
    <cellStyle name="Normal 2 5 2 8 4" xfId="2322" xr:uid="{00000000-0005-0000-0000-0000DE490000}"/>
    <cellStyle name="Normal 2 5 2 8 4 2" xfId="11687" xr:uid="{00000000-0005-0000-0000-0000DF490000}"/>
    <cellStyle name="Normal 2 5 2 8 4 2 2" xfId="37242" xr:uid="{00000000-0005-0000-0000-0000E0490000}"/>
    <cellStyle name="Normal 2 5 2 8 4 3" xfId="21691" xr:uid="{00000000-0005-0000-0000-0000E1490000}"/>
    <cellStyle name="Normal 2 5 2 8 4 3 2" xfId="47244" xr:uid="{00000000-0005-0000-0000-0000E2490000}"/>
    <cellStyle name="Normal 2 5 2 8 4 4" xfId="28174" xr:uid="{00000000-0005-0000-0000-0000E3490000}"/>
    <cellStyle name="Normal 2 5 2 8 5" xfId="5998" xr:uid="{00000000-0005-0000-0000-0000E4490000}"/>
    <cellStyle name="Normal 2 5 2 8 5 2" xfId="14825" xr:uid="{00000000-0005-0000-0000-0000E5490000}"/>
    <cellStyle name="Normal 2 5 2 8 5 2 2" xfId="40380" xr:uid="{00000000-0005-0000-0000-0000E6490000}"/>
    <cellStyle name="Normal 2 5 2 8 5 3" xfId="25076" xr:uid="{00000000-0005-0000-0000-0000E7490000}"/>
    <cellStyle name="Normal 2 5 2 8 5 3 2" xfId="50629" xr:uid="{00000000-0005-0000-0000-0000E8490000}"/>
    <cellStyle name="Normal 2 5 2 8 5 4" xfId="31559" xr:uid="{00000000-0005-0000-0000-0000E9490000}"/>
    <cellStyle name="Normal 2 5 2 8 6" xfId="7442" xr:uid="{00000000-0005-0000-0000-0000EA490000}"/>
    <cellStyle name="Normal 2 5 2 8 6 2" xfId="20173" xr:uid="{00000000-0005-0000-0000-0000EB490000}"/>
    <cellStyle name="Normal 2 5 2 8 6 2 2" xfId="45726" xr:uid="{00000000-0005-0000-0000-0000EC490000}"/>
    <cellStyle name="Normal 2 5 2 8 6 3" xfId="32999" xr:uid="{00000000-0005-0000-0000-0000ED490000}"/>
    <cellStyle name="Normal 2 5 2 8 7" xfId="16684" xr:uid="{00000000-0005-0000-0000-0000EE490000}"/>
    <cellStyle name="Normal 2 5 2 8 7 2" xfId="42237" xr:uid="{00000000-0005-0000-0000-0000EF490000}"/>
    <cellStyle name="Normal 2 5 2 8 8" xfId="26656" xr:uid="{00000000-0005-0000-0000-0000F0490000}"/>
    <cellStyle name="Normal 2 5 2 9" xfId="1046" xr:uid="{00000000-0005-0000-0000-0000F1490000}"/>
    <cellStyle name="Normal 2 5 2 9 2" xfId="3475" xr:uid="{00000000-0005-0000-0000-0000F2490000}"/>
    <cellStyle name="Normal 2 5 2 9 2 2" xfId="12611" xr:uid="{00000000-0005-0000-0000-0000F3490000}"/>
    <cellStyle name="Normal 2 5 2 9 2 2 2" xfId="22830" xr:uid="{00000000-0005-0000-0000-0000F4490000}"/>
    <cellStyle name="Normal 2 5 2 9 2 2 2 2" xfId="48383" xr:uid="{00000000-0005-0000-0000-0000F5490000}"/>
    <cellStyle name="Normal 2 5 2 9 2 2 3" xfId="38166" xr:uid="{00000000-0005-0000-0000-0000F6490000}"/>
    <cellStyle name="Normal 2 5 2 9 2 3" xfId="9033" xr:uid="{00000000-0005-0000-0000-0000F7490000}"/>
    <cellStyle name="Normal 2 5 2 9 2 3 2" xfId="34590" xr:uid="{00000000-0005-0000-0000-0000F8490000}"/>
    <cellStyle name="Normal 2 5 2 9 2 4" xfId="17823" xr:uid="{00000000-0005-0000-0000-0000F9490000}"/>
    <cellStyle name="Normal 2 5 2 9 2 4 2" xfId="43376" xr:uid="{00000000-0005-0000-0000-0000FA490000}"/>
    <cellStyle name="Normal 2 5 2 9 2 5" xfId="29313" xr:uid="{00000000-0005-0000-0000-0000FB490000}"/>
    <cellStyle name="Normal 2 5 2 9 3" xfId="4891" xr:uid="{00000000-0005-0000-0000-0000FC490000}"/>
    <cellStyle name="Normal 2 5 2 9 3 2" xfId="13728" xr:uid="{00000000-0005-0000-0000-0000FD490000}"/>
    <cellStyle name="Normal 2 5 2 9 3 2 2" xfId="23979" xr:uid="{00000000-0005-0000-0000-0000FE490000}"/>
    <cellStyle name="Normal 2 5 2 9 3 2 2 2" xfId="49532" xr:uid="{00000000-0005-0000-0000-0000FF490000}"/>
    <cellStyle name="Normal 2 5 2 9 3 2 3" xfId="39283" xr:uid="{00000000-0005-0000-0000-0000004A0000}"/>
    <cellStyle name="Normal 2 5 2 9 3 3" xfId="10149" xr:uid="{00000000-0005-0000-0000-0000014A0000}"/>
    <cellStyle name="Normal 2 5 2 9 3 3 2" xfId="35706" xr:uid="{00000000-0005-0000-0000-0000024A0000}"/>
    <cellStyle name="Normal 2 5 2 9 3 4" xfId="18972" xr:uid="{00000000-0005-0000-0000-0000034A0000}"/>
    <cellStyle name="Normal 2 5 2 9 3 4 2" xfId="44525" xr:uid="{00000000-0005-0000-0000-0000044A0000}"/>
    <cellStyle name="Normal 2 5 2 9 3 5" xfId="30462" xr:uid="{00000000-0005-0000-0000-0000054A0000}"/>
    <cellStyle name="Normal 2 5 2 9 4" xfId="1726" xr:uid="{00000000-0005-0000-0000-0000064A0000}"/>
    <cellStyle name="Normal 2 5 2 9 4 2" xfId="11100" xr:uid="{00000000-0005-0000-0000-0000074A0000}"/>
    <cellStyle name="Normal 2 5 2 9 4 2 2" xfId="36655" xr:uid="{00000000-0005-0000-0000-0000084A0000}"/>
    <cellStyle name="Normal 2 5 2 9 4 3" xfId="21104" xr:uid="{00000000-0005-0000-0000-0000094A0000}"/>
    <cellStyle name="Normal 2 5 2 9 4 3 2" xfId="46657" xr:uid="{00000000-0005-0000-0000-00000A4A0000}"/>
    <cellStyle name="Normal 2 5 2 9 4 4" xfId="27587" xr:uid="{00000000-0005-0000-0000-00000B4A0000}"/>
    <cellStyle name="Normal 2 5 2 9 5" xfId="6346" xr:uid="{00000000-0005-0000-0000-00000C4A0000}"/>
    <cellStyle name="Normal 2 5 2 9 5 2" xfId="15173" xr:uid="{00000000-0005-0000-0000-00000D4A0000}"/>
    <cellStyle name="Normal 2 5 2 9 5 2 2" xfId="40728" xr:uid="{00000000-0005-0000-0000-00000E4A0000}"/>
    <cellStyle name="Normal 2 5 2 9 5 3" xfId="25424" xr:uid="{00000000-0005-0000-0000-00000F4A0000}"/>
    <cellStyle name="Normal 2 5 2 9 5 3 2" xfId="50977" xr:uid="{00000000-0005-0000-0000-0000104A0000}"/>
    <cellStyle name="Normal 2 5 2 9 5 4" xfId="31907" xr:uid="{00000000-0005-0000-0000-0000114A0000}"/>
    <cellStyle name="Normal 2 5 2 9 6" xfId="7792" xr:uid="{00000000-0005-0000-0000-0000124A0000}"/>
    <cellStyle name="Normal 2 5 2 9 6 2" xfId="20429" xr:uid="{00000000-0005-0000-0000-0000134A0000}"/>
    <cellStyle name="Normal 2 5 2 9 6 2 2" xfId="45982" xr:uid="{00000000-0005-0000-0000-0000144A0000}"/>
    <cellStyle name="Normal 2 5 2 9 6 3" xfId="33349" xr:uid="{00000000-0005-0000-0000-0000154A0000}"/>
    <cellStyle name="Normal 2 5 2 9 7" xfId="16097" xr:uid="{00000000-0005-0000-0000-0000164A0000}"/>
    <cellStyle name="Normal 2 5 2 9 7 2" xfId="41650" xr:uid="{00000000-0005-0000-0000-0000174A0000}"/>
    <cellStyle name="Normal 2 5 2 9 8" xfId="26912" xr:uid="{00000000-0005-0000-0000-0000184A0000}"/>
    <cellStyle name="Normal 2 5 2_Degree data" xfId="3919" xr:uid="{00000000-0005-0000-0000-0000194A0000}"/>
    <cellStyle name="Normal 2 5 3" xfId="104" xr:uid="{00000000-0005-0000-0000-00001A4A0000}"/>
    <cellStyle name="Normal 2 5 3 10" xfId="4096" xr:uid="{00000000-0005-0000-0000-00001B4A0000}"/>
    <cellStyle name="Normal 2 5 3 10 2" xfId="5554" xr:uid="{00000000-0005-0000-0000-00001C4A0000}"/>
    <cellStyle name="Normal 2 5 3 10 2 2" xfId="14381" xr:uid="{00000000-0005-0000-0000-00001D4A0000}"/>
    <cellStyle name="Normal 2 5 3 10 2 2 2" xfId="39936" xr:uid="{00000000-0005-0000-0000-00001E4A0000}"/>
    <cellStyle name="Normal 2 5 3 10 2 3" xfId="24632" xr:uid="{00000000-0005-0000-0000-00001F4A0000}"/>
    <cellStyle name="Normal 2 5 3 10 2 3 2" xfId="50185" xr:uid="{00000000-0005-0000-0000-0000204A0000}"/>
    <cellStyle name="Normal 2 5 3 10 2 4" xfId="31115" xr:uid="{00000000-0005-0000-0000-0000214A0000}"/>
    <cellStyle name="Normal 2 5 3 10 3" xfId="6998" xr:uid="{00000000-0005-0000-0000-0000224A0000}"/>
    <cellStyle name="Normal 2 5 3 10 3 2" xfId="23185" xr:uid="{00000000-0005-0000-0000-0000234A0000}"/>
    <cellStyle name="Normal 2 5 3 10 3 2 2" xfId="48738" xr:uid="{00000000-0005-0000-0000-0000244A0000}"/>
    <cellStyle name="Normal 2 5 3 10 3 3" xfId="32555" xr:uid="{00000000-0005-0000-0000-0000254A0000}"/>
    <cellStyle name="Normal 2 5 3 10 4" xfId="18178" xr:uid="{00000000-0005-0000-0000-0000264A0000}"/>
    <cellStyle name="Normal 2 5 3 10 4 2" xfId="43731" xr:uid="{00000000-0005-0000-0000-0000274A0000}"/>
    <cellStyle name="Normal 2 5 3 10 5" xfId="29668" xr:uid="{00000000-0005-0000-0000-0000284A0000}"/>
    <cellStyle name="Normal 2 5 3 11" xfId="1413" xr:uid="{00000000-0005-0000-0000-0000294A0000}"/>
    <cellStyle name="Normal 2 5 3 11 2" xfId="10790" xr:uid="{00000000-0005-0000-0000-00002A4A0000}"/>
    <cellStyle name="Normal 2 5 3 11 2 2" xfId="36345" xr:uid="{00000000-0005-0000-0000-00002B4A0000}"/>
    <cellStyle name="Normal 2 5 3 11 3" xfId="20794" xr:uid="{00000000-0005-0000-0000-00002C4A0000}"/>
    <cellStyle name="Normal 2 5 3 11 3 2" xfId="46347" xr:uid="{00000000-0005-0000-0000-00002D4A0000}"/>
    <cellStyle name="Normal 2 5 3 11 4" xfId="27277" xr:uid="{00000000-0005-0000-0000-00002E4A0000}"/>
    <cellStyle name="Normal 2 5 3 12" xfId="5524" xr:uid="{00000000-0005-0000-0000-00002F4A0000}"/>
    <cellStyle name="Normal 2 5 3 12 2" xfId="14351" xr:uid="{00000000-0005-0000-0000-0000304A0000}"/>
    <cellStyle name="Normal 2 5 3 12 2 2" xfId="39906" xr:uid="{00000000-0005-0000-0000-0000314A0000}"/>
    <cellStyle name="Normal 2 5 3 12 3" xfId="24602" xr:uid="{00000000-0005-0000-0000-0000324A0000}"/>
    <cellStyle name="Normal 2 5 3 12 3 2" xfId="50155" xr:uid="{00000000-0005-0000-0000-0000334A0000}"/>
    <cellStyle name="Normal 2 5 3 12 4" xfId="31085" xr:uid="{00000000-0005-0000-0000-0000344A0000}"/>
    <cellStyle name="Normal 2 5 3 13" xfId="6965" xr:uid="{00000000-0005-0000-0000-0000354A0000}"/>
    <cellStyle name="Normal 2 5 3 13 2" xfId="19579" xr:uid="{00000000-0005-0000-0000-0000364A0000}"/>
    <cellStyle name="Normal 2 5 3 13 2 2" xfId="45132" xr:uid="{00000000-0005-0000-0000-0000374A0000}"/>
    <cellStyle name="Normal 2 5 3 13 3" xfId="32523" xr:uid="{00000000-0005-0000-0000-0000384A0000}"/>
    <cellStyle name="Normal 2 5 3 14" xfId="15787" xr:uid="{00000000-0005-0000-0000-0000394A0000}"/>
    <cellStyle name="Normal 2 5 3 14 2" xfId="41340" xr:uid="{00000000-0005-0000-0000-00003A4A0000}"/>
    <cellStyle name="Normal 2 5 3 15" xfId="26062" xr:uid="{00000000-0005-0000-0000-00003B4A0000}"/>
    <cellStyle name="Normal 2 5 3 2" xfId="145" xr:uid="{00000000-0005-0000-0000-00003C4A0000}"/>
    <cellStyle name="Normal 2 5 3 2 10" xfId="5656" xr:uid="{00000000-0005-0000-0000-00003D4A0000}"/>
    <cellStyle name="Normal 2 5 3 2 10 2" xfId="14483" xr:uid="{00000000-0005-0000-0000-00003E4A0000}"/>
    <cellStyle name="Normal 2 5 3 2 10 2 2" xfId="40038" xr:uid="{00000000-0005-0000-0000-00003F4A0000}"/>
    <cellStyle name="Normal 2 5 3 2 10 3" xfId="24734" xr:uid="{00000000-0005-0000-0000-0000404A0000}"/>
    <cellStyle name="Normal 2 5 3 2 10 3 2" xfId="50287" xr:uid="{00000000-0005-0000-0000-0000414A0000}"/>
    <cellStyle name="Normal 2 5 3 2 10 4" xfId="31217" xr:uid="{00000000-0005-0000-0000-0000424A0000}"/>
    <cellStyle name="Normal 2 5 3 2 11" xfId="7100" xr:uid="{00000000-0005-0000-0000-0000434A0000}"/>
    <cellStyle name="Normal 2 5 3 2 11 2" xfId="19609" xr:uid="{00000000-0005-0000-0000-0000444A0000}"/>
    <cellStyle name="Normal 2 5 3 2 11 2 2" xfId="45162" xr:uid="{00000000-0005-0000-0000-0000454A0000}"/>
    <cellStyle name="Normal 2 5 3 2 11 3" xfId="32657" xr:uid="{00000000-0005-0000-0000-0000464A0000}"/>
    <cellStyle name="Normal 2 5 3 2 12" xfId="15846" xr:uid="{00000000-0005-0000-0000-0000474A0000}"/>
    <cellStyle name="Normal 2 5 3 2 12 2" xfId="41399" xr:uid="{00000000-0005-0000-0000-0000484A0000}"/>
    <cellStyle name="Normal 2 5 3 2 13" xfId="26092" xr:uid="{00000000-0005-0000-0000-0000494A0000}"/>
    <cellStyle name="Normal 2 5 3 2 2" xfId="261" xr:uid="{00000000-0005-0000-0000-00004A4A0000}"/>
    <cellStyle name="Normal 2 5 3 2 2 10" xfId="16050" xr:uid="{00000000-0005-0000-0000-00004B4A0000}"/>
    <cellStyle name="Normal 2 5 3 2 2 10 2" xfId="41603" xr:uid="{00000000-0005-0000-0000-00004C4A0000}"/>
    <cellStyle name="Normal 2 5 3 2 2 11" xfId="26196" xr:uid="{00000000-0005-0000-0000-00004D4A0000}"/>
    <cellStyle name="Normal 2 5 3 2 2 2" xfId="584" xr:uid="{00000000-0005-0000-0000-00004E4A0000}"/>
    <cellStyle name="Normal 2 5 3 2 2 2 2" xfId="3070" xr:uid="{00000000-0005-0000-0000-00004F4A0000}"/>
    <cellStyle name="Normal 2 5 3 2 2 2 2 2" xfId="12221" xr:uid="{00000000-0005-0000-0000-0000504A0000}"/>
    <cellStyle name="Normal 2 5 3 2 2 2 2 2 2" xfId="22431" xr:uid="{00000000-0005-0000-0000-0000514A0000}"/>
    <cellStyle name="Normal 2 5 3 2 2 2 2 2 2 2" xfId="47984" xr:uid="{00000000-0005-0000-0000-0000524A0000}"/>
    <cellStyle name="Normal 2 5 3 2 2 2 2 2 3" xfId="37776" xr:uid="{00000000-0005-0000-0000-0000534A0000}"/>
    <cellStyle name="Normal 2 5 3 2 2 2 2 3" xfId="8643" xr:uid="{00000000-0005-0000-0000-0000544A0000}"/>
    <cellStyle name="Normal 2 5 3 2 2 2 2 3 2" xfId="34200" xr:uid="{00000000-0005-0000-0000-0000554A0000}"/>
    <cellStyle name="Normal 2 5 3 2 2 2 2 4" xfId="17424" xr:uid="{00000000-0005-0000-0000-0000564A0000}"/>
    <cellStyle name="Normal 2 5 3 2 2 2 2 4 2" xfId="42977" xr:uid="{00000000-0005-0000-0000-0000574A0000}"/>
    <cellStyle name="Normal 2 5 3 2 2 2 2 5" xfId="28914" xr:uid="{00000000-0005-0000-0000-0000584A0000}"/>
    <cellStyle name="Normal 2 5 3 2 2 2 3" xfId="4564" xr:uid="{00000000-0005-0000-0000-0000594A0000}"/>
    <cellStyle name="Normal 2 5 3 2 2 2 3 2" xfId="13402" xr:uid="{00000000-0005-0000-0000-00005A4A0000}"/>
    <cellStyle name="Normal 2 5 3 2 2 2 3 2 2" xfId="23653" xr:uid="{00000000-0005-0000-0000-00005B4A0000}"/>
    <cellStyle name="Normal 2 5 3 2 2 2 3 2 2 2" xfId="49206" xr:uid="{00000000-0005-0000-0000-00005C4A0000}"/>
    <cellStyle name="Normal 2 5 3 2 2 2 3 2 3" xfId="38957" xr:uid="{00000000-0005-0000-0000-00005D4A0000}"/>
    <cellStyle name="Normal 2 5 3 2 2 2 3 3" xfId="9823" xr:uid="{00000000-0005-0000-0000-00005E4A0000}"/>
    <cellStyle name="Normal 2 5 3 2 2 2 3 3 2" xfId="35380" xr:uid="{00000000-0005-0000-0000-00005F4A0000}"/>
    <cellStyle name="Normal 2 5 3 2 2 2 3 4" xfId="18646" xr:uid="{00000000-0005-0000-0000-0000604A0000}"/>
    <cellStyle name="Normal 2 5 3 2 2 2 3 4 2" xfId="44199" xr:uid="{00000000-0005-0000-0000-0000614A0000}"/>
    <cellStyle name="Normal 2 5 3 2 2 2 3 5" xfId="30136" xr:uid="{00000000-0005-0000-0000-0000624A0000}"/>
    <cellStyle name="Normal 2 5 3 2 2 2 4" xfId="2179" xr:uid="{00000000-0005-0000-0000-0000634A0000}"/>
    <cellStyle name="Normal 2 5 3 2 2 2 4 2" xfId="11544" xr:uid="{00000000-0005-0000-0000-0000644A0000}"/>
    <cellStyle name="Normal 2 5 3 2 2 2 4 2 2" xfId="37099" xr:uid="{00000000-0005-0000-0000-0000654A0000}"/>
    <cellStyle name="Normal 2 5 3 2 2 2 4 3" xfId="21548" xr:uid="{00000000-0005-0000-0000-0000664A0000}"/>
    <cellStyle name="Normal 2 5 3 2 2 2 4 3 2" xfId="47101" xr:uid="{00000000-0005-0000-0000-0000674A0000}"/>
    <cellStyle name="Normal 2 5 3 2 2 2 4 4" xfId="28031" xr:uid="{00000000-0005-0000-0000-0000684A0000}"/>
    <cellStyle name="Normal 2 5 3 2 2 2 5" xfId="6020" xr:uid="{00000000-0005-0000-0000-0000694A0000}"/>
    <cellStyle name="Normal 2 5 3 2 2 2 5 2" xfId="14847" xr:uid="{00000000-0005-0000-0000-00006A4A0000}"/>
    <cellStyle name="Normal 2 5 3 2 2 2 5 2 2" xfId="40402" xr:uid="{00000000-0005-0000-0000-00006B4A0000}"/>
    <cellStyle name="Normal 2 5 3 2 2 2 5 3" xfId="25098" xr:uid="{00000000-0005-0000-0000-00006C4A0000}"/>
    <cellStyle name="Normal 2 5 3 2 2 2 5 3 2" xfId="50651" xr:uid="{00000000-0005-0000-0000-00006D4A0000}"/>
    <cellStyle name="Normal 2 5 3 2 2 2 5 4" xfId="31581" xr:uid="{00000000-0005-0000-0000-00006E4A0000}"/>
    <cellStyle name="Normal 2 5 3 2 2 2 6" xfId="7464" xr:uid="{00000000-0005-0000-0000-00006F4A0000}"/>
    <cellStyle name="Normal 2 5 3 2 2 2 6 2" xfId="20030" xr:uid="{00000000-0005-0000-0000-0000704A0000}"/>
    <cellStyle name="Normal 2 5 3 2 2 2 6 2 2" xfId="45583" xr:uid="{00000000-0005-0000-0000-0000714A0000}"/>
    <cellStyle name="Normal 2 5 3 2 2 2 6 3" xfId="33021" xr:uid="{00000000-0005-0000-0000-0000724A0000}"/>
    <cellStyle name="Normal 2 5 3 2 2 2 7" xfId="16541" xr:uid="{00000000-0005-0000-0000-0000734A0000}"/>
    <cellStyle name="Normal 2 5 3 2 2 2 7 2" xfId="42094" xr:uid="{00000000-0005-0000-0000-0000744A0000}"/>
    <cellStyle name="Normal 2 5 3 2 2 2 8" xfId="26513" xr:uid="{00000000-0005-0000-0000-0000754A0000}"/>
    <cellStyle name="Normal 2 5 3 2 2 3" xfId="749" xr:uid="{00000000-0005-0000-0000-0000764A0000}"/>
    <cellStyle name="Normal 2 5 3 2 2 3 2" xfId="3235" xr:uid="{00000000-0005-0000-0000-0000774A0000}"/>
    <cellStyle name="Normal 2 5 3 2 2 3 2 2" xfId="12377" xr:uid="{00000000-0005-0000-0000-0000784A0000}"/>
    <cellStyle name="Normal 2 5 3 2 2 3 2 2 2" xfId="22596" xr:uid="{00000000-0005-0000-0000-0000794A0000}"/>
    <cellStyle name="Normal 2 5 3 2 2 3 2 2 2 2" xfId="48149" xr:uid="{00000000-0005-0000-0000-00007A4A0000}"/>
    <cellStyle name="Normal 2 5 3 2 2 3 2 2 3" xfId="37932" xr:uid="{00000000-0005-0000-0000-00007B4A0000}"/>
    <cellStyle name="Normal 2 5 3 2 2 3 2 3" xfId="8799" xr:uid="{00000000-0005-0000-0000-00007C4A0000}"/>
    <cellStyle name="Normal 2 5 3 2 2 3 2 3 2" xfId="34356" xr:uid="{00000000-0005-0000-0000-00007D4A0000}"/>
    <cellStyle name="Normal 2 5 3 2 2 3 2 4" xfId="17589" xr:uid="{00000000-0005-0000-0000-00007E4A0000}"/>
    <cellStyle name="Normal 2 5 3 2 2 3 2 4 2" xfId="43142" xr:uid="{00000000-0005-0000-0000-00007F4A0000}"/>
    <cellStyle name="Normal 2 5 3 2 2 3 2 5" xfId="29079" xr:uid="{00000000-0005-0000-0000-0000804A0000}"/>
    <cellStyle name="Normal 2 5 3 2 2 3 3" xfId="4913" xr:uid="{00000000-0005-0000-0000-0000814A0000}"/>
    <cellStyle name="Normal 2 5 3 2 2 3 3 2" xfId="13750" xr:uid="{00000000-0005-0000-0000-0000824A0000}"/>
    <cellStyle name="Normal 2 5 3 2 2 3 3 2 2" xfId="24001" xr:uid="{00000000-0005-0000-0000-0000834A0000}"/>
    <cellStyle name="Normal 2 5 3 2 2 3 3 2 2 2" xfId="49554" xr:uid="{00000000-0005-0000-0000-0000844A0000}"/>
    <cellStyle name="Normal 2 5 3 2 2 3 3 2 3" xfId="39305" xr:uid="{00000000-0005-0000-0000-0000854A0000}"/>
    <cellStyle name="Normal 2 5 3 2 2 3 3 3" xfId="10171" xr:uid="{00000000-0005-0000-0000-0000864A0000}"/>
    <cellStyle name="Normal 2 5 3 2 2 3 3 3 2" xfId="35728" xr:uid="{00000000-0005-0000-0000-0000874A0000}"/>
    <cellStyle name="Normal 2 5 3 2 2 3 3 4" xfId="18994" xr:uid="{00000000-0005-0000-0000-0000884A0000}"/>
    <cellStyle name="Normal 2 5 3 2 2 3 3 4 2" xfId="44547" xr:uid="{00000000-0005-0000-0000-0000894A0000}"/>
    <cellStyle name="Normal 2 5 3 2 2 3 3 5" xfId="30484" xr:uid="{00000000-0005-0000-0000-00008A4A0000}"/>
    <cellStyle name="Normal 2 5 3 2 2 3 4" xfId="2344" xr:uid="{00000000-0005-0000-0000-00008B4A0000}"/>
    <cellStyle name="Normal 2 5 3 2 2 3 4 2" xfId="11709" xr:uid="{00000000-0005-0000-0000-00008C4A0000}"/>
    <cellStyle name="Normal 2 5 3 2 2 3 4 2 2" xfId="37264" xr:uid="{00000000-0005-0000-0000-00008D4A0000}"/>
    <cellStyle name="Normal 2 5 3 2 2 3 4 3" xfId="21713" xr:uid="{00000000-0005-0000-0000-00008E4A0000}"/>
    <cellStyle name="Normal 2 5 3 2 2 3 4 3 2" xfId="47266" xr:uid="{00000000-0005-0000-0000-00008F4A0000}"/>
    <cellStyle name="Normal 2 5 3 2 2 3 4 4" xfId="28196" xr:uid="{00000000-0005-0000-0000-0000904A0000}"/>
    <cellStyle name="Normal 2 5 3 2 2 3 5" xfId="6368" xr:uid="{00000000-0005-0000-0000-0000914A0000}"/>
    <cellStyle name="Normal 2 5 3 2 2 3 5 2" xfId="15195" xr:uid="{00000000-0005-0000-0000-0000924A0000}"/>
    <cellStyle name="Normal 2 5 3 2 2 3 5 2 2" xfId="40750" xr:uid="{00000000-0005-0000-0000-0000934A0000}"/>
    <cellStyle name="Normal 2 5 3 2 2 3 5 3" xfId="25446" xr:uid="{00000000-0005-0000-0000-0000944A0000}"/>
    <cellStyle name="Normal 2 5 3 2 2 3 5 3 2" xfId="50999" xr:uid="{00000000-0005-0000-0000-0000954A0000}"/>
    <cellStyle name="Normal 2 5 3 2 2 3 5 4" xfId="31929" xr:uid="{00000000-0005-0000-0000-0000964A0000}"/>
    <cellStyle name="Normal 2 5 3 2 2 3 6" xfId="7814" xr:uid="{00000000-0005-0000-0000-0000974A0000}"/>
    <cellStyle name="Normal 2 5 3 2 2 3 6 2" xfId="20195" xr:uid="{00000000-0005-0000-0000-0000984A0000}"/>
    <cellStyle name="Normal 2 5 3 2 2 3 6 2 2" xfId="45748" xr:uid="{00000000-0005-0000-0000-0000994A0000}"/>
    <cellStyle name="Normal 2 5 3 2 2 3 6 3" xfId="33371" xr:uid="{00000000-0005-0000-0000-00009A4A0000}"/>
    <cellStyle name="Normal 2 5 3 2 2 3 7" xfId="16706" xr:uid="{00000000-0005-0000-0000-00009B4A0000}"/>
    <cellStyle name="Normal 2 5 3 2 2 3 7 2" xfId="42259" xr:uid="{00000000-0005-0000-0000-00009C4A0000}"/>
    <cellStyle name="Normal 2 5 3 2 2 3 8" xfId="26678" xr:uid="{00000000-0005-0000-0000-00009D4A0000}"/>
    <cellStyle name="Normal 2 5 3 2 2 4" xfId="1356" xr:uid="{00000000-0005-0000-0000-00009E4A0000}"/>
    <cellStyle name="Normal 2 5 3 2 2 4 2" xfId="3785" xr:uid="{00000000-0005-0000-0000-00009F4A0000}"/>
    <cellStyle name="Normal 2 5 3 2 2 4 2 2" xfId="12921" xr:uid="{00000000-0005-0000-0000-0000A04A0000}"/>
    <cellStyle name="Normal 2 5 3 2 2 4 2 2 2" xfId="23140" xr:uid="{00000000-0005-0000-0000-0000A14A0000}"/>
    <cellStyle name="Normal 2 5 3 2 2 4 2 2 2 2" xfId="48693" xr:uid="{00000000-0005-0000-0000-0000A24A0000}"/>
    <cellStyle name="Normal 2 5 3 2 2 4 2 2 3" xfId="38476" xr:uid="{00000000-0005-0000-0000-0000A34A0000}"/>
    <cellStyle name="Normal 2 5 3 2 2 4 2 3" xfId="9342" xr:uid="{00000000-0005-0000-0000-0000A44A0000}"/>
    <cellStyle name="Normal 2 5 3 2 2 4 2 3 2" xfId="34899" xr:uid="{00000000-0005-0000-0000-0000A54A0000}"/>
    <cellStyle name="Normal 2 5 3 2 2 4 2 4" xfId="18133" xr:uid="{00000000-0005-0000-0000-0000A64A0000}"/>
    <cellStyle name="Normal 2 5 3 2 2 4 2 4 2" xfId="43686" xr:uid="{00000000-0005-0000-0000-0000A74A0000}"/>
    <cellStyle name="Normal 2 5 3 2 2 4 2 5" xfId="29623" xr:uid="{00000000-0005-0000-0000-0000A84A0000}"/>
    <cellStyle name="Normal 2 5 3 2 2 4 3" xfId="5448" xr:uid="{00000000-0005-0000-0000-0000A94A0000}"/>
    <cellStyle name="Normal 2 5 3 2 2 4 3 2" xfId="14285" xr:uid="{00000000-0005-0000-0000-0000AA4A0000}"/>
    <cellStyle name="Normal 2 5 3 2 2 4 3 2 2" xfId="24536" xr:uid="{00000000-0005-0000-0000-0000AB4A0000}"/>
    <cellStyle name="Normal 2 5 3 2 2 4 3 2 2 2" xfId="50089" xr:uid="{00000000-0005-0000-0000-0000AC4A0000}"/>
    <cellStyle name="Normal 2 5 3 2 2 4 3 2 3" xfId="39840" xr:uid="{00000000-0005-0000-0000-0000AD4A0000}"/>
    <cellStyle name="Normal 2 5 3 2 2 4 3 3" xfId="10706" xr:uid="{00000000-0005-0000-0000-0000AE4A0000}"/>
    <cellStyle name="Normal 2 5 3 2 2 4 3 3 2" xfId="36263" xr:uid="{00000000-0005-0000-0000-0000AF4A0000}"/>
    <cellStyle name="Normal 2 5 3 2 2 4 3 4" xfId="19529" xr:uid="{00000000-0005-0000-0000-0000B04A0000}"/>
    <cellStyle name="Normal 2 5 3 2 2 4 3 4 2" xfId="45082" xr:uid="{00000000-0005-0000-0000-0000B14A0000}"/>
    <cellStyle name="Normal 2 5 3 2 2 4 3 5" xfId="31019" xr:uid="{00000000-0005-0000-0000-0000B24A0000}"/>
    <cellStyle name="Normal 2 5 3 2 2 4 4" xfId="1859" xr:uid="{00000000-0005-0000-0000-0000B34A0000}"/>
    <cellStyle name="Normal 2 5 3 2 2 4 4 2" xfId="11227" xr:uid="{00000000-0005-0000-0000-0000B44A0000}"/>
    <cellStyle name="Normal 2 5 3 2 2 4 4 2 2" xfId="36782" xr:uid="{00000000-0005-0000-0000-0000B54A0000}"/>
    <cellStyle name="Normal 2 5 3 2 2 4 4 3" xfId="21231" xr:uid="{00000000-0005-0000-0000-0000B64A0000}"/>
    <cellStyle name="Normal 2 5 3 2 2 4 4 3 2" xfId="46784" xr:uid="{00000000-0005-0000-0000-0000B74A0000}"/>
    <cellStyle name="Normal 2 5 3 2 2 4 4 4" xfId="27714" xr:uid="{00000000-0005-0000-0000-0000B84A0000}"/>
    <cellStyle name="Normal 2 5 3 2 2 4 5" xfId="6903" xr:uid="{00000000-0005-0000-0000-0000B94A0000}"/>
    <cellStyle name="Normal 2 5 3 2 2 4 5 2" xfId="15730" xr:uid="{00000000-0005-0000-0000-0000BA4A0000}"/>
    <cellStyle name="Normal 2 5 3 2 2 4 5 2 2" xfId="41285" xr:uid="{00000000-0005-0000-0000-0000BB4A0000}"/>
    <cellStyle name="Normal 2 5 3 2 2 4 5 3" xfId="25981" xr:uid="{00000000-0005-0000-0000-0000BC4A0000}"/>
    <cellStyle name="Normal 2 5 3 2 2 4 5 3 2" xfId="51534" xr:uid="{00000000-0005-0000-0000-0000BD4A0000}"/>
    <cellStyle name="Normal 2 5 3 2 2 4 5 4" xfId="32464" xr:uid="{00000000-0005-0000-0000-0000BE4A0000}"/>
    <cellStyle name="Normal 2 5 3 2 2 4 6" xfId="8349" xr:uid="{00000000-0005-0000-0000-0000BF4A0000}"/>
    <cellStyle name="Normal 2 5 3 2 2 4 6 2" xfId="20739" xr:uid="{00000000-0005-0000-0000-0000C04A0000}"/>
    <cellStyle name="Normal 2 5 3 2 2 4 6 2 2" xfId="46292" xr:uid="{00000000-0005-0000-0000-0000C14A0000}"/>
    <cellStyle name="Normal 2 5 3 2 2 4 6 3" xfId="33906" xr:uid="{00000000-0005-0000-0000-0000C24A0000}"/>
    <cellStyle name="Normal 2 5 3 2 2 4 7" xfId="16224" xr:uid="{00000000-0005-0000-0000-0000C34A0000}"/>
    <cellStyle name="Normal 2 5 3 2 2 4 7 2" xfId="41777" xr:uid="{00000000-0005-0000-0000-0000C44A0000}"/>
    <cellStyle name="Normal 2 5 3 2 2 4 8" xfId="27222" xr:uid="{00000000-0005-0000-0000-0000C54A0000}"/>
    <cellStyle name="Normal 2 5 3 2 2 5" xfId="2753" xr:uid="{00000000-0005-0000-0000-0000C64A0000}"/>
    <cellStyle name="Normal 2 5 3 2 2 5 2" xfId="12070" xr:uid="{00000000-0005-0000-0000-0000C74A0000}"/>
    <cellStyle name="Normal 2 5 3 2 2 5 2 2" xfId="22114" xr:uid="{00000000-0005-0000-0000-0000C84A0000}"/>
    <cellStyle name="Normal 2 5 3 2 2 5 2 2 2" xfId="47667" xr:uid="{00000000-0005-0000-0000-0000C94A0000}"/>
    <cellStyle name="Normal 2 5 3 2 2 5 2 3" xfId="37625" xr:uid="{00000000-0005-0000-0000-0000CA4A0000}"/>
    <cellStyle name="Normal 2 5 3 2 2 5 3" xfId="8387" xr:uid="{00000000-0005-0000-0000-0000CB4A0000}"/>
    <cellStyle name="Normal 2 5 3 2 2 5 3 2" xfId="33944" xr:uid="{00000000-0005-0000-0000-0000CC4A0000}"/>
    <cellStyle name="Normal 2 5 3 2 2 5 4" xfId="17107" xr:uid="{00000000-0005-0000-0000-0000CD4A0000}"/>
    <cellStyle name="Normal 2 5 3 2 2 5 4 2" xfId="42660" xr:uid="{00000000-0005-0000-0000-0000CE4A0000}"/>
    <cellStyle name="Normal 2 5 3 2 2 5 5" xfId="28597" xr:uid="{00000000-0005-0000-0000-0000CF4A0000}"/>
    <cellStyle name="Normal 2 5 3 2 2 6" xfId="4404" xr:uid="{00000000-0005-0000-0000-0000D04A0000}"/>
    <cellStyle name="Normal 2 5 3 2 2 6 2" xfId="13242" xr:uid="{00000000-0005-0000-0000-0000D14A0000}"/>
    <cellStyle name="Normal 2 5 3 2 2 6 2 2" xfId="23493" xr:uid="{00000000-0005-0000-0000-0000D24A0000}"/>
    <cellStyle name="Normal 2 5 3 2 2 6 2 2 2" xfId="49046" xr:uid="{00000000-0005-0000-0000-0000D34A0000}"/>
    <cellStyle name="Normal 2 5 3 2 2 6 2 3" xfId="38797" xr:uid="{00000000-0005-0000-0000-0000D44A0000}"/>
    <cellStyle name="Normal 2 5 3 2 2 6 3" xfId="9663" xr:uid="{00000000-0005-0000-0000-0000D54A0000}"/>
    <cellStyle name="Normal 2 5 3 2 2 6 3 2" xfId="35220" xr:uid="{00000000-0005-0000-0000-0000D64A0000}"/>
    <cellStyle name="Normal 2 5 3 2 2 6 4" xfId="18486" xr:uid="{00000000-0005-0000-0000-0000D74A0000}"/>
    <cellStyle name="Normal 2 5 3 2 2 6 4 2" xfId="44039" xr:uid="{00000000-0005-0000-0000-0000D84A0000}"/>
    <cellStyle name="Normal 2 5 3 2 2 6 5" xfId="29976" xr:uid="{00000000-0005-0000-0000-0000D94A0000}"/>
    <cellStyle name="Normal 2 5 3 2 2 7" xfId="1676" xr:uid="{00000000-0005-0000-0000-0000DA4A0000}"/>
    <cellStyle name="Normal 2 5 3 2 2 7 2" xfId="11053" xr:uid="{00000000-0005-0000-0000-0000DB4A0000}"/>
    <cellStyle name="Normal 2 5 3 2 2 7 2 2" xfId="36608" xr:uid="{00000000-0005-0000-0000-0000DC4A0000}"/>
    <cellStyle name="Normal 2 5 3 2 2 7 3" xfId="21057" xr:uid="{00000000-0005-0000-0000-0000DD4A0000}"/>
    <cellStyle name="Normal 2 5 3 2 2 7 3 2" xfId="46610" xr:uid="{00000000-0005-0000-0000-0000DE4A0000}"/>
    <cellStyle name="Normal 2 5 3 2 2 7 4" xfId="27540" xr:uid="{00000000-0005-0000-0000-0000DF4A0000}"/>
    <cellStyle name="Normal 2 5 3 2 2 8" xfId="5860" xr:uid="{00000000-0005-0000-0000-0000E04A0000}"/>
    <cellStyle name="Normal 2 5 3 2 2 8 2" xfId="14687" xr:uid="{00000000-0005-0000-0000-0000E14A0000}"/>
    <cellStyle name="Normal 2 5 3 2 2 8 2 2" xfId="40242" xr:uid="{00000000-0005-0000-0000-0000E24A0000}"/>
    <cellStyle name="Normal 2 5 3 2 2 8 3" xfId="24938" xr:uid="{00000000-0005-0000-0000-0000E34A0000}"/>
    <cellStyle name="Normal 2 5 3 2 2 8 3 2" xfId="50491" xr:uid="{00000000-0005-0000-0000-0000E44A0000}"/>
    <cellStyle name="Normal 2 5 3 2 2 8 4" xfId="31421" xr:uid="{00000000-0005-0000-0000-0000E54A0000}"/>
    <cellStyle name="Normal 2 5 3 2 2 9" xfId="7304" xr:uid="{00000000-0005-0000-0000-0000E64A0000}"/>
    <cellStyle name="Normal 2 5 3 2 2 9 2" xfId="19713" xr:uid="{00000000-0005-0000-0000-0000E74A0000}"/>
    <cellStyle name="Normal 2 5 3 2 2 9 2 2" xfId="45266" xr:uid="{00000000-0005-0000-0000-0000E84A0000}"/>
    <cellStyle name="Normal 2 5 3 2 2 9 3" xfId="32861" xr:uid="{00000000-0005-0000-0000-0000E94A0000}"/>
    <cellStyle name="Normal 2 5 3 2 2_Degree data" xfId="3911" xr:uid="{00000000-0005-0000-0000-0000EA4A0000}"/>
    <cellStyle name="Normal 2 5 3 2 3" xfId="480" xr:uid="{00000000-0005-0000-0000-0000EB4A0000}"/>
    <cellStyle name="Normal 2 5 3 2 3 10" xfId="26409" xr:uid="{00000000-0005-0000-0000-0000EC4A0000}"/>
    <cellStyle name="Normal 2 5 3 2 3 2" xfId="750" xr:uid="{00000000-0005-0000-0000-0000ED4A0000}"/>
    <cellStyle name="Normal 2 5 3 2 3 2 2" xfId="3236" xr:uid="{00000000-0005-0000-0000-0000EE4A0000}"/>
    <cellStyle name="Normal 2 5 3 2 3 2 2 2" xfId="12378" xr:uid="{00000000-0005-0000-0000-0000EF4A0000}"/>
    <cellStyle name="Normal 2 5 3 2 3 2 2 2 2" xfId="22597" xr:uid="{00000000-0005-0000-0000-0000F04A0000}"/>
    <cellStyle name="Normal 2 5 3 2 3 2 2 2 2 2" xfId="48150" xr:uid="{00000000-0005-0000-0000-0000F14A0000}"/>
    <cellStyle name="Normal 2 5 3 2 3 2 2 2 3" xfId="37933" xr:uid="{00000000-0005-0000-0000-0000F24A0000}"/>
    <cellStyle name="Normal 2 5 3 2 3 2 2 3" xfId="8800" xr:uid="{00000000-0005-0000-0000-0000F34A0000}"/>
    <cellStyle name="Normal 2 5 3 2 3 2 2 3 2" xfId="34357" xr:uid="{00000000-0005-0000-0000-0000F44A0000}"/>
    <cellStyle name="Normal 2 5 3 2 3 2 2 4" xfId="17590" xr:uid="{00000000-0005-0000-0000-0000F54A0000}"/>
    <cellStyle name="Normal 2 5 3 2 3 2 2 4 2" xfId="43143" xr:uid="{00000000-0005-0000-0000-0000F64A0000}"/>
    <cellStyle name="Normal 2 5 3 2 3 2 2 5" xfId="29080" xr:uid="{00000000-0005-0000-0000-0000F74A0000}"/>
    <cellStyle name="Normal 2 5 3 2 3 2 3" xfId="4565" xr:uid="{00000000-0005-0000-0000-0000F84A0000}"/>
    <cellStyle name="Normal 2 5 3 2 3 2 3 2" xfId="13403" xr:uid="{00000000-0005-0000-0000-0000F94A0000}"/>
    <cellStyle name="Normal 2 5 3 2 3 2 3 2 2" xfId="23654" xr:uid="{00000000-0005-0000-0000-0000FA4A0000}"/>
    <cellStyle name="Normal 2 5 3 2 3 2 3 2 2 2" xfId="49207" xr:uid="{00000000-0005-0000-0000-0000FB4A0000}"/>
    <cellStyle name="Normal 2 5 3 2 3 2 3 2 3" xfId="38958" xr:uid="{00000000-0005-0000-0000-0000FC4A0000}"/>
    <cellStyle name="Normal 2 5 3 2 3 2 3 3" xfId="9824" xr:uid="{00000000-0005-0000-0000-0000FD4A0000}"/>
    <cellStyle name="Normal 2 5 3 2 3 2 3 3 2" xfId="35381" xr:uid="{00000000-0005-0000-0000-0000FE4A0000}"/>
    <cellStyle name="Normal 2 5 3 2 3 2 3 4" xfId="18647" xr:uid="{00000000-0005-0000-0000-0000FF4A0000}"/>
    <cellStyle name="Normal 2 5 3 2 3 2 3 4 2" xfId="44200" xr:uid="{00000000-0005-0000-0000-0000004B0000}"/>
    <cellStyle name="Normal 2 5 3 2 3 2 3 5" xfId="30137" xr:uid="{00000000-0005-0000-0000-0000014B0000}"/>
    <cellStyle name="Normal 2 5 3 2 3 2 4" xfId="2345" xr:uid="{00000000-0005-0000-0000-0000024B0000}"/>
    <cellStyle name="Normal 2 5 3 2 3 2 4 2" xfId="11710" xr:uid="{00000000-0005-0000-0000-0000034B0000}"/>
    <cellStyle name="Normal 2 5 3 2 3 2 4 2 2" xfId="37265" xr:uid="{00000000-0005-0000-0000-0000044B0000}"/>
    <cellStyle name="Normal 2 5 3 2 3 2 4 3" xfId="21714" xr:uid="{00000000-0005-0000-0000-0000054B0000}"/>
    <cellStyle name="Normal 2 5 3 2 3 2 4 3 2" xfId="47267" xr:uid="{00000000-0005-0000-0000-0000064B0000}"/>
    <cellStyle name="Normal 2 5 3 2 3 2 4 4" xfId="28197" xr:uid="{00000000-0005-0000-0000-0000074B0000}"/>
    <cellStyle name="Normal 2 5 3 2 3 2 5" xfId="6021" xr:uid="{00000000-0005-0000-0000-0000084B0000}"/>
    <cellStyle name="Normal 2 5 3 2 3 2 5 2" xfId="14848" xr:uid="{00000000-0005-0000-0000-0000094B0000}"/>
    <cellStyle name="Normal 2 5 3 2 3 2 5 2 2" xfId="40403" xr:uid="{00000000-0005-0000-0000-00000A4B0000}"/>
    <cellStyle name="Normal 2 5 3 2 3 2 5 3" xfId="25099" xr:uid="{00000000-0005-0000-0000-00000B4B0000}"/>
    <cellStyle name="Normal 2 5 3 2 3 2 5 3 2" xfId="50652" xr:uid="{00000000-0005-0000-0000-00000C4B0000}"/>
    <cellStyle name="Normal 2 5 3 2 3 2 5 4" xfId="31582" xr:uid="{00000000-0005-0000-0000-00000D4B0000}"/>
    <cellStyle name="Normal 2 5 3 2 3 2 6" xfId="7465" xr:uid="{00000000-0005-0000-0000-00000E4B0000}"/>
    <cellStyle name="Normal 2 5 3 2 3 2 6 2" xfId="20196" xr:uid="{00000000-0005-0000-0000-00000F4B0000}"/>
    <cellStyle name="Normal 2 5 3 2 3 2 6 2 2" xfId="45749" xr:uid="{00000000-0005-0000-0000-0000104B0000}"/>
    <cellStyle name="Normal 2 5 3 2 3 2 6 3" xfId="33022" xr:uid="{00000000-0005-0000-0000-0000114B0000}"/>
    <cellStyle name="Normal 2 5 3 2 3 2 7" xfId="16707" xr:uid="{00000000-0005-0000-0000-0000124B0000}"/>
    <cellStyle name="Normal 2 5 3 2 3 2 7 2" xfId="42260" xr:uid="{00000000-0005-0000-0000-0000134B0000}"/>
    <cellStyle name="Normal 2 5 3 2 3 2 8" xfId="26679" xr:uid="{00000000-0005-0000-0000-0000144B0000}"/>
    <cellStyle name="Normal 2 5 3 2 3 3" xfId="1252" xr:uid="{00000000-0005-0000-0000-0000154B0000}"/>
    <cellStyle name="Normal 2 5 3 2 3 3 2" xfId="3681" xr:uid="{00000000-0005-0000-0000-0000164B0000}"/>
    <cellStyle name="Normal 2 5 3 2 3 3 2 2" xfId="12817" xr:uid="{00000000-0005-0000-0000-0000174B0000}"/>
    <cellStyle name="Normal 2 5 3 2 3 3 2 2 2" xfId="23036" xr:uid="{00000000-0005-0000-0000-0000184B0000}"/>
    <cellStyle name="Normal 2 5 3 2 3 3 2 2 2 2" xfId="48589" xr:uid="{00000000-0005-0000-0000-0000194B0000}"/>
    <cellStyle name="Normal 2 5 3 2 3 3 2 2 3" xfId="38372" xr:uid="{00000000-0005-0000-0000-00001A4B0000}"/>
    <cellStyle name="Normal 2 5 3 2 3 3 2 3" xfId="9238" xr:uid="{00000000-0005-0000-0000-00001B4B0000}"/>
    <cellStyle name="Normal 2 5 3 2 3 3 2 3 2" xfId="34795" xr:uid="{00000000-0005-0000-0000-00001C4B0000}"/>
    <cellStyle name="Normal 2 5 3 2 3 3 2 4" xfId="18029" xr:uid="{00000000-0005-0000-0000-00001D4B0000}"/>
    <cellStyle name="Normal 2 5 3 2 3 3 2 4 2" xfId="43582" xr:uid="{00000000-0005-0000-0000-00001E4B0000}"/>
    <cellStyle name="Normal 2 5 3 2 3 3 2 5" xfId="29519" xr:uid="{00000000-0005-0000-0000-00001F4B0000}"/>
    <cellStyle name="Normal 2 5 3 2 3 3 3" xfId="4914" xr:uid="{00000000-0005-0000-0000-0000204B0000}"/>
    <cellStyle name="Normal 2 5 3 2 3 3 3 2" xfId="13751" xr:uid="{00000000-0005-0000-0000-0000214B0000}"/>
    <cellStyle name="Normal 2 5 3 2 3 3 3 2 2" xfId="24002" xr:uid="{00000000-0005-0000-0000-0000224B0000}"/>
    <cellStyle name="Normal 2 5 3 2 3 3 3 2 2 2" xfId="49555" xr:uid="{00000000-0005-0000-0000-0000234B0000}"/>
    <cellStyle name="Normal 2 5 3 2 3 3 3 2 3" xfId="39306" xr:uid="{00000000-0005-0000-0000-0000244B0000}"/>
    <cellStyle name="Normal 2 5 3 2 3 3 3 3" xfId="10172" xr:uid="{00000000-0005-0000-0000-0000254B0000}"/>
    <cellStyle name="Normal 2 5 3 2 3 3 3 3 2" xfId="35729" xr:uid="{00000000-0005-0000-0000-0000264B0000}"/>
    <cellStyle name="Normal 2 5 3 2 3 3 3 4" xfId="18995" xr:uid="{00000000-0005-0000-0000-0000274B0000}"/>
    <cellStyle name="Normal 2 5 3 2 3 3 3 4 2" xfId="44548" xr:uid="{00000000-0005-0000-0000-0000284B0000}"/>
    <cellStyle name="Normal 2 5 3 2 3 3 3 5" xfId="30485" xr:uid="{00000000-0005-0000-0000-0000294B0000}"/>
    <cellStyle name="Normal 2 5 3 2 3 3 4" xfId="2075" xr:uid="{00000000-0005-0000-0000-00002A4B0000}"/>
    <cellStyle name="Normal 2 5 3 2 3 3 4 2" xfId="11440" xr:uid="{00000000-0005-0000-0000-00002B4B0000}"/>
    <cellStyle name="Normal 2 5 3 2 3 3 4 2 2" xfId="36995" xr:uid="{00000000-0005-0000-0000-00002C4B0000}"/>
    <cellStyle name="Normal 2 5 3 2 3 3 4 3" xfId="21444" xr:uid="{00000000-0005-0000-0000-00002D4B0000}"/>
    <cellStyle name="Normal 2 5 3 2 3 3 4 3 2" xfId="46997" xr:uid="{00000000-0005-0000-0000-00002E4B0000}"/>
    <cellStyle name="Normal 2 5 3 2 3 3 4 4" xfId="27927" xr:uid="{00000000-0005-0000-0000-00002F4B0000}"/>
    <cellStyle name="Normal 2 5 3 2 3 3 5" xfId="6369" xr:uid="{00000000-0005-0000-0000-0000304B0000}"/>
    <cellStyle name="Normal 2 5 3 2 3 3 5 2" xfId="15196" xr:uid="{00000000-0005-0000-0000-0000314B0000}"/>
    <cellStyle name="Normal 2 5 3 2 3 3 5 2 2" xfId="40751" xr:uid="{00000000-0005-0000-0000-0000324B0000}"/>
    <cellStyle name="Normal 2 5 3 2 3 3 5 3" xfId="25447" xr:uid="{00000000-0005-0000-0000-0000334B0000}"/>
    <cellStyle name="Normal 2 5 3 2 3 3 5 3 2" xfId="51000" xr:uid="{00000000-0005-0000-0000-0000344B0000}"/>
    <cellStyle name="Normal 2 5 3 2 3 3 5 4" xfId="31930" xr:uid="{00000000-0005-0000-0000-0000354B0000}"/>
    <cellStyle name="Normal 2 5 3 2 3 3 6" xfId="7815" xr:uid="{00000000-0005-0000-0000-0000364B0000}"/>
    <cellStyle name="Normal 2 5 3 2 3 3 6 2" xfId="20635" xr:uid="{00000000-0005-0000-0000-0000374B0000}"/>
    <cellStyle name="Normal 2 5 3 2 3 3 6 2 2" xfId="46188" xr:uid="{00000000-0005-0000-0000-0000384B0000}"/>
    <cellStyle name="Normal 2 5 3 2 3 3 6 3" xfId="33372" xr:uid="{00000000-0005-0000-0000-0000394B0000}"/>
    <cellStyle name="Normal 2 5 3 2 3 3 7" xfId="16437" xr:uid="{00000000-0005-0000-0000-00003A4B0000}"/>
    <cellStyle name="Normal 2 5 3 2 3 3 7 2" xfId="41990" xr:uid="{00000000-0005-0000-0000-00003B4B0000}"/>
    <cellStyle name="Normal 2 5 3 2 3 3 8" xfId="27118" xr:uid="{00000000-0005-0000-0000-00003C4B0000}"/>
    <cellStyle name="Normal 2 5 3 2 3 4" xfId="2966" xr:uid="{00000000-0005-0000-0000-00003D4B0000}"/>
    <cellStyle name="Normal 2 5 3 2 3 4 2" xfId="5344" xr:uid="{00000000-0005-0000-0000-00003E4B0000}"/>
    <cellStyle name="Normal 2 5 3 2 3 4 2 2" xfId="14181" xr:uid="{00000000-0005-0000-0000-00003F4B0000}"/>
    <cellStyle name="Normal 2 5 3 2 3 4 2 2 2" xfId="24432" xr:uid="{00000000-0005-0000-0000-0000404B0000}"/>
    <cellStyle name="Normal 2 5 3 2 3 4 2 2 2 2" xfId="49985" xr:uid="{00000000-0005-0000-0000-0000414B0000}"/>
    <cellStyle name="Normal 2 5 3 2 3 4 2 2 3" xfId="39736" xr:uid="{00000000-0005-0000-0000-0000424B0000}"/>
    <cellStyle name="Normal 2 5 3 2 3 4 2 3" xfId="10602" xr:uid="{00000000-0005-0000-0000-0000434B0000}"/>
    <cellStyle name="Normal 2 5 3 2 3 4 2 3 2" xfId="36159" xr:uid="{00000000-0005-0000-0000-0000444B0000}"/>
    <cellStyle name="Normal 2 5 3 2 3 4 2 4" xfId="19425" xr:uid="{00000000-0005-0000-0000-0000454B0000}"/>
    <cellStyle name="Normal 2 5 3 2 3 4 2 4 2" xfId="44978" xr:uid="{00000000-0005-0000-0000-0000464B0000}"/>
    <cellStyle name="Normal 2 5 3 2 3 4 2 5" xfId="30915" xr:uid="{00000000-0005-0000-0000-0000474B0000}"/>
    <cellStyle name="Normal 2 5 3 2 3 4 3" xfId="6799" xr:uid="{00000000-0005-0000-0000-0000484B0000}"/>
    <cellStyle name="Normal 2 5 3 2 3 4 3 2" xfId="15626" xr:uid="{00000000-0005-0000-0000-0000494B0000}"/>
    <cellStyle name="Normal 2 5 3 2 3 4 3 2 2" xfId="41181" xr:uid="{00000000-0005-0000-0000-00004A4B0000}"/>
    <cellStyle name="Normal 2 5 3 2 3 4 3 3" xfId="25877" xr:uid="{00000000-0005-0000-0000-00004B4B0000}"/>
    <cellStyle name="Normal 2 5 3 2 3 4 3 3 2" xfId="51430" xr:uid="{00000000-0005-0000-0000-00004C4B0000}"/>
    <cellStyle name="Normal 2 5 3 2 3 4 3 4" xfId="32360" xr:uid="{00000000-0005-0000-0000-00004D4B0000}"/>
    <cellStyle name="Normal 2 5 3 2 3 4 4" xfId="8245" xr:uid="{00000000-0005-0000-0000-00004E4B0000}"/>
    <cellStyle name="Normal 2 5 3 2 3 4 4 2" xfId="22327" xr:uid="{00000000-0005-0000-0000-00004F4B0000}"/>
    <cellStyle name="Normal 2 5 3 2 3 4 4 2 2" xfId="47880" xr:uid="{00000000-0005-0000-0000-0000504B0000}"/>
    <cellStyle name="Normal 2 5 3 2 3 4 4 3" xfId="33802" xr:uid="{00000000-0005-0000-0000-0000514B0000}"/>
    <cellStyle name="Normal 2 5 3 2 3 4 5" xfId="17320" xr:uid="{00000000-0005-0000-0000-0000524B0000}"/>
    <cellStyle name="Normal 2 5 3 2 3 4 5 2" xfId="42873" xr:uid="{00000000-0005-0000-0000-0000534B0000}"/>
    <cellStyle name="Normal 2 5 3 2 3 4 6" xfId="28810" xr:uid="{00000000-0005-0000-0000-0000544B0000}"/>
    <cellStyle name="Normal 2 5 3 2 3 5" xfId="4300" xr:uid="{00000000-0005-0000-0000-0000554B0000}"/>
    <cellStyle name="Normal 2 5 3 2 3 5 2" xfId="13138" xr:uid="{00000000-0005-0000-0000-0000564B0000}"/>
    <cellStyle name="Normal 2 5 3 2 3 5 2 2" xfId="23389" xr:uid="{00000000-0005-0000-0000-0000574B0000}"/>
    <cellStyle name="Normal 2 5 3 2 3 5 2 2 2" xfId="48942" xr:uid="{00000000-0005-0000-0000-0000584B0000}"/>
    <cellStyle name="Normal 2 5 3 2 3 5 2 3" xfId="38693" xr:uid="{00000000-0005-0000-0000-0000594B0000}"/>
    <cellStyle name="Normal 2 5 3 2 3 5 3" xfId="9559" xr:uid="{00000000-0005-0000-0000-00005A4B0000}"/>
    <cellStyle name="Normal 2 5 3 2 3 5 3 2" xfId="35116" xr:uid="{00000000-0005-0000-0000-00005B4B0000}"/>
    <cellStyle name="Normal 2 5 3 2 3 5 4" xfId="18382" xr:uid="{00000000-0005-0000-0000-00005C4B0000}"/>
    <cellStyle name="Normal 2 5 3 2 3 5 4 2" xfId="43935" xr:uid="{00000000-0005-0000-0000-00005D4B0000}"/>
    <cellStyle name="Normal 2 5 3 2 3 5 5" xfId="29872" xr:uid="{00000000-0005-0000-0000-00005E4B0000}"/>
    <cellStyle name="Normal 2 5 3 2 3 6" xfId="1572" xr:uid="{00000000-0005-0000-0000-00005F4B0000}"/>
    <cellStyle name="Normal 2 5 3 2 3 6 2" xfId="10949" xr:uid="{00000000-0005-0000-0000-0000604B0000}"/>
    <cellStyle name="Normal 2 5 3 2 3 6 2 2" xfId="36504" xr:uid="{00000000-0005-0000-0000-0000614B0000}"/>
    <cellStyle name="Normal 2 5 3 2 3 6 3" xfId="20953" xr:uid="{00000000-0005-0000-0000-0000624B0000}"/>
    <cellStyle name="Normal 2 5 3 2 3 6 3 2" xfId="46506" xr:uid="{00000000-0005-0000-0000-0000634B0000}"/>
    <cellStyle name="Normal 2 5 3 2 3 6 4" xfId="27436" xr:uid="{00000000-0005-0000-0000-0000644B0000}"/>
    <cellStyle name="Normal 2 5 3 2 3 7" xfId="5756" xr:uid="{00000000-0005-0000-0000-0000654B0000}"/>
    <cellStyle name="Normal 2 5 3 2 3 7 2" xfId="14583" xr:uid="{00000000-0005-0000-0000-0000664B0000}"/>
    <cellStyle name="Normal 2 5 3 2 3 7 2 2" xfId="40138" xr:uid="{00000000-0005-0000-0000-0000674B0000}"/>
    <cellStyle name="Normal 2 5 3 2 3 7 3" xfId="24834" xr:uid="{00000000-0005-0000-0000-0000684B0000}"/>
    <cellStyle name="Normal 2 5 3 2 3 7 3 2" xfId="50387" xr:uid="{00000000-0005-0000-0000-0000694B0000}"/>
    <cellStyle name="Normal 2 5 3 2 3 7 4" xfId="31317" xr:uid="{00000000-0005-0000-0000-00006A4B0000}"/>
    <cellStyle name="Normal 2 5 3 2 3 8" xfId="7200" xr:uid="{00000000-0005-0000-0000-00006B4B0000}"/>
    <cellStyle name="Normal 2 5 3 2 3 8 2" xfId="19926" xr:uid="{00000000-0005-0000-0000-00006C4B0000}"/>
    <cellStyle name="Normal 2 5 3 2 3 8 2 2" xfId="45479" xr:uid="{00000000-0005-0000-0000-00006D4B0000}"/>
    <cellStyle name="Normal 2 5 3 2 3 8 3" xfId="32757" xr:uid="{00000000-0005-0000-0000-00006E4B0000}"/>
    <cellStyle name="Normal 2 5 3 2 3 9" xfId="15946" xr:uid="{00000000-0005-0000-0000-00006F4B0000}"/>
    <cellStyle name="Normal 2 5 3 2 3 9 2" xfId="41499" xr:uid="{00000000-0005-0000-0000-0000704B0000}"/>
    <cellStyle name="Normal 2 5 3 2 3_Degree data" xfId="3852" xr:uid="{00000000-0005-0000-0000-0000714B0000}"/>
    <cellStyle name="Normal 2 5 3 2 4" xfId="380" xr:uid="{00000000-0005-0000-0000-0000724B0000}"/>
    <cellStyle name="Normal 2 5 3 2 4 2" xfId="2866" xr:uid="{00000000-0005-0000-0000-0000734B0000}"/>
    <cellStyle name="Normal 2 5 3 2 4 2 2" xfId="12154" xr:uid="{00000000-0005-0000-0000-0000744B0000}"/>
    <cellStyle name="Normal 2 5 3 2 4 2 2 2" xfId="22227" xr:uid="{00000000-0005-0000-0000-0000754B0000}"/>
    <cellStyle name="Normal 2 5 3 2 4 2 2 2 2" xfId="47780" xr:uid="{00000000-0005-0000-0000-0000764B0000}"/>
    <cellStyle name="Normal 2 5 3 2 4 2 2 3" xfId="37709" xr:uid="{00000000-0005-0000-0000-0000774B0000}"/>
    <cellStyle name="Normal 2 5 3 2 4 2 3" xfId="8520" xr:uid="{00000000-0005-0000-0000-0000784B0000}"/>
    <cellStyle name="Normal 2 5 3 2 4 2 3 2" xfId="34077" xr:uid="{00000000-0005-0000-0000-0000794B0000}"/>
    <cellStyle name="Normal 2 5 3 2 4 2 4" xfId="17220" xr:uid="{00000000-0005-0000-0000-00007A4B0000}"/>
    <cellStyle name="Normal 2 5 3 2 4 2 4 2" xfId="42773" xr:uid="{00000000-0005-0000-0000-00007B4B0000}"/>
    <cellStyle name="Normal 2 5 3 2 4 2 5" xfId="28710" xr:uid="{00000000-0005-0000-0000-00007C4B0000}"/>
    <cellStyle name="Normal 2 5 3 2 4 3" xfId="4563" xr:uid="{00000000-0005-0000-0000-00007D4B0000}"/>
    <cellStyle name="Normal 2 5 3 2 4 3 2" xfId="13401" xr:uid="{00000000-0005-0000-0000-00007E4B0000}"/>
    <cellStyle name="Normal 2 5 3 2 4 3 2 2" xfId="23652" xr:uid="{00000000-0005-0000-0000-00007F4B0000}"/>
    <cellStyle name="Normal 2 5 3 2 4 3 2 2 2" xfId="49205" xr:uid="{00000000-0005-0000-0000-0000804B0000}"/>
    <cellStyle name="Normal 2 5 3 2 4 3 2 3" xfId="38956" xr:uid="{00000000-0005-0000-0000-0000814B0000}"/>
    <cellStyle name="Normal 2 5 3 2 4 3 3" xfId="9822" xr:uid="{00000000-0005-0000-0000-0000824B0000}"/>
    <cellStyle name="Normal 2 5 3 2 4 3 3 2" xfId="35379" xr:uid="{00000000-0005-0000-0000-0000834B0000}"/>
    <cellStyle name="Normal 2 5 3 2 4 3 4" xfId="18645" xr:uid="{00000000-0005-0000-0000-0000844B0000}"/>
    <cellStyle name="Normal 2 5 3 2 4 3 4 2" xfId="44198" xr:uid="{00000000-0005-0000-0000-0000854B0000}"/>
    <cellStyle name="Normal 2 5 3 2 4 3 5" xfId="30135" xr:uid="{00000000-0005-0000-0000-0000864B0000}"/>
    <cellStyle name="Normal 2 5 3 2 4 4" xfId="1975" xr:uid="{00000000-0005-0000-0000-0000874B0000}"/>
    <cellStyle name="Normal 2 5 3 2 4 4 2" xfId="11340" xr:uid="{00000000-0005-0000-0000-0000884B0000}"/>
    <cellStyle name="Normal 2 5 3 2 4 4 2 2" xfId="36895" xr:uid="{00000000-0005-0000-0000-0000894B0000}"/>
    <cellStyle name="Normal 2 5 3 2 4 4 3" xfId="21344" xr:uid="{00000000-0005-0000-0000-00008A4B0000}"/>
    <cellStyle name="Normal 2 5 3 2 4 4 3 2" xfId="46897" xr:uid="{00000000-0005-0000-0000-00008B4B0000}"/>
    <cellStyle name="Normal 2 5 3 2 4 4 4" xfId="27827" xr:uid="{00000000-0005-0000-0000-00008C4B0000}"/>
    <cellStyle name="Normal 2 5 3 2 4 5" xfId="6019" xr:uid="{00000000-0005-0000-0000-00008D4B0000}"/>
    <cellStyle name="Normal 2 5 3 2 4 5 2" xfId="14846" xr:uid="{00000000-0005-0000-0000-00008E4B0000}"/>
    <cellStyle name="Normal 2 5 3 2 4 5 2 2" xfId="40401" xr:uid="{00000000-0005-0000-0000-00008F4B0000}"/>
    <cellStyle name="Normal 2 5 3 2 4 5 3" xfId="25097" xr:uid="{00000000-0005-0000-0000-0000904B0000}"/>
    <cellStyle name="Normal 2 5 3 2 4 5 3 2" xfId="50650" xr:uid="{00000000-0005-0000-0000-0000914B0000}"/>
    <cellStyle name="Normal 2 5 3 2 4 5 4" xfId="31580" xr:uid="{00000000-0005-0000-0000-0000924B0000}"/>
    <cellStyle name="Normal 2 5 3 2 4 6" xfId="7463" xr:uid="{00000000-0005-0000-0000-0000934B0000}"/>
    <cellStyle name="Normal 2 5 3 2 4 6 2" xfId="19826" xr:uid="{00000000-0005-0000-0000-0000944B0000}"/>
    <cellStyle name="Normal 2 5 3 2 4 6 2 2" xfId="45379" xr:uid="{00000000-0005-0000-0000-0000954B0000}"/>
    <cellStyle name="Normal 2 5 3 2 4 6 3" xfId="33020" xr:uid="{00000000-0005-0000-0000-0000964B0000}"/>
    <cellStyle name="Normal 2 5 3 2 4 7" xfId="16337" xr:uid="{00000000-0005-0000-0000-0000974B0000}"/>
    <cellStyle name="Normal 2 5 3 2 4 7 2" xfId="41890" xr:uid="{00000000-0005-0000-0000-0000984B0000}"/>
    <cellStyle name="Normal 2 5 3 2 4 8" xfId="26309" xr:uid="{00000000-0005-0000-0000-0000994B0000}"/>
    <cellStyle name="Normal 2 5 3 2 5" xfId="748" xr:uid="{00000000-0005-0000-0000-00009A4B0000}"/>
    <cellStyle name="Normal 2 5 3 2 5 2" xfId="3234" xr:uid="{00000000-0005-0000-0000-00009B4B0000}"/>
    <cellStyle name="Normal 2 5 3 2 5 2 2" xfId="12376" xr:uid="{00000000-0005-0000-0000-00009C4B0000}"/>
    <cellStyle name="Normal 2 5 3 2 5 2 2 2" xfId="22595" xr:uid="{00000000-0005-0000-0000-00009D4B0000}"/>
    <cellStyle name="Normal 2 5 3 2 5 2 2 2 2" xfId="48148" xr:uid="{00000000-0005-0000-0000-00009E4B0000}"/>
    <cellStyle name="Normal 2 5 3 2 5 2 2 3" xfId="37931" xr:uid="{00000000-0005-0000-0000-00009F4B0000}"/>
    <cellStyle name="Normal 2 5 3 2 5 2 3" xfId="8798" xr:uid="{00000000-0005-0000-0000-0000A04B0000}"/>
    <cellStyle name="Normal 2 5 3 2 5 2 3 2" xfId="34355" xr:uid="{00000000-0005-0000-0000-0000A14B0000}"/>
    <cellStyle name="Normal 2 5 3 2 5 2 4" xfId="17588" xr:uid="{00000000-0005-0000-0000-0000A24B0000}"/>
    <cellStyle name="Normal 2 5 3 2 5 2 4 2" xfId="43141" xr:uid="{00000000-0005-0000-0000-0000A34B0000}"/>
    <cellStyle name="Normal 2 5 3 2 5 2 5" xfId="29078" xr:uid="{00000000-0005-0000-0000-0000A44B0000}"/>
    <cellStyle name="Normal 2 5 3 2 5 3" xfId="4912" xr:uid="{00000000-0005-0000-0000-0000A54B0000}"/>
    <cellStyle name="Normal 2 5 3 2 5 3 2" xfId="13749" xr:uid="{00000000-0005-0000-0000-0000A64B0000}"/>
    <cellStyle name="Normal 2 5 3 2 5 3 2 2" xfId="24000" xr:uid="{00000000-0005-0000-0000-0000A74B0000}"/>
    <cellStyle name="Normal 2 5 3 2 5 3 2 2 2" xfId="49553" xr:uid="{00000000-0005-0000-0000-0000A84B0000}"/>
    <cellStyle name="Normal 2 5 3 2 5 3 2 3" xfId="39304" xr:uid="{00000000-0005-0000-0000-0000A94B0000}"/>
    <cellStyle name="Normal 2 5 3 2 5 3 3" xfId="10170" xr:uid="{00000000-0005-0000-0000-0000AA4B0000}"/>
    <cellStyle name="Normal 2 5 3 2 5 3 3 2" xfId="35727" xr:uid="{00000000-0005-0000-0000-0000AB4B0000}"/>
    <cellStyle name="Normal 2 5 3 2 5 3 4" xfId="18993" xr:uid="{00000000-0005-0000-0000-0000AC4B0000}"/>
    <cellStyle name="Normal 2 5 3 2 5 3 4 2" xfId="44546" xr:uid="{00000000-0005-0000-0000-0000AD4B0000}"/>
    <cellStyle name="Normal 2 5 3 2 5 3 5" xfId="30483" xr:uid="{00000000-0005-0000-0000-0000AE4B0000}"/>
    <cellStyle name="Normal 2 5 3 2 5 4" xfId="2343" xr:uid="{00000000-0005-0000-0000-0000AF4B0000}"/>
    <cellStyle name="Normal 2 5 3 2 5 4 2" xfId="11708" xr:uid="{00000000-0005-0000-0000-0000B04B0000}"/>
    <cellStyle name="Normal 2 5 3 2 5 4 2 2" xfId="37263" xr:uid="{00000000-0005-0000-0000-0000B14B0000}"/>
    <cellStyle name="Normal 2 5 3 2 5 4 3" xfId="21712" xr:uid="{00000000-0005-0000-0000-0000B24B0000}"/>
    <cellStyle name="Normal 2 5 3 2 5 4 3 2" xfId="47265" xr:uid="{00000000-0005-0000-0000-0000B34B0000}"/>
    <cellStyle name="Normal 2 5 3 2 5 4 4" xfId="28195" xr:uid="{00000000-0005-0000-0000-0000B44B0000}"/>
    <cellStyle name="Normal 2 5 3 2 5 5" xfId="6367" xr:uid="{00000000-0005-0000-0000-0000B54B0000}"/>
    <cellStyle name="Normal 2 5 3 2 5 5 2" xfId="15194" xr:uid="{00000000-0005-0000-0000-0000B64B0000}"/>
    <cellStyle name="Normal 2 5 3 2 5 5 2 2" xfId="40749" xr:uid="{00000000-0005-0000-0000-0000B74B0000}"/>
    <cellStyle name="Normal 2 5 3 2 5 5 3" xfId="25445" xr:uid="{00000000-0005-0000-0000-0000B84B0000}"/>
    <cellStyle name="Normal 2 5 3 2 5 5 3 2" xfId="50998" xr:uid="{00000000-0005-0000-0000-0000B94B0000}"/>
    <cellStyle name="Normal 2 5 3 2 5 5 4" xfId="31928" xr:uid="{00000000-0005-0000-0000-0000BA4B0000}"/>
    <cellStyle name="Normal 2 5 3 2 5 6" xfId="7813" xr:uid="{00000000-0005-0000-0000-0000BB4B0000}"/>
    <cellStyle name="Normal 2 5 3 2 5 6 2" xfId="20194" xr:uid="{00000000-0005-0000-0000-0000BC4B0000}"/>
    <cellStyle name="Normal 2 5 3 2 5 6 2 2" xfId="45747" xr:uid="{00000000-0005-0000-0000-0000BD4B0000}"/>
    <cellStyle name="Normal 2 5 3 2 5 6 3" xfId="33370" xr:uid="{00000000-0005-0000-0000-0000BE4B0000}"/>
    <cellStyle name="Normal 2 5 3 2 5 7" xfId="16705" xr:uid="{00000000-0005-0000-0000-0000BF4B0000}"/>
    <cellStyle name="Normal 2 5 3 2 5 7 2" xfId="42258" xr:uid="{00000000-0005-0000-0000-0000C04B0000}"/>
    <cellStyle name="Normal 2 5 3 2 5 8" xfId="26677" xr:uid="{00000000-0005-0000-0000-0000C14B0000}"/>
    <cellStyle name="Normal 2 5 3 2 6" xfId="1152" xr:uid="{00000000-0005-0000-0000-0000C24B0000}"/>
    <cellStyle name="Normal 2 5 3 2 6 2" xfId="3581" xr:uid="{00000000-0005-0000-0000-0000C34B0000}"/>
    <cellStyle name="Normal 2 5 3 2 6 2 2" xfId="12717" xr:uid="{00000000-0005-0000-0000-0000C44B0000}"/>
    <cellStyle name="Normal 2 5 3 2 6 2 2 2" xfId="22936" xr:uid="{00000000-0005-0000-0000-0000C54B0000}"/>
    <cellStyle name="Normal 2 5 3 2 6 2 2 2 2" xfId="48489" xr:uid="{00000000-0005-0000-0000-0000C64B0000}"/>
    <cellStyle name="Normal 2 5 3 2 6 2 2 3" xfId="38272" xr:uid="{00000000-0005-0000-0000-0000C74B0000}"/>
    <cellStyle name="Normal 2 5 3 2 6 2 3" xfId="9138" xr:uid="{00000000-0005-0000-0000-0000C84B0000}"/>
    <cellStyle name="Normal 2 5 3 2 6 2 3 2" xfId="34695" xr:uid="{00000000-0005-0000-0000-0000C94B0000}"/>
    <cellStyle name="Normal 2 5 3 2 6 2 4" xfId="17929" xr:uid="{00000000-0005-0000-0000-0000CA4B0000}"/>
    <cellStyle name="Normal 2 5 3 2 6 2 4 2" xfId="43482" xr:uid="{00000000-0005-0000-0000-0000CB4B0000}"/>
    <cellStyle name="Normal 2 5 3 2 6 2 5" xfId="29419" xr:uid="{00000000-0005-0000-0000-0000CC4B0000}"/>
    <cellStyle name="Normal 2 5 3 2 6 3" xfId="5244" xr:uid="{00000000-0005-0000-0000-0000CD4B0000}"/>
    <cellStyle name="Normal 2 5 3 2 6 3 2" xfId="14081" xr:uid="{00000000-0005-0000-0000-0000CE4B0000}"/>
    <cellStyle name="Normal 2 5 3 2 6 3 2 2" xfId="24332" xr:uid="{00000000-0005-0000-0000-0000CF4B0000}"/>
    <cellStyle name="Normal 2 5 3 2 6 3 2 2 2" xfId="49885" xr:uid="{00000000-0005-0000-0000-0000D04B0000}"/>
    <cellStyle name="Normal 2 5 3 2 6 3 2 3" xfId="39636" xr:uid="{00000000-0005-0000-0000-0000D14B0000}"/>
    <cellStyle name="Normal 2 5 3 2 6 3 3" xfId="10502" xr:uid="{00000000-0005-0000-0000-0000D24B0000}"/>
    <cellStyle name="Normal 2 5 3 2 6 3 3 2" xfId="36059" xr:uid="{00000000-0005-0000-0000-0000D34B0000}"/>
    <cellStyle name="Normal 2 5 3 2 6 3 4" xfId="19325" xr:uid="{00000000-0005-0000-0000-0000D44B0000}"/>
    <cellStyle name="Normal 2 5 3 2 6 3 4 2" xfId="44878" xr:uid="{00000000-0005-0000-0000-0000D54B0000}"/>
    <cellStyle name="Normal 2 5 3 2 6 3 5" xfId="30815" xr:uid="{00000000-0005-0000-0000-0000D64B0000}"/>
    <cellStyle name="Normal 2 5 3 2 6 4" xfId="1751" xr:uid="{00000000-0005-0000-0000-0000D74B0000}"/>
    <cellStyle name="Normal 2 5 3 2 6 4 2" xfId="11122" xr:uid="{00000000-0005-0000-0000-0000D84B0000}"/>
    <cellStyle name="Normal 2 5 3 2 6 4 2 2" xfId="36677" xr:uid="{00000000-0005-0000-0000-0000D94B0000}"/>
    <cellStyle name="Normal 2 5 3 2 6 4 3" xfId="21126" xr:uid="{00000000-0005-0000-0000-0000DA4B0000}"/>
    <cellStyle name="Normal 2 5 3 2 6 4 3 2" xfId="46679" xr:uid="{00000000-0005-0000-0000-0000DB4B0000}"/>
    <cellStyle name="Normal 2 5 3 2 6 4 4" xfId="27609" xr:uid="{00000000-0005-0000-0000-0000DC4B0000}"/>
    <cellStyle name="Normal 2 5 3 2 6 5" xfId="6699" xr:uid="{00000000-0005-0000-0000-0000DD4B0000}"/>
    <cellStyle name="Normal 2 5 3 2 6 5 2" xfId="15526" xr:uid="{00000000-0005-0000-0000-0000DE4B0000}"/>
    <cellStyle name="Normal 2 5 3 2 6 5 2 2" xfId="41081" xr:uid="{00000000-0005-0000-0000-0000DF4B0000}"/>
    <cellStyle name="Normal 2 5 3 2 6 5 3" xfId="25777" xr:uid="{00000000-0005-0000-0000-0000E04B0000}"/>
    <cellStyle name="Normal 2 5 3 2 6 5 3 2" xfId="51330" xr:uid="{00000000-0005-0000-0000-0000E14B0000}"/>
    <cellStyle name="Normal 2 5 3 2 6 5 4" xfId="32260" xr:uid="{00000000-0005-0000-0000-0000E24B0000}"/>
    <cellStyle name="Normal 2 5 3 2 6 6" xfId="8145" xr:uid="{00000000-0005-0000-0000-0000E34B0000}"/>
    <cellStyle name="Normal 2 5 3 2 6 6 2" xfId="20535" xr:uid="{00000000-0005-0000-0000-0000E44B0000}"/>
    <cellStyle name="Normal 2 5 3 2 6 6 2 2" xfId="46088" xr:uid="{00000000-0005-0000-0000-0000E54B0000}"/>
    <cellStyle name="Normal 2 5 3 2 6 6 3" xfId="33702" xr:uid="{00000000-0005-0000-0000-0000E64B0000}"/>
    <cellStyle name="Normal 2 5 3 2 6 7" xfId="16119" xr:uid="{00000000-0005-0000-0000-0000E74B0000}"/>
    <cellStyle name="Normal 2 5 3 2 6 7 2" xfId="41672" xr:uid="{00000000-0005-0000-0000-0000E84B0000}"/>
    <cellStyle name="Normal 2 5 3 2 6 8" xfId="27018" xr:uid="{00000000-0005-0000-0000-0000E94B0000}"/>
    <cellStyle name="Normal 2 5 3 2 7" xfId="2649" xr:uid="{00000000-0005-0000-0000-0000EA4B0000}"/>
    <cellStyle name="Normal 2 5 3 2 7 2" xfId="11971" xr:uid="{00000000-0005-0000-0000-0000EB4B0000}"/>
    <cellStyle name="Normal 2 5 3 2 7 2 2" xfId="22010" xr:uid="{00000000-0005-0000-0000-0000EC4B0000}"/>
    <cellStyle name="Normal 2 5 3 2 7 2 2 2" xfId="47563" xr:uid="{00000000-0005-0000-0000-0000ED4B0000}"/>
    <cellStyle name="Normal 2 5 3 2 7 2 3" xfId="37526" xr:uid="{00000000-0005-0000-0000-0000EE4B0000}"/>
    <cellStyle name="Normal 2 5 3 2 7 3" xfId="8561" xr:uid="{00000000-0005-0000-0000-0000EF4B0000}"/>
    <cellStyle name="Normal 2 5 3 2 7 3 2" xfId="34118" xr:uid="{00000000-0005-0000-0000-0000F04B0000}"/>
    <cellStyle name="Normal 2 5 3 2 7 4" xfId="17003" xr:uid="{00000000-0005-0000-0000-0000F14B0000}"/>
    <cellStyle name="Normal 2 5 3 2 7 4 2" xfId="42556" xr:uid="{00000000-0005-0000-0000-0000F24B0000}"/>
    <cellStyle name="Normal 2 5 3 2 7 5" xfId="28493" xr:uid="{00000000-0005-0000-0000-0000F34B0000}"/>
    <cellStyle name="Normal 2 5 3 2 8" xfId="4200" xr:uid="{00000000-0005-0000-0000-0000F44B0000}"/>
    <cellStyle name="Normal 2 5 3 2 8 2" xfId="13038" xr:uid="{00000000-0005-0000-0000-0000F54B0000}"/>
    <cellStyle name="Normal 2 5 3 2 8 2 2" xfId="23289" xr:uid="{00000000-0005-0000-0000-0000F64B0000}"/>
    <cellStyle name="Normal 2 5 3 2 8 2 2 2" xfId="48842" xr:uid="{00000000-0005-0000-0000-0000F74B0000}"/>
    <cellStyle name="Normal 2 5 3 2 8 2 3" xfId="38593" xr:uid="{00000000-0005-0000-0000-0000F84B0000}"/>
    <cellStyle name="Normal 2 5 3 2 8 3" xfId="9459" xr:uid="{00000000-0005-0000-0000-0000F94B0000}"/>
    <cellStyle name="Normal 2 5 3 2 8 3 2" xfId="35016" xr:uid="{00000000-0005-0000-0000-0000FA4B0000}"/>
    <cellStyle name="Normal 2 5 3 2 8 4" xfId="18282" xr:uid="{00000000-0005-0000-0000-0000FB4B0000}"/>
    <cellStyle name="Normal 2 5 3 2 8 4 2" xfId="43835" xr:uid="{00000000-0005-0000-0000-0000FC4B0000}"/>
    <cellStyle name="Normal 2 5 3 2 8 5" xfId="29772" xr:uid="{00000000-0005-0000-0000-0000FD4B0000}"/>
    <cellStyle name="Normal 2 5 3 2 9" xfId="1472" xr:uid="{00000000-0005-0000-0000-0000FE4B0000}"/>
    <cellStyle name="Normal 2 5 3 2 9 2" xfId="10849" xr:uid="{00000000-0005-0000-0000-0000FF4B0000}"/>
    <cellStyle name="Normal 2 5 3 2 9 2 2" xfId="36404" xr:uid="{00000000-0005-0000-0000-0000004C0000}"/>
    <cellStyle name="Normal 2 5 3 2 9 3" xfId="20853" xr:uid="{00000000-0005-0000-0000-0000014C0000}"/>
    <cellStyle name="Normal 2 5 3 2 9 3 2" xfId="46406" xr:uid="{00000000-0005-0000-0000-0000024C0000}"/>
    <cellStyle name="Normal 2 5 3 2 9 4" xfId="27336" xr:uid="{00000000-0005-0000-0000-0000034C0000}"/>
    <cellStyle name="Normal 2 5 3 2_Degree data" xfId="3887" xr:uid="{00000000-0005-0000-0000-0000044C0000}"/>
    <cellStyle name="Normal 2 5 3 3" xfId="195" xr:uid="{00000000-0005-0000-0000-0000054C0000}"/>
    <cellStyle name="Normal 2 5 3 3 10" xfId="7143" xr:uid="{00000000-0005-0000-0000-0000064C0000}"/>
    <cellStyle name="Normal 2 5 3 3 10 2" xfId="19652" xr:uid="{00000000-0005-0000-0000-0000074C0000}"/>
    <cellStyle name="Normal 2 5 3 3 10 2 2" xfId="45205" xr:uid="{00000000-0005-0000-0000-0000084C0000}"/>
    <cellStyle name="Normal 2 5 3 3 10 3" xfId="32700" xr:uid="{00000000-0005-0000-0000-0000094C0000}"/>
    <cellStyle name="Normal 2 5 3 3 11" xfId="15889" xr:uid="{00000000-0005-0000-0000-00000A4C0000}"/>
    <cellStyle name="Normal 2 5 3 3 11 2" xfId="41442" xr:uid="{00000000-0005-0000-0000-00000B4C0000}"/>
    <cellStyle name="Normal 2 5 3 3 12" xfId="26135" xr:uid="{00000000-0005-0000-0000-00000C4C0000}"/>
    <cellStyle name="Normal 2 5 3 3 2" xfId="523" xr:uid="{00000000-0005-0000-0000-00000D4C0000}"/>
    <cellStyle name="Normal 2 5 3 3 2 10" xfId="26452" xr:uid="{00000000-0005-0000-0000-00000E4C0000}"/>
    <cellStyle name="Normal 2 5 3 3 2 2" xfId="752" xr:uid="{00000000-0005-0000-0000-00000F4C0000}"/>
    <cellStyle name="Normal 2 5 3 3 2 2 2" xfId="3238" xr:uid="{00000000-0005-0000-0000-0000104C0000}"/>
    <cellStyle name="Normal 2 5 3 3 2 2 2 2" xfId="12380" xr:uid="{00000000-0005-0000-0000-0000114C0000}"/>
    <cellStyle name="Normal 2 5 3 3 2 2 2 2 2" xfId="22599" xr:uid="{00000000-0005-0000-0000-0000124C0000}"/>
    <cellStyle name="Normal 2 5 3 3 2 2 2 2 2 2" xfId="48152" xr:uid="{00000000-0005-0000-0000-0000134C0000}"/>
    <cellStyle name="Normal 2 5 3 3 2 2 2 2 3" xfId="37935" xr:uid="{00000000-0005-0000-0000-0000144C0000}"/>
    <cellStyle name="Normal 2 5 3 3 2 2 2 3" xfId="8802" xr:uid="{00000000-0005-0000-0000-0000154C0000}"/>
    <cellStyle name="Normal 2 5 3 3 2 2 2 3 2" xfId="34359" xr:uid="{00000000-0005-0000-0000-0000164C0000}"/>
    <cellStyle name="Normal 2 5 3 3 2 2 2 4" xfId="17592" xr:uid="{00000000-0005-0000-0000-0000174C0000}"/>
    <cellStyle name="Normal 2 5 3 3 2 2 2 4 2" xfId="43145" xr:uid="{00000000-0005-0000-0000-0000184C0000}"/>
    <cellStyle name="Normal 2 5 3 3 2 2 2 5" xfId="29082" xr:uid="{00000000-0005-0000-0000-0000194C0000}"/>
    <cellStyle name="Normal 2 5 3 3 2 2 3" xfId="4567" xr:uid="{00000000-0005-0000-0000-00001A4C0000}"/>
    <cellStyle name="Normal 2 5 3 3 2 2 3 2" xfId="13405" xr:uid="{00000000-0005-0000-0000-00001B4C0000}"/>
    <cellStyle name="Normal 2 5 3 3 2 2 3 2 2" xfId="23656" xr:uid="{00000000-0005-0000-0000-00001C4C0000}"/>
    <cellStyle name="Normal 2 5 3 3 2 2 3 2 2 2" xfId="49209" xr:uid="{00000000-0005-0000-0000-00001D4C0000}"/>
    <cellStyle name="Normal 2 5 3 3 2 2 3 2 3" xfId="38960" xr:uid="{00000000-0005-0000-0000-00001E4C0000}"/>
    <cellStyle name="Normal 2 5 3 3 2 2 3 3" xfId="9826" xr:uid="{00000000-0005-0000-0000-00001F4C0000}"/>
    <cellStyle name="Normal 2 5 3 3 2 2 3 3 2" xfId="35383" xr:uid="{00000000-0005-0000-0000-0000204C0000}"/>
    <cellStyle name="Normal 2 5 3 3 2 2 3 4" xfId="18649" xr:uid="{00000000-0005-0000-0000-0000214C0000}"/>
    <cellStyle name="Normal 2 5 3 3 2 2 3 4 2" xfId="44202" xr:uid="{00000000-0005-0000-0000-0000224C0000}"/>
    <cellStyle name="Normal 2 5 3 3 2 2 3 5" xfId="30139" xr:uid="{00000000-0005-0000-0000-0000234C0000}"/>
    <cellStyle name="Normal 2 5 3 3 2 2 4" xfId="2347" xr:uid="{00000000-0005-0000-0000-0000244C0000}"/>
    <cellStyle name="Normal 2 5 3 3 2 2 4 2" xfId="11712" xr:uid="{00000000-0005-0000-0000-0000254C0000}"/>
    <cellStyle name="Normal 2 5 3 3 2 2 4 2 2" xfId="37267" xr:uid="{00000000-0005-0000-0000-0000264C0000}"/>
    <cellStyle name="Normal 2 5 3 3 2 2 4 3" xfId="21716" xr:uid="{00000000-0005-0000-0000-0000274C0000}"/>
    <cellStyle name="Normal 2 5 3 3 2 2 4 3 2" xfId="47269" xr:uid="{00000000-0005-0000-0000-0000284C0000}"/>
    <cellStyle name="Normal 2 5 3 3 2 2 4 4" xfId="28199" xr:uid="{00000000-0005-0000-0000-0000294C0000}"/>
    <cellStyle name="Normal 2 5 3 3 2 2 5" xfId="6023" xr:uid="{00000000-0005-0000-0000-00002A4C0000}"/>
    <cellStyle name="Normal 2 5 3 3 2 2 5 2" xfId="14850" xr:uid="{00000000-0005-0000-0000-00002B4C0000}"/>
    <cellStyle name="Normal 2 5 3 3 2 2 5 2 2" xfId="40405" xr:uid="{00000000-0005-0000-0000-00002C4C0000}"/>
    <cellStyle name="Normal 2 5 3 3 2 2 5 3" xfId="25101" xr:uid="{00000000-0005-0000-0000-00002D4C0000}"/>
    <cellStyle name="Normal 2 5 3 3 2 2 5 3 2" xfId="50654" xr:uid="{00000000-0005-0000-0000-00002E4C0000}"/>
    <cellStyle name="Normal 2 5 3 3 2 2 5 4" xfId="31584" xr:uid="{00000000-0005-0000-0000-00002F4C0000}"/>
    <cellStyle name="Normal 2 5 3 3 2 2 6" xfId="7467" xr:uid="{00000000-0005-0000-0000-0000304C0000}"/>
    <cellStyle name="Normal 2 5 3 3 2 2 6 2" xfId="20198" xr:uid="{00000000-0005-0000-0000-0000314C0000}"/>
    <cellStyle name="Normal 2 5 3 3 2 2 6 2 2" xfId="45751" xr:uid="{00000000-0005-0000-0000-0000324C0000}"/>
    <cellStyle name="Normal 2 5 3 3 2 2 6 3" xfId="33024" xr:uid="{00000000-0005-0000-0000-0000334C0000}"/>
    <cellStyle name="Normal 2 5 3 3 2 2 7" xfId="16709" xr:uid="{00000000-0005-0000-0000-0000344C0000}"/>
    <cellStyle name="Normal 2 5 3 3 2 2 7 2" xfId="42262" xr:uid="{00000000-0005-0000-0000-0000354C0000}"/>
    <cellStyle name="Normal 2 5 3 3 2 2 8" xfId="26681" xr:uid="{00000000-0005-0000-0000-0000364C0000}"/>
    <cellStyle name="Normal 2 5 3 3 2 3" xfId="1295" xr:uid="{00000000-0005-0000-0000-0000374C0000}"/>
    <cellStyle name="Normal 2 5 3 3 2 3 2" xfId="3724" xr:uid="{00000000-0005-0000-0000-0000384C0000}"/>
    <cellStyle name="Normal 2 5 3 3 2 3 2 2" xfId="12860" xr:uid="{00000000-0005-0000-0000-0000394C0000}"/>
    <cellStyle name="Normal 2 5 3 3 2 3 2 2 2" xfId="23079" xr:uid="{00000000-0005-0000-0000-00003A4C0000}"/>
    <cellStyle name="Normal 2 5 3 3 2 3 2 2 2 2" xfId="48632" xr:uid="{00000000-0005-0000-0000-00003B4C0000}"/>
    <cellStyle name="Normal 2 5 3 3 2 3 2 2 3" xfId="38415" xr:uid="{00000000-0005-0000-0000-00003C4C0000}"/>
    <cellStyle name="Normal 2 5 3 3 2 3 2 3" xfId="9281" xr:uid="{00000000-0005-0000-0000-00003D4C0000}"/>
    <cellStyle name="Normal 2 5 3 3 2 3 2 3 2" xfId="34838" xr:uid="{00000000-0005-0000-0000-00003E4C0000}"/>
    <cellStyle name="Normal 2 5 3 3 2 3 2 4" xfId="18072" xr:uid="{00000000-0005-0000-0000-00003F4C0000}"/>
    <cellStyle name="Normal 2 5 3 3 2 3 2 4 2" xfId="43625" xr:uid="{00000000-0005-0000-0000-0000404C0000}"/>
    <cellStyle name="Normal 2 5 3 3 2 3 2 5" xfId="29562" xr:uid="{00000000-0005-0000-0000-0000414C0000}"/>
    <cellStyle name="Normal 2 5 3 3 2 3 3" xfId="4916" xr:uid="{00000000-0005-0000-0000-0000424C0000}"/>
    <cellStyle name="Normal 2 5 3 3 2 3 3 2" xfId="13753" xr:uid="{00000000-0005-0000-0000-0000434C0000}"/>
    <cellStyle name="Normal 2 5 3 3 2 3 3 2 2" xfId="24004" xr:uid="{00000000-0005-0000-0000-0000444C0000}"/>
    <cellStyle name="Normal 2 5 3 3 2 3 3 2 2 2" xfId="49557" xr:uid="{00000000-0005-0000-0000-0000454C0000}"/>
    <cellStyle name="Normal 2 5 3 3 2 3 3 2 3" xfId="39308" xr:uid="{00000000-0005-0000-0000-0000464C0000}"/>
    <cellStyle name="Normal 2 5 3 3 2 3 3 3" xfId="10174" xr:uid="{00000000-0005-0000-0000-0000474C0000}"/>
    <cellStyle name="Normal 2 5 3 3 2 3 3 3 2" xfId="35731" xr:uid="{00000000-0005-0000-0000-0000484C0000}"/>
    <cellStyle name="Normal 2 5 3 3 2 3 3 4" xfId="18997" xr:uid="{00000000-0005-0000-0000-0000494C0000}"/>
    <cellStyle name="Normal 2 5 3 3 2 3 3 4 2" xfId="44550" xr:uid="{00000000-0005-0000-0000-00004A4C0000}"/>
    <cellStyle name="Normal 2 5 3 3 2 3 3 5" xfId="30487" xr:uid="{00000000-0005-0000-0000-00004B4C0000}"/>
    <cellStyle name="Normal 2 5 3 3 2 3 4" xfId="2118" xr:uid="{00000000-0005-0000-0000-00004C4C0000}"/>
    <cellStyle name="Normal 2 5 3 3 2 3 4 2" xfId="11483" xr:uid="{00000000-0005-0000-0000-00004D4C0000}"/>
    <cellStyle name="Normal 2 5 3 3 2 3 4 2 2" xfId="37038" xr:uid="{00000000-0005-0000-0000-00004E4C0000}"/>
    <cellStyle name="Normal 2 5 3 3 2 3 4 3" xfId="21487" xr:uid="{00000000-0005-0000-0000-00004F4C0000}"/>
    <cellStyle name="Normal 2 5 3 3 2 3 4 3 2" xfId="47040" xr:uid="{00000000-0005-0000-0000-0000504C0000}"/>
    <cellStyle name="Normal 2 5 3 3 2 3 4 4" xfId="27970" xr:uid="{00000000-0005-0000-0000-0000514C0000}"/>
    <cellStyle name="Normal 2 5 3 3 2 3 5" xfId="6371" xr:uid="{00000000-0005-0000-0000-0000524C0000}"/>
    <cellStyle name="Normal 2 5 3 3 2 3 5 2" xfId="15198" xr:uid="{00000000-0005-0000-0000-0000534C0000}"/>
    <cellStyle name="Normal 2 5 3 3 2 3 5 2 2" xfId="40753" xr:uid="{00000000-0005-0000-0000-0000544C0000}"/>
    <cellStyle name="Normal 2 5 3 3 2 3 5 3" xfId="25449" xr:uid="{00000000-0005-0000-0000-0000554C0000}"/>
    <cellStyle name="Normal 2 5 3 3 2 3 5 3 2" xfId="51002" xr:uid="{00000000-0005-0000-0000-0000564C0000}"/>
    <cellStyle name="Normal 2 5 3 3 2 3 5 4" xfId="31932" xr:uid="{00000000-0005-0000-0000-0000574C0000}"/>
    <cellStyle name="Normal 2 5 3 3 2 3 6" xfId="7817" xr:uid="{00000000-0005-0000-0000-0000584C0000}"/>
    <cellStyle name="Normal 2 5 3 3 2 3 6 2" xfId="20678" xr:uid="{00000000-0005-0000-0000-0000594C0000}"/>
    <cellStyle name="Normal 2 5 3 3 2 3 6 2 2" xfId="46231" xr:uid="{00000000-0005-0000-0000-00005A4C0000}"/>
    <cellStyle name="Normal 2 5 3 3 2 3 6 3" xfId="33374" xr:uid="{00000000-0005-0000-0000-00005B4C0000}"/>
    <cellStyle name="Normal 2 5 3 3 2 3 7" xfId="16480" xr:uid="{00000000-0005-0000-0000-00005C4C0000}"/>
    <cellStyle name="Normal 2 5 3 3 2 3 7 2" xfId="42033" xr:uid="{00000000-0005-0000-0000-00005D4C0000}"/>
    <cellStyle name="Normal 2 5 3 3 2 3 8" xfId="27161" xr:uid="{00000000-0005-0000-0000-00005E4C0000}"/>
    <cellStyle name="Normal 2 5 3 3 2 4" xfId="3009" xr:uid="{00000000-0005-0000-0000-00005F4C0000}"/>
    <cellStyle name="Normal 2 5 3 3 2 4 2" xfId="5387" xr:uid="{00000000-0005-0000-0000-0000604C0000}"/>
    <cellStyle name="Normal 2 5 3 3 2 4 2 2" xfId="14224" xr:uid="{00000000-0005-0000-0000-0000614C0000}"/>
    <cellStyle name="Normal 2 5 3 3 2 4 2 2 2" xfId="24475" xr:uid="{00000000-0005-0000-0000-0000624C0000}"/>
    <cellStyle name="Normal 2 5 3 3 2 4 2 2 2 2" xfId="50028" xr:uid="{00000000-0005-0000-0000-0000634C0000}"/>
    <cellStyle name="Normal 2 5 3 3 2 4 2 2 3" xfId="39779" xr:uid="{00000000-0005-0000-0000-0000644C0000}"/>
    <cellStyle name="Normal 2 5 3 3 2 4 2 3" xfId="10645" xr:uid="{00000000-0005-0000-0000-0000654C0000}"/>
    <cellStyle name="Normal 2 5 3 3 2 4 2 3 2" xfId="36202" xr:uid="{00000000-0005-0000-0000-0000664C0000}"/>
    <cellStyle name="Normal 2 5 3 3 2 4 2 4" xfId="19468" xr:uid="{00000000-0005-0000-0000-0000674C0000}"/>
    <cellStyle name="Normal 2 5 3 3 2 4 2 4 2" xfId="45021" xr:uid="{00000000-0005-0000-0000-0000684C0000}"/>
    <cellStyle name="Normal 2 5 3 3 2 4 2 5" xfId="30958" xr:uid="{00000000-0005-0000-0000-0000694C0000}"/>
    <cellStyle name="Normal 2 5 3 3 2 4 3" xfId="6842" xr:uid="{00000000-0005-0000-0000-00006A4C0000}"/>
    <cellStyle name="Normal 2 5 3 3 2 4 3 2" xfId="15669" xr:uid="{00000000-0005-0000-0000-00006B4C0000}"/>
    <cellStyle name="Normal 2 5 3 3 2 4 3 2 2" xfId="41224" xr:uid="{00000000-0005-0000-0000-00006C4C0000}"/>
    <cellStyle name="Normal 2 5 3 3 2 4 3 3" xfId="25920" xr:uid="{00000000-0005-0000-0000-00006D4C0000}"/>
    <cellStyle name="Normal 2 5 3 3 2 4 3 3 2" xfId="51473" xr:uid="{00000000-0005-0000-0000-00006E4C0000}"/>
    <cellStyle name="Normal 2 5 3 3 2 4 3 4" xfId="32403" xr:uid="{00000000-0005-0000-0000-00006F4C0000}"/>
    <cellStyle name="Normal 2 5 3 3 2 4 4" xfId="8288" xr:uid="{00000000-0005-0000-0000-0000704C0000}"/>
    <cellStyle name="Normal 2 5 3 3 2 4 4 2" xfId="22370" xr:uid="{00000000-0005-0000-0000-0000714C0000}"/>
    <cellStyle name="Normal 2 5 3 3 2 4 4 2 2" xfId="47923" xr:uid="{00000000-0005-0000-0000-0000724C0000}"/>
    <cellStyle name="Normal 2 5 3 3 2 4 4 3" xfId="33845" xr:uid="{00000000-0005-0000-0000-0000734C0000}"/>
    <cellStyle name="Normal 2 5 3 3 2 4 5" xfId="17363" xr:uid="{00000000-0005-0000-0000-0000744C0000}"/>
    <cellStyle name="Normal 2 5 3 3 2 4 5 2" xfId="42916" xr:uid="{00000000-0005-0000-0000-0000754C0000}"/>
    <cellStyle name="Normal 2 5 3 3 2 4 6" xfId="28853" xr:uid="{00000000-0005-0000-0000-0000764C0000}"/>
    <cellStyle name="Normal 2 5 3 3 2 5" xfId="4343" xr:uid="{00000000-0005-0000-0000-0000774C0000}"/>
    <cellStyle name="Normal 2 5 3 3 2 5 2" xfId="13181" xr:uid="{00000000-0005-0000-0000-0000784C0000}"/>
    <cellStyle name="Normal 2 5 3 3 2 5 2 2" xfId="23432" xr:uid="{00000000-0005-0000-0000-0000794C0000}"/>
    <cellStyle name="Normal 2 5 3 3 2 5 2 2 2" xfId="48985" xr:uid="{00000000-0005-0000-0000-00007A4C0000}"/>
    <cellStyle name="Normal 2 5 3 3 2 5 2 3" xfId="38736" xr:uid="{00000000-0005-0000-0000-00007B4C0000}"/>
    <cellStyle name="Normal 2 5 3 3 2 5 3" xfId="9602" xr:uid="{00000000-0005-0000-0000-00007C4C0000}"/>
    <cellStyle name="Normal 2 5 3 3 2 5 3 2" xfId="35159" xr:uid="{00000000-0005-0000-0000-00007D4C0000}"/>
    <cellStyle name="Normal 2 5 3 3 2 5 4" xfId="18425" xr:uid="{00000000-0005-0000-0000-00007E4C0000}"/>
    <cellStyle name="Normal 2 5 3 3 2 5 4 2" xfId="43978" xr:uid="{00000000-0005-0000-0000-00007F4C0000}"/>
    <cellStyle name="Normal 2 5 3 3 2 5 5" xfId="29915" xr:uid="{00000000-0005-0000-0000-0000804C0000}"/>
    <cellStyle name="Normal 2 5 3 3 2 6" xfId="1615" xr:uid="{00000000-0005-0000-0000-0000814C0000}"/>
    <cellStyle name="Normal 2 5 3 3 2 6 2" xfId="10992" xr:uid="{00000000-0005-0000-0000-0000824C0000}"/>
    <cellStyle name="Normal 2 5 3 3 2 6 2 2" xfId="36547" xr:uid="{00000000-0005-0000-0000-0000834C0000}"/>
    <cellStyle name="Normal 2 5 3 3 2 6 3" xfId="20996" xr:uid="{00000000-0005-0000-0000-0000844C0000}"/>
    <cellStyle name="Normal 2 5 3 3 2 6 3 2" xfId="46549" xr:uid="{00000000-0005-0000-0000-0000854C0000}"/>
    <cellStyle name="Normal 2 5 3 3 2 6 4" xfId="27479" xr:uid="{00000000-0005-0000-0000-0000864C0000}"/>
    <cellStyle name="Normal 2 5 3 3 2 7" xfId="5799" xr:uid="{00000000-0005-0000-0000-0000874C0000}"/>
    <cellStyle name="Normal 2 5 3 3 2 7 2" xfId="14626" xr:uid="{00000000-0005-0000-0000-0000884C0000}"/>
    <cellStyle name="Normal 2 5 3 3 2 7 2 2" xfId="40181" xr:uid="{00000000-0005-0000-0000-0000894C0000}"/>
    <cellStyle name="Normal 2 5 3 3 2 7 3" xfId="24877" xr:uid="{00000000-0005-0000-0000-00008A4C0000}"/>
    <cellStyle name="Normal 2 5 3 3 2 7 3 2" xfId="50430" xr:uid="{00000000-0005-0000-0000-00008B4C0000}"/>
    <cellStyle name="Normal 2 5 3 3 2 7 4" xfId="31360" xr:uid="{00000000-0005-0000-0000-00008C4C0000}"/>
    <cellStyle name="Normal 2 5 3 3 2 8" xfId="7243" xr:uid="{00000000-0005-0000-0000-00008D4C0000}"/>
    <cellStyle name="Normal 2 5 3 3 2 8 2" xfId="19969" xr:uid="{00000000-0005-0000-0000-00008E4C0000}"/>
    <cellStyle name="Normal 2 5 3 3 2 8 2 2" xfId="45522" xr:uid="{00000000-0005-0000-0000-00008F4C0000}"/>
    <cellStyle name="Normal 2 5 3 3 2 8 3" xfId="32800" xr:uid="{00000000-0005-0000-0000-0000904C0000}"/>
    <cellStyle name="Normal 2 5 3 3 2 9" xfId="15989" xr:uid="{00000000-0005-0000-0000-0000914C0000}"/>
    <cellStyle name="Normal 2 5 3 3 2 9 2" xfId="41542" xr:uid="{00000000-0005-0000-0000-0000924C0000}"/>
    <cellStyle name="Normal 2 5 3 3 2_Degree data" xfId="3893" xr:uid="{00000000-0005-0000-0000-0000934C0000}"/>
    <cellStyle name="Normal 2 5 3 3 3" xfId="423" xr:uid="{00000000-0005-0000-0000-0000944C0000}"/>
    <cellStyle name="Normal 2 5 3 3 3 2" xfId="2909" xr:uid="{00000000-0005-0000-0000-0000954C0000}"/>
    <cellStyle name="Normal 2 5 3 3 3 2 2" xfId="12197" xr:uid="{00000000-0005-0000-0000-0000964C0000}"/>
    <cellStyle name="Normal 2 5 3 3 3 2 2 2" xfId="22270" xr:uid="{00000000-0005-0000-0000-0000974C0000}"/>
    <cellStyle name="Normal 2 5 3 3 3 2 2 2 2" xfId="47823" xr:uid="{00000000-0005-0000-0000-0000984C0000}"/>
    <cellStyle name="Normal 2 5 3 3 3 2 2 3" xfId="37752" xr:uid="{00000000-0005-0000-0000-0000994C0000}"/>
    <cellStyle name="Normal 2 5 3 3 3 2 3" xfId="8447" xr:uid="{00000000-0005-0000-0000-00009A4C0000}"/>
    <cellStyle name="Normal 2 5 3 3 3 2 3 2" xfId="34004" xr:uid="{00000000-0005-0000-0000-00009B4C0000}"/>
    <cellStyle name="Normal 2 5 3 3 3 2 4" xfId="17263" xr:uid="{00000000-0005-0000-0000-00009C4C0000}"/>
    <cellStyle name="Normal 2 5 3 3 3 2 4 2" xfId="42816" xr:uid="{00000000-0005-0000-0000-00009D4C0000}"/>
    <cellStyle name="Normal 2 5 3 3 3 2 5" xfId="28753" xr:uid="{00000000-0005-0000-0000-00009E4C0000}"/>
    <cellStyle name="Normal 2 5 3 3 3 3" xfId="4566" xr:uid="{00000000-0005-0000-0000-00009F4C0000}"/>
    <cellStyle name="Normal 2 5 3 3 3 3 2" xfId="13404" xr:uid="{00000000-0005-0000-0000-0000A04C0000}"/>
    <cellStyle name="Normal 2 5 3 3 3 3 2 2" xfId="23655" xr:uid="{00000000-0005-0000-0000-0000A14C0000}"/>
    <cellStyle name="Normal 2 5 3 3 3 3 2 2 2" xfId="49208" xr:uid="{00000000-0005-0000-0000-0000A24C0000}"/>
    <cellStyle name="Normal 2 5 3 3 3 3 2 3" xfId="38959" xr:uid="{00000000-0005-0000-0000-0000A34C0000}"/>
    <cellStyle name="Normal 2 5 3 3 3 3 3" xfId="9825" xr:uid="{00000000-0005-0000-0000-0000A44C0000}"/>
    <cellStyle name="Normal 2 5 3 3 3 3 3 2" xfId="35382" xr:uid="{00000000-0005-0000-0000-0000A54C0000}"/>
    <cellStyle name="Normal 2 5 3 3 3 3 4" xfId="18648" xr:uid="{00000000-0005-0000-0000-0000A64C0000}"/>
    <cellStyle name="Normal 2 5 3 3 3 3 4 2" xfId="44201" xr:uid="{00000000-0005-0000-0000-0000A74C0000}"/>
    <cellStyle name="Normal 2 5 3 3 3 3 5" xfId="30138" xr:uid="{00000000-0005-0000-0000-0000A84C0000}"/>
    <cellStyle name="Normal 2 5 3 3 3 4" xfId="2018" xr:uid="{00000000-0005-0000-0000-0000A94C0000}"/>
    <cellStyle name="Normal 2 5 3 3 3 4 2" xfId="11383" xr:uid="{00000000-0005-0000-0000-0000AA4C0000}"/>
    <cellStyle name="Normal 2 5 3 3 3 4 2 2" xfId="36938" xr:uid="{00000000-0005-0000-0000-0000AB4C0000}"/>
    <cellStyle name="Normal 2 5 3 3 3 4 3" xfId="21387" xr:uid="{00000000-0005-0000-0000-0000AC4C0000}"/>
    <cellStyle name="Normal 2 5 3 3 3 4 3 2" xfId="46940" xr:uid="{00000000-0005-0000-0000-0000AD4C0000}"/>
    <cellStyle name="Normal 2 5 3 3 3 4 4" xfId="27870" xr:uid="{00000000-0005-0000-0000-0000AE4C0000}"/>
    <cellStyle name="Normal 2 5 3 3 3 5" xfId="6022" xr:uid="{00000000-0005-0000-0000-0000AF4C0000}"/>
    <cellStyle name="Normal 2 5 3 3 3 5 2" xfId="14849" xr:uid="{00000000-0005-0000-0000-0000B04C0000}"/>
    <cellStyle name="Normal 2 5 3 3 3 5 2 2" xfId="40404" xr:uid="{00000000-0005-0000-0000-0000B14C0000}"/>
    <cellStyle name="Normal 2 5 3 3 3 5 3" xfId="25100" xr:uid="{00000000-0005-0000-0000-0000B24C0000}"/>
    <cellStyle name="Normal 2 5 3 3 3 5 3 2" xfId="50653" xr:uid="{00000000-0005-0000-0000-0000B34C0000}"/>
    <cellStyle name="Normal 2 5 3 3 3 5 4" xfId="31583" xr:uid="{00000000-0005-0000-0000-0000B44C0000}"/>
    <cellStyle name="Normal 2 5 3 3 3 6" xfId="7466" xr:uid="{00000000-0005-0000-0000-0000B54C0000}"/>
    <cellStyle name="Normal 2 5 3 3 3 6 2" xfId="19869" xr:uid="{00000000-0005-0000-0000-0000B64C0000}"/>
    <cellStyle name="Normal 2 5 3 3 3 6 2 2" xfId="45422" xr:uid="{00000000-0005-0000-0000-0000B74C0000}"/>
    <cellStyle name="Normal 2 5 3 3 3 6 3" xfId="33023" xr:uid="{00000000-0005-0000-0000-0000B84C0000}"/>
    <cellStyle name="Normal 2 5 3 3 3 7" xfId="16380" xr:uid="{00000000-0005-0000-0000-0000B94C0000}"/>
    <cellStyle name="Normal 2 5 3 3 3 7 2" xfId="41933" xr:uid="{00000000-0005-0000-0000-0000BA4C0000}"/>
    <cellStyle name="Normal 2 5 3 3 3 8" xfId="26352" xr:uid="{00000000-0005-0000-0000-0000BB4C0000}"/>
    <cellStyle name="Normal 2 5 3 3 4" xfId="751" xr:uid="{00000000-0005-0000-0000-0000BC4C0000}"/>
    <cellStyle name="Normal 2 5 3 3 4 2" xfId="3237" xr:uid="{00000000-0005-0000-0000-0000BD4C0000}"/>
    <cellStyle name="Normal 2 5 3 3 4 2 2" xfId="12379" xr:uid="{00000000-0005-0000-0000-0000BE4C0000}"/>
    <cellStyle name="Normal 2 5 3 3 4 2 2 2" xfId="22598" xr:uid="{00000000-0005-0000-0000-0000BF4C0000}"/>
    <cellStyle name="Normal 2 5 3 3 4 2 2 2 2" xfId="48151" xr:uid="{00000000-0005-0000-0000-0000C04C0000}"/>
    <cellStyle name="Normal 2 5 3 3 4 2 2 3" xfId="37934" xr:uid="{00000000-0005-0000-0000-0000C14C0000}"/>
    <cellStyle name="Normal 2 5 3 3 4 2 3" xfId="8801" xr:uid="{00000000-0005-0000-0000-0000C24C0000}"/>
    <cellStyle name="Normal 2 5 3 3 4 2 3 2" xfId="34358" xr:uid="{00000000-0005-0000-0000-0000C34C0000}"/>
    <cellStyle name="Normal 2 5 3 3 4 2 4" xfId="17591" xr:uid="{00000000-0005-0000-0000-0000C44C0000}"/>
    <cellStyle name="Normal 2 5 3 3 4 2 4 2" xfId="43144" xr:uid="{00000000-0005-0000-0000-0000C54C0000}"/>
    <cellStyle name="Normal 2 5 3 3 4 2 5" xfId="29081" xr:uid="{00000000-0005-0000-0000-0000C64C0000}"/>
    <cellStyle name="Normal 2 5 3 3 4 3" xfId="4915" xr:uid="{00000000-0005-0000-0000-0000C74C0000}"/>
    <cellStyle name="Normal 2 5 3 3 4 3 2" xfId="13752" xr:uid="{00000000-0005-0000-0000-0000C84C0000}"/>
    <cellStyle name="Normal 2 5 3 3 4 3 2 2" xfId="24003" xr:uid="{00000000-0005-0000-0000-0000C94C0000}"/>
    <cellStyle name="Normal 2 5 3 3 4 3 2 2 2" xfId="49556" xr:uid="{00000000-0005-0000-0000-0000CA4C0000}"/>
    <cellStyle name="Normal 2 5 3 3 4 3 2 3" xfId="39307" xr:uid="{00000000-0005-0000-0000-0000CB4C0000}"/>
    <cellStyle name="Normal 2 5 3 3 4 3 3" xfId="10173" xr:uid="{00000000-0005-0000-0000-0000CC4C0000}"/>
    <cellStyle name="Normal 2 5 3 3 4 3 3 2" xfId="35730" xr:uid="{00000000-0005-0000-0000-0000CD4C0000}"/>
    <cellStyle name="Normal 2 5 3 3 4 3 4" xfId="18996" xr:uid="{00000000-0005-0000-0000-0000CE4C0000}"/>
    <cellStyle name="Normal 2 5 3 3 4 3 4 2" xfId="44549" xr:uid="{00000000-0005-0000-0000-0000CF4C0000}"/>
    <cellStyle name="Normal 2 5 3 3 4 3 5" xfId="30486" xr:uid="{00000000-0005-0000-0000-0000D04C0000}"/>
    <cellStyle name="Normal 2 5 3 3 4 4" xfId="2346" xr:uid="{00000000-0005-0000-0000-0000D14C0000}"/>
    <cellStyle name="Normal 2 5 3 3 4 4 2" xfId="11711" xr:uid="{00000000-0005-0000-0000-0000D24C0000}"/>
    <cellStyle name="Normal 2 5 3 3 4 4 2 2" xfId="37266" xr:uid="{00000000-0005-0000-0000-0000D34C0000}"/>
    <cellStyle name="Normal 2 5 3 3 4 4 3" xfId="21715" xr:uid="{00000000-0005-0000-0000-0000D44C0000}"/>
    <cellStyle name="Normal 2 5 3 3 4 4 3 2" xfId="47268" xr:uid="{00000000-0005-0000-0000-0000D54C0000}"/>
    <cellStyle name="Normal 2 5 3 3 4 4 4" xfId="28198" xr:uid="{00000000-0005-0000-0000-0000D64C0000}"/>
    <cellStyle name="Normal 2 5 3 3 4 5" xfId="6370" xr:uid="{00000000-0005-0000-0000-0000D74C0000}"/>
    <cellStyle name="Normal 2 5 3 3 4 5 2" xfId="15197" xr:uid="{00000000-0005-0000-0000-0000D84C0000}"/>
    <cellStyle name="Normal 2 5 3 3 4 5 2 2" xfId="40752" xr:uid="{00000000-0005-0000-0000-0000D94C0000}"/>
    <cellStyle name="Normal 2 5 3 3 4 5 3" xfId="25448" xr:uid="{00000000-0005-0000-0000-0000DA4C0000}"/>
    <cellStyle name="Normal 2 5 3 3 4 5 3 2" xfId="51001" xr:uid="{00000000-0005-0000-0000-0000DB4C0000}"/>
    <cellStyle name="Normal 2 5 3 3 4 5 4" xfId="31931" xr:uid="{00000000-0005-0000-0000-0000DC4C0000}"/>
    <cellStyle name="Normal 2 5 3 3 4 6" xfId="7816" xr:uid="{00000000-0005-0000-0000-0000DD4C0000}"/>
    <cellStyle name="Normal 2 5 3 3 4 6 2" xfId="20197" xr:uid="{00000000-0005-0000-0000-0000DE4C0000}"/>
    <cellStyle name="Normal 2 5 3 3 4 6 2 2" xfId="45750" xr:uid="{00000000-0005-0000-0000-0000DF4C0000}"/>
    <cellStyle name="Normal 2 5 3 3 4 6 3" xfId="33373" xr:uid="{00000000-0005-0000-0000-0000E04C0000}"/>
    <cellStyle name="Normal 2 5 3 3 4 7" xfId="16708" xr:uid="{00000000-0005-0000-0000-0000E14C0000}"/>
    <cellStyle name="Normal 2 5 3 3 4 7 2" xfId="42261" xr:uid="{00000000-0005-0000-0000-0000E24C0000}"/>
    <cellStyle name="Normal 2 5 3 3 4 8" xfId="26680" xr:uid="{00000000-0005-0000-0000-0000E34C0000}"/>
    <cellStyle name="Normal 2 5 3 3 5" xfId="1195" xr:uid="{00000000-0005-0000-0000-0000E44C0000}"/>
    <cellStyle name="Normal 2 5 3 3 5 2" xfId="3624" xr:uid="{00000000-0005-0000-0000-0000E54C0000}"/>
    <cellStyle name="Normal 2 5 3 3 5 2 2" xfId="12760" xr:uid="{00000000-0005-0000-0000-0000E64C0000}"/>
    <cellStyle name="Normal 2 5 3 3 5 2 2 2" xfId="22979" xr:uid="{00000000-0005-0000-0000-0000E74C0000}"/>
    <cellStyle name="Normal 2 5 3 3 5 2 2 2 2" xfId="48532" xr:uid="{00000000-0005-0000-0000-0000E84C0000}"/>
    <cellStyle name="Normal 2 5 3 3 5 2 2 3" xfId="38315" xr:uid="{00000000-0005-0000-0000-0000E94C0000}"/>
    <cellStyle name="Normal 2 5 3 3 5 2 3" xfId="9181" xr:uid="{00000000-0005-0000-0000-0000EA4C0000}"/>
    <cellStyle name="Normal 2 5 3 3 5 2 3 2" xfId="34738" xr:uid="{00000000-0005-0000-0000-0000EB4C0000}"/>
    <cellStyle name="Normal 2 5 3 3 5 2 4" xfId="17972" xr:uid="{00000000-0005-0000-0000-0000EC4C0000}"/>
    <cellStyle name="Normal 2 5 3 3 5 2 4 2" xfId="43525" xr:uid="{00000000-0005-0000-0000-0000ED4C0000}"/>
    <cellStyle name="Normal 2 5 3 3 5 2 5" xfId="29462" xr:uid="{00000000-0005-0000-0000-0000EE4C0000}"/>
    <cellStyle name="Normal 2 5 3 3 5 3" xfId="5287" xr:uid="{00000000-0005-0000-0000-0000EF4C0000}"/>
    <cellStyle name="Normal 2 5 3 3 5 3 2" xfId="14124" xr:uid="{00000000-0005-0000-0000-0000F04C0000}"/>
    <cellStyle name="Normal 2 5 3 3 5 3 2 2" xfId="24375" xr:uid="{00000000-0005-0000-0000-0000F14C0000}"/>
    <cellStyle name="Normal 2 5 3 3 5 3 2 2 2" xfId="49928" xr:uid="{00000000-0005-0000-0000-0000F24C0000}"/>
    <cellStyle name="Normal 2 5 3 3 5 3 2 3" xfId="39679" xr:uid="{00000000-0005-0000-0000-0000F34C0000}"/>
    <cellStyle name="Normal 2 5 3 3 5 3 3" xfId="10545" xr:uid="{00000000-0005-0000-0000-0000F44C0000}"/>
    <cellStyle name="Normal 2 5 3 3 5 3 3 2" xfId="36102" xr:uid="{00000000-0005-0000-0000-0000F54C0000}"/>
    <cellStyle name="Normal 2 5 3 3 5 3 4" xfId="19368" xr:uid="{00000000-0005-0000-0000-0000F64C0000}"/>
    <cellStyle name="Normal 2 5 3 3 5 3 4 2" xfId="44921" xr:uid="{00000000-0005-0000-0000-0000F74C0000}"/>
    <cellStyle name="Normal 2 5 3 3 5 3 5" xfId="30858" xr:uid="{00000000-0005-0000-0000-0000F84C0000}"/>
    <cellStyle name="Normal 2 5 3 3 5 4" xfId="1797" xr:uid="{00000000-0005-0000-0000-0000F94C0000}"/>
    <cellStyle name="Normal 2 5 3 3 5 4 2" xfId="11166" xr:uid="{00000000-0005-0000-0000-0000FA4C0000}"/>
    <cellStyle name="Normal 2 5 3 3 5 4 2 2" xfId="36721" xr:uid="{00000000-0005-0000-0000-0000FB4C0000}"/>
    <cellStyle name="Normal 2 5 3 3 5 4 3" xfId="21170" xr:uid="{00000000-0005-0000-0000-0000FC4C0000}"/>
    <cellStyle name="Normal 2 5 3 3 5 4 3 2" xfId="46723" xr:uid="{00000000-0005-0000-0000-0000FD4C0000}"/>
    <cellStyle name="Normal 2 5 3 3 5 4 4" xfId="27653" xr:uid="{00000000-0005-0000-0000-0000FE4C0000}"/>
    <cellStyle name="Normal 2 5 3 3 5 5" xfId="6742" xr:uid="{00000000-0005-0000-0000-0000FF4C0000}"/>
    <cellStyle name="Normal 2 5 3 3 5 5 2" xfId="15569" xr:uid="{00000000-0005-0000-0000-0000004D0000}"/>
    <cellStyle name="Normal 2 5 3 3 5 5 2 2" xfId="41124" xr:uid="{00000000-0005-0000-0000-0000014D0000}"/>
    <cellStyle name="Normal 2 5 3 3 5 5 3" xfId="25820" xr:uid="{00000000-0005-0000-0000-0000024D0000}"/>
    <cellStyle name="Normal 2 5 3 3 5 5 3 2" xfId="51373" xr:uid="{00000000-0005-0000-0000-0000034D0000}"/>
    <cellStyle name="Normal 2 5 3 3 5 5 4" xfId="32303" xr:uid="{00000000-0005-0000-0000-0000044D0000}"/>
    <cellStyle name="Normal 2 5 3 3 5 6" xfId="8188" xr:uid="{00000000-0005-0000-0000-0000054D0000}"/>
    <cellStyle name="Normal 2 5 3 3 5 6 2" xfId="20578" xr:uid="{00000000-0005-0000-0000-0000064D0000}"/>
    <cellStyle name="Normal 2 5 3 3 5 6 2 2" xfId="46131" xr:uid="{00000000-0005-0000-0000-0000074D0000}"/>
    <cellStyle name="Normal 2 5 3 3 5 6 3" xfId="33745" xr:uid="{00000000-0005-0000-0000-0000084D0000}"/>
    <cellStyle name="Normal 2 5 3 3 5 7" xfId="16163" xr:uid="{00000000-0005-0000-0000-0000094D0000}"/>
    <cellStyle name="Normal 2 5 3 3 5 7 2" xfId="41716" xr:uid="{00000000-0005-0000-0000-00000A4D0000}"/>
    <cellStyle name="Normal 2 5 3 3 5 8" xfId="27061" xr:uid="{00000000-0005-0000-0000-00000B4D0000}"/>
    <cellStyle name="Normal 2 5 3 3 6" xfId="2692" xr:uid="{00000000-0005-0000-0000-00000C4D0000}"/>
    <cellStyle name="Normal 2 5 3 3 6 2" xfId="12009" xr:uid="{00000000-0005-0000-0000-00000D4D0000}"/>
    <cellStyle name="Normal 2 5 3 3 6 2 2" xfId="22053" xr:uid="{00000000-0005-0000-0000-00000E4D0000}"/>
    <cellStyle name="Normal 2 5 3 3 6 2 2 2" xfId="47606" xr:uid="{00000000-0005-0000-0000-00000F4D0000}"/>
    <cellStyle name="Normal 2 5 3 3 6 2 3" xfId="37564" xr:uid="{00000000-0005-0000-0000-0000104D0000}"/>
    <cellStyle name="Normal 2 5 3 3 6 3" xfId="8572" xr:uid="{00000000-0005-0000-0000-0000114D0000}"/>
    <cellStyle name="Normal 2 5 3 3 6 3 2" xfId="34129" xr:uid="{00000000-0005-0000-0000-0000124D0000}"/>
    <cellStyle name="Normal 2 5 3 3 6 4" xfId="17046" xr:uid="{00000000-0005-0000-0000-0000134D0000}"/>
    <cellStyle name="Normal 2 5 3 3 6 4 2" xfId="42599" xr:uid="{00000000-0005-0000-0000-0000144D0000}"/>
    <cellStyle name="Normal 2 5 3 3 6 5" xfId="28536" xr:uid="{00000000-0005-0000-0000-0000154D0000}"/>
    <cellStyle name="Normal 2 5 3 3 7" xfId="4243" xr:uid="{00000000-0005-0000-0000-0000164D0000}"/>
    <cellStyle name="Normal 2 5 3 3 7 2" xfId="13081" xr:uid="{00000000-0005-0000-0000-0000174D0000}"/>
    <cellStyle name="Normal 2 5 3 3 7 2 2" xfId="23332" xr:uid="{00000000-0005-0000-0000-0000184D0000}"/>
    <cellStyle name="Normal 2 5 3 3 7 2 2 2" xfId="48885" xr:uid="{00000000-0005-0000-0000-0000194D0000}"/>
    <cellStyle name="Normal 2 5 3 3 7 2 3" xfId="38636" xr:uid="{00000000-0005-0000-0000-00001A4D0000}"/>
    <cellStyle name="Normal 2 5 3 3 7 3" xfId="9502" xr:uid="{00000000-0005-0000-0000-00001B4D0000}"/>
    <cellStyle name="Normal 2 5 3 3 7 3 2" xfId="35059" xr:uid="{00000000-0005-0000-0000-00001C4D0000}"/>
    <cellStyle name="Normal 2 5 3 3 7 4" xfId="18325" xr:uid="{00000000-0005-0000-0000-00001D4D0000}"/>
    <cellStyle name="Normal 2 5 3 3 7 4 2" xfId="43878" xr:uid="{00000000-0005-0000-0000-00001E4D0000}"/>
    <cellStyle name="Normal 2 5 3 3 7 5" xfId="29815" xr:uid="{00000000-0005-0000-0000-00001F4D0000}"/>
    <cellStyle name="Normal 2 5 3 3 8" xfId="1515" xr:uid="{00000000-0005-0000-0000-0000204D0000}"/>
    <cellStyle name="Normal 2 5 3 3 8 2" xfId="10892" xr:uid="{00000000-0005-0000-0000-0000214D0000}"/>
    <cellStyle name="Normal 2 5 3 3 8 2 2" xfId="36447" xr:uid="{00000000-0005-0000-0000-0000224D0000}"/>
    <cellStyle name="Normal 2 5 3 3 8 3" xfId="20896" xr:uid="{00000000-0005-0000-0000-0000234D0000}"/>
    <cellStyle name="Normal 2 5 3 3 8 3 2" xfId="46449" xr:uid="{00000000-0005-0000-0000-0000244D0000}"/>
    <cellStyle name="Normal 2 5 3 3 8 4" xfId="27379" xr:uid="{00000000-0005-0000-0000-0000254D0000}"/>
    <cellStyle name="Normal 2 5 3 3 9" xfId="5699" xr:uid="{00000000-0005-0000-0000-0000264D0000}"/>
    <cellStyle name="Normal 2 5 3 3 9 2" xfId="14526" xr:uid="{00000000-0005-0000-0000-0000274D0000}"/>
    <cellStyle name="Normal 2 5 3 3 9 2 2" xfId="40081" xr:uid="{00000000-0005-0000-0000-0000284D0000}"/>
    <cellStyle name="Normal 2 5 3 3 9 3" xfId="24777" xr:uid="{00000000-0005-0000-0000-0000294D0000}"/>
    <cellStyle name="Normal 2 5 3 3 9 3 2" xfId="50330" xr:uid="{00000000-0005-0000-0000-00002A4D0000}"/>
    <cellStyle name="Normal 2 5 3 3 9 4" xfId="31260" xr:uid="{00000000-0005-0000-0000-00002B4D0000}"/>
    <cellStyle name="Normal 2 5 3 3_Degree data" xfId="3856" xr:uid="{00000000-0005-0000-0000-00002C4D0000}"/>
    <cellStyle name="Normal 2 5 3 4" xfId="232" xr:uid="{00000000-0005-0000-0000-00002D4D0000}"/>
    <cellStyle name="Normal 2 5 3 4 10" xfId="7070" xr:uid="{00000000-0005-0000-0000-00002E4D0000}"/>
    <cellStyle name="Normal 2 5 3 4 10 2" xfId="19684" xr:uid="{00000000-0005-0000-0000-00002F4D0000}"/>
    <cellStyle name="Normal 2 5 3 4 10 2 2" xfId="45237" xr:uid="{00000000-0005-0000-0000-0000304D0000}"/>
    <cellStyle name="Normal 2 5 3 4 10 3" xfId="32627" xr:uid="{00000000-0005-0000-0000-0000314D0000}"/>
    <cellStyle name="Normal 2 5 3 4 11" xfId="15816" xr:uid="{00000000-0005-0000-0000-0000324D0000}"/>
    <cellStyle name="Normal 2 5 3 4 11 2" xfId="41369" xr:uid="{00000000-0005-0000-0000-0000334D0000}"/>
    <cellStyle name="Normal 2 5 3 4 12" xfId="26167" xr:uid="{00000000-0005-0000-0000-0000344D0000}"/>
    <cellStyle name="Normal 2 5 3 4 2" xfId="555" xr:uid="{00000000-0005-0000-0000-0000354D0000}"/>
    <cellStyle name="Normal 2 5 3 4 2 10" xfId="26484" xr:uid="{00000000-0005-0000-0000-0000364D0000}"/>
    <cellStyle name="Normal 2 5 3 4 2 2" xfId="754" xr:uid="{00000000-0005-0000-0000-0000374D0000}"/>
    <cellStyle name="Normal 2 5 3 4 2 2 2" xfId="3240" xr:uid="{00000000-0005-0000-0000-0000384D0000}"/>
    <cellStyle name="Normal 2 5 3 4 2 2 2 2" xfId="12382" xr:uid="{00000000-0005-0000-0000-0000394D0000}"/>
    <cellStyle name="Normal 2 5 3 4 2 2 2 2 2" xfId="22601" xr:uid="{00000000-0005-0000-0000-00003A4D0000}"/>
    <cellStyle name="Normal 2 5 3 4 2 2 2 2 2 2" xfId="48154" xr:uid="{00000000-0005-0000-0000-00003B4D0000}"/>
    <cellStyle name="Normal 2 5 3 4 2 2 2 2 3" xfId="37937" xr:uid="{00000000-0005-0000-0000-00003C4D0000}"/>
    <cellStyle name="Normal 2 5 3 4 2 2 2 3" xfId="8804" xr:uid="{00000000-0005-0000-0000-00003D4D0000}"/>
    <cellStyle name="Normal 2 5 3 4 2 2 2 3 2" xfId="34361" xr:uid="{00000000-0005-0000-0000-00003E4D0000}"/>
    <cellStyle name="Normal 2 5 3 4 2 2 2 4" xfId="17594" xr:uid="{00000000-0005-0000-0000-00003F4D0000}"/>
    <cellStyle name="Normal 2 5 3 4 2 2 2 4 2" xfId="43147" xr:uid="{00000000-0005-0000-0000-0000404D0000}"/>
    <cellStyle name="Normal 2 5 3 4 2 2 2 5" xfId="29084" xr:uid="{00000000-0005-0000-0000-0000414D0000}"/>
    <cellStyle name="Normal 2 5 3 4 2 2 3" xfId="4569" xr:uid="{00000000-0005-0000-0000-0000424D0000}"/>
    <cellStyle name="Normal 2 5 3 4 2 2 3 2" xfId="13407" xr:uid="{00000000-0005-0000-0000-0000434D0000}"/>
    <cellStyle name="Normal 2 5 3 4 2 2 3 2 2" xfId="23658" xr:uid="{00000000-0005-0000-0000-0000444D0000}"/>
    <cellStyle name="Normal 2 5 3 4 2 2 3 2 2 2" xfId="49211" xr:uid="{00000000-0005-0000-0000-0000454D0000}"/>
    <cellStyle name="Normal 2 5 3 4 2 2 3 2 3" xfId="38962" xr:uid="{00000000-0005-0000-0000-0000464D0000}"/>
    <cellStyle name="Normal 2 5 3 4 2 2 3 3" xfId="9828" xr:uid="{00000000-0005-0000-0000-0000474D0000}"/>
    <cellStyle name="Normal 2 5 3 4 2 2 3 3 2" xfId="35385" xr:uid="{00000000-0005-0000-0000-0000484D0000}"/>
    <cellStyle name="Normal 2 5 3 4 2 2 3 4" xfId="18651" xr:uid="{00000000-0005-0000-0000-0000494D0000}"/>
    <cellStyle name="Normal 2 5 3 4 2 2 3 4 2" xfId="44204" xr:uid="{00000000-0005-0000-0000-00004A4D0000}"/>
    <cellStyle name="Normal 2 5 3 4 2 2 3 5" xfId="30141" xr:uid="{00000000-0005-0000-0000-00004B4D0000}"/>
    <cellStyle name="Normal 2 5 3 4 2 2 4" xfId="2349" xr:uid="{00000000-0005-0000-0000-00004C4D0000}"/>
    <cellStyle name="Normal 2 5 3 4 2 2 4 2" xfId="11714" xr:uid="{00000000-0005-0000-0000-00004D4D0000}"/>
    <cellStyle name="Normal 2 5 3 4 2 2 4 2 2" xfId="37269" xr:uid="{00000000-0005-0000-0000-00004E4D0000}"/>
    <cellStyle name="Normal 2 5 3 4 2 2 4 3" xfId="21718" xr:uid="{00000000-0005-0000-0000-00004F4D0000}"/>
    <cellStyle name="Normal 2 5 3 4 2 2 4 3 2" xfId="47271" xr:uid="{00000000-0005-0000-0000-0000504D0000}"/>
    <cellStyle name="Normal 2 5 3 4 2 2 4 4" xfId="28201" xr:uid="{00000000-0005-0000-0000-0000514D0000}"/>
    <cellStyle name="Normal 2 5 3 4 2 2 5" xfId="6025" xr:uid="{00000000-0005-0000-0000-0000524D0000}"/>
    <cellStyle name="Normal 2 5 3 4 2 2 5 2" xfId="14852" xr:uid="{00000000-0005-0000-0000-0000534D0000}"/>
    <cellStyle name="Normal 2 5 3 4 2 2 5 2 2" xfId="40407" xr:uid="{00000000-0005-0000-0000-0000544D0000}"/>
    <cellStyle name="Normal 2 5 3 4 2 2 5 3" xfId="25103" xr:uid="{00000000-0005-0000-0000-0000554D0000}"/>
    <cellStyle name="Normal 2 5 3 4 2 2 5 3 2" xfId="50656" xr:uid="{00000000-0005-0000-0000-0000564D0000}"/>
    <cellStyle name="Normal 2 5 3 4 2 2 5 4" xfId="31586" xr:uid="{00000000-0005-0000-0000-0000574D0000}"/>
    <cellStyle name="Normal 2 5 3 4 2 2 6" xfId="7469" xr:uid="{00000000-0005-0000-0000-0000584D0000}"/>
    <cellStyle name="Normal 2 5 3 4 2 2 6 2" xfId="20200" xr:uid="{00000000-0005-0000-0000-0000594D0000}"/>
    <cellStyle name="Normal 2 5 3 4 2 2 6 2 2" xfId="45753" xr:uid="{00000000-0005-0000-0000-00005A4D0000}"/>
    <cellStyle name="Normal 2 5 3 4 2 2 6 3" xfId="33026" xr:uid="{00000000-0005-0000-0000-00005B4D0000}"/>
    <cellStyle name="Normal 2 5 3 4 2 2 7" xfId="16711" xr:uid="{00000000-0005-0000-0000-00005C4D0000}"/>
    <cellStyle name="Normal 2 5 3 4 2 2 7 2" xfId="42264" xr:uid="{00000000-0005-0000-0000-00005D4D0000}"/>
    <cellStyle name="Normal 2 5 3 4 2 2 8" xfId="26683" xr:uid="{00000000-0005-0000-0000-00005E4D0000}"/>
    <cellStyle name="Normal 2 5 3 4 2 3" xfId="1327" xr:uid="{00000000-0005-0000-0000-00005F4D0000}"/>
    <cellStyle name="Normal 2 5 3 4 2 3 2" xfId="3756" xr:uid="{00000000-0005-0000-0000-0000604D0000}"/>
    <cellStyle name="Normal 2 5 3 4 2 3 2 2" xfId="12892" xr:uid="{00000000-0005-0000-0000-0000614D0000}"/>
    <cellStyle name="Normal 2 5 3 4 2 3 2 2 2" xfId="23111" xr:uid="{00000000-0005-0000-0000-0000624D0000}"/>
    <cellStyle name="Normal 2 5 3 4 2 3 2 2 2 2" xfId="48664" xr:uid="{00000000-0005-0000-0000-0000634D0000}"/>
    <cellStyle name="Normal 2 5 3 4 2 3 2 2 3" xfId="38447" xr:uid="{00000000-0005-0000-0000-0000644D0000}"/>
    <cellStyle name="Normal 2 5 3 4 2 3 2 3" xfId="9313" xr:uid="{00000000-0005-0000-0000-0000654D0000}"/>
    <cellStyle name="Normal 2 5 3 4 2 3 2 3 2" xfId="34870" xr:uid="{00000000-0005-0000-0000-0000664D0000}"/>
    <cellStyle name="Normal 2 5 3 4 2 3 2 4" xfId="18104" xr:uid="{00000000-0005-0000-0000-0000674D0000}"/>
    <cellStyle name="Normal 2 5 3 4 2 3 2 4 2" xfId="43657" xr:uid="{00000000-0005-0000-0000-0000684D0000}"/>
    <cellStyle name="Normal 2 5 3 4 2 3 2 5" xfId="29594" xr:uid="{00000000-0005-0000-0000-0000694D0000}"/>
    <cellStyle name="Normal 2 5 3 4 2 3 3" xfId="4918" xr:uid="{00000000-0005-0000-0000-00006A4D0000}"/>
    <cellStyle name="Normal 2 5 3 4 2 3 3 2" xfId="13755" xr:uid="{00000000-0005-0000-0000-00006B4D0000}"/>
    <cellStyle name="Normal 2 5 3 4 2 3 3 2 2" xfId="24006" xr:uid="{00000000-0005-0000-0000-00006C4D0000}"/>
    <cellStyle name="Normal 2 5 3 4 2 3 3 2 2 2" xfId="49559" xr:uid="{00000000-0005-0000-0000-00006D4D0000}"/>
    <cellStyle name="Normal 2 5 3 4 2 3 3 2 3" xfId="39310" xr:uid="{00000000-0005-0000-0000-00006E4D0000}"/>
    <cellStyle name="Normal 2 5 3 4 2 3 3 3" xfId="10176" xr:uid="{00000000-0005-0000-0000-00006F4D0000}"/>
    <cellStyle name="Normal 2 5 3 4 2 3 3 3 2" xfId="35733" xr:uid="{00000000-0005-0000-0000-0000704D0000}"/>
    <cellStyle name="Normal 2 5 3 4 2 3 3 4" xfId="18999" xr:uid="{00000000-0005-0000-0000-0000714D0000}"/>
    <cellStyle name="Normal 2 5 3 4 2 3 3 4 2" xfId="44552" xr:uid="{00000000-0005-0000-0000-0000724D0000}"/>
    <cellStyle name="Normal 2 5 3 4 2 3 3 5" xfId="30489" xr:uid="{00000000-0005-0000-0000-0000734D0000}"/>
    <cellStyle name="Normal 2 5 3 4 2 3 4" xfId="2150" xr:uid="{00000000-0005-0000-0000-0000744D0000}"/>
    <cellStyle name="Normal 2 5 3 4 2 3 4 2" xfId="11515" xr:uid="{00000000-0005-0000-0000-0000754D0000}"/>
    <cellStyle name="Normal 2 5 3 4 2 3 4 2 2" xfId="37070" xr:uid="{00000000-0005-0000-0000-0000764D0000}"/>
    <cellStyle name="Normal 2 5 3 4 2 3 4 3" xfId="21519" xr:uid="{00000000-0005-0000-0000-0000774D0000}"/>
    <cellStyle name="Normal 2 5 3 4 2 3 4 3 2" xfId="47072" xr:uid="{00000000-0005-0000-0000-0000784D0000}"/>
    <cellStyle name="Normal 2 5 3 4 2 3 4 4" xfId="28002" xr:uid="{00000000-0005-0000-0000-0000794D0000}"/>
    <cellStyle name="Normal 2 5 3 4 2 3 5" xfId="6373" xr:uid="{00000000-0005-0000-0000-00007A4D0000}"/>
    <cellStyle name="Normal 2 5 3 4 2 3 5 2" xfId="15200" xr:uid="{00000000-0005-0000-0000-00007B4D0000}"/>
    <cellStyle name="Normal 2 5 3 4 2 3 5 2 2" xfId="40755" xr:uid="{00000000-0005-0000-0000-00007C4D0000}"/>
    <cellStyle name="Normal 2 5 3 4 2 3 5 3" xfId="25451" xr:uid="{00000000-0005-0000-0000-00007D4D0000}"/>
    <cellStyle name="Normal 2 5 3 4 2 3 5 3 2" xfId="51004" xr:uid="{00000000-0005-0000-0000-00007E4D0000}"/>
    <cellStyle name="Normal 2 5 3 4 2 3 5 4" xfId="31934" xr:uid="{00000000-0005-0000-0000-00007F4D0000}"/>
    <cellStyle name="Normal 2 5 3 4 2 3 6" xfId="7819" xr:uid="{00000000-0005-0000-0000-0000804D0000}"/>
    <cellStyle name="Normal 2 5 3 4 2 3 6 2" xfId="20710" xr:uid="{00000000-0005-0000-0000-0000814D0000}"/>
    <cellStyle name="Normal 2 5 3 4 2 3 6 2 2" xfId="46263" xr:uid="{00000000-0005-0000-0000-0000824D0000}"/>
    <cellStyle name="Normal 2 5 3 4 2 3 6 3" xfId="33376" xr:uid="{00000000-0005-0000-0000-0000834D0000}"/>
    <cellStyle name="Normal 2 5 3 4 2 3 7" xfId="16512" xr:uid="{00000000-0005-0000-0000-0000844D0000}"/>
    <cellStyle name="Normal 2 5 3 4 2 3 7 2" xfId="42065" xr:uid="{00000000-0005-0000-0000-0000854D0000}"/>
    <cellStyle name="Normal 2 5 3 4 2 3 8" xfId="27193" xr:uid="{00000000-0005-0000-0000-0000864D0000}"/>
    <cellStyle name="Normal 2 5 3 4 2 4" xfId="3041" xr:uid="{00000000-0005-0000-0000-0000874D0000}"/>
    <cellStyle name="Normal 2 5 3 4 2 4 2" xfId="5419" xr:uid="{00000000-0005-0000-0000-0000884D0000}"/>
    <cellStyle name="Normal 2 5 3 4 2 4 2 2" xfId="14256" xr:uid="{00000000-0005-0000-0000-0000894D0000}"/>
    <cellStyle name="Normal 2 5 3 4 2 4 2 2 2" xfId="24507" xr:uid="{00000000-0005-0000-0000-00008A4D0000}"/>
    <cellStyle name="Normal 2 5 3 4 2 4 2 2 2 2" xfId="50060" xr:uid="{00000000-0005-0000-0000-00008B4D0000}"/>
    <cellStyle name="Normal 2 5 3 4 2 4 2 2 3" xfId="39811" xr:uid="{00000000-0005-0000-0000-00008C4D0000}"/>
    <cellStyle name="Normal 2 5 3 4 2 4 2 3" xfId="10677" xr:uid="{00000000-0005-0000-0000-00008D4D0000}"/>
    <cellStyle name="Normal 2 5 3 4 2 4 2 3 2" xfId="36234" xr:uid="{00000000-0005-0000-0000-00008E4D0000}"/>
    <cellStyle name="Normal 2 5 3 4 2 4 2 4" xfId="19500" xr:uid="{00000000-0005-0000-0000-00008F4D0000}"/>
    <cellStyle name="Normal 2 5 3 4 2 4 2 4 2" xfId="45053" xr:uid="{00000000-0005-0000-0000-0000904D0000}"/>
    <cellStyle name="Normal 2 5 3 4 2 4 2 5" xfId="30990" xr:uid="{00000000-0005-0000-0000-0000914D0000}"/>
    <cellStyle name="Normal 2 5 3 4 2 4 3" xfId="6874" xr:uid="{00000000-0005-0000-0000-0000924D0000}"/>
    <cellStyle name="Normal 2 5 3 4 2 4 3 2" xfId="15701" xr:uid="{00000000-0005-0000-0000-0000934D0000}"/>
    <cellStyle name="Normal 2 5 3 4 2 4 3 2 2" xfId="41256" xr:uid="{00000000-0005-0000-0000-0000944D0000}"/>
    <cellStyle name="Normal 2 5 3 4 2 4 3 3" xfId="25952" xr:uid="{00000000-0005-0000-0000-0000954D0000}"/>
    <cellStyle name="Normal 2 5 3 4 2 4 3 3 2" xfId="51505" xr:uid="{00000000-0005-0000-0000-0000964D0000}"/>
    <cellStyle name="Normal 2 5 3 4 2 4 3 4" xfId="32435" xr:uid="{00000000-0005-0000-0000-0000974D0000}"/>
    <cellStyle name="Normal 2 5 3 4 2 4 4" xfId="8320" xr:uid="{00000000-0005-0000-0000-0000984D0000}"/>
    <cellStyle name="Normal 2 5 3 4 2 4 4 2" xfId="22402" xr:uid="{00000000-0005-0000-0000-0000994D0000}"/>
    <cellStyle name="Normal 2 5 3 4 2 4 4 2 2" xfId="47955" xr:uid="{00000000-0005-0000-0000-00009A4D0000}"/>
    <cellStyle name="Normal 2 5 3 4 2 4 4 3" xfId="33877" xr:uid="{00000000-0005-0000-0000-00009B4D0000}"/>
    <cellStyle name="Normal 2 5 3 4 2 4 5" xfId="17395" xr:uid="{00000000-0005-0000-0000-00009C4D0000}"/>
    <cellStyle name="Normal 2 5 3 4 2 4 5 2" xfId="42948" xr:uid="{00000000-0005-0000-0000-00009D4D0000}"/>
    <cellStyle name="Normal 2 5 3 4 2 4 6" xfId="28885" xr:uid="{00000000-0005-0000-0000-00009E4D0000}"/>
    <cellStyle name="Normal 2 5 3 4 2 5" xfId="4375" xr:uid="{00000000-0005-0000-0000-00009F4D0000}"/>
    <cellStyle name="Normal 2 5 3 4 2 5 2" xfId="13213" xr:uid="{00000000-0005-0000-0000-0000A04D0000}"/>
    <cellStyle name="Normal 2 5 3 4 2 5 2 2" xfId="23464" xr:uid="{00000000-0005-0000-0000-0000A14D0000}"/>
    <cellStyle name="Normal 2 5 3 4 2 5 2 2 2" xfId="49017" xr:uid="{00000000-0005-0000-0000-0000A24D0000}"/>
    <cellStyle name="Normal 2 5 3 4 2 5 2 3" xfId="38768" xr:uid="{00000000-0005-0000-0000-0000A34D0000}"/>
    <cellStyle name="Normal 2 5 3 4 2 5 3" xfId="9634" xr:uid="{00000000-0005-0000-0000-0000A44D0000}"/>
    <cellStyle name="Normal 2 5 3 4 2 5 3 2" xfId="35191" xr:uid="{00000000-0005-0000-0000-0000A54D0000}"/>
    <cellStyle name="Normal 2 5 3 4 2 5 4" xfId="18457" xr:uid="{00000000-0005-0000-0000-0000A64D0000}"/>
    <cellStyle name="Normal 2 5 3 4 2 5 4 2" xfId="44010" xr:uid="{00000000-0005-0000-0000-0000A74D0000}"/>
    <cellStyle name="Normal 2 5 3 4 2 5 5" xfId="29947" xr:uid="{00000000-0005-0000-0000-0000A84D0000}"/>
    <cellStyle name="Normal 2 5 3 4 2 6" xfId="1647" xr:uid="{00000000-0005-0000-0000-0000A94D0000}"/>
    <cellStyle name="Normal 2 5 3 4 2 6 2" xfId="11024" xr:uid="{00000000-0005-0000-0000-0000AA4D0000}"/>
    <cellStyle name="Normal 2 5 3 4 2 6 2 2" xfId="36579" xr:uid="{00000000-0005-0000-0000-0000AB4D0000}"/>
    <cellStyle name="Normal 2 5 3 4 2 6 3" xfId="21028" xr:uid="{00000000-0005-0000-0000-0000AC4D0000}"/>
    <cellStyle name="Normal 2 5 3 4 2 6 3 2" xfId="46581" xr:uid="{00000000-0005-0000-0000-0000AD4D0000}"/>
    <cellStyle name="Normal 2 5 3 4 2 6 4" xfId="27511" xr:uid="{00000000-0005-0000-0000-0000AE4D0000}"/>
    <cellStyle name="Normal 2 5 3 4 2 7" xfId="5831" xr:uid="{00000000-0005-0000-0000-0000AF4D0000}"/>
    <cellStyle name="Normal 2 5 3 4 2 7 2" xfId="14658" xr:uid="{00000000-0005-0000-0000-0000B04D0000}"/>
    <cellStyle name="Normal 2 5 3 4 2 7 2 2" xfId="40213" xr:uid="{00000000-0005-0000-0000-0000B14D0000}"/>
    <cellStyle name="Normal 2 5 3 4 2 7 3" xfId="24909" xr:uid="{00000000-0005-0000-0000-0000B24D0000}"/>
    <cellStyle name="Normal 2 5 3 4 2 7 3 2" xfId="50462" xr:uid="{00000000-0005-0000-0000-0000B34D0000}"/>
    <cellStyle name="Normal 2 5 3 4 2 7 4" xfId="31392" xr:uid="{00000000-0005-0000-0000-0000B44D0000}"/>
    <cellStyle name="Normal 2 5 3 4 2 8" xfId="7275" xr:uid="{00000000-0005-0000-0000-0000B54D0000}"/>
    <cellStyle name="Normal 2 5 3 4 2 8 2" xfId="20001" xr:uid="{00000000-0005-0000-0000-0000B64D0000}"/>
    <cellStyle name="Normal 2 5 3 4 2 8 2 2" xfId="45554" xr:uid="{00000000-0005-0000-0000-0000B74D0000}"/>
    <cellStyle name="Normal 2 5 3 4 2 8 3" xfId="32832" xr:uid="{00000000-0005-0000-0000-0000B84D0000}"/>
    <cellStyle name="Normal 2 5 3 4 2 9" xfId="16021" xr:uid="{00000000-0005-0000-0000-0000B94D0000}"/>
    <cellStyle name="Normal 2 5 3 4 2 9 2" xfId="41574" xr:uid="{00000000-0005-0000-0000-0000BA4D0000}"/>
    <cellStyle name="Normal 2 5 3 4 2_Degree data" xfId="3910" xr:uid="{00000000-0005-0000-0000-0000BB4D0000}"/>
    <cellStyle name="Normal 2 5 3 4 3" xfId="350" xr:uid="{00000000-0005-0000-0000-0000BC4D0000}"/>
    <cellStyle name="Normal 2 5 3 4 3 2" xfId="2836" xr:uid="{00000000-0005-0000-0000-0000BD4D0000}"/>
    <cellStyle name="Normal 2 5 3 4 3 2 2" xfId="12124" xr:uid="{00000000-0005-0000-0000-0000BE4D0000}"/>
    <cellStyle name="Normal 2 5 3 4 3 2 2 2" xfId="22197" xr:uid="{00000000-0005-0000-0000-0000BF4D0000}"/>
    <cellStyle name="Normal 2 5 3 4 3 2 2 2 2" xfId="47750" xr:uid="{00000000-0005-0000-0000-0000C04D0000}"/>
    <cellStyle name="Normal 2 5 3 4 3 2 2 3" xfId="37679" xr:uid="{00000000-0005-0000-0000-0000C14D0000}"/>
    <cellStyle name="Normal 2 5 3 4 3 2 3" xfId="8528" xr:uid="{00000000-0005-0000-0000-0000C24D0000}"/>
    <cellStyle name="Normal 2 5 3 4 3 2 3 2" xfId="34085" xr:uid="{00000000-0005-0000-0000-0000C34D0000}"/>
    <cellStyle name="Normal 2 5 3 4 3 2 4" xfId="17190" xr:uid="{00000000-0005-0000-0000-0000C44D0000}"/>
    <cellStyle name="Normal 2 5 3 4 3 2 4 2" xfId="42743" xr:uid="{00000000-0005-0000-0000-0000C54D0000}"/>
    <cellStyle name="Normal 2 5 3 4 3 2 5" xfId="28680" xr:uid="{00000000-0005-0000-0000-0000C64D0000}"/>
    <cellStyle name="Normal 2 5 3 4 3 3" xfId="4568" xr:uid="{00000000-0005-0000-0000-0000C74D0000}"/>
    <cellStyle name="Normal 2 5 3 4 3 3 2" xfId="13406" xr:uid="{00000000-0005-0000-0000-0000C84D0000}"/>
    <cellStyle name="Normal 2 5 3 4 3 3 2 2" xfId="23657" xr:uid="{00000000-0005-0000-0000-0000C94D0000}"/>
    <cellStyle name="Normal 2 5 3 4 3 3 2 2 2" xfId="49210" xr:uid="{00000000-0005-0000-0000-0000CA4D0000}"/>
    <cellStyle name="Normal 2 5 3 4 3 3 2 3" xfId="38961" xr:uid="{00000000-0005-0000-0000-0000CB4D0000}"/>
    <cellStyle name="Normal 2 5 3 4 3 3 3" xfId="9827" xr:uid="{00000000-0005-0000-0000-0000CC4D0000}"/>
    <cellStyle name="Normal 2 5 3 4 3 3 3 2" xfId="35384" xr:uid="{00000000-0005-0000-0000-0000CD4D0000}"/>
    <cellStyle name="Normal 2 5 3 4 3 3 4" xfId="18650" xr:uid="{00000000-0005-0000-0000-0000CE4D0000}"/>
    <cellStyle name="Normal 2 5 3 4 3 3 4 2" xfId="44203" xr:uid="{00000000-0005-0000-0000-0000CF4D0000}"/>
    <cellStyle name="Normal 2 5 3 4 3 3 5" xfId="30140" xr:uid="{00000000-0005-0000-0000-0000D04D0000}"/>
    <cellStyle name="Normal 2 5 3 4 3 4" xfId="1945" xr:uid="{00000000-0005-0000-0000-0000D14D0000}"/>
    <cellStyle name="Normal 2 5 3 4 3 4 2" xfId="11310" xr:uid="{00000000-0005-0000-0000-0000D24D0000}"/>
    <cellStyle name="Normal 2 5 3 4 3 4 2 2" xfId="36865" xr:uid="{00000000-0005-0000-0000-0000D34D0000}"/>
    <cellStyle name="Normal 2 5 3 4 3 4 3" xfId="21314" xr:uid="{00000000-0005-0000-0000-0000D44D0000}"/>
    <cellStyle name="Normal 2 5 3 4 3 4 3 2" xfId="46867" xr:uid="{00000000-0005-0000-0000-0000D54D0000}"/>
    <cellStyle name="Normal 2 5 3 4 3 4 4" xfId="27797" xr:uid="{00000000-0005-0000-0000-0000D64D0000}"/>
    <cellStyle name="Normal 2 5 3 4 3 5" xfId="6024" xr:uid="{00000000-0005-0000-0000-0000D74D0000}"/>
    <cellStyle name="Normal 2 5 3 4 3 5 2" xfId="14851" xr:uid="{00000000-0005-0000-0000-0000D84D0000}"/>
    <cellStyle name="Normal 2 5 3 4 3 5 2 2" xfId="40406" xr:uid="{00000000-0005-0000-0000-0000D94D0000}"/>
    <cellStyle name="Normal 2 5 3 4 3 5 3" xfId="25102" xr:uid="{00000000-0005-0000-0000-0000DA4D0000}"/>
    <cellStyle name="Normal 2 5 3 4 3 5 3 2" xfId="50655" xr:uid="{00000000-0005-0000-0000-0000DB4D0000}"/>
    <cellStyle name="Normal 2 5 3 4 3 5 4" xfId="31585" xr:uid="{00000000-0005-0000-0000-0000DC4D0000}"/>
    <cellStyle name="Normal 2 5 3 4 3 6" xfId="7468" xr:uid="{00000000-0005-0000-0000-0000DD4D0000}"/>
    <cellStyle name="Normal 2 5 3 4 3 6 2" xfId="19796" xr:uid="{00000000-0005-0000-0000-0000DE4D0000}"/>
    <cellStyle name="Normal 2 5 3 4 3 6 2 2" xfId="45349" xr:uid="{00000000-0005-0000-0000-0000DF4D0000}"/>
    <cellStyle name="Normal 2 5 3 4 3 6 3" xfId="33025" xr:uid="{00000000-0005-0000-0000-0000E04D0000}"/>
    <cellStyle name="Normal 2 5 3 4 3 7" xfId="16307" xr:uid="{00000000-0005-0000-0000-0000E14D0000}"/>
    <cellStyle name="Normal 2 5 3 4 3 7 2" xfId="41860" xr:uid="{00000000-0005-0000-0000-0000E24D0000}"/>
    <cellStyle name="Normal 2 5 3 4 3 8" xfId="26279" xr:uid="{00000000-0005-0000-0000-0000E34D0000}"/>
    <cellStyle name="Normal 2 5 3 4 4" xfId="753" xr:uid="{00000000-0005-0000-0000-0000E44D0000}"/>
    <cellStyle name="Normal 2 5 3 4 4 2" xfId="3239" xr:uid="{00000000-0005-0000-0000-0000E54D0000}"/>
    <cellStyle name="Normal 2 5 3 4 4 2 2" xfId="12381" xr:uid="{00000000-0005-0000-0000-0000E64D0000}"/>
    <cellStyle name="Normal 2 5 3 4 4 2 2 2" xfId="22600" xr:uid="{00000000-0005-0000-0000-0000E74D0000}"/>
    <cellStyle name="Normal 2 5 3 4 4 2 2 2 2" xfId="48153" xr:uid="{00000000-0005-0000-0000-0000E84D0000}"/>
    <cellStyle name="Normal 2 5 3 4 4 2 2 3" xfId="37936" xr:uid="{00000000-0005-0000-0000-0000E94D0000}"/>
    <cellStyle name="Normal 2 5 3 4 4 2 3" xfId="8803" xr:uid="{00000000-0005-0000-0000-0000EA4D0000}"/>
    <cellStyle name="Normal 2 5 3 4 4 2 3 2" xfId="34360" xr:uid="{00000000-0005-0000-0000-0000EB4D0000}"/>
    <cellStyle name="Normal 2 5 3 4 4 2 4" xfId="17593" xr:uid="{00000000-0005-0000-0000-0000EC4D0000}"/>
    <cellStyle name="Normal 2 5 3 4 4 2 4 2" xfId="43146" xr:uid="{00000000-0005-0000-0000-0000ED4D0000}"/>
    <cellStyle name="Normal 2 5 3 4 4 2 5" xfId="29083" xr:uid="{00000000-0005-0000-0000-0000EE4D0000}"/>
    <cellStyle name="Normal 2 5 3 4 4 3" xfId="4917" xr:uid="{00000000-0005-0000-0000-0000EF4D0000}"/>
    <cellStyle name="Normal 2 5 3 4 4 3 2" xfId="13754" xr:uid="{00000000-0005-0000-0000-0000F04D0000}"/>
    <cellStyle name="Normal 2 5 3 4 4 3 2 2" xfId="24005" xr:uid="{00000000-0005-0000-0000-0000F14D0000}"/>
    <cellStyle name="Normal 2 5 3 4 4 3 2 2 2" xfId="49558" xr:uid="{00000000-0005-0000-0000-0000F24D0000}"/>
    <cellStyle name="Normal 2 5 3 4 4 3 2 3" xfId="39309" xr:uid="{00000000-0005-0000-0000-0000F34D0000}"/>
    <cellStyle name="Normal 2 5 3 4 4 3 3" xfId="10175" xr:uid="{00000000-0005-0000-0000-0000F44D0000}"/>
    <cellStyle name="Normal 2 5 3 4 4 3 3 2" xfId="35732" xr:uid="{00000000-0005-0000-0000-0000F54D0000}"/>
    <cellStyle name="Normal 2 5 3 4 4 3 4" xfId="18998" xr:uid="{00000000-0005-0000-0000-0000F64D0000}"/>
    <cellStyle name="Normal 2 5 3 4 4 3 4 2" xfId="44551" xr:uid="{00000000-0005-0000-0000-0000F74D0000}"/>
    <cellStyle name="Normal 2 5 3 4 4 3 5" xfId="30488" xr:uid="{00000000-0005-0000-0000-0000F84D0000}"/>
    <cellStyle name="Normal 2 5 3 4 4 4" xfId="2348" xr:uid="{00000000-0005-0000-0000-0000F94D0000}"/>
    <cellStyle name="Normal 2 5 3 4 4 4 2" xfId="11713" xr:uid="{00000000-0005-0000-0000-0000FA4D0000}"/>
    <cellStyle name="Normal 2 5 3 4 4 4 2 2" xfId="37268" xr:uid="{00000000-0005-0000-0000-0000FB4D0000}"/>
    <cellStyle name="Normal 2 5 3 4 4 4 3" xfId="21717" xr:uid="{00000000-0005-0000-0000-0000FC4D0000}"/>
    <cellStyle name="Normal 2 5 3 4 4 4 3 2" xfId="47270" xr:uid="{00000000-0005-0000-0000-0000FD4D0000}"/>
    <cellStyle name="Normal 2 5 3 4 4 4 4" xfId="28200" xr:uid="{00000000-0005-0000-0000-0000FE4D0000}"/>
    <cellStyle name="Normal 2 5 3 4 4 5" xfId="6372" xr:uid="{00000000-0005-0000-0000-0000FF4D0000}"/>
    <cellStyle name="Normal 2 5 3 4 4 5 2" xfId="15199" xr:uid="{00000000-0005-0000-0000-0000004E0000}"/>
    <cellStyle name="Normal 2 5 3 4 4 5 2 2" xfId="40754" xr:uid="{00000000-0005-0000-0000-0000014E0000}"/>
    <cellStyle name="Normal 2 5 3 4 4 5 3" xfId="25450" xr:uid="{00000000-0005-0000-0000-0000024E0000}"/>
    <cellStyle name="Normal 2 5 3 4 4 5 3 2" xfId="51003" xr:uid="{00000000-0005-0000-0000-0000034E0000}"/>
    <cellStyle name="Normal 2 5 3 4 4 5 4" xfId="31933" xr:uid="{00000000-0005-0000-0000-0000044E0000}"/>
    <cellStyle name="Normal 2 5 3 4 4 6" xfId="7818" xr:uid="{00000000-0005-0000-0000-0000054E0000}"/>
    <cellStyle name="Normal 2 5 3 4 4 6 2" xfId="20199" xr:uid="{00000000-0005-0000-0000-0000064E0000}"/>
    <cellStyle name="Normal 2 5 3 4 4 6 2 2" xfId="45752" xr:uid="{00000000-0005-0000-0000-0000074E0000}"/>
    <cellStyle name="Normal 2 5 3 4 4 6 3" xfId="33375" xr:uid="{00000000-0005-0000-0000-0000084E0000}"/>
    <cellStyle name="Normal 2 5 3 4 4 7" xfId="16710" xr:uid="{00000000-0005-0000-0000-0000094E0000}"/>
    <cellStyle name="Normal 2 5 3 4 4 7 2" xfId="42263" xr:uid="{00000000-0005-0000-0000-00000A4E0000}"/>
    <cellStyle name="Normal 2 5 3 4 4 8" xfId="26682" xr:uid="{00000000-0005-0000-0000-00000B4E0000}"/>
    <cellStyle name="Normal 2 5 3 4 5" xfId="1122" xr:uid="{00000000-0005-0000-0000-00000C4E0000}"/>
    <cellStyle name="Normal 2 5 3 4 5 2" xfId="3551" xr:uid="{00000000-0005-0000-0000-00000D4E0000}"/>
    <cellStyle name="Normal 2 5 3 4 5 2 2" xfId="12687" xr:uid="{00000000-0005-0000-0000-00000E4E0000}"/>
    <cellStyle name="Normal 2 5 3 4 5 2 2 2" xfId="22906" xr:uid="{00000000-0005-0000-0000-00000F4E0000}"/>
    <cellStyle name="Normal 2 5 3 4 5 2 2 2 2" xfId="48459" xr:uid="{00000000-0005-0000-0000-0000104E0000}"/>
    <cellStyle name="Normal 2 5 3 4 5 2 2 3" xfId="38242" xr:uid="{00000000-0005-0000-0000-0000114E0000}"/>
    <cellStyle name="Normal 2 5 3 4 5 2 3" xfId="9108" xr:uid="{00000000-0005-0000-0000-0000124E0000}"/>
    <cellStyle name="Normal 2 5 3 4 5 2 3 2" xfId="34665" xr:uid="{00000000-0005-0000-0000-0000134E0000}"/>
    <cellStyle name="Normal 2 5 3 4 5 2 4" xfId="17899" xr:uid="{00000000-0005-0000-0000-0000144E0000}"/>
    <cellStyle name="Normal 2 5 3 4 5 2 4 2" xfId="43452" xr:uid="{00000000-0005-0000-0000-0000154E0000}"/>
    <cellStyle name="Normal 2 5 3 4 5 2 5" xfId="29389" xr:uid="{00000000-0005-0000-0000-0000164E0000}"/>
    <cellStyle name="Normal 2 5 3 4 5 3" xfId="5214" xr:uid="{00000000-0005-0000-0000-0000174E0000}"/>
    <cellStyle name="Normal 2 5 3 4 5 3 2" xfId="14051" xr:uid="{00000000-0005-0000-0000-0000184E0000}"/>
    <cellStyle name="Normal 2 5 3 4 5 3 2 2" xfId="24302" xr:uid="{00000000-0005-0000-0000-0000194E0000}"/>
    <cellStyle name="Normal 2 5 3 4 5 3 2 2 2" xfId="49855" xr:uid="{00000000-0005-0000-0000-00001A4E0000}"/>
    <cellStyle name="Normal 2 5 3 4 5 3 2 3" xfId="39606" xr:uid="{00000000-0005-0000-0000-00001B4E0000}"/>
    <cellStyle name="Normal 2 5 3 4 5 3 3" xfId="10472" xr:uid="{00000000-0005-0000-0000-00001C4E0000}"/>
    <cellStyle name="Normal 2 5 3 4 5 3 3 2" xfId="36029" xr:uid="{00000000-0005-0000-0000-00001D4E0000}"/>
    <cellStyle name="Normal 2 5 3 4 5 3 4" xfId="19295" xr:uid="{00000000-0005-0000-0000-00001E4E0000}"/>
    <cellStyle name="Normal 2 5 3 4 5 3 4 2" xfId="44848" xr:uid="{00000000-0005-0000-0000-00001F4E0000}"/>
    <cellStyle name="Normal 2 5 3 4 5 3 5" xfId="30785" xr:uid="{00000000-0005-0000-0000-0000204E0000}"/>
    <cellStyle name="Normal 2 5 3 4 5 4" xfId="1830" xr:uid="{00000000-0005-0000-0000-0000214E0000}"/>
    <cellStyle name="Normal 2 5 3 4 5 4 2" xfId="11198" xr:uid="{00000000-0005-0000-0000-0000224E0000}"/>
    <cellStyle name="Normal 2 5 3 4 5 4 2 2" xfId="36753" xr:uid="{00000000-0005-0000-0000-0000234E0000}"/>
    <cellStyle name="Normal 2 5 3 4 5 4 3" xfId="21202" xr:uid="{00000000-0005-0000-0000-0000244E0000}"/>
    <cellStyle name="Normal 2 5 3 4 5 4 3 2" xfId="46755" xr:uid="{00000000-0005-0000-0000-0000254E0000}"/>
    <cellStyle name="Normal 2 5 3 4 5 4 4" xfId="27685" xr:uid="{00000000-0005-0000-0000-0000264E0000}"/>
    <cellStyle name="Normal 2 5 3 4 5 5" xfId="6669" xr:uid="{00000000-0005-0000-0000-0000274E0000}"/>
    <cellStyle name="Normal 2 5 3 4 5 5 2" xfId="15496" xr:uid="{00000000-0005-0000-0000-0000284E0000}"/>
    <cellStyle name="Normal 2 5 3 4 5 5 2 2" xfId="41051" xr:uid="{00000000-0005-0000-0000-0000294E0000}"/>
    <cellStyle name="Normal 2 5 3 4 5 5 3" xfId="25747" xr:uid="{00000000-0005-0000-0000-00002A4E0000}"/>
    <cellStyle name="Normal 2 5 3 4 5 5 3 2" xfId="51300" xr:uid="{00000000-0005-0000-0000-00002B4E0000}"/>
    <cellStyle name="Normal 2 5 3 4 5 5 4" xfId="32230" xr:uid="{00000000-0005-0000-0000-00002C4E0000}"/>
    <cellStyle name="Normal 2 5 3 4 5 6" xfId="8115" xr:uid="{00000000-0005-0000-0000-00002D4E0000}"/>
    <cellStyle name="Normal 2 5 3 4 5 6 2" xfId="20505" xr:uid="{00000000-0005-0000-0000-00002E4E0000}"/>
    <cellStyle name="Normal 2 5 3 4 5 6 2 2" xfId="46058" xr:uid="{00000000-0005-0000-0000-00002F4E0000}"/>
    <cellStyle name="Normal 2 5 3 4 5 6 3" xfId="33672" xr:uid="{00000000-0005-0000-0000-0000304E0000}"/>
    <cellStyle name="Normal 2 5 3 4 5 7" xfId="16195" xr:uid="{00000000-0005-0000-0000-0000314E0000}"/>
    <cellStyle name="Normal 2 5 3 4 5 7 2" xfId="41748" xr:uid="{00000000-0005-0000-0000-0000324E0000}"/>
    <cellStyle name="Normal 2 5 3 4 5 8" xfId="26988" xr:uid="{00000000-0005-0000-0000-0000334E0000}"/>
    <cellStyle name="Normal 2 5 3 4 6" xfId="2724" xr:uid="{00000000-0005-0000-0000-0000344E0000}"/>
    <cellStyle name="Normal 2 5 3 4 6 2" xfId="12041" xr:uid="{00000000-0005-0000-0000-0000354E0000}"/>
    <cellStyle name="Normal 2 5 3 4 6 2 2" xfId="22085" xr:uid="{00000000-0005-0000-0000-0000364E0000}"/>
    <cellStyle name="Normal 2 5 3 4 6 2 2 2" xfId="47638" xr:uid="{00000000-0005-0000-0000-0000374E0000}"/>
    <cellStyle name="Normal 2 5 3 4 6 2 3" xfId="37596" xr:uid="{00000000-0005-0000-0000-0000384E0000}"/>
    <cellStyle name="Normal 2 5 3 4 6 3" xfId="8433" xr:uid="{00000000-0005-0000-0000-0000394E0000}"/>
    <cellStyle name="Normal 2 5 3 4 6 3 2" xfId="33990" xr:uid="{00000000-0005-0000-0000-00003A4E0000}"/>
    <cellStyle name="Normal 2 5 3 4 6 4" xfId="17078" xr:uid="{00000000-0005-0000-0000-00003B4E0000}"/>
    <cellStyle name="Normal 2 5 3 4 6 4 2" xfId="42631" xr:uid="{00000000-0005-0000-0000-00003C4E0000}"/>
    <cellStyle name="Normal 2 5 3 4 6 5" xfId="28568" xr:uid="{00000000-0005-0000-0000-00003D4E0000}"/>
    <cellStyle name="Normal 2 5 3 4 7" xfId="4170" xr:uid="{00000000-0005-0000-0000-00003E4E0000}"/>
    <cellStyle name="Normal 2 5 3 4 7 2" xfId="13008" xr:uid="{00000000-0005-0000-0000-00003F4E0000}"/>
    <cellStyle name="Normal 2 5 3 4 7 2 2" xfId="23259" xr:uid="{00000000-0005-0000-0000-0000404E0000}"/>
    <cellStyle name="Normal 2 5 3 4 7 2 2 2" xfId="48812" xr:uid="{00000000-0005-0000-0000-0000414E0000}"/>
    <cellStyle name="Normal 2 5 3 4 7 2 3" xfId="38563" xr:uid="{00000000-0005-0000-0000-0000424E0000}"/>
    <cellStyle name="Normal 2 5 3 4 7 3" xfId="9429" xr:uid="{00000000-0005-0000-0000-0000434E0000}"/>
    <cellStyle name="Normal 2 5 3 4 7 3 2" xfId="34986" xr:uid="{00000000-0005-0000-0000-0000444E0000}"/>
    <cellStyle name="Normal 2 5 3 4 7 4" xfId="18252" xr:uid="{00000000-0005-0000-0000-0000454E0000}"/>
    <cellStyle name="Normal 2 5 3 4 7 4 2" xfId="43805" xr:uid="{00000000-0005-0000-0000-0000464E0000}"/>
    <cellStyle name="Normal 2 5 3 4 7 5" xfId="29742" xr:uid="{00000000-0005-0000-0000-0000474E0000}"/>
    <cellStyle name="Normal 2 5 3 4 8" xfId="1442" xr:uid="{00000000-0005-0000-0000-0000484E0000}"/>
    <cellStyle name="Normal 2 5 3 4 8 2" xfId="10819" xr:uid="{00000000-0005-0000-0000-0000494E0000}"/>
    <cellStyle name="Normal 2 5 3 4 8 2 2" xfId="36374" xr:uid="{00000000-0005-0000-0000-00004A4E0000}"/>
    <cellStyle name="Normal 2 5 3 4 8 3" xfId="20823" xr:uid="{00000000-0005-0000-0000-00004B4E0000}"/>
    <cellStyle name="Normal 2 5 3 4 8 3 2" xfId="46376" xr:uid="{00000000-0005-0000-0000-00004C4E0000}"/>
    <cellStyle name="Normal 2 5 3 4 8 4" xfId="27306" xr:uid="{00000000-0005-0000-0000-00004D4E0000}"/>
    <cellStyle name="Normal 2 5 3 4 9" xfId="5626" xr:uid="{00000000-0005-0000-0000-00004E4E0000}"/>
    <cellStyle name="Normal 2 5 3 4 9 2" xfId="14453" xr:uid="{00000000-0005-0000-0000-00004F4E0000}"/>
    <cellStyle name="Normal 2 5 3 4 9 2 2" xfId="40008" xr:uid="{00000000-0005-0000-0000-0000504E0000}"/>
    <cellStyle name="Normal 2 5 3 4 9 3" xfId="24704" xr:uid="{00000000-0005-0000-0000-0000514E0000}"/>
    <cellStyle name="Normal 2 5 3 4 9 3 2" xfId="50257" xr:uid="{00000000-0005-0000-0000-0000524E0000}"/>
    <cellStyle name="Normal 2 5 3 4 9 4" xfId="31187" xr:uid="{00000000-0005-0000-0000-0000534E0000}"/>
    <cellStyle name="Normal 2 5 3 4_Degree data" xfId="2611" xr:uid="{00000000-0005-0000-0000-0000544E0000}"/>
    <cellStyle name="Normal 2 5 3 5" xfId="450" xr:uid="{00000000-0005-0000-0000-0000554E0000}"/>
    <cellStyle name="Normal 2 5 3 5 10" xfId="26379" xr:uid="{00000000-0005-0000-0000-0000564E0000}"/>
    <cellStyle name="Normal 2 5 3 5 2" xfId="755" xr:uid="{00000000-0005-0000-0000-0000574E0000}"/>
    <cellStyle name="Normal 2 5 3 5 2 2" xfId="3241" xr:uid="{00000000-0005-0000-0000-0000584E0000}"/>
    <cellStyle name="Normal 2 5 3 5 2 2 2" xfId="12383" xr:uid="{00000000-0005-0000-0000-0000594E0000}"/>
    <cellStyle name="Normal 2 5 3 5 2 2 2 2" xfId="22602" xr:uid="{00000000-0005-0000-0000-00005A4E0000}"/>
    <cellStyle name="Normal 2 5 3 5 2 2 2 2 2" xfId="48155" xr:uid="{00000000-0005-0000-0000-00005B4E0000}"/>
    <cellStyle name="Normal 2 5 3 5 2 2 2 3" xfId="37938" xr:uid="{00000000-0005-0000-0000-00005C4E0000}"/>
    <cellStyle name="Normal 2 5 3 5 2 2 3" xfId="8805" xr:uid="{00000000-0005-0000-0000-00005D4E0000}"/>
    <cellStyle name="Normal 2 5 3 5 2 2 3 2" xfId="34362" xr:uid="{00000000-0005-0000-0000-00005E4E0000}"/>
    <cellStyle name="Normal 2 5 3 5 2 2 4" xfId="17595" xr:uid="{00000000-0005-0000-0000-00005F4E0000}"/>
    <cellStyle name="Normal 2 5 3 5 2 2 4 2" xfId="43148" xr:uid="{00000000-0005-0000-0000-0000604E0000}"/>
    <cellStyle name="Normal 2 5 3 5 2 2 5" xfId="29085" xr:uid="{00000000-0005-0000-0000-0000614E0000}"/>
    <cellStyle name="Normal 2 5 3 5 2 3" xfId="4570" xr:uid="{00000000-0005-0000-0000-0000624E0000}"/>
    <cellStyle name="Normal 2 5 3 5 2 3 2" xfId="13408" xr:uid="{00000000-0005-0000-0000-0000634E0000}"/>
    <cellStyle name="Normal 2 5 3 5 2 3 2 2" xfId="23659" xr:uid="{00000000-0005-0000-0000-0000644E0000}"/>
    <cellStyle name="Normal 2 5 3 5 2 3 2 2 2" xfId="49212" xr:uid="{00000000-0005-0000-0000-0000654E0000}"/>
    <cellStyle name="Normal 2 5 3 5 2 3 2 3" xfId="38963" xr:uid="{00000000-0005-0000-0000-0000664E0000}"/>
    <cellStyle name="Normal 2 5 3 5 2 3 3" xfId="9829" xr:uid="{00000000-0005-0000-0000-0000674E0000}"/>
    <cellStyle name="Normal 2 5 3 5 2 3 3 2" xfId="35386" xr:uid="{00000000-0005-0000-0000-0000684E0000}"/>
    <cellStyle name="Normal 2 5 3 5 2 3 4" xfId="18652" xr:uid="{00000000-0005-0000-0000-0000694E0000}"/>
    <cellStyle name="Normal 2 5 3 5 2 3 4 2" xfId="44205" xr:uid="{00000000-0005-0000-0000-00006A4E0000}"/>
    <cellStyle name="Normal 2 5 3 5 2 3 5" xfId="30142" xr:uid="{00000000-0005-0000-0000-00006B4E0000}"/>
    <cellStyle name="Normal 2 5 3 5 2 4" xfId="2350" xr:uid="{00000000-0005-0000-0000-00006C4E0000}"/>
    <cellStyle name="Normal 2 5 3 5 2 4 2" xfId="11715" xr:uid="{00000000-0005-0000-0000-00006D4E0000}"/>
    <cellStyle name="Normal 2 5 3 5 2 4 2 2" xfId="37270" xr:uid="{00000000-0005-0000-0000-00006E4E0000}"/>
    <cellStyle name="Normal 2 5 3 5 2 4 3" xfId="21719" xr:uid="{00000000-0005-0000-0000-00006F4E0000}"/>
    <cellStyle name="Normal 2 5 3 5 2 4 3 2" xfId="47272" xr:uid="{00000000-0005-0000-0000-0000704E0000}"/>
    <cellStyle name="Normal 2 5 3 5 2 4 4" xfId="28202" xr:uid="{00000000-0005-0000-0000-0000714E0000}"/>
    <cellStyle name="Normal 2 5 3 5 2 5" xfId="6026" xr:uid="{00000000-0005-0000-0000-0000724E0000}"/>
    <cellStyle name="Normal 2 5 3 5 2 5 2" xfId="14853" xr:uid="{00000000-0005-0000-0000-0000734E0000}"/>
    <cellStyle name="Normal 2 5 3 5 2 5 2 2" xfId="40408" xr:uid="{00000000-0005-0000-0000-0000744E0000}"/>
    <cellStyle name="Normal 2 5 3 5 2 5 3" xfId="25104" xr:uid="{00000000-0005-0000-0000-0000754E0000}"/>
    <cellStyle name="Normal 2 5 3 5 2 5 3 2" xfId="50657" xr:uid="{00000000-0005-0000-0000-0000764E0000}"/>
    <cellStyle name="Normal 2 5 3 5 2 5 4" xfId="31587" xr:uid="{00000000-0005-0000-0000-0000774E0000}"/>
    <cellStyle name="Normal 2 5 3 5 2 6" xfId="7470" xr:uid="{00000000-0005-0000-0000-0000784E0000}"/>
    <cellStyle name="Normal 2 5 3 5 2 6 2" xfId="20201" xr:uid="{00000000-0005-0000-0000-0000794E0000}"/>
    <cellStyle name="Normal 2 5 3 5 2 6 2 2" xfId="45754" xr:uid="{00000000-0005-0000-0000-00007A4E0000}"/>
    <cellStyle name="Normal 2 5 3 5 2 6 3" xfId="33027" xr:uid="{00000000-0005-0000-0000-00007B4E0000}"/>
    <cellStyle name="Normal 2 5 3 5 2 7" xfId="16712" xr:uid="{00000000-0005-0000-0000-00007C4E0000}"/>
    <cellStyle name="Normal 2 5 3 5 2 7 2" xfId="42265" xr:uid="{00000000-0005-0000-0000-00007D4E0000}"/>
    <cellStyle name="Normal 2 5 3 5 2 8" xfId="26684" xr:uid="{00000000-0005-0000-0000-00007E4E0000}"/>
    <cellStyle name="Normal 2 5 3 5 3" xfId="1222" xr:uid="{00000000-0005-0000-0000-00007F4E0000}"/>
    <cellStyle name="Normal 2 5 3 5 3 2" xfId="3651" xr:uid="{00000000-0005-0000-0000-0000804E0000}"/>
    <cellStyle name="Normal 2 5 3 5 3 2 2" xfId="12787" xr:uid="{00000000-0005-0000-0000-0000814E0000}"/>
    <cellStyle name="Normal 2 5 3 5 3 2 2 2" xfId="23006" xr:uid="{00000000-0005-0000-0000-0000824E0000}"/>
    <cellStyle name="Normal 2 5 3 5 3 2 2 2 2" xfId="48559" xr:uid="{00000000-0005-0000-0000-0000834E0000}"/>
    <cellStyle name="Normal 2 5 3 5 3 2 2 3" xfId="38342" xr:uid="{00000000-0005-0000-0000-0000844E0000}"/>
    <cellStyle name="Normal 2 5 3 5 3 2 3" xfId="9208" xr:uid="{00000000-0005-0000-0000-0000854E0000}"/>
    <cellStyle name="Normal 2 5 3 5 3 2 3 2" xfId="34765" xr:uid="{00000000-0005-0000-0000-0000864E0000}"/>
    <cellStyle name="Normal 2 5 3 5 3 2 4" xfId="17999" xr:uid="{00000000-0005-0000-0000-0000874E0000}"/>
    <cellStyle name="Normal 2 5 3 5 3 2 4 2" xfId="43552" xr:uid="{00000000-0005-0000-0000-0000884E0000}"/>
    <cellStyle name="Normal 2 5 3 5 3 2 5" xfId="29489" xr:uid="{00000000-0005-0000-0000-0000894E0000}"/>
    <cellStyle name="Normal 2 5 3 5 3 3" xfId="4919" xr:uid="{00000000-0005-0000-0000-00008A4E0000}"/>
    <cellStyle name="Normal 2 5 3 5 3 3 2" xfId="13756" xr:uid="{00000000-0005-0000-0000-00008B4E0000}"/>
    <cellStyle name="Normal 2 5 3 5 3 3 2 2" xfId="24007" xr:uid="{00000000-0005-0000-0000-00008C4E0000}"/>
    <cellStyle name="Normal 2 5 3 5 3 3 2 2 2" xfId="49560" xr:uid="{00000000-0005-0000-0000-00008D4E0000}"/>
    <cellStyle name="Normal 2 5 3 5 3 3 2 3" xfId="39311" xr:uid="{00000000-0005-0000-0000-00008E4E0000}"/>
    <cellStyle name="Normal 2 5 3 5 3 3 3" xfId="10177" xr:uid="{00000000-0005-0000-0000-00008F4E0000}"/>
    <cellStyle name="Normal 2 5 3 5 3 3 3 2" xfId="35734" xr:uid="{00000000-0005-0000-0000-0000904E0000}"/>
    <cellStyle name="Normal 2 5 3 5 3 3 4" xfId="19000" xr:uid="{00000000-0005-0000-0000-0000914E0000}"/>
    <cellStyle name="Normal 2 5 3 5 3 3 4 2" xfId="44553" xr:uid="{00000000-0005-0000-0000-0000924E0000}"/>
    <cellStyle name="Normal 2 5 3 5 3 3 5" xfId="30490" xr:uid="{00000000-0005-0000-0000-0000934E0000}"/>
    <cellStyle name="Normal 2 5 3 5 3 4" xfId="2045" xr:uid="{00000000-0005-0000-0000-0000944E0000}"/>
    <cellStyle name="Normal 2 5 3 5 3 4 2" xfId="11410" xr:uid="{00000000-0005-0000-0000-0000954E0000}"/>
    <cellStyle name="Normal 2 5 3 5 3 4 2 2" xfId="36965" xr:uid="{00000000-0005-0000-0000-0000964E0000}"/>
    <cellStyle name="Normal 2 5 3 5 3 4 3" xfId="21414" xr:uid="{00000000-0005-0000-0000-0000974E0000}"/>
    <cellStyle name="Normal 2 5 3 5 3 4 3 2" xfId="46967" xr:uid="{00000000-0005-0000-0000-0000984E0000}"/>
    <cellStyle name="Normal 2 5 3 5 3 4 4" xfId="27897" xr:uid="{00000000-0005-0000-0000-0000994E0000}"/>
    <cellStyle name="Normal 2 5 3 5 3 5" xfId="6374" xr:uid="{00000000-0005-0000-0000-00009A4E0000}"/>
    <cellStyle name="Normal 2 5 3 5 3 5 2" xfId="15201" xr:uid="{00000000-0005-0000-0000-00009B4E0000}"/>
    <cellStyle name="Normal 2 5 3 5 3 5 2 2" xfId="40756" xr:uid="{00000000-0005-0000-0000-00009C4E0000}"/>
    <cellStyle name="Normal 2 5 3 5 3 5 3" xfId="25452" xr:uid="{00000000-0005-0000-0000-00009D4E0000}"/>
    <cellStyle name="Normal 2 5 3 5 3 5 3 2" xfId="51005" xr:uid="{00000000-0005-0000-0000-00009E4E0000}"/>
    <cellStyle name="Normal 2 5 3 5 3 5 4" xfId="31935" xr:uid="{00000000-0005-0000-0000-00009F4E0000}"/>
    <cellStyle name="Normal 2 5 3 5 3 6" xfId="7820" xr:uid="{00000000-0005-0000-0000-0000A04E0000}"/>
    <cellStyle name="Normal 2 5 3 5 3 6 2" xfId="20605" xr:uid="{00000000-0005-0000-0000-0000A14E0000}"/>
    <cellStyle name="Normal 2 5 3 5 3 6 2 2" xfId="46158" xr:uid="{00000000-0005-0000-0000-0000A24E0000}"/>
    <cellStyle name="Normal 2 5 3 5 3 6 3" xfId="33377" xr:uid="{00000000-0005-0000-0000-0000A34E0000}"/>
    <cellStyle name="Normal 2 5 3 5 3 7" xfId="16407" xr:uid="{00000000-0005-0000-0000-0000A44E0000}"/>
    <cellStyle name="Normal 2 5 3 5 3 7 2" xfId="41960" xr:uid="{00000000-0005-0000-0000-0000A54E0000}"/>
    <cellStyle name="Normal 2 5 3 5 3 8" xfId="27088" xr:uid="{00000000-0005-0000-0000-0000A64E0000}"/>
    <cellStyle name="Normal 2 5 3 5 4" xfId="2936" xr:uid="{00000000-0005-0000-0000-0000A74E0000}"/>
    <cellStyle name="Normal 2 5 3 5 4 2" xfId="5314" xr:uid="{00000000-0005-0000-0000-0000A84E0000}"/>
    <cellStyle name="Normal 2 5 3 5 4 2 2" xfId="14151" xr:uid="{00000000-0005-0000-0000-0000A94E0000}"/>
    <cellStyle name="Normal 2 5 3 5 4 2 2 2" xfId="24402" xr:uid="{00000000-0005-0000-0000-0000AA4E0000}"/>
    <cellStyle name="Normal 2 5 3 5 4 2 2 2 2" xfId="49955" xr:uid="{00000000-0005-0000-0000-0000AB4E0000}"/>
    <cellStyle name="Normal 2 5 3 5 4 2 2 3" xfId="39706" xr:uid="{00000000-0005-0000-0000-0000AC4E0000}"/>
    <cellStyle name="Normal 2 5 3 5 4 2 3" xfId="10572" xr:uid="{00000000-0005-0000-0000-0000AD4E0000}"/>
    <cellStyle name="Normal 2 5 3 5 4 2 3 2" xfId="36129" xr:uid="{00000000-0005-0000-0000-0000AE4E0000}"/>
    <cellStyle name="Normal 2 5 3 5 4 2 4" xfId="19395" xr:uid="{00000000-0005-0000-0000-0000AF4E0000}"/>
    <cellStyle name="Normal 2 5 3 5 4 2 4 2" xfId="44948" xr:uid="{00000000-0005-0000-0000-0000B04E0000}"/>
    <cellStyle name="Normal 2 5 3 5 4 2 5" xfId="30885" xr:uid="{00000000-0005-0000-0000-0000B14E0000}"/>
    <cellStyle name="Normal 2 5 3 5 4 3" xfId="6769" xr:uid="{00000000-0005-0000-0000-0000B24E0000}"/>
    <cellStyle name="Normal 2 5 3 5 4 3 2" xfId="15596" xr:uid="{00000000-0005-0000-0000-0000B34E0000}"/>
    <cellStyle name="Normal 2 5 3 5 4 3 2 2" xfId="41151" xr:uid="{00000000-0005-0000-0000-0000B44E0000}"/>
    <cellStyle name="Normal 2 5 3 5 4 3 3" xfId="25847" xr:uid="{00000000-0005-0000-0000-0000B54E0000}"/>
    <cellStyle name="Normal 2 5 3 5 4 3 3 2" xfId="51400" xr:uid="{00000000-0005-0000-0000-0000B64E0000}"/>
    <cellStyle name="Normal 2 5 3 5 4 3 4" xfId="32330" xr:uid="{00000000-0005-0000-0000-0000B74E0000}"/>
    <cellStyle name="Normal 2 5 3 5 4 4" xfId="8215" xr:uid="{00000000-0005-0000-0000-0000B84E0000}"/>
    <cellStyle name="Normal 2 5 3 5 4 4 2" xfId="22297" xr:uid="{00000000-0005-0000-0000-0000B94E0000}"/>
    <cellStyle name="Normal 2 5 3 5 4 4 2 2" xfId="47850" xr:uid="{00000000-0005-0000-0000-0000BA4E0000}"/>
    <cellStyle name="Normal 2 5 3 5 4 4 3" xfId="33772" xr:uid="{00000000-0005-0000-0000-0000BB4E0000}"/>
    <cellStyle name="Normal 2 5 3 5 4 5" xfId="17290" xr:uid="{00000000-0005-0000-0000-0000BC4E0000}"/>
    <cellStyle name="Normal 2 5 3 5 4 5 2" xfId="42843" xr:uid="{00000000-0005-0000-0000-0000BD4E0000}"/>
    <cellStyle name="Normal 2 5 3 5 4 6" xfId="28780" xr:uid="{00000000-0005-0000-0000-0000BE4E0000}"/>
    <cellStyle name="Normal 2 5 3 5 5" xfId="4270" xr:uid="{00000000-0005-0000-0000-0000BF4E0000}"/>
    <cellStyle name="Normal 2 5 3 5 5 2" xfId="13108" xr:uid="{00000000-0005-0000-0000-0000C04E0000}"/>
    <cellStyle name="Normal 2 5 3 5 5 2 2" xfId="23359" xr:uid="{00000000-0005-0000-0000-0000C14E0000}"/>
    <cellStyle name="Normal 2 5 3 5 5 2 2 2" xfId="48912" xr:uid="{00000000-0005-0000-0000-0000C24E0000}"/>
    <cellStyle name="Normal 2 5 3 5 5 2 3" xfId="38663" xr:uid="{00000000-0005-0000-0000-0000C34E0000}"/>
    <cellStyle name="Normal 2 5 3 5 5 3" xfId="9529" xr:uid="{00000000-0005-0000-0000-0000C44E0000}"/>
    <cellStyle name="Normal 2 5 3 5 5 3 2" xfId="35086" xr:uid="{00000000-0005-0000-0000-0000C54E0000}"/>
    <cellStyle name="Normal 2 5 3 5 5 4" xfId="18352" xr:uid="{00000000-0005-0000-0000-0000C64E0000}"/>
    <cellStyle name="Normal 2 5 3 5 5 4 2" xfId="43905" xr:uid="{00000000-0005-0000-0000-0000C74E0000}"/>
    <cellStyle name="Normal 2 5 3 5 5 5" xfId="29842" xr:uid="{00000000-0005-0000-0000-0000C84E0000}"/>
    <cellStyle name="Normal 2 5 3 5 6" xfId="1542" xr:uid="{00000000-0005-0000-0000-0000C94E0000}"/>
    <cellStyle name="Normal 2 5 3 5 6 2" xfId="10919" xr:uid="{00000000-0005-0000-0000-0000CA4E0000}"/>
    <cellStyle name="Normal 2 5 3 5 6 2 2" xfId="36474" xr:uid="{00000000-0005-0000-0000-0000CB4E0000}"/>
    <cellStyle name="Normal 2 5 3 5 6 3" xfId="20923" xr:uid="{00000000-0005-0000-0000-0000CC4E0000}"/>
    <cellStyle name="Normal 2 5 3 5 6 3 2" xfId="46476" xr:uid="{00000000-0005-0000-0000-0000CD4E0000}"/>
    <cellStyle name="Normal 2 5 3 5 6 4" xfId="27406" xr:uid="{00000000-0005-0000-0000-0000CE4E0000}"/>
    <cellStyle name="Normal 2 5 3 5 7" xfId="5726" xr:uid="{00000000-0005-0000-0000-0000CF4E0000}"/>
    <cellStyle name="Normal 2 5 3 5 7 2" xfId="14553" xr:uid="{00000000-0005-0000-0000-0000D04E0000}"/>
    <cellStyle name="Normal 2 5 3 5 7 2 2" xfId="40108" xr:uid="{00000000-0005-0000-0000-0000D14E0000}"/>
    <cellStyle name="Normal 2 5 3 5 7 3" xfId="24804" xr:uid="{00000000-0005-0000-0000-0000D24E0000}"/>
    <cellStyle name="Normal 2 5 3 5 7 3 2" xfId="50357" xr:uid="{00000000-0005-0000-0000-0000D34E0000}"/>
    <cellStyle name="Normal 2 5 3 5 7 4" xfId="31287" xr:uid="{00000000-0005-0000-0000-0000D44E0000}"/>
    <cellStyle name="Normal 2 5 3 5 8" xfId="7170" xr:uid="{00000000-0005-0000-0000-0000D54E0000}"/>
    <cellStyle name="Normal 2 5 3 5 8 2" xfId="19896" xr:uid="{00000000-0005-0000-0000-0000D64E0000}"/>
    <cellStyle name="Normal 2 5 3 5 8 2 2" xfId="45449" xr:uid="{00000000-0005-0000-0000-0000D74E0000}"/>
    <cellStyle name="Normal 2 5 3 5 8 3" xfId="32727" xr:uid="{00000000-0005-0000-0000-0000D84E0000}"/>
    <cellStyle name="Normal 2 5 3 5 9" xfId="15916" xr:uid="{00000000-0005-0000-0000-0000D94E0000}"/>
    <cellStyle name="Normal 2 5 3 5 9 2" xfId="41469" xr:uid="{00000000-0005-0000-0000-0000DA4E0000}"/>
    <cellStyle name="Normal 2 5 3 5_Degree data" xfId="3841" xr:uid="{00000000-0005-0000-0000-0000DB4E0000}"/>
    <cellStyle name="Normal 2 5 3 6" xfId="321" xr:uid="{00000000-0005-0000-0000-0000DC4E0000}"/>
    <cellStyle name="Normal 2 5 3 6 10" xfId="26250" xr:uid="{00000000-0005-0000-0000-0000DD4E0000}"/>
    <cellStyle name="Normal 2 5 3 6 2" xfId="756" xr:uid="{00000000-0005-0000-0000-0000DE4E0000}"/>
    <cellStyle name="Normal 2 5 3 6 2 2" xfId="3242" xr:uid="{00000000-0005-0000-0000-0000DF4E0000}"/>
    <cellStyle name="Normal 2 5 3 6 2 2 2" xfId="12384" xr:uid="{00000000-0005-0000-0000-0000E04E0000}"/>
    <cellStyle name="Normal 2 5 3 6 2 2 2 2" xfId="22603" xr:uid="{00000000-0005-0000-0000-0000E14E0000}"/>
    <cellStyle name="Normal 2 5 3 6 2 2 2 2 2" xfId="48156" xr:uid="{00000000-0005-0000-0000-0000E24E0000}"/>
    <cellStyle name="Normal 2 5 3 6 2 2 2 3" xfId="37939" xr:uid="{00000000-0005-0000-0000-0000E34E0000}"/>
    <cellStyle name="Normal 2 5 3 6 2 2 3" xfId="8806" xr:uid="{00000000-0005-0000-0000-0000E44E0000}"/>
    <cellStyle name="Normal 2 5 3 6 2 2 3 2" xfId="34363" xr:uid="{00000000-0005-0000-0000-0000E54E0000}"/>
    <cellStyle name="Normal 2 5 3 6 2 2 4" xfId="17596" xr:uid="{00000000-0005-0000-0000-0000E64E0000}"/>
    <cellStyle name="Normal 2 5 3 6 2 2 4 2" xfId="43149" xr:uid="{00000000-0005-0000-0000-0000E74E0000}"/>
    <cellStyle name="Normal 2 5 3 6 2 2 5" xfId="29086" xr:uid="{00000000-0005-0000-0000-0000E84E0000}"/>
    <cellStyle name="Normal 2 5 3 6 2 3" xfId="4571" xr:uid="{00000000-0005-0000-0000-0000E94E0000}"/>
    <cellStyle name="Normal 2 5 3 6 2 3 2" xfId="13409" xr:uid="{00000000-0005-0000-0000-0000EA4E0000}"/>
    <cellStyle name="Normal 2 5 3 6 2 3 2 2" xfId="23660" xr:uid="{00000000-0005-0000-0000-0000EB4E0000}"/>
    <cellStyle name="Normal 2 5 3 6 2 3 2 2 2" xfId="49213" xr:uid="{00000000-0005-0000-0000-0000EC4E0000}"/>
    <cellStyle name="Normal 2 5 3 6 2 3 2 3" xfId="38964" xr:uid="{00000000-0005-0000-0000-0000ED4E0000}"/>
    <cellStyle name="Normal 2 5 3 6 2 3 3" xfId="9830" xr:uid="{00000000-0005-0000-0000-0000EE4E0000}"/>
    <cellStyle name="Normal 2 5 3 6 2 3 3 2" xfId="35387" xr:uid="{00000000-0005-0000-0000-0000EF4E0000}"/>
    <cellStyle name="Normal 2 5 3 6 2 3 4" xfId="18653" xr:uid="{00000000-0005-0000-0000-0000F04E0000}"/>
    <cellStyle name="Normal 2 5 3 6 2 3 4 2" xfId="44206" xr:uid="{00000000-0005-0000-0000-0000F14E0000}"/>
    <cellStyle name="Normal 2 5 3 6 2 3 5" xfId="30143" xr:uid="{00000000-0005-0000-0000-0000F24E0000}"/>
    <cellStyle name="Normal 2 5 3 6 2 4" xfId="2351" xr:uid="{00000000-0005-0000-0000-0000F34E0000}"/>
    <cellStyle name="Normal 2 5 3 6 2 4 2" xfId="11716" xr:uid="{00000000-0005-0000-0000-0000F44E0000}"/>
    <cellStyle name="Normal 2 5 3 6 2 4 2 2" xfId="37271" xr:uid="{00000000-0005-0000-0000-0000F54E0000}"/>
    <cellStyle name="Normal 2 5 3 6 2 4 3" xfId="21720" xr:uid="{00000000-0005-0000-0000-0000F64E0000}"/>
    <cellStyle name="Normal 2 5 3 6 2 4 3 2" xfId="47273" xr:uid="{00000000-0005-0000-0000-0000F74E0000}"/>
    <cellStyle name="Normal 2 5 3 6 2 4 4" xfId="28203" xr:uid="{00000000-0005-0000-0000-0000F84E0000}"/>
    <cellStyle name="Normal 2 5 3 6 2 5" xfId="6027" xr:uid="{00000000-0005-0000-0000-0000F94E0000}"/>
    <cellStyle name="Normal 2 5 3 6 2 5 2" xfId="14854" xr:uid="{00000000-0005-0000-0000-0000FA4E0000}"/>
    <cellStyle name="Normal 2 5 3 6 2 5 2 2" xfId="40409" xr:uid="{00000000-0005-0000-0000-0000FB4E0000}"/>
    <cellStyle name="Normal 2 5 3 6 2 5 3" xfId="25105" xr:uid="{00000000-0005-0000-0000-0000FC4E0000}"/>
    <cellStyle name="Normal 2 5 3 6 2 5 3 2" xfId="50658" xr:uid="{00000000-0005-0000-0000-0000FD4E0000}"/>
    <cellStyle name="Normal 2 5 3 6 2 5 4" xfId="31588" xr:uid="{00000000-0005-0000-0000-0000FE4E0000}"/>
    <cellStyle name="Normal 2 5 3 6 2 6" xfId="7471" xr:uid="{00000000-0005-0000-0000-0000FF4E0000}"/>
    <cellStyle name="Normal 2 5 3 6 2 6 2" xfId="20202" xr:uid="{00000000-0005-0000-0000-0000004F0000}"/>
    <cellStyle name="Normal 2 5 3 6 2 6 2 2" xfId="45755" xr:uid="{00000000-0005-0000-0000-0000014F0000}"/>
    <cellStyle name="Normal 2 5 3 6 2 6 3" xfId="33028" xr:uid="{00000000-0005-0000-0000-0000024F0000}"/>
    <cellStyle name="Normal 2 5 3 6 2 7" xfId="16713" xr:uid="{00000000-0005-0000-0000-0000034F0000}"/>
    <cellStyle name="Normal 2 5 3 6 2 7 2" xfId="42266" xr:uid="{00000000-0005-0000-0000-0000044F0000}"/>
    <cellStyle name="Normal 2 5 3 6 2 8" xfId="26685" xr:uid="{00000000-0005-0000-0000-0000054F0000}"/>
    <cellStyle name="Normal 2 5 3 6 3" xfId="1093" xr:uid="{00000000-0005-0000-0000-0000064F0000}"/>
    <cellStyle name="Normal 2 5 3 6 3 2" xfId="3522" xr:uid="{00000000-0005-0000-0000-0000074F0000}"/>
    <cellStyle name="Normal 2 5 3 6 3 2 2" xfId="12658" xr:uid="{00000000-0005-0000-0000-0000084F0000}"/>
    <cellStyle name="Normal 2 5 3 6 3 2 2 2" xfId="22877" xr:uid="{00000000-0005-0000-0000-0000094F0000}"/>
    <cellStyle name="Normal 2 5 3 6 3 2 2 2 2" xfId="48430" xr:uid="{00000000-0005-0000-0000-00000A4F0000}"/>
    <cellStyle name="Normal 2 5 3 6 3 2 2 3" xfId="38213" xr:uid="{00000000-0005-0000-0000-00000B4F0000}"/>
    <cellStyle name="Normal 2 5 3 6 3 2 3" xfId="9080" xr:uid="{00000000-0005-0000-0000-00000C4F0000}"/>
    <cellStyle name="Normal 2 5 3 6 3 2 3 2" xfId="34637" xr:uid="{00000000-0005-0000-0000-00000D4F0000}"/>
    <cellStyle name="Normal 2 5 3 6 3 2 4" xfId="17870" xr:uid="{00000000-0005-0000-0000-00000E4F0000}"/>
    <cellStyle name="Normal 2 5 3 6 3 2 4 2" xfId="43423" xr:uid="{00000000-0005-0000-0000-00000F4F0000}"/>
    <cellStyle name="Normal 2 5 3 6 3 2 5" xfId="29360" xr:uid="{00000000-0005-0000-0000-0000104F0000}"/>
    <cellStyle name="Normal 2 5 3 6 3 3" xfId="4920" xr:uid="{00000000-0005-0000-0000-0000114F0000}"/>
    <cellStyle name="Normal 2 5 3 6 3 3 2" xfId="13757" xr:uid="{00000000-0005-0000-0000-0000124F0000}"/>
    <cellStyle name="Normal 2 5 3 6 3 3 2 2" xfId="24008" xr:uid="{00000000-0005-0000-0000-0000134F0000}"/>
    <cellStyle name="Normal 2 5 3 6 3 3 2 2 2" xfId="49561" xr:uid="{00000000-0005-0000-0000-0000144F0000}"/>
    <cellStyle name="Normal 2 5 3 6 3 3 2 3" xfId="39312" xr:uid="{00000000-0005-0000-0000-0000154F0000}"/>
    <cellStyle name="Normal 2 5 3 6 3 3 3" xfId="10178" xr:uid="{00000000-0005-0000-0000-0000164F0000}"/>
    <cellStyle name="Normal 2 5 3 6 3 3 3 2" xfId="35735" xr:uid="{00000000-0005-0000-0000-0000174F0000}"/>
    <cellStyle name="Normal 2 5 3 6 3 3 4" xfId="19001" xr:uid="{00000000-0005-0000-0000-0000184F0000}"/>
    <cellStyle name="Normal 2 5 3 6 3 3 4 2" xfId="44554" xr:uid="{00000000-0005-0000-0000-0000194F0000}"/>
    <cellStyle name="Normal 2 5 3 6 3 3 5" xfId="30491" xr:uid="{00000000-0005-0000-0000-00001A4F0000}"/>
    <cellStyle name="Normal 2 5 3 6 3 4" xfId="2586" xr:uid="{00000000-0005-0000-0000-00001B4F0000}"/>
    <cellStyle name="Normal 2 5 3 6 3 4 2" xfId="11950" xr:uid="{00000000-0005-0000-0000-00001C4F0000}"/>
    <cellStyle name="Normal 2 5 3 6 3 4 2 2" xfId="37505" xr:uid="{00000000-0005-0000-0000-00001D4F0000}"/>
    <cellStyle name="Normal 2 5 3 6 3 4 3" xfId="21954" xr:uid="{00000000-0005-0000-0000-00001E4F0000}"/>
    <cellStyle name="Normal 2 5 3 6 3 4 3 2" xfId="47507" xr:uid="{00000000-0005-0000-0000-00001F4F0000}"/>
    <cellStyle name="Normal 2 5 3 6 3 4 4" xfId="28437" xr:uid="{00000000-0005-0000-0000-0000204F0000}"/>
    <cellStyle name="Normal 2 5 3 6 3 5" xfId="6375" xr:uid="{00000000-0005-0000-0000-0000214F0000}"/>
    <cellStyle name="Normal 2 5 3 6 3 5 2" xfId="15202" xr:uid="{00000000-0005-0000-0000-0000224F0000}"/>
    <cellStyle name="Normal 2 5 3 6 3 5 2 2" xfId="40757" xr:uid="{00000000-0005-0000-0000-0000234F0000}"/>
    <cellStyle name="Normal 2 5 3 6 3 5 3" xfId="25453" xr:uid="{00000000-0005-0000-0000-0000244F0000}"/>
    <cellStyle name="Normal 2 5 3 6 3 5 3 2" xfId="51006" xr:uid="{00000000-0005-0000-0000-0000254F0000}"/>
    <cellStyle name="Normal 2 5 3 6 3 5 4" xfId="31936" xr:uid="{00000000-0005-0000-0000-0000264F0000}"/>
    <cellStyle name="Normal 2 5 3 6 3 6" xfId="7821" xr:uid="{00000000-0005-0000-0000-0000274F0000}"/>
    <cellStyle name="Normal 2 5 3 6 3 6 2" xfId="20476" xr:uid="{00000000-0005-0000-0000-0000284F0000}"/>
    <cellStyle name="Normal 2 5 3 6 3 6 2 2" xfId="46029" xr:uid="{00000000-0005-0000-0000-0000294F0000}"/>
    <cellStyle name="Normal 2 5 3 6 3 6 3" xfId="33378" xr:uid="{00000000-0005-0000-0000-00002A4F0000}"/>
    <cellStyle name="Normal 2 5 3 6 3 7" xfId="16947" xr:uid="{00000000-0005-0000-0000-00002B4F0000}"/>
    <cellStyle name="Normal 2 5 3 6 3 7 2" xfId="42500" xr:uid="{00000000-0005-0000-0000-00002C4F0000}"/>
    <cellStyle name="Normal 2 5 3 6 3 8" xfId="26959" xr:uid="{00000000-0005-0000-0000-00002D4F0000}"/>
    <cellStyle name="Normal 2 5 3 6 4" xfId="2807" xr:uid="{00000000-0005-0000-0000-00002E4F0000}"/>
    <cellStyle name="Normal 2 5 3 6 4 2" xfId="5185" xr:uid="{00000000-0005-0000-0000-00002F4F0000}"/>
    <cellStyle name="Normal 2 5 3 6 4 2 2" xfId="14022" xr:uid="{00000000-0005-0000-0000-0000304F0000}"/>
    <cellStyle name="Normal 2 5 3 6 4 2 2 2" xfId="24273" xr:uid="{00000000-0005-0000-0000-0000314F0000}"/>
    <cellStyle name="Normal 2 5 3 6 4 2 2 2 2" xfId="49826" xr:uid="{00000000-0005-0000-0000-0000324F0000}"/>
    <cellStyle name="Normal 2 5 3 6 4 2 2 3" xfId="39577" xr:uid="{00000000-0005-0000-0000-0000334F0000}"/>
    <cellStyle name="Normal 2 5 3 6 4 2 3" xfId="10443" xr:uid="{00000000-0005-0000-0000-0000344F0000}"/>
    <cellStyle name="Normal 2 5 3 6 4 2 3 2" xfId="36000" xr:uid="{00000000-0005-0000-0000-0000354F0000}"/>
    <cellStyle name="Normal 2 5 3 6 4 2 4" xfId="19266" xr:uid="{00000000-0005-0000-0000-0000364F0000}"/>
    <cellStyle name="Normal 2 5 3 6 4 2 4 2" xfId="44819" xr:uid="{00000000-0005-0000-0000-0000374F0000}"/>
    <cellStyle name="Normal 2 5 3 6 4 2 5" xfId="30756" xr:uid="{00000000-0005-0000-0000-0000384F0000}"/>
    <cellStyle name="Normal 2 5 3 6 4 3" xfId="6640" xr:uid="{00000000-0005-0000-0000-0000394F0000}"/>
    <cellStyle name="Normal 2 5 3 6 4 3 2" xfId="15467" xr:uid="{00000000-0005-0000-0000-00003A4F0000}"/>
    <cellStyle name="Normal 2 5 3 6 4 3 2 2" xfId="41022" xr:uid="{00000000-0005-0000-0000-00003B4F0000}"/>
    <cellStyle name="Normal 2 5 3 6 4 3 3" xfId="25718" xr:uid="{00000000-0005-0000-0000-00003C4F0000}"/>
    <cellStyle name="Normal 2 5 3 6 4 3 3 2" xfId="51271" xr:uid="{00000000-0005-0000-0000-00003D4F0000}"/>
    <cellStyle name="Normal 2 5 3 6 4 3 4" xfId="32201" xr:uid="{00000000-0005-0000-0000-00003E4F0000}"/>
    <cellStyle name="Normal 2 5 3 6 4 4" xfId="8086" xr:uid="{00000000-0005-0000-0000-00003F4F0000}"/>
    <cellStyle name="Normal 2 5 3 6 4 4 2" xfId="22168" xr:uid="{00000000-0005-0000-0000-0000404F0000}"/>
    <cellStyle name="Normal 2 5 3 6 4 4 2 2" xfId="47721" xr:uid="{00000000-0005-0000-0000-0000414F0000}"/>
    <cellStyle name="Normal 2 5 3 6 4 4 3" xfId="33643" xr:uid="{00000000-0005-0000-0000-0000424F0000}"/>
    <cellStyle name="Normal 2 5 3 6 4 5" xfId="17161" xr:uid="{00000000-0005-0000-0000-0000434F0000}"/>
    <cellStyle name="Normal 2 5 3 6 4 5 2" xfId="42714" xr:uid="{00000000-0005-0000-0000-0000444F0000}"/>
    <cellStyle name="Normal 2 5 3 6 4 6" xfId="28651" xr:uid="{00000000-0005-0000-0000-0000454F0000}"/>
    <cellStyle name="Normal 2 5 3 6 5" xfId="4139" xr:uid="{00000000-0005-0000-0000-0000464F0000}"/>
    <cellStyle name="Normal 2 5 3 6 5 2" xfId="12977" xr:uid="{00000000-0005-0000-0000-0000474F0000}"/>
    <cellStyle name="Normal 2 5 3 6 5 2 2" xfId="23228" xr:uid="{00000000-0005-0000-0000-0000484F0000}"/>
    <cellStyle name="Normal 2 5 3 6 5 2 2 2" xfId="48781" xr:uid="{00000000-0005-0000-0000-0000494F0000}"/>
    <cellStyle name="Normal 2 5 3 6 5 2 3" xfId="38532" xr:uid="{00000000-0005-0000-0000-00004A4F0000}"/>
    <cellStyle name="Normal 2 5 3 6 5 3" xfId="9398" xr:uid="{00000000-0005-0000-0000-00004B4F0000}"/>
    <cellStyle name="Normal 2 5 3 6 5 3 2" xfId="34955" xr:uid="{00000000-0005-0000-0000-00004C4F0000}"/>
    <cellStyle name="Normal 2 5 3 6 5 4" xfId="18221" xr:uid="{00000000-0005-0000-0000-00004D4F0000}"/>
    <cellStyle name="Normal 2 5 3 6 5 4 2" xfId="43774" xr:uid="{00000000-0005-0000-0000-00004E4F0000}"/>
    <cellStyle name="Normal 2 5 3 6 5 5" xfId="29711" xr:uid="{00000000-0005-0000-0000-00004F4F0000}"/>
    <cellStyle name="Normal 2 5 3 6 6" xfId="1916" xr:uid="{00000000-0005-0000-0000-0000504F0000}"/>
    <cellStyle name="Normal 2 5 3 6 6 2" xfId="11281" xr:uid="{00000000-0005-0000-0000-0000514F0000}"/>
    <cellStyle name="Normal 2 5 3 6 6 2 2" xfId="36836" xr:uid="{00000000-0005-0000-0000-0000524F0000}"/>
    <cellStyle name="Normal 2 5 3 6 6 3" xfId="21285" xr:uid="{00000000-0005-0000-0000-0000534F0000}"/>
    <cellStyle name="Normal 2 5 3 6 6 3 2" xfId="46838" xr:uid="{00000000-0005-0000-0000-0000544F0000}"/>
    <cellStyle name="Normal 2 5 3 6 6 4" xfId="27768" xr:uid="{00000000-0005-0000-0000-0000554F0000}"/>
    <cellStyle name="Normal 2 5 3 6 7" xfId="5597" xr:uid="{00000000-0005-0000-0000-0000564F0000}"/>
    <cellStyle name="Normal 2 5 3 6 7 2" xfId="14424" xr:uid="{00000000-0005-0000-0000-0000574F0000}"/>
    <cellStyle name="Normal 2 5 3 6 7 2 2" xfId="39979" xr:uid="{00000000-0005-0000-0000-0000584F0000}"/>
    <cellStyle name="Normal 2 5 3 6 7 3" xfId="24675" xr:uid="{00000000-0005-0000-0000-0000594F0000}"/>
    <cellStyle name="Normal 2 5 3 6 7 3 2" xfId="50228" xr:uid="{00000000-0005-0000-0000-00005A4F0000}"/>
    <cellStyle name="Normal 2 5 3 6 7 4" xfId="31158" xr:uid="{00000000-0005-0000-0000-00005B4F0000}"/>
    <cellStyle name="Normal 2 5 3 6 8" xfId="7041" xr:uid="{00000000-0005-0000-0000-00005C4F0000}"/>
    <cellStyle name="Normal 2 5 3 6 8 2" xfId="19767" xr:uid="{00000000-0005-0000-0000-00005D4F0000}"/>
    <cellStyle name="Normal 2 5 3 6 8 2 2" xfId="45320" xr:uid="{00000000-0005-0000-0000-00005E4F0000}"/>
    <cellStyle name="Normal 2 5 3 6 8 3" xfId="32598" xr:uid="{00000000-0005-0000-0000-00005F4F0000}"/>
    <cellStyle name="Normal 2 5 3 6 9" xfId="16278" xr:uid="{00000000-0005-0000-0000-0000604F0000}"/>
    <cellStyle name="Normal 2 5 3 6 9 2" xfId="41831" xr:uid="{00000000-0005-0000-0000-0000614F0000}"/>
    <cellStyle name="Normal 2 5 3 6_Degree data" xfId="3868" xr:uid="{00000000-0005-0000-0000-0000624F0000}"/>
    <cellStyle name="Normal 2 5 3 7" xfId="747" xr:uid="{00000000-0005-0000-0000-0000634F0000}"/>
    <cellStyle name="Normal 2 5 3 7 2" xfId="3233" xr:uid="{00000000-0005-0000-0000-0000644F0000}"/>
    <cellStyle name="Normal 2 5 3 7 2 2" xfId="12375" xr:uid="{00000000-0005-0000-0000-0000654F0000}"/>
    <cellStyle name="Normal 2 5 3 7 2 2 2" xfId="22594" xr:uid="{00000000-0005-0000-0000-0000664F0000}"/>
    <cellStyle name="Normal 2 5 3 7 2 2 2 2" xfId="48147" xr:uid="{00000000-0005-0000-0000-0000674F0000}"/>
    <cellStyle name="Normal 2 5 3 7 2 2 3" xfId="37930" xr:uid="{00000000-0005-0000-0000-0000684F0000}"/>
    <cellStyle name="Normal 2 5 3 7 2 3" xfId="8797" xr:uid="{00000000-0005-0000-0000-0000694F0000}"/>
    <cellStyle name="Normal 2 5 3 7 2 3 2" xfId="34354" xr:uid="{00000000-0005-0000-0000-00006A4F0000}"/>
    <cellStyle name="Normal 2 5 3 7 2 4" xfId="17587" xr:uid="{00000000-0005-0000-0000-00006B4F0000}"/>
    <cellStyle name="Normal 2 5 3 7 2 4 2" xfId="43140" xr:uid="{00000000-0005-0000-0000-00006C4F0000}"/>
    <cellStyle name="Normal 2 5 3 7 2 5" xfId="29077" xr:uid="{00000000-0005-0000-0000-00006D4F0000}"/>
    <cellStyle name="Normal 2 5 3 7 3" xfId="4562" xr:uid="{00000000-0005-0000-0000-00006E4F0000}"/>
    <cellStyle name="Normal 2 5 3 7 3 2" xfId="13400" xr:uid="{00000000-0005-0000-0000-00006F4F0000}"/>
    <cellStyle name="Normal 2 5 3 7 3 2 2" xfId="23651" xr:uid="{00000000-0005-0000-0000-0000704F0000}"/>
    <cellStyle name="Normal 2 5 3 7 3 2 2 2" xfId="49204" xr:uid="{00000000-0005-0000-0000-0000714F0000}"/>
    <cellStyle name="Normal 2 5 3 7 3 2 3" xfId="38955" xr:uid="{00000000-0005-0000-0000-0000724F0000}"/>
    <cellStyle name="Normal 2 5 3 7 3 3" xfId="9821" xr:uid="{00000000-0005-0000-0000-0000734F0000}"/>
    <cellStyle name="Normal 2 5 3 7 3 3 2" xfId="35378" xr:uid="{00000000-0005-0000-0000-0000744F0000}"/>
    <cellStyle name="Normal 2 5 3 7 3 4" xfId="18644" xr:uid="{00000000-0005-0000-0000-0000754F0000}"/>
    <cellStyle name="Normal 2 5 3 7 3 4 2" xfId="44197" xr:uid="{00000000-0005-0000-0000-0000764F0000}"/>
    <cellStyle name="Normal 2 5 3 7 3 5" xfId="30134" xr:uid="{00000000-0005-0000-0000-0000774F0000}"/>
    <cellStyle name="Normal 2 5 3 7 4" xfId="2342" xr:uid="{00000000-0005-0000-0000-0000784F0000}"/>
    <cellStyle name="Normal 2 5 3 7 4 2" xfId="11707" xr:uid="{00000000-0005-0000-0000-0000794F0000}"/>
    <cellStyle name="Normal 2 5 3 7 4 2 2" xfId="37262" xr:uid="{00000000-0005-0000-0000-00007A4F0000}"/>
    <cellStyle name="Normal 2 5 3 7 4 3" xfId="21711" xr:uid="{00000000-0005-0000-0000-00007B4F0000}"/>
    <cellStyle name="Normal 2 5 3 7 4 3 2" xfId="47264" xr:uid="{00000000-0005-0000-0000-00007C4F0000}"/>
    <cellStyle name="Normal 2 5 3 7 4 4" xfId="28194" xr:uid="{00000000-0005-0000-0000-00007D4F0000}"/>
    <cellStyle name="Normal 2 5 3 7 5" xfId="6018" xr:uid="{00000000-0005-0000-0000-00007E4F0000}"/>
    <cellStyle name="Normal 2 5 3 7 5 2" xfId="14845" xr:uid="{00000000-0005-0000-0000-00007F4F0000}"/>
    <cellStyle name="Normal 2 5 3 7 5 2 2" xfId="40400" xr:uid="{00000000-0005-0000-0000-0000804F0000}"/>
    <cellStyle name="Normal 2 5 3 7 5 3" xfId="25096" xr:uid="{00000000-0005-0000-0000-0000814F0000}"/>
    <cellStyle name="Normal 2 5 3 7 5 3 2" xfId="50649" xr:uid="{00000000-0005-0000-0000-0000824F0000}"/>
    <cellStyle name="Normal 2 5 3 7 5 4" xfId="31579" xr:uid="{00000000-0005-0000-0000-0000834F0000}"/>
    <cellStyle name="Normal 2 5 3 7 6" xfId="7462" xr:uid="{00000000-0005-0000-0000-0000844F0000}"/>
    <cellStyle name="Normal 2 5 3 7 6 2" xfId="20193" xr:uid="{00000000-0005-0000-0000-0000854F0000}"/>
    <cellStyle name="Normal 2 5 3 7 6 2 2" xfId="45746" xr:uid="{00000000-0005-0000-0000-0000864F0000}"/>
    <cellStyle name="Normal 2 5 3 7 6 3" xfId="33019" xr:uid="{00000000-0005-0000-0000-0000874F0000}"/>
    <cellStyle name="Normal 2 5 3 7 7" xfId="16704" xr:uid="{00000000-0005-0000-0000-0000884F0000}"/>
    <cellStyle name="Normal 2 5 3 7 7 2" xfId="42257" xr:uid="{00000000-0005-0000-0000-0000894F0000}"/>
    <cellStyle name="Normal 2 5 3 7 8" xfId="26676" xr:uid="{00000000-0005-0000-0000-00008A4F0000}"/>
    <cellStyle name="Normal 2 5 3 8" xfId="1050" xr:uid="{00000000-0005-0000-0000-00008B4F0000}"/>
    <cellStyle name="Normal 2 5 3 8 2" xfId="3479" xr:uid="{00000000-0005-0000-0000-00008C4F0000}"/>
    <cellStyle name="Normal 2 5 3 8 2 2" xfId="12615" xr:uid="{00000000-0005-0000-0000-00008D4F0000}"/>
    <cellStyle name="Normal 2 5 3 8 2 2 2" xfId="22834" xr:uid="{00000000-0005-0000-0000-00008E4F0000}"/>
    <cellStyle name="Normal 2 5 3 8 2 2 2 2" xfId="48387" xr:uid="{00000000-0005-0000-0000-00008F4F0000}"/>
    <cellStyle name="Normal 2 5 3 8 2 2 3" xfId="38170" xr:uid="{00000000-0005-0000-0000-0000904F0000}"/>
    <cellStyle name="Normal 2 5 3 8 2 3" xfId="9037" xr:uid="{00000000-0005-0000-0000-0000914F0000}"/>
    <cellStyle name="Normal 2 5 3 8 2 3 2" xfId="34594" xr:uid="{00000000-0005-0000-0000-0000924F0000}"/>
    <cellStyle name="Normal 2 5 3 8 2 4" xfId="17827" xr:uid="{00000000-0005-0000-0000-0000934F0000}"/>
    <cellStyle name="Normal 2 5 3 8 2 4 2" xfId="43380" xr:uid="{00000000-0005-0000-0000-0000944F0000}"/>
    <cellStyle name="Normal 2 5 3 8 2 5" xfId="29317" xr:uid="{00000000-0005-0000-0000-0000954F0000}"/>
    <cellStyle name="Normal 2 5 3 8 3" xfId="4911" xr:uid="{00000000-0005-0000-0000-0000964F0000}"/>
    <cellStyle name="Normal 2 5 3 8 3 2" xfId="13748" xr:uid="{00000000-0005-0000-0000-0000974F0000}"/>
    <cellStyle name="Normal 2 5 3 8 3 2 2" xfId="23999" xr:uid="{00000000-0005-0000-0000-0000984F0000}"/>
    <cellStyle name="Normal 2 5 3 8 3 2 2 2" xfId="49552" xr:uid="{00000000-0005-0000-0000-0000994F0000}"/>
    <cellStyle name="Normal 2 5 3 8 3 2 3" xfId="39303" xr:uid="{00000000-0005-0000-0000-00009A4F0000}"/>
    <cellStyle name="Normal 2 5 3 8 3 3" xfId="10169" xr:uid="{00000000-0005-0000-0000-00009B4F0000}"/>
    <cellStyle name="Normal 2 5 3 8 3 3 2" xfId="35726" xr:uid="{00000000-0005-0000-0000-00009C4F0000}"/>
    <cellStyle name="Normal 2 5 3 8 3 4" xfId="18992" xr:uid="{00000000-0005-0000-0000-00009D4F0000}"/>
    <cellStyle name="Normal 2 5 3 8 3 4 2" xfId="44545" xr:uid="{00000000-0005-0000-0000-00009E4F0000}"/>
    <cellStyle name="Normal 2 5 3 8 3 5" xfId="30482" xr:uid="{00000000-0005-0000-0000-00009F4F0000}"/>
    <cellStyle name="Normal 2 5 3 8 4" xfId="1718" xr:uid="{00000000-0005-0000-0000-0000A04F0000}"/>
    <cellStyle name="Normal 2 5 3 8 4 2" xfId="11092" xr:uid="{00000000-0005-0000-0000-0000A14F0000}"/>
    <cellStyle name="Normal 2 5 3 8 4 2 2" xfId="36647" xr:uid="{00000000-0005-0000-0000-0000A24F0000}"/>
    <cellStyle name="Normal 2 5 3 8 4 3" xfId="21096" xr:uid="{00000000-0005-0000-0000-0000A34F0000}"/>
    <cellStyle name="Normal 2 5 3 8 4 3 2" xfId="46649" xr:uid="{00000000-0005-0000-0000-0000A44F0000}"/>
    <cellStyle name="Normal 2 5 3 8 4 4" xfId="27579" xr:uid="{00000000-0005-0000-0000-0000A54F0000}"/>
    <cellStyle name="Normal 2 5 3 8 5" xfId="6366" xr:uid="{00000000-0005-0000-0000-0000A64F0000}"/>
    <cellStyle name="Normal 2 5 3 8 5 2" xfId="15193" xr:uid="{00000000-0005-0000-0000-0000A74F0000}"/>
    <cellStyle name="Normal 2 5 3 8 5 2 2" xfId="40748" xr:uid="{00000000-0005-0000-0000-0000A84F0000}"/>
    <cellStyle name="Normal 2 5 3 8 5 3" xfId="25444" xr:uid="{00000000-0005-0000-0000-0000A94F0000}"/>
    <cellStyle name="Normal 2 5 3 8 5 3 2" xfId="50997" xr:uid="{00000000-0005-0000-0000-0000AA4F0000}"/>
    <cellStyle name="Normal 2 5 3 8 5 4" xfId="31927" xr:uid="{00000000-0005-0000-0000-0000AB4F0000}"/>
    <cellStyle name="Normal 2 5 3 8 6" xfId="7812" xr:uid="{00000000-0005-0000-0000-0000AC4F0000}"/>
    <cellStyle name="Normal 2 5 3 8 6 2" xfId="20433" xr:uid="{00000000-0005-0000-0000-0000AD4F0000}"/>
    <cellStyle name="Normal 2 5 3 8 6 2 2" xfId="45986" xr:uid="{00000000-0005-0000-0000-0000AE4F0000}"/>
    <cellStyle name="Normal 2 5 3 8 6 3" xfId="33369" xr:uid="{00000000-0005-0000-0000-0000AF4F0000}"/>
    <cellStyle name="Normal 2 5 3 8 7" xfId="16089" xr:uid="{00000000-0005-0000-0000-0000B04F0000}"/>
    <cellStyle name="Normal 2 5 3 8 7 2" xfId="41642" xr:uid="{00000000-0005-0000-0000-0000B14F0000}"/>
    <cellStyle name="Normal 2 5 3 8 8" xfId="26916" xr:uid="{00000000-0005-0000-0000-0000B24F0000}"/>
    <cellStyle name="Normal 2 5 3 9" xfId="2616" xr:uid="{00000000-0005-0000-0000-0000B34F0000}"/>
    <cellStyle name="Normal 2 5 3 9 2" xfId="5142" xr:uid="{00000000-0005-0000-0000-0000B44F0000}"/>
    <cellStyle name="Normal 2 5 3 9 2 2" xfId="13979" xr:uid="{00000000-0005-0000-0000-0000B54F0000}"/>
    <cellStyle name="Normal 2 5 3 9 2 2 2" xfId="24230" xr:uid="{00000000-0005-0000-0000-0000B64F0000}"/>
    <cellStyle name="Normal 2 5 3 9 2 2 2 2" xfId="49783" xr:uid="{00000000-0005-0000-0000-0000B74F0000}"/>
    <cellStyle name="Normal 2 5 3 9 2 2 3" xfId="39534" xr:uid="{00000000-0005-0000-0000-0000B84F0000}"/>
    <cellStyle name="Normal 2 5 3 9 2 3" xfId="10400" xr:uid="{00000000-0005-0000-0000-0000B94F0000}"/>
    <cellStyle name="Normal 2 5 3 9 2 3 2" xfId="35957" xr:uid="{00000000-0005-0000-0000-0000BA4F0000}"/>
    <cellStyle name="Normal 2 5 3 9 2 4" xfId="19223" xr:uid="{00000000-0005-0000-0000-0000BB4F0000}"/>
    <cellStyle name="Normal 2 5 3 9 2 4 2" xfId="44776" xr:uid="{00000000-0005-0000-0000-0000BC4F0000}"/>
    <cellStyle name="Normal 2 5 3 9 2 5" xfId="30713" xr:uid="{00000000-0005-0000-0000-0000BD4F0000}"/>
    <cellStyle name="Normal 2 5 3 9 3" xfId="6597" xr:uid="{00000000-0005-0000-0000-0000BE4F0000}"/>
    <cellStyle name="Normal 2 5 3 9 3 2" xfId="15424" xr:uid="{00000000-0005-0000-0000-0000BF4F0000}"/>
    <cellStyle name="Normal 2 5 3 9 3 2 2" xfId="40979" xr:uid="{00000000-0005-0000-0000-0000C04F0000}"/>
    <cellStyle name="Normal 2 5 3 9 3 3" xfId="25675" xr:uid="{00000000-0005-0000-0000-0000C14F0000}"/>
    <cellStyle name="Normal 2 5 3 9 3 3 2" xfId="51228" xr:uid="{00000000-0005-0000-0000-0000C24F0000}"/>
    <cellStyle name="Normal 2 5 3 9 3 4" xfId="32158" xr:uid="{00000000-0005-0000-0000-0000C34F0000}"/>
    <cellStyle name="Normal 2 5 3 9 4" xfId="8043" xr:uid="{00000000-0005-0000-0000-0000C44F0000}"/>
    <cellStyle name="Normal 2 5 3 9 4 2" xfId="21979" xr:uid="{00000000-0005-0000-0000-0000C54F0000}"/>
    <cellStyle name="Normal 2 5 3 9 4 2 2" xfId="47532" xr:uid="{00000000-0005-0000-0000-0000C64F0000}"/>
    <cellStyle name="Normal 2 5 3 9 4 3" xfId="33600" xr:uid="{00000000-0005-0000-0000-0000C74F0000}"/>
    <cellStyle name="Normal 2 5 3 9 5" xfId="16972" xr:uid="{00000000-0005-0000-0000-0000C84F0000}"/>
    <cellStyle name="Normal 2 5 3 9 5 2" xfId="42525" xr:uid="{00000000-0005-0000-0000-0000C94F0000}"/>
    <cellStyle name="Normal 2 5 3 9 6" xfId="28462" xr:uid="{00000000-0005-0000-0000-0000CA4F0000}"/>
    <cellStyle name="Normal 2 5 3_Degree data" xfId="3926" xr:uid="{00000000-0005-0000-0000-0000CB4F0000}"/>
    <cellStyle name="Normal 2 5 4" xfId="125" xr:uid="{00000000-0005-0000-0000-0000CC4F0000}"/>
    <cellStyle name="Normal 2 5 4 10" xfId="4112" xr:uid="{00000000-0005-0000-0000-0000CD4F0000}"/>
    <cellStyle name="Normal 2 5 4 10 2" xfId="5570" xr:uid="{00000000-0005-0000-0000-0000CE4F0000}"/>
    <cellStyle name="Normal 2 5 4 10 2 2" xfId="14397" xr:uid="{00000000-0005-0000-0000-0000CF4F0000}"/>
    <cellStyle name="Normal 2 5 4 10 2 2 2" xfId="39952" xr:uid="{00000000-0005-0000-0000-0000D04F0000}"/>
    <cellStyle name="Normal 2 5 4 10 2 3" xfId="24648" xr:uid="{00000000-0005-0000-0000-0000D14F0000}"/>
    <cellStyle name="Normal 2 5 4 10 2 3 2" xfId="50201" xr:uid="{00000000-0005-0000-0000-0000D24F0000}"/>
    <cellStyle name="Normal 2 5 4 10 2 4" xfId="31131" xr:uid="{00000000-0005-0000-0000-0000D34F0000}"/>
    <cellStyle name="Normal 2 5 4 10 3" xfId="7014" xr:uid="{00000000-0005-0000-0000-0000D44F0000}"/>
    <cellStyle name="Normal 2 5 4 10 3 2" xfId="23201" xr:uid="{00000000-0005-0000-0000-0000D54F0000}"/>
    <cellStyle name="Normal 2 5 4 10 3 2 2" xfId="48754" xr:uid="{00000000-0005-0000-0000-0000D64F0000}"/>
    <cellStyle name="Normal 2 5 4 10 3 3" xfId="32571" xr:uid="{00000000-0005-0000-0000-0000D74F0000}"/>
    <cellStyle name="Normal 2 5 4 10 4" xfId="18194" xr:uid="{00000000-0005-0000-0000-0000D84F0000}"/>
    <cellStyle name="Normal 2 5 4 10 4 2" xfId="43747" xr:uid="{00000000-0005-0000-0000-0000D94F0000}"/>
    <cellStyle name="Normal 2 5 4 10 5" xfId="29684" xr:uid="{00000000-0005-0000-0000-0000DA4F0000}"/>
    <cellStyle name="Normal 2 5 4 11" xfId="1431" xr:uid="{00000000-0005-0000-0000-0000DB4F0000}"/>
    <cellStyle name="Normal 2 5 4 11 2" xfId="10808" xr:uid="{00000000-0005-0000-0000-0000DC4F0000}"/>
    <cellStyle name="Normal 2 5 4 11 2 2" xfId="36363" xr:uid="{00000000-0005-0000-0000-0000DD4F0000}"/>
    <cellStyle name="Normal 2 5 4 11 3" xfId="20812" xr:uid="{00000000-0005-0000-0000-0000DE4F0000}"/>
    <cellStyle name="Normal 2 5 4 11 3 2" xfId="46365" xr:uid="{00000000-0005-0000-0000-0000DF4F0000}"/>
    <cellStyle name="Normal 2 5 4 11 4" xfId="27295" xr:uid="{00000000-0005-0000-0000-0000E04F0000}"/>
    <cellStyle name="Normal 2 5 4 12" xfId="5540" xr:uid="{00000000-0005-0000-0000-0000E14F0000}"/>
    <cellStyle name="Normal 2 5 4 12 2" xfId="14367" xr:uid="{00000000-0005-0000-0000-0000E24F0000}"/>
    <cellStyle name="Normal 2 5 4 12 2 2" xfId="39922" xr:uid="{00000000-0005-0000-0000-0000E34F0000}"/>
    <cellStyle name="Normal 2 5 4 12 3" xfId="24618" xr:uid="{00000000-0005-0000-0000-0000E44F0000}"/>
    <cellStyle name="Normal 2 5 4 12 3 2" xfId="50171" xr:uid="{00000000-0005-0000-0000-0000E54F0000}"/>
    <cellStyle name="Normal 2 5 4 12 4" xfId="31101" xr:uid="{00000000-0005-0000-0000-0000E64F0000}"/>
    <cellStyle name="Normal 2 5 4 13" xfId="6984" xr:uid="{00000000-0005-0000-0000-0000E74F0000}"/>
    <cellStyle name="Normal 2 5 4 13 2" xfId="19592" xr:uid="{00000000-0005-0000-0000-0000E84F0000}"/>
    <cellStyle name="Normal 2 5 4 13 2 2" xfId="45145" xr:uid="{00000000-0005-0000-0000-0000E94F0000}"/>
    <cellStyle name="Normal 2 5 4 13 3" xfId="32541" xr:uid="{00000000-0005-0000-0000-0000EA4F0000}"/>
    <cellStyle name="Normal 2 5 4 14" xfId="15805" xr:uid="{00000000-0005-0000-0000-0000EB4F0000}"/>
    <cellStyle name="Normal 2 5 4 14 2" xfId="41358" xr:uid="{00000000-0005-0000-0000-0000EC4F0000}"/>
    <cellStyle name="Normal 2 5 4 15" xfId="26075" xr:uid="{00000000-0005-0000-0000-0000ED4F0000}"/>
    <cellStyle name="Normal 2 5 4 2" xfId="166" xr:uid="{00000000-0005-0000-0000-0000EE4F0000}"/>
    <cellStyle name="Normal 2 5 4 2 10" xfId="5672" xr:uid="{00000000-0005-0000-0000-0000EF4F0000}"/>
    <cellStyle name="Normal 2 5 4 2 10 2" xfId="14499" xr:uid="{00000000-0005-0000-0000-0000F04F0000}"/>
    <cellStyle name="Normal 2 5 4 2 10 2 2" xfId="40054" xr:uid="{00000000-0005-0000-0000-0000F14F0000}"/>
    <cellStyle name="Normal 2 5 4 2 10 3" xfId="24750" xr:uid="{00000000-0005-0000-0000-0000F24F0000}"/>
    <cellStyle name="Normal 2 5 4 2 10 3 2" xfId="50303" xr:uid="{00000000-0005-0000-0000-0000F34F0000}"/>
    <cellStyle name="Normal 2 5 4 2 10 4" xfId="31233" xr:uid="{00000000-0005-0000-0000-0000F44F0000}"/>
    <cellStyle name="Normal 2 5 4 2 11" xfId="7116" xr:uid="{00000000-0005-0000-0000-0000F54F0000}"/>
    <cellStyle name="Normal 2 5 4 2 11 2" xfId="19625" xr:uid="{00000000-0005-0000-0000-0000F64F0000}"/>
    <cellStyle name="Normal 2 5 4 2 11 2 2" xfId="45178" xr:uid="{00000000-0005-0000-0000-0000F74F0000}"/>
    <cellStyle name="Normal 2 5 4 2 11 3" xfId="32673" xr:uid="{00000000-0005-0000-0000-0000F84F0000}"/>
    <cellStyle name="Normal 2 5 4 2 12" xfId="15862" xr:uid="{00000000-0005-0000-0000-0000F94F0000}"/>
    <cellStyle name="Normal 2 5 4 2 12 2" xfId="41415" xr:uid="{00000000-0005-0000-0000-0000FA4F0000}"/>
    <cellStyle name="Normal 2 5 4 2 13" xfId="26108" xr:uid="{00000000-0005-0000-0000-0000FB4F0000}"/>
    <cellStyle name="Normal 2 5 4 2 2" xfId="278" xr:uid="{00000000-0005-0000-0000-0000FC4F0000}"/>
    <cellStyle name="Normal 2 5 4 2 2 10" xfId="16066" xr:uid="{00000000-0005-0000-0000-0000FD4F0000}"/>
    <cellStyle name="Normal 2 5 4 2 2 10 2" xfId="41619" xr:uid="{00000000-0005-0000-0000-0000FE4F0000}"/>
    <cellStyle name="Normal 2 5 4 2 2 11" xfId="26212" xr:uid="{00000000-0005-0000-0000-0000FF4F0000}"/>
    <cellStyle name="Normal 2 5 4 2 2 2" xfId="600" xr:uid="{00000000-0005-0000-0000-000000500000}"/>
    <cellStyle name="Normal 2 5 4 2 2 2 2" xfId="3086" xr:uid="{00000000-0005-0000-0000-000001500000}"/>
    <cellStyle name="Normal 2 5 4 2 2 2 2 2" xfId="12229" xr:uid="{00000000-0005-0000-0000-000002500000}"/>
    <cellStyle name="Normal 2 5 4 2 2 2 2 2 2" xfId="22447" xr:uid="{00000000-0005-0000-0000-000003500000}"/>
    <cellStyle name="Normal 2 5 4 2 2 2 2 2 2 2" xfId="48000" xr:uid="{00000000-0005-0000-0000-000004500000}"/>
    <cellStyle name="Normal 2 5 4 2 2 2 2 2 3" xfId="37784" xr:uid="{00000000-0005-0000-0000-000005500000}"/>
    <cellStyle name="Normal 2 5 4 2 2 2 2 3" xfId="8651" xr:uid="{00000000-0005-0000-0000-000006500000}"/>
    <cellStyle name="Normal 2 5 4 2 2 2 2 3 2" xfId="34208" xr:uid="{00000000-0005-0000-0000-000007500000}"/>
    <cellStyle name="Normal 2 5 4 2 2 2 2 4" xfId="17440" xr:uid="{00000000-0005-0000-0000-000008500000}"/>
    <cellStyle name="Normal 2 5 4 2 2 2 2 4 2" xfId="42993" xr:uid="{00000000-0005-0000-0000-000009500000}"/>
    <cellStyle name="Normal 2 5 4 2 2 2 2 5" xfId="28930" xr:uid="{00000000-0005-0000-0000-00000A500000}"/>
    <cellStyle name="Normal 2 5 4 2 2 2 3" xfId="4574" xr:uid="{00000000-0005-0000-0000-00000B500000}"/>
    <cellStyle name="Normal 2 5 4 2 2 2 3 2" xfId="13412" xr:uid="{00000000-0005-0000-0000-00000C500000}"/>
    <cellStyle name="Normal 2 5 4 2 2 2 3 2 2" xfId="23663" xr:uid="{00000000-0005-0000-0000-00000D500000}"/>
    <cellStyle name="Normal 2 5 4 2 2 2 3 2 2 2" xfId="49216" xr:uid="{00000000-0005-0000-0000-00000E500000}"/>
    <cellStyle name="Normal 2 5 4 2 2 2 3 2 3" xfId="38967" xr:uid="{00000000-0005-0000-0000-00000F500000}"/>
    <cellStyle name="Normal 2 5 4 2 2 2 3 3" xfId="9833" xr:uid="{00000000-0005-0000-0000-000010500000}"/>
    <cellStyle name="Normal 2 5 4 2 2 2 3 3 2" xfId="35390" xr:uid="{00000000-0005-0000-0000-000011500000}"/>
    <cellStyle name="Normal 2 5 4 2 2 2 3 4" xfId="18656" xr:uid="{00000000-0005-0000-0000-000012500000}"/>
    <cellStyle name="Normal 2 5 4 2 2 2 3 4 2" xfId="44209" xr:uid="{00000000-0005-0000-0000-000013500000}"/>
    <cellStyle name="Normal 2 5 4 2 2 2 3 5" xfId="30146" xr:uid="{00000000-0005-0000-0000-000014500000}"/>
    <cellStyle name="Normal 2 5 4 2 2 2 4" xfId="2195" xr:uid="{00000000-0005-0000-0000-000015500000}"/>
    <cellStyle name="Normal 2 5 4 2 2 2 4 2" xfId="11560" xr:uid="{00000000-0005-0000-0000-000016500000}"/>
    <cellStyle name="Normal 2 5 4 2 2 2 4 2 2" xfId="37115" xr:uid="{00000000-0005-0000-0000-000017500000}"/>
    <cellStyle name="Normal 2 5 4 2 2 2 4 3" xfId="21564" xr:uid="{00000000-0005-0000-0000-000018500000}"/>
    <cellStyle name="Normal 2 5 4 2 2 2 4 3 2" xfId="47117" xr:uid="{00000000-0005-0000-0000-000019500000}"/>
    <cellStyle name="Normal 2 5 4 2 2 2 4 4" xfId="28047" xr:uid="{00000000-0005-0000-0000-00001A500000}"/>
    <cellStyle name="Normal 2 5 4 2 2 2 5" xfId="6030" xr:uid="{00000000-0005-0000-0000-00001B500000}"/>
    <cellStyle name="Normal 2 5 4 2 2 2 5 2" xfId="14857" xr:uid="{00000000-0005-0000-0000-00001C500000}"/>
    <cellStyle name="Normal 2 5 4 2 2 2 5 2 2" xfId="40412" xr:uid="{00000000-0005-0000-0000-00001D500000}"/>
    <cellStyle name="Normal 2 5 4 2 2 2 5 3" xfId="25108" xr:uid="{00000000-0005-0000-0000-00001E500000}"/>
    <cellStyle name="Normal 2 5 4 2 2 2 5 3 2" xfId="50661" xr:uid="{00000000-0005-0000-0000-00001F500000}"/>
    <cellStyle name="Normal 2 5 4 2 2 2 5 4" xfId="31591" xr:uid="{00000000-0005-0000-0000-000020500000}"/>
    <cellStyle name="Normal 2 5 4 2 2 2 6" xfId="7474" xr:uid="{00000000-0005-0000-0000-000021500000}"/>
    <cellStyle name="Normal 2 5 4 2 2 2 6 2" xfId="20046" xr:uid="{00000000-0005-0000-0000-000022500000}"/>
    <cellStyle name="Normal 2 5 4 2 2 2 6 2 2" xfId="45599" xr:uid="{00000000-0005-0000-0000-000023500000}"/>
    <cellStyle name="Normal 2 5 4 2 2 2 6 3" xfId="33031" xr:uid="{00000000-0005-0000-0000-000024500000}"/>
    <cellStyle name="Normal 2 5 4 2 2 2 7" xfId="16557" xr:uid="{00000000-0005-0000-0000-000025500000}"/>
    <cellStyle name="Normal 2 5 4 2 2 2 7 2" xfId="42110" xr:uid="{00000000-0005-0000-0000-000026500000}"/>
    <cellStyle name="Normal 2 5 4 2 2 2 8" xfId="26529" xr:uid="{00000000-0005-0000-0000-000027500000}"/>
    <cellStyle name="Normal 2 5 4 2 2 3" xfId="759" xr:uid="{00000000-0005-0000-0000-000028500000}"/>
    <cellStyle name="Normal 2 5 4 2 2 3 2" xfId="3245" xr:uid="{00000000-0005-0000-0000-000029500000}"/>
    <cellStyle name="Normal 2 5 4 2 2 3 2 2" xfId="12387" xr:uid="{00000000-0005-0000-0000-00002A500000}"/>
    <cellStyle name="Normal 2 5 4 2 2 3 2 2 2" xfId="22606" xr:uid="{00000000-0005-0000-0000-00002B500000}"/>
    <cellStyle name="Normal 2 5 4 2 2 3 2 2 2 2" xfId="48159" xr:uid="{00000000-0005-0000-0000-00002C500000}"/>
    <cellStyle name="Normal 2 5 4 2 2 3 2 2 3" xfId="37942" xr:uid="{00000000-0005-0000-0000-00002D500000}"/>
    <cellStyle name="Normal 2 5 4 2 2 3 2 3" xfId="8809" xr:uid="{00000000-0005-0000-0000-00002E500000}"/>
    <cellStyle name="Normal 2 5 4 2 2 3 2 3 2" xfId="34366" xr:uid="{00000000-0005-0000-0000-00002F500000}"/>
    <cellStyle name="Normal 2 5 4 2 2 3 2 4" xfId="17599" xr:uid="{00000000-0005-0000-0000-000030500000}"/>
    <cellStyle name="Normal 2 5 4 2 2 3 2 4 2" xfId="43152" xr:uid="{00000000-0005-0000-0000-000031500000}"/>
    <cellStyle name="Normal 2 5 4 2 2 3 2 5" xfId="29089" xr:uid="{00000000-0005-0000-0000-000032500000}"/>
    <cellStyle name="Normal 2 5 4 2 2 3 3" xfId="4923" xr:uid="{00000000-0005-0000-0000-000033500000}"/>
    <cellStyle name="Normal 2 5 4 2 2 3 3 2" xfId="13760" xr:uid="{00000000-0005-0000-0000-000034500000}"/>
    <cellStyle name="Normal 2 5 4 2 2 3 3 2 2" xfId="24011" xr:uid="{00000000-0005-0000-0000-000035500000}"/>
    <cellStyle name="Normal 2 5 4 2 2 3 3 2 2 2" xfId="49564" xr:uid="{00000000-0005-0000-0000-000036500000}"/>
    <cellStyle name="Normal 2 5 4 2 2 3 3 2 3" xfId="39315" xr:uid="{00000000-0005-0000-0000-000037500000}"/>
    <cellStyle name="Normal 2 5 4 2 2 3 3 3" xfId="10181" xr:uid="{00000000-0005-0000-0000-000038500000}"/>
    <cellStyle name="Normal 2 5 4 2 2 3 3 3 2" xfId="35738" xr:uid="{00000000-0005-0000-0000-000039500000}"/>
    <cellStyle name="Normal 2 5 4 2 2 3 3 4" xfId="19004" xr:uid="{00000000-0005-0000-0000-00003A500000}"/>
    <cellStyle name="Normal 2 5 4 2 2 3 3 4 2" xfId="44557" xr:uid="{00000000-0005-0000-0000-00003B500000}"/>
    <cellStyle name="Normal 2 5 4 2 2 3 3 5" xfId="30494" xr:uid="{00000000-0005-0000-0000-00003C500000}"/>
    <cellStyle name="Normal 2 5 4 2 2 3 4" xfId="2354" xr:uid="{00000000-0005-0000-0000-00003D500000}"/>
    <cellStyle name="Normal 2 5 4 2 2 3 4 2" xfId="11719" xr:uid="{00000000-0005-0000-0000-00003E500000}"/>
    <cellStyle name="Normal 2 5 4 2 2 3 4 2 2" xfId="37274" xr:uid="{00000000-0005-0000-0000-00003F500000}"/>
    <cellStyle name="Normal 2 5 4 2 2 3 4 3" xfId="21723" xr:uid="{00000000-0005-0000-0000-000040500000}"/>
    <cellStyle name="Normal 2 5 4 2 2 3 4 3 2" xfId="47276" xr:uid="{00000000-0005-0000-0000-000041500000}"/>
    <cellStyle name="Normal 2 5 4 2 2 3 4 4" xfId="28206" xr:uid="{00000000-0005-0000-0000-000042500000}"/>
    <cellStyle name="Normal 2 5 4 2 2 3 5" xfId="6378" xr:uid="{00000000-0005-0000-0000-000043500000}"/>
    <cellStyle name="Normal 2 5 4 2 2 3 5 2" xfId="15205" xr:uid="{00000000-0005-0000-0000-000044500000}"/>
    <cellStyle name="Normal 2 5 4 2 2 3 5 2 2" xfId="40760" xr:uid="{00000000-0005-0000-0000-000045500000}"/>
    <cellStyle name="Normal 2 5 4 2 2 3 5 3" xfId="25456" xr:uid="{00000000-0005-0000-0000-000046500000}"/>
    <cellStyle name="Normal 2 5 4 2 2 3 5 3 2" xfId="51009" xr:uid="{00000000-0005-0000-0000-000047500000}"/>
    <cellStyle name="Normal 2 5 4 2 2 3 5 4" xfId="31939" xr:uid="{00000000-0005-0000-0000-000048500000}"/>
    <cellStyle name="Normal 2 5 4 2 2 3 6" xfId="7824" xr:uid="{00000000-0005-0000-0000-000049500000}"/>
    <cellStyle name="Normal 2 5 4 2 2 3 6 2" xfId="20205" xr:uid="{00000000-0005-0000-0000-00004A500000}"/>
    <cellStyle name="Normal 2 5 4 2 2 3 6 2 2" xfId="45758" xr:uid="{00000000-0005-0000-0000-00004B500000}"/>
    <cellStyle name="Normal 2 5 4 2 2 3 6 3" xfId="33381" xr:uid="{00000000-0005-0000-0000-00004C500000}"/>
    <cellStyle name="Normal 2 5 4 2 2 3 7" xfId="16716" xr:uid="{00000000-0005-0000-0000-00004D500000}"/>
    <cellStyle name="Normal 2 5 4 2 2 3 7 2" xfId="42269" xr:uid="{00000000-0005-0000-0000-00004E500000}"/>
    <cellStyle name="Normal 2 5 4 2 2 3 8" xfId="26688" xr:uid="{00000000-0005-0000-0000-00004F500000}"/>
    <cellStyle name="Normal 2 5 4 2 2 4" xfId="1372" xr:uid="{00000000-0005-0000-0000-000050500000}"/>
    <cellStyle name="Normal 2 5 4 2 2 4 2" xfId="3801" xr:uid="{00000000-0005-0000-0000-000051500000}"/>
    <cellStyle name="Normal 2 5 4 2 2 4 2 2" xfId="12937" xr:uid="{00000000-0005-0000-0000-000052500000}"/>
    <cellStyle name="Normal 2 5 4 2 2 4 2 2 2" xfId="23156" xr:uid="{00000000-0005-0000-0000-000053500000}"/>
    <cellStyle name="Normal 2 5 4 2 2 4 2 2 2 2" xfId="48709" xr:uid="{00000000-0005-0000-0000-000054500000}"/>
    <cellStyle name="Normal 2 5 4 2 2 4 2 2 3" xfId="38492" xr:uid="{00000000-0005-0000-0000-000055500000}"/>
    <cellStyle name="Normal 2 5 4 2 2 4 2 3" xfId="9358" xr:uid="{00000000-0005-0000-0000-000056500000}"/>
    <cellStyle name="Normal 2 5 4 2 2 4 2 3 2" xfId="34915" xr:uid="{00000000-0005-0000-0000-000057500000}"/>
    <cellStyle name="Normal 2 5 4 2 2 4 2 4" xfId="18149" xr:uid="{00000000-0005-0000-0000-000058500000}"/>
    <cellStyle name="Normal 2 5 4 2 2 4 2 4 2" xfId="43702" xr:uid="{00000000-0005-0000-0000-000059500000}"/>
    <cellStyle name="Normal 2 5 4 2 2 4 2 5" xfId="29639" xr:uid="{00000000-0005-0000-0000-00005A500000}"/>
    <cellStyle name="Normal 2 5 4 2 2 4 3" xfId="5464" xr:uid="{00000000-0005-0000-0000-00005B500000}"/>
    <cellStyle name="Normal 2 5 4 2 2 4 3 2" xfId="14301" xr:uid="{00000000-0005-0000-0000-00005C500000}"/>
    <cellStyle name="Normal 2 5 4 2 2 4 3 2 2" xfId="24552" xr:uid="{00000000-0005-0000-0000-00005D500000}"/>
    <cellStyle name="Normal 2 5 4 2 2 4 3 2 2 2" xfId="50105" xr:uid="{00000000-0005-0000-0000-00005E500000}"/>
    <cellStyle name="Normal 2 5 4 2 2 4 3 2 3" xfId="39856" xr:uid="{00000000-0005-0000-0000-00005F500000}"/>
    <cellStyle name="Normal 2 5 4 2 2 4 3 3" xfId="10722" xr:uid="{00000000-0005-0000-0000-000060500000}"/>
    <cellStyle name="Normal 2 5 4 2 2 4 3 3 2" xfId="36279" xr:uid="{00000000-0005-0000-0000-000061500000}"/>
    <cellStyle name="Normal 2 5 4 2 2 4 3 4" xfId="19545" xr:uid="{00000000-0005-0000-0000-000062500000}"/>
    <cellStyle name="Normal 2 5 4 2 2 4 3 4 2" xfId="45098" xr:uid="{00000000-0005-0000-0000-000063500000}"/>
    <cellStyle name="Normal 2 5 4 2 2 4 3 5" xfId="31035" xr:uid="{00000000-0005-0000-0000-000064500000}"/>
    <cellStyle name="Normal 2 5 4 2 2 4 4" xfId="1875" xr:uid="{00000000-0005-0000-0000-000065500000}"/>
    <cellStyle name="Normal 2 5 4 2 2 4 4 2" xfId="11243" xr:uid="{00000000-0005-0000-0000-000066500000}"/>
    <cellStyle name="Normal 2 5 4 2 2 4 4 2 2" xfId="36798" xr:uid="{00000000-0005-0000-0000-000067500000}"/>
    <cellStyle name="Normal 2 5 4 2 2 4 4 3" xfId="21247" xr:uid="{00000000-0005-0000-0000-000068500000}"/>
    <cellStyle name="Normal 2 5 4 2 2 4 4 3 2" xfId="46800" xr:uid="{00000000-0005-0000-0000-000069500000}"/>
    <cellStyle name="Normal 2 5 4 2 2 4 4 4" xfId="27730" xr:uid="{00000000-0005-0000-0000-00006A500000}"/>
    <cellStyle name="Normal 2 5 4 2 2 4 5" xfId="6919" xr:uid="{00000000-0005-0000-0000-00006B500000}"/>
    <cellStyle name="Normal 2 5 4 2 2 4 5 2" xfId="15746" xr:uid="{00000000-0005-0000-0000-00006C500000}"/>
    <cellStyle name="Normal 2 5 4 2 2 4 5 2 2" xfId="41301" xr:uid="{00000000-0005-0000-0000-00006D500000}"/>
    <cellStyle name="Normal 2 5 4 2 2 4 5 3" xfId="25997" xr:uid="{00000000-0005-0000-0000-00006E500000}"/>
    <cellStyle name="Normal 2 5 4 2 2 4 5 3 2" xfId="51550" xr:uid="{00000000-0005-0000-0000-00006F500000}"/>
    <cellStyle name="Normal 2 5 4 2 2 4 5 4" xfId="32480" xr:uid="{00000000-0005-0000-0000-000070500000}"/>
    <cellStyle name="Normal 2 5 4 2 2 4 6" xfId="8365" xr:uid="{00000000-0005-0000-0000-000071500000}"/>
    <cellStyle name="Normal 2 5 4 2 2 4 6 2" xfId="20755" xr:uid="{00000000-0005-0000-0000-000072500000}"/>
    <cellStyle name="Normal 2 5 4 2 2 4 6 2 2" xfId="46308" xr:uid="{00000000-0005-0000-0000-000073500000}"/>
    <cellStyle name="Normal 2 5 4 2 2 4 6 3" xfId="33922" xr:uid="{00000000-0005-0000-0000-000074500000}"/>
    <cellStyle name="Normal 2 5 4 2 2 4 7" xfId="16240" xr:uid="{00000000-0005-0000-0000-000075500000}"/>
    <cellStyle name="Normal 2 5 4 2 2 4 7 2" xfId="41793" xr:uid="{00000000-0005-0000-0000-000076500000}"/>
    <cellStyle name="Normal 2 5 4 2 2 4 8" xfId="27238" xr:uid="{00000000-0005-0000-0000-000077500000}"/>
    <cellStyle name="Normal 2 5 4 2 2 5" xfId="2769" xr:uid="{00000000-0005-0000-0000-000078500000}"/>
    <cellStyle name="Normal 2 5 4 2 2 5 2" xfId="12086" xr:uid="{00000000-0005-0000-0000-000079500000}"/>
    <cellStyle name="Normal 2 5 4 2 2 5 2 2" xfId="22130" xr:uid="{00000000-0005-0000-0000-00007A500000}"/>
    <cellStyle name="Normal 2 5 4 2 2 5 2 2 2" xfId="47683" xr:uid="{00000000-0005-0000-0000-00007B500000}"/>
    <cellStyle name="Normal 2 5 4 2 2 5 2 3" xfId="37641" xr:uid="{00000000-0005-0000-0000-00007C500000}"/>
    <cellStyle name="Normal 2 5 4 2 2 5 3" xfId="8476" xr:uid="{00000000-0005-0000-0000-00007D500000}"/>
    <cellStyle name="Normal 2 5 4 2 2 5 3 2" xfId="34033" xr:uid="{00000000-0005-0000-0000-00007E500000}"/>
    <cellStyle name="Normal 2 5 4 2 2 5 4" xfId="17123" xr:uid="{00000000-0005-0000-0000-00007F500000}"/>
    <cellStyle name="Normal 2 5 4 2 2 5 4 2" xfId="42676" xr:uid="{00000000-0005-0000-0000-000080500000}"/>
    <cellStyle name="Normal 2 5 4 2 2 5 5" xfId="28613" xr:uid="{00000000-0005-0000-0000-000081500000}"/>
    <cellStyle name="Normal 2 5 4 2 2 6" xfId="4420" xr:uid="{00000000-0005-0000-0000-000082500000}"/>
    <cellStyle name="Normal 2 5 4 2 2 6 2" xfId="13258" xr:uid="{00000000-0005-0000-0000-000083500000}"/>
    <cellStyle name="Normal 2 5 4 2 2 6 2 2" xfId="23509" xr:uid="{00000000-0005-0000-0000-000084500000}"/>
    <cellStyle name="Normal 2 5 4 2 2 6 2 2 2" xfId="49062" xr:uid="{00000000-0005-0000-0000-000085500000}"/>
    <cellStyle name="Normal 2 5 4 2 2 6 2 3" xfId="38813" xr:uid="{00000000-0005-0000-0000-000086500000}"/>
    <cellStyle name="Normal 2 5 4 2 2 6 3" xfId="9679" xr:uid="{00000000-0005-0000-0000-000087500000}"/>
    <cellStyle name="Normal 2 5 4 2 2 6 3 2" xfId="35236" xr:uid="{00000000-0005-0000-0000-000088500000}"/>
    <cellStyle name="Normal 2 5 4 2 2 6 4" xfId="18502" xr:uid="{00000000-0005-0000-0000-000089500000}"/>
    <cellStyle name="Normal 2 5 4 2 2 6 4 2" xfId="44055" xr:uid="{00000000-0005-0000-0000-00008A500000}"/>
    <cellStyle name="Normal 2 5 4 2 2 6 5" xfId="29992" xr:uid="{00000000-0005-0000-0000-00008B500000}"/>
    <cellStyle name="Normal 2 5 4 2 2 7" xfId="1692" xr:uid="{00000000-0005-0000-0000-00008C500000}"/>
    <cellStyle name="Normal 2 5 4 2 2 7 2" xfId="11069" xr:uid="{00000000-0005-0000-0000-00008D500000}"/>
    <cellStyle name="Normal 2 5 4 2 2 7 2 2" xfId="36624" xr:uid="{00000000-0005-0000-0000-00008E500000}"/>
    <cellStyle name="Normal 2 5 4 2 2 7 3" xfId="21073" xr:uid="{00000000-0005-0000-0000-00008F500000}"/>
    <cellStyle name="Normal 2 5 4 2 2 7 3 2" xfId="46626" xr:uid="{00000000-0005-0000-0000-000090500000}"/>
    <cellStyle name="Normal 2 5 4 2 2 7 4" xfId="27556" xr:uid="{00000000-0005-0000-0000-000091500000}"/>
    <cellStyle name="Normal 2 5 4 2 2 8" xfId="5876" xr:uid="{00000000-0005-0000-0000-000092500000}"/>
    <cellStyle name="Normal 2 5 4 2 2 8 2" xfId="14703" xr:uid="{00000000-0005-0000-0000-000093500000}"/>
    <cellStyle name="Normal 2 5 4 2 2 8 2 2" xfId="40258" xr:uid="{00000000-0005-0000-0000-000094500000}"/>
    <cellStyle name="Normal 2 5 4 2 2 8 3" xfId="24954" xr:uid="{00000000-0005-0000-0000-000095500000}"/>
    <cellStyle name="Normal 2 5 4 2 2 8 3 2" xfId="50507" xr:uid="{00000000-0005-0000-0000-000096500000}"/>
    <cellStyle name="Normal 2 5 4 2 2 8 4" xfId="31437" xr:uid="{00000000-0005-0000-0000-000097500000}"/>
    <cellStyle name="Normal 2 5 4 2 2 9" xfId="7320" xr:uid="{00000000-0005-0000-0000-000098500000}"/>
    <cellStyle name="Normal 2 5 4 2 2 9 2" xfId="19729" xr:uid="{00000000-0005-0000-0000-000099500000}"/>
    <cellStyle name="Normal 2 5 4 2 2 9 2 2" xfId="45282" xr:uid="{00000000-0005-0000-0000-00009A500000}"/>
    <cellStyle name="Normal 2 5 4 2 2 9 3" xfId="32877" xr:uid="{00000000-0005-0000-0000-00009B500000}"/>
    <cellStyle name="Normal 2 5 4 2 2_Degree data" xfId="3834" xr:uid="{00000000-0005-0000-0000-00009C500000}"/>
    <cellStyle name="Normal 2 5 4 2 3" xfId="496" xr:uid="{00000000-0005-0000-0000-00009D500000}"/>
    <cellStyle name="Normal 2 5 4 2 3 10" xfId="26425" xr:uid="{00000000-0005-0000-0000-00009E500000}"/>
    <cellStyle name="Normal 2 5 4 2 3 2" xfId="760" xr:uid="{00000000-0005-0000-0000-00009F500000}"/>
    <cellStyle name="Normal 2 5 4 2 3 2 2" xfId="3246" xr:uid="{00000000-0005-0000-0000-0000A0500000}"/>
    <cellStyle name="Normal 2 5 4 2 3 2 2 2" xfId="12388" xr:uid="{00000000-0005-0000-0000-0000A1500000}"/>
    <cellStyle name="Normal 2 5 4 2 3 2 2 2 2" xfId="22607" xr:uid="{00000000-0005-0000-0000-0000A2500000}"/>
    <cellStyle name="Normal 2 5 4 2 3 2 2 2 2 2" xfId="48160" xr:uid="{00000000-0005-0000-0000-0000A3500000}"/>
    <cellStyle name="Normal 2 5 4 2 3 2 2 2 3" xfId="37943" xr:uid="{00000000-0005-0000-0000-0000A4500000}"/>
    <cellStyle name="Normal 2 5 4 2 3 2 2 3" xfId="8810" xr:uid="{00000000-0005-0000-0000-0000A5500000}"/>
    <cellStyle name="Normal 2 5 4 2 3 2 2 3 2" xfId="34367" xr:uid="{00000000-0005-0000-0000-0000A6500000}"/>
    <cellStyle name="Normal 2 5 4 2 3 2 2 4" xfId="17600" xr:uid="{00000000-0005-0000-0000-0000A7500000}"/>
    <cellStyle name="Normal 2 5 4 2 3 2 2 4 2" xfId="43153" xr:uid="{00000000-0005-0000-0000-0000A8500000}"/>
    <cellStyle name="Normal 2 5 4 2 3 2 2 5" xfId="29090" xr:uid="{00000000-0005-0000-0000-0000A9500000}"/>
    <cellStyle name="Normal 2 5 4 2 3 2 3" xfId="4575" xr:uid="{00000000-0005-0000-0000-0000AA500000}"/>
    <cellStyle name="Normal 2 5 4 2 3 2 3 2" xfId="13413" xr:uid="{00000000-0005-0000-0000-0000AB500000}"/>
    <cellStyle name="Normal 2 5 4 2 3 2 3 2 2" xfId="23664" xr:uid="{00000000-0005-0000-0000-0000AC500000}"/>
    <cellStyle name="Normal 2 5 4 2 3 2 3 2 2 2" xfId="49217" xr:uid="{00000000-0005-0000-0000-0000AD500000}"/>
    <cellStyle name="Normal 2 5 4 2 3 2 3 2 3" xfId="38968" xr:uid="{00000000-0005-0000-0000-0000AE500000}"/>
    <cellStyle name="Normal 2 5 4 2 3 2 3 3" xfId="9834" xr:uid="{00000000-0005-0000-0000-0000AF500000}"/>
    <cellStyle name="Normal 2 5 4 2 3 2 3 3 2" xfId="35391" xr:uid="{00000000-0005-0000-0000-0000B0500000}"/>
    <cellStyle name="Normal 2 5 4 2 3 2 3 4" xfId="18657" xr:uid="{00000000-0005-0000-0000-0000B1500000}"/>
    <cellStyle name="Normal 2 5 4 2 3 2 3 4 2" xfId="44210" xr:uid="{00000000-0005-0000-0000-0000B2500000}"/>
    <cellStyle name="Normal 2 5 4 2 3 2 3 5" xfId="30147" xr:uid="{00000000-0005-0000-0000-0000B3500000}"/>
    <cellStyle name="Normal 2 5 4 2 3 2 4" xfId="2355" xr:uid="{00000000-0005-0000-0000-0000B4500000}"/>
    <cellStyle name="Normal 2 5 4 2 3 2 4 2" xfId="11720" xr:uid="{00000000-0005-0000-0000-0000B5500000}"/>
    <cellStyle name="Normal 2 5 4 2 3 2 4 2 2" xfId="37275" xr:uid="{00000000-0005-0000-0000-0000B6500000}"/>
    <cellStyle name="Normal 2 5 4 2 3 2 4 3" xfId="21724" xr:uid="{00000000-0005-0000-0000-0000B7500000}"/>
    <cellStyle name="Normal 2 5 4 2 3 2 4 3 2" xfId="47277" xr:uid="{00000000-0005-0000-0000-0000B8500000}"/>
    <cellStyle name="Normal 2 5 4 2 3 2 4 4" xfId="28207" xr:uid="{00000000-0005-0000-0000-0000B9500000}"/>
    <cellStyle name="Normal 2 5 4 2 3 2 5" xfId="6031" xr:uid="{00000000-0005-0000-0000-0000BA500000}"/>
    <cellStyle name="Normal 2 5 4 2 3 2 5 2" xfId="14858" xr:uid="{00000000-0005-0000-0000-0000BB500000}"/>
    <cellStyle name="Normal 2 5 4 2 3 2 5 2 2" xfId="40413" xr:uid="{00000000-0005-0000-0000-0000BC500000}"/>
    <cellStyle name="Normal 2 5 4 2 3 2 5 3" xfId="25109" xr:uid="{00000000-0005-0000-0000-0000BD500000}"/>
    <cellStyle name="Normal 2 5 4 2 3 2 5 3 2" xfId="50662" xr:uid="{00000000-0005-0000-0000-0000BE500000}"/>
    <cellStyle name="Normal 2 5 4 2 3 2 5 4" xfId="31592" xr:uid="{00000000-0005-0000-0000-0000BF500000}"/>
    <cellStyle name="Normal 2 5 4 2 3 2 6" xfId="7475" xr:uid="{00000000-0005-0000-0000-0000C0500000}"/>
    <cellStyle name="Normal 2 5 4 2 3 2 6 2" xfId="20206" xr:uid="{00000000-0005-0000-0000-0000C1500000}"/>
    <cellStyle name="Normal 2 5 4 2 3 2 6 2 2" xfId="45759" xr:uid="{00000000-0005-0000-0000-0000C2500000}"/>
    <cellStyle name="Normal 2 5 4 2 3 2 6 3" xfId="33032" xr:uid="{00000000-0005-0000-0000-0000C3500000}"/>
    <cellStyle name="Normal 2 5 4 2 3 2 7" xfId="16717" xr:uid="{00000000-0005-0000-0000-0000C4500000}"/>
    <cellStyle name="Normal 2 5 4 2 3 2 7 2" xfId="42270" xr:uid="{00000000-0005-0000-0000-0000C5500000}"/>
    <cellStyle name="Normal 2 5 4 2 3 2 8" xfId="26689" xr:uid="{00000000-0005-0000-0000-0000C6500000}"/>
    <cellStyle name="Normal 2 5 4 2 3 3" xfId="1268" xr:uid="{00000000-0005-0000-0000-0000C7500000}"/>
    <cellStyle name="Normal 2 5 4 2 3 3 2" xfId="3697" xr:uid="{00000000-0005-0000-0000-0000C8500000}"/>
    <cellStyle name="Normal 2 5 4 2 3 3 2 2" xfId="12833" xr:uid="{00000000-0005-0000-0000-0000C9500000}"/>
    <cellStyle name="Normal 2 5 4 2 3 3 2 2 2" xfId="23052" xr:uid="{00000000-0005-0000-0000-0000CA500000}"/>
    <cellStyle name="Normal 2 5 4 2 3 3 2 2 2 2" xfId="48605" xr:uid="{00000000-0005-0000-0000-0000CB500000}"/>
    <cellStyle name="Normal 2 5 4 2 3 3 2 2 3" xfId="38388" xr:uid="{00000000-0005-0000-0000-0000CC500000}"/>
    <cellStyle name="Normal 2 5 4 2 3 3 2 3" xfId="9254" xr:uid="{00000000-0005-0000-0000-0000CD500000}"/>
    <cellStyle name="Normal 2 5 4 2 3 3 2 3 2" xfId="34811" xr:uid="{00000000-0005-0000-0000-0000CE500000}"/>
    <cellStyle name="Normal 2 5 4 2 3 3 2 4" xfId="18045" xr:uid="{00000000-0005-0000-0000-0000CF500000}"/>
    <cellStyle name="Normal 2 5 4 2 3 3 2 4 2" xfId="43598" xr:uid="{00000000-0005-0000-0000-0000D0500000}"/>
    <cellStyle name="Normal 2 5 4 2 3 3 2 5" xfId="29535" xr:uid="{00000000-0005-0000-0000-0000D1500000}"/>
    <cellStyle name="Normal 2 5 4 2 3 3 3" xfId="4924" xr:uid="{00000000-0005-0000-0000-0000D2500000}"/>
    <cellStyle name="Normal 2 5 4 2 3 3 3 2" xfId="13761" xr:uid="{00000000-0005-0000-0000-0000D3500000}"/>
    <cellStyle name="Normal 2 5 4 2 3 3 3 2 2" xfId="24012" xr:uid="{00000000-0005-0000-0000-0000D4500000}"/>
    <cellStyle name="Normal 2 5 4 2 3 3 3 2 2 2" xfId="49565" xr:uid="{00000000-0005-0000-0000-0000D5500000}"/>
    <cellStyle name="Normal 2 5 4 2 3 3 3 2 3" xfId="39316" xr:uid="{00000000-0005-0000-0000-0000D6500000}"/>
    <cellStyle name="Normal 2 5 4 2 3 3 3 3" xfId="10182" xr:uid="{00000000-0005-0000-0000-0000D7500000}"/>
    <cellStyle name="Normal 2 5 4 2 3 3 3 3 2" xfId="35739" xr:uid="{00000000-0005-0000-0000-0000D8500000}"/>
    <cellStyle name="Normal 2 5 4 2 3 3 3 4" xfId="19005" xr:uid="{00000000-0005-0000-0000-0000D9500000}"/>
    <cellStyle name="Normal 2 5 4 2 3 3 3 4 2" xfId="44558" xr:uid="{00000000-0005-0000-0000-0000DA500000}"/>
    <cellStyle name="Normal 2 5 4 2 3 3 3 5" xfId="30495" xr:uid="{00000000-0005-0000-0000-0000DB500000}"/>
    <cellStyle name="Normal 2 5 4 2 3 3 4" xfId="2091" xr:uid="{00000000-0005-0000-0000-0000DC500000}"/>
    <cellStyle name="Normal 2 5 4 2 3 3 4 2" xfId="11456" xr:uid="{00000000-0005-0000-0000-0000DD500000}"/>
    <cellStyle name="Normal 2 5 4 2 3 3 4 2 2" xfId="37011" xr:uid="{00000000-0005-0000-0000-0000DE500000}"/>
    <cellStyle name="Normal 2 5 4 2 3 3 4 3" xfId="21460" xr:uid="{00000000-0005-0000-0000-0000DF500000}"/>
    <cellStyle name="Normal 2 5 4 2 3 3 4 3 2" xfId="47013" xr:uid="{00000000-0005-0000-0000-0000E0500000}"/>
    <cellStyle name="Normal 2 5 4 2 3 3 4 4" xfId="27943" xr:uid="{00000000-0005-0000-0000-0000E1500000}"/>
    <cellStyle name="Normal 2 5 4 2 3 3 5" xfId="6379" xr:uid="{00000000-0005-0000-0000-0000E2500000}"/>
    <cellStyle name="Normal 2 5 4 2 3 3 5 2" xfId="15206" xr:uid="{00000000-0005-0000-0000-0000E3500000}"/>
    <cellStyle name="Normal 2 5 4 2 3 3 5 2 2" xfId="40761" xr:uid="{00000000-0005-0000-0000-0000E4500000}"/>
    <cellStyle name="Normal 2 5 4 2 3 3 5 3" xfId="25457" xr:uid="{00000000-0005-0000-0000-0000E5500000}"/>
    <cellStyle name="Normal 2 5 4 2 3 3 5 3 2" xfId="51010" xr:uid="{00000000-0005-0000-0000-0000E6500000}"/>
    <cellStyle name="Normal 2 5 4 2 3 3 5 4" xfId="31940" xr:uid="{00000000-0005-0000-0000-0000E7500000}"/>
    <cellStyle name="Normal 2 5 4 2 3 3 6" xfId="7825" xr:uid="{00000000-0005-0000-0000-0000E8500000}"/>
    <cellStyle name="Normal 2 5 4 2 3 3 6 2" xfId="20651" xr:uid="{00000000-0005-0000-0000-0000E9500000}"/>
    <cellStyle name="Normal 2 5 4 2 3 3 6 2 2" xfId="46204" xr:uid="{00000000-0005-0000-0000-0000EA500000}"/>
    <cellStyle name="Normal 2 5 4 2 3 3 6 3" xfId="33382" xr:uid="{00000000-0005-0000-0000-0000EB500000}"/>
    <cellStyle name="Normal 2 5 4 2 3 3 7" xfId="16453" xr:uid="{00000000-0005-0000-0000-0000EC500000}"/>
    <cellStyle name="Normal 2 5 4 2 3 3 7 2" xfId="42006" xr:uid="{00000000-0005-0000-0000-0000ED500000}"/>
    <cellStyle name="Normal 2 5 4 2 3 3 8" xfId="27134" xr:uid="{00000000-0005-0000-0000-0000EE500000}"/>
    <cellStyle name="Normal 2 5 4 2 3 4" xfId="2982" xr:uid="{00000000-0005-0000-0000-0000EF500000}"/>
    <cellStyle name="Normal 2 5 4 2 3 4 2" xfId="5360" xr:uid="{00000000-0005-0000-0000-0000F0500000}"/>
    <cellStyle name="Normal 2 5 4 2 3 4 2 2" xfId="14197" xr:uid="{00000000-0005-0000-0000-0000F1500000}"/>
    <cellStyle name="Normal 2 5 4 2 3 4 2 2 2" xfId="24448" xr:uid="{00000000-0005-0000-0000-0000F2500000}"/>
    <cellStyle name="Normal 2 5 4 2 3 4 2 2 2 2" xfId="50001" xr:uid="{00000000-0005-0000-0000-0000F3500000}"/>
    <cellStyle name="Normal 2 5 4 2 3 4 2 2 3" xfId="39752" xr:uid="{00000000-0005-0000-0000-0000F4500000}"/>
    <cellStyle name="Normal 2 5 4 2 3 4 2 3" xfId="10618" xr:uid="{00000000-0005-0000-0000-0000F5500000}"/>
    <cellStyle name="Normal 2 5 4 2 3 4 2 3 2" xfId="36175" xr:uid="{00000000-0005-0000-0000-0000F6500000}"/>
    <cellStyle name="Normal 2 5 4 2 3 4 2 4" xfId="19441" xr:uid="{00000000-0005-0000-0000-0000F7500000}"/>
    <cellStyle name="Normal 2 5 4 2 3 4 2 4 2" xfId="44994" xr:uid="{00000000-0005-0000-0000-0000F8500000}"/>
    <cellStyle name="Normal 2 5 4 2 3 4 2 5" xfId="30931" xr:uid="{00000000-0005-0000-0000-0000F9500000}"/>
    <cellStyle name="Normal 2 5 4 2 3 4 3" xfId="6815" xr:uid="{00000000-0005-0000-0000-0000FA500000}"/>
    <cellStyle name="Normal 2 5 4 2 3 4 3 2" xfId="15642" xr:uid="{00000000-0005-0000-0000-0000FB500000}"/>
    <cellStyle name="Normal 2 5 4 2 3 4 3 2 2" xfId="41197" xr:uid="{00000000-0005-0000-0000-0000FC500000}"/>
    <cellStyle name="Normal 2 5 4 2 3 4 3 3" xfId="25893" xr:uid="{00000000-0005-0000-0000-0000FD500000}"/>
    <cellStyle name="Normal 2 5 4 2 3 4 3 3 2" xfId="51446" xr:uid="{00000000-0005-0000-0000-0000FE500000}"/>
    <cellStyle name="Normal 2 5 4 2 3 4 3 4" xfId="32376" xr:uid="{00000000-0005-0000-0000-0000FF500000}"/>
    <cellStyle name="Normal 2 5 4 2 3 4 4" xfId="8261" xr:uid="{00000000-0005-0000-0000-000000510000}"/>
    <cellStyle name="Normal 2 5 4 2 3 4 4 2" xfId="22343" xr:uid="{00000000-0005-0000-0000-000001510000}"/>
    <cellStyle name="Normal 2 5 4 2 3 4 4 2 2" xfId="47896" xr:uid="{00000000-0005-0000-0000-000002510000}"/>
    <cellStyle name="Normal 2 5 4 2 3 4 4 3" xfId="33818" xr:uid="{00000000-0005-0000-0000-000003510000}"/>
    <cellStyle name="Normal 2 5 4 2 3 4 5" xfId="17336" xr:uid="{00000000-0005-0000-0000-000004510000}"/>
    <cellStyle name="Normal 2 5 4 2 3 4 5 2" xfId="42889" xr:uid="{00000000-0005-0000-0000-000005510000}"/>
    <cellStyle name="Normal 2 5 4 2 3 4 6" xfId="28826" xr:uid="{00000000-0005-0000-0000-000006510000}"/>
    <cellStyle name="Normal 2 5 4 2 3 5" xfId="4316" xr:uid="{00000000-0005-0000-0000-000007510000}"/>
    <cellStyle name="Normal 2 5 4 2 3 5 2" xfId="13154" xr:uid="{00000000-0005-0000-0000-000008510000}"/>
    <cellStyle name="Normal 2 5 4 2 3 5 2 2" xfId="23405" xr:uid="{00000000-0005-0000-0000-000009510000}"/>
    <cellStyle name="Normal 2 5 4 2 3 5 2 2 2" xfId="48958" xr:uid="{00000000-0005-0000-0000-00000A510000}"/>
    <cellStyle name="Normal 2 5 4 2 3 5 2 3" xfId="38709" xr:uid="{00000000-0005-0000-0000-00000B510000}"/>
    <cellStyle name="Normal 2 5 4 2 3 5 3" xfId="9575" xr:uid="{00000000-0005-0000-0000-00000C510000}"/>
    <cellStyle name="Normal 2 5 4 2 3 5 3 2" xfId="35132" xr:uid="{00000000-0005-0000-0000-00000D510000}"/>
    <cellStyle name="Normal 2 5 4 2 3 5 4" xfId="18398" xr:uid="{00000000-0005-0000-0000-00000E510000}"/>
    <cellStyle name="Normal 2 5 4 2 3 5 4 2" xfId="43951" xr:uid="{00000000-0005-0000-0000-00000F510000}"/>
    <cellStyle name="Normal 2 5 4 2 3 5 5" xfId="29888" xr:uid="{00000000-0005-0000-0000-000010510000}"/>
    <cellStyle name="Normal 2 5 4 2 3 6" xfId="1588" xr:uid="{00000000-0005-0000-0000-000011510000}"/>
    <cellStyle name="Normal 2 5 4 2 3 6 2" xfId="10965" xr:uid="{00000000-0005-0000-0000-000012510000}"/>
    <cellStyle name="Normal 2 5 4 2 3 6 2 2" xfId="36520" xr:uid="{00000000-0005-0000-0000-000013510000}"/>
    <cellStyle name="Normal 2 5 4 2 3 6 3" xfId="20969" xr:uid="{00000000-0005-0000-0000-000014510000}"/>
    <cellStyle name="Normal 2 5 4 2 3 6 3 2" xfId="46522" xr:uid="{00000000-0005-0000-0000-000015510000}"/>
    <cellStyle name="Normal 2 5 4 2 3 6 4" xfId="27452" xr:uid="{00000000-0005-0000-0000-000016510000}"/>
    <cellStyle name="Normal 2 5 4 2 3 7" xfId="5772" xr:uid="{00000000-0005-0000-0000-000017510000}"/>
    <cellStyle name="Normal 2 5 4 2 3 7 2" xfId="14599" xr:uid="{00000000-0005-0000-0000-000018510000}"/>
    <cellStyle name="Normal 2 5 4 2 3 7 2 2" xfId="40154" xr:uid="{00000000-0005-0000-0000-000019510000}"/>
    <cellStyle name="Normal 2 5 4 2 3 7 3" xfId="24850" xr:uid="{00000000-0005-0000-0000-00001A510000}"/>
    <cellStyle name="Normal 2 5 4 2 3 7 3 2" xfId="50403" xr:uid="{00000000-0005-0000-0000-00001B510000}"/>
    <cellStyle name="Normal 2 5 4 2 3 7 4" xfId="31333" xr:uid="{00000000-0005-0000-0000-00001C510000}"/>
    <cellStyle name="Normal 2 5 4 2 3 8" xfId="7216" xr:uid="{00000000-0005-0000-0000-00001D510000}"/>
    <cellStyle name="Normal 2 5 4 2 3 8 2" xfId="19942" xr:uid="{00000000-0005-0000-0000-00001E510000}"/>
    <cellStyle name="Normal 2 5 4 2 3 8 2 2" xfId="45495" xr:uid="{00000000-0005-0000-0000-00001F510000}"/>
    <cellStyle name="Normal 2 5 4 2 3 8 3" xfId="32773" xr:uid="{00000000-0005-0000-0000-000020510000}"/>
    <cellStyle name="Normal 2 5 4 2 3 9" xfId="15962" xr:uid="{00000000-0005-0000-0000-000021510000}"/>
    <cellStyle name="Normal 2 5 4 2 3 9 2" xfId="41515" xr:uid="{00000000-0005-0000-0000-000022510000}"/>
    <cellStyle name="Normal 2 5 4 2 3_Degree data" xfId="2603" xr:uid="{00000000-0005-0000-0000-000023510000}"/>
    <cellStyle name="Normal 2 5 4 2 4" xfId="396" xr:uid="{00000000-0005-0000-0000-000024510000}"/>
    <cellStyle name="Normal 2 5 4 2 4 2" xfId="2882" xr:uid="{00000000-0005-0000-0000-000025510000}"/>
    <cellStyle name="Normal 2 5 4 2 4 2 2" xfId="12170" xr:uid="{00000000-0005-0000-0000-000026510000}"/>
    <cellStyle name="Normal 2 5 4 2 4 2 2 2" xfId="22243" xr:uid="{00000000-0005-0000-0000-000027510000}"/>
    <cellStyle name="Normal 2 5 4 2 4 2 2 2 2" xfId="47796" xr:uid="{00000000-0005-0000-0000-000028510000}"/>
    <cellStyle name="Normal 2 5 4 2 4 2 2 3" xfId="37725" xr:uid="{00000000-0005-0000-0000-000029510000}"/>
    <cellStyle name="Normal 2 5 4 2 4 2 3" xfId="8456" xr:uid="{00000000-0005-0000-0000-00002A510000}"/>
    <cellStyle name="Normal 2 5 4 2 4 2 3 2" xfId="34013" xr:uid="{00000000-0005-0000-0000-00002B510000}"/>
    <cellStyle name="Normal 2 5 4 2 4 2 4" xfId="17236" xr:uid="{00000000-0005-0000-0000-00002C510000}"/>
    <cellStyle name="Normal 2 5 4 2 4 2 4 2" xfId="42789" xr:uid="{00000000-0005-0000-0000-00002D510000}"/>
    <cellStyle name="Normal 2 5 4 2 4 2 5" xfId="28726" xr:uid="{00000000-0005-0000-0000-00002E510000}"/>
    <cellStyle name="Normal 2 5 4 2 4 3" xfId="4573" xr:uid="{00000000-0005-0000-0000-00002F510000}"/>
    <cellStyle name="Normal 2 5 4 2 4 3 2" xfId="13411" xr:uid="{00000000-0005-0000-0000-000030510000}"/>
    <cellStyle name="Normal 2 5 4 2 4 3 2 2" xfId="23662" xr:uid="{00000000-0005-0000-0000-000031510000}"/>
    <cellStyle name="Normal 2 5 4 2 4 3 2 2 2" xfId="49215" xr:uid="{00000000-0005-0000-0000-000032510000}"/>
    <cellStyle name="Normal 2 5 4 2 4 3 2 3" xfId="38966" xr:uid="{00000000-0005-0000-0000-000033510000}"/>
    <cellStyle name="Normal 2 5 4 2 4 3 3" xfId="9832" xr:uid="{00000000-0005-0000-0000-000034510000}"/>
    <cellStyle name="Normal 2 5 4 2 4 3 3 2" xfId="35389" xr:uid="{00000000-0005-0000-0000-000035510000}"/>
    <cellStyle name="Normal 2 5 4 2 4 3 4" xfId="18655" xr:uid="{00000000-0005-0000-0000-000036510000}"/>
    <cellStyle name="Normal 2 5 4 2 4 3 4 2" xfId="44208" xr:uid="{00000000-0005-0000-0000-000037510000}"/>
    <cellStyle name="Normal 2 5 4 2 4 3 5" xfId="30145" xr:uid="{00000000-0005-0000-0000-000038510000}"/>
    <cellStyle name="Normal 2 5 4 2 4 4" xfId="1991" xr:uid="{00000000-0005-0000-0000-000039510000}"/>
    <cellStyle name="Normal 2 5 4 2 4 4 2" xfId="11356" xr:uid="{00000000-0005-0000-0000-00003A510000}"/>
    <cellStyle name="Normal 2 5 4 2 4 4 2 2" xfId="36911" xr:uid="{00000000-0005-0000-0000-00003B510000}"/>
    <cellStyle name="Normal 2 5 4 2 4 4 3" xfId="21360" xr:uid="{00000000-0005-0000-0000-00003C510000}"/>
    <cellStyle name="Normal 2 5 4 2 4 4 3 2" xfId="46913" xr:uid="{00000000-0005-0000-0000-00003D510000}"/>
    <cellStyle name="Normal 2 5 4 2 4 4 4" xfId="27843" xr:uid="{00000000-0005-0000-0000-00003E510000}"/>
    <cellStyle name="Normal 2 5 4 2 4 5" xfId="6029" xr:uid="{00000000-0005-0000-0000-00003F510000}"/>
    <cellStyle name="Normal 2 5 4 2 4 5 2" xfId="14856" xr:uid="{00000000-0005-0000-0000-000040510000}"/>
    <cellStyle name="Normal 2 5 4 2 4 5 2 2" xfId="40411" xr:uid="{00000000-0005-0000-0000-000041510000}"/>
    <cellStyle name="Normal 2 5 4 2 4 5 3" xfId="25107" xr:uid="{00000000-0005-0000-0000-000042510000}"/>
    <cellStyle name="Normal 2 5 4 2 4 5 3 2" xfId="50660" xr:uid="{00000000-0005-0000-0000-000043510000}"/>
    <cellStyle name="Normal 2 5 4 2 4 5 4" xfId="31590" xr:uid="{00000000-0005-0000-0000-000044510000}"/>
    <cellStyle name="Normal 2 5 4 2 4 6" xfId="7473" xr:uid="{00000000-0005-0000-0000-000045510000}"/>
    <cellStyle name="Normal 2 5 4 2 4 6 2" xfId="19842" xr:uid="{00000000-0005-0000-0000-000046510000}"/>
    <cellStyle name="Normal 2 5 4 2 4 6 2 2" xfId="45395" xr:uid="{00000000-0005-0000-0000-000047510000}"/>
    <cellStyle name="Normal 2 5 4 2 4 6 3" xfId="33030" xr:uid="{00000000-0005-0000-0000-000048510000}"/>
    <cellStyle name="Normal 2 5 4 2 4 7" xfId="16353" xr:uid="{00000000-0005-0000-0000-000049510000}"/>
    <cellStyle name="Normal 2 5 4 2 4 7 2" xfId="41906" xr:uid="{00000000-0005-0000-0000-00004A510000}"/>
    <cellStyle name="Normal 2 5 4 2 4 8" xfId="26325" xr:uid="{00000000-0005-0000-0000-00004B510000}"/>
    <cellStyle name="Normal 2 5 4 2 5" xfId="758" xr:uid="{00000000-0005-0000-0000-00004C510000}"/>
    <cellStyle name="Normal 2 5 4 2 5 2" xfId="3244" xr:uid="{00000000-0005-0000-0000-00004D510000}"/>
    <cellStyle name="Normal 2 5 4 2 5 2 2" xfId="12386" xr:uid="{00000000-0005-0000-0000-00004E510000}"/>
    <cellStyle name="Normal 2 5 4 2 5 2 2 2" xfId="22605" xr:uid="{00000000-0005-0000-0000-00004F510000}"/>
    <cellStyle name="Normal 2 5 4 2 5 2 2 2 2" xfId="48158" xr:uid="{00000000-0005-0000-0000-000050510000}"/>
    <cellStyle name="Normal 2 5 4 2 5 2 2 3" xfId="37941" xr:uid="{00000000-0005-0000-0000-000051510000}"/>
    <cellStyle name="Normal 2 5 4 2 5 2 3" xfId="8808" xr:uid="{00000000-0005-0000-0000-000052510000}"/>
    <cellStyle name="Normal 2 5 4 2 5 2 3 2" xfId="34365" xr:uid="{00000000-0005-0000-0000-000053510000}"/>
    <cellStyle name="Normal 2 5 4 2 5 2 4" xfId="17598" xr:uid="{00000000-0005-0000-0000-000054510000}"/>
    <cellStyle name="Normal 2 5 4 2 5 2 4 2" xfId="43151" xr:uid="{00000000-0005-0000-0000-000055510000}"/>
    <cellStyle name="Normal 2 5 4 2 5 2 5" xfId="29088" xr:uid="{00000000-0005-0000-0000-000056510000}"/>
    <cellStyle name="Normal 2 5 4 2 5 3" xfId="4922" xr:uid="{00000000-0005-0000-0000-000057510000}"/>
    <cellStyle name="Normal 2 5 4 2 5 3 2" xfId="13759" xr:uid="{00000000-0005-0000-0000-000058510000}"/>
    <cellStyle name="Normal 2 5 4 2 5 3 2 2" xfId="24010" xr:uid="{00000000-0005-0000-0000-000059510000}"/>
    <cellStyle name="Normal 2 5 4 2 5 3 2 2 2" xfId="49563" xr:uid="{00000000-0005-0000-0000-00005A510000}"/>
    <cellStyle name="Normal 2 5 4 2 5 3 2 3" xfId="39314" xr:uid="{00000000-0005-0000-0000-00005B510000}"/>
    <cellStyle name="Normal 2 5 4 2 5 3 3" xfId="10180" xr:uid="{00000000-0005-0000-0000-00005C510000}"/>
    <cellStyle name="Normal 2 5 4 2 5 3 3 2" xfId="35737" xr:uid="{00000000-0005-0000-0000-00005D510000}"/>
    <cellStyle name="Normal 2 5 4 2 5 3 4" xfId="19003" xr:uid="{00000000-0005-0000-0000-00005E510000}"/>
    <cellStyle name="Normal 2 5 4 2 5 3 4 2" xfId="44556" xr:uid="{00000000-0005-0000-0000-00005F510000}"/>
    <cellStyle name="Normal 2 5 4 2 5 3 5" xfId="30493" xr:uid="{00000000-0005-0000-0000-000060510000}"/>
    <cellStyle name="Normal 2 5 4 2 5 4" xfId="2353" xr:uid="{00000000-0005-0000-0000-000061510000}"/>
    <cellStyle name="Normal 2 5 4 2 5 4 2" xfId="11718" xr:uid="{00000000-0005-0000-0000-000062510000}"/>
    <cellStyle name="Normal 2 5 4 2 5 4 2 2" xfId="37273" xr:uid="{00000000-0005-0000-0000-000063510000}"/>
    <cellStyle name="Normal 2 5 4 2 5 4 3" xfId="21722" xr:uid="{00000000-0005-0000-0000-000064510000}"/>
    <cellStyle name="Normal 2 5 4 2 5 4 3 2" xfId="47275" xr:uid="{00000000-0005-0000-0000-000065510000}"/>
    <cellStyle name="Normal 2 5 4 2 5 4 4" xfId="28205" xr:uid="{00000000-0005-0000-0000-000066510000}"/>
    <cellStyle name="Normal 2 5 4 2 5 5" xfId="6377" xr:uid="{00000000-0005-0000-0000-000067510000}"/>
    <cellStyle name="Normal 2 5 4 2 5 5 2" xfId="15204" xr:uid="{00000000-0005-0000-0000-000068510000}"/>
    <cellStyle name="Normal 2 5 4 2 5 5 2 2" xfId="40759" xr:uid="{00000000-0005-0000-0000-000069510000}"/>
    <cellStyle name="Normal 2 5 4 2 5 5 3" xfId="25455" xr:uid="{00000000-0005-0000-0000-00006A510000}"/>
    <cellStyle name="Normal 2 5 4 2 5 5 3 2" xfId="51008" xr:uid="{00000000-0005-0000-0000-00006B510000}"/>
    <cellStyle name="Normal 2 5 4 2 5 5 4" xfId="31938" xr:uid="{00000000-0005-0000-0000-00006C510000}"/>
    <cellStyle name="Normal 2 5 4 2 5 6" xfId="7823" xr:uid="{00000000-0005-0000-0000-00006D510000}"/>
    <cellStyle name="Normal 2 5 4 2 5 6 2" xfId="20204" xr:uid="{00000000-0005-0000-0000-00006E510000}"/>
    <cellStyle name="Normal 2 5 4 2 5 6 2 2" xfId="45757" xr:uid="{00000000-0005-0000-0000-00006F510000}"/>
    <cellStyle name="Normal 2 5 4 2 5 6 3" xfId="33380" xr:uid="{00000000-0005-0000-0000-000070510000}"/>
    <cellStyle name="Normal 2 5 4 2 5 7" xfId="16715" xr:uid="{00000000-0005-0000-0000-000071510000}"/>
    <cellStyle name="Normal 2 5 4 2 5 7 2" xfId="42268" xr:uid="{00000000-0005-0000-0000-000072510000}"/>
    <cellStyle name="Normal 2 5 4 2 5 8" xfId="26687" xr:uid="{00000000-0005-0000-0000-000073510000}"/>
    <cellStyle name="Normal 2 5 4 2 6" xfId="1168" xr:uid="{00000000-0005-0000-0000-000074510000}"/>
    <cellStyle name="Normal 2 5 4 2 6 2" xfId="3597" xr:uid="{00000000-0005-0000-0000-000075510000}"/>
    <cellStyle name="Normal 2 5 4 2 6 2 2" xfId="12733" xr:uid="{00000000-0005-0000-0000-000076510000}"/>
    <cellStyle name="Normal 2 5 4 2 6 2 2 2" xfId="22952" xr:uid="{00000000-0005-0000-0000-000077510000}"/>
    <cellStyle name="Normal 2 5 4 2 6 2 2 2 2" xfId="48505" xr:uid="{00000000-0005-0000-0000-000078510000}"/>
    <cellStyle name="Normal 2 5 4 2 6 2 2 3" xfId="38288" xr:uid="{00000000-0005-0000-0000-000079510000}"/>
    <cellStyle name="Normal 2 5 4 2 6 2 3" xfId="9154" xr:uid="{00000000-0005-0000-0000-00007A510000}"/>
    <cellStyle name="Normal 2 5 4 2 6 2 3 2" xfId="34711" xr:uid="{00000000-0005-0000-0000-00007B510000}"/>
    <cellStyle name="Normal 2 5 4 2 6 2 4" xfId="17945" xr:uid="{00000000-0005-0000-0000-00007C510000}"/>
    <cellStyle name="Normal 2 5 4 2 6 2 4 2" xfId="43498" xr:uid="{00000000-0005-0000-0000-00007D510000}"/>
    <cellStyle name="Normal 2 5 4 2 6 2 5" xfId="29435" xr:uid="{00000000-0005-0000-0000-00007E510000}"/>
    <cellStyle name="Normal 2 5 4 2 6 3" xfId="5260" xr:uid="{00000000-0005-0000-0000-00007F510000}"/>
    <cellStyle name="Normal 2 5 4 2 6 3 2" xfId="14097" xr:uid="{00000000-0005-0000-0000-000080510000}"/>
    <cellStyle name="Normal 2 5 4 2 6 3 2 2" xfId="24348" xr:uid="{00000000-0005-0000-0000-000081510000}"/>
    <cellStyle name="Normal 2 5 4 2 6 3 2 2 2" xfId="49901" xr:uid="{00000000-0005-0000-0000-000082510000}"/>
    <cellStyle name="Normal 2 5 4 2 6 3 2 3" xfId="39652" xr:uid="{00000000-0005-0000-0000-000083510000}"/>
    <cellStyle name="Normal 2 5 4 2 6 3 3" xfId="10518" xr:uid="{00000000-0005-0000-0000-000084510000}"/>
    <cellStyle name="Normal 2 5 4 2 6 3 3 2" xfId="36075" xr:uid="{00000000-0005-0000-0000-000085510000}"/>
    <cellStyle name="Normal 2 5 4 2 6 3 4" xfId="19341" xr:uid="{00000000-0005-0000-0000-000086510000}"/>
    <cellStyle name="Normal 2 5 4 2 6 3 4 2" xfId="44894" xr:uid="{00000000-0005-0000-0000-000087510000}"/>
    <cellStyle name="Normal 2 5 4 2 6 3 5" xfId="30831" xr:uid="{00000000-0005-0000-0000-000088510000}"/>
    <cellStyle name="Normal 2 5 4 2 6 4" xfId="1768" xr:uid="{00000000-0005-0000-0000-000089510000}"/>
    <cellStyle name="Normal 2 5 4 2 6 4 2" xfId="11139" xr:uid="{00000000-0005-0000-0000-00008A510000}"/>
    <cellStyle name="Normal 2 5 4 2 6 4 2 2" xfId="36694" xr:uid="{00000000-0005-0000-0000-00008B510000}"/>
    <cellStyle name="Normal 2 5 4 2 6 4 3" xfId="21143" xr:uid="{00000000-0005-0000-0000-00008C510000}"/>
    <cellStyle name="Normal 2 5 4 2 6 4 3 2" xfId="46696" xr:uid="{00000000-0005-0000-0000-00008D510000}"/>
    <cellStyle name="Normal 2 5 4 2 6 4 4" xfId="27626" xr:uid="{00000000-0005-0000-0000-00008E510000}"/>
    <cellStyle name="Normal 2 5 4 2 6 5" xfId="6715" xr:uid="{00000000-0005-0000-0000-00008F510000}"/>
    <cellStyle name="Normal 2 5 4 2 6 5 2" xfId="15542" xr:uid="{00000000-0005-0000-0000-000090510000}"/>
    <cellStyle name="Normal 2 5 4 2 6 5 2 2" xfId="41097" xr:uid="{00000000-0005-0000-0000-000091510000}"/>
    <cellStyle name="Normal 2 5 4 2 6 5 3" xfId="25793" xr:uid="{00000000-0005-0000-0000-000092510000}"/>
    <cellStyle name="Normal 2 5 4 2 6 5 3 2" xfId="51346" xr:uid="{00000000-0005-0000-0000-000093510000}"/>
    <cellStyle name="Normal 2 5 4 2 6 5 4" xfId="32276" xr:uid="{00000000-0005-0000-0000-000094510000}"/>
    <cellStyle name="Normal 2 5 4 2 6 6" xfId="8161" xr:uid="{00000000-0005-0000-0000-000095510000}"/>
    <cellStyle name="Normal 2 5 4 2 6 6 2" xfId="20551" xr:uid="{00000000-0005-0000-0000-000096510000}"/>
    <cellStyle name="Normal 2 5 4 2 6 6 2 2" xfId="46104" xr:uid="{00000000-0005-0000-0000-000097510000}"/>
    <cellStyle name="Normal 2 5 4 2 6 6 3" xfId="33718" xr:uid="{00000000-0005-0000-0000-000098510000}"/>
    <cellStyle name="Normal 2 5 4 2 6 7" xfId="16136" xr:uid="{00000000-0005-0000-0000-000099510000}"/>
    <cellStyle name="Normal 2 5 4 2 6 7 2" xfId="41689" xr:uid="{00000000-0005-0000-0000-00009A510000}"/>
    <cellStyle name="Normal 2 5 4 2 6 8" xfId="27034" xr:uid="{00000000-0005-0000-0000-00009B510000}"/>
    <cellStyle name="Normal 2 5 4 2 7" xfId="2665" xr:uid="{00000000-0005-0000-0000-00009C510000}"/>
    <cellStyle name="Normal 2 5 4 2 7 2" xfId="11982" xr:uid="{00000000-0005-0000-0000-00009D510000}"/>
    <cellStyle name="Normal 2 5 4 2 7 2 2" xfId="22026" xr:uid="{00000000-0005-0000-0000-00009E510000}"/>
    <cellStyle name="Normal 2 5 4 2 7 2 2 2" xfId="47579" xr:uid="{00000000-0005-0000-0000-00009F510000}"/>
    <cellStyle name="Normal 2 5 4 2 7 2 3" xfId="37537" xr:uid="{00000000-0005-0000-0000-0000A0510000}"/>
    <cellStyle name="Normal 2 5 4 2 7 3" xfId="8497" xr:uid="{00000000-0005-0000-0000-0000A1510000}"/>
    <cellStyle name="Normal 2 5 4 2 7 3 2" xfId="34054" xr:uid="{00000000-0005-0000-0000-0000A2510000}"/>
    <cellStyle name="Normal 2 5 4 2 7 4" xfId="17019" xr:uid="{00000000-0005-0000-0000-0000A3510000}"/>
    <cellStyle name="Normal 2 5 4 2 7 4 2" xfId="42572" xr:uid="{00000000-0005-0000-0000-0000A4510000}"/>
    <cellStyle name="Normal 2 5 4 2 7 5" xfId="28509" xr:uid="{00000000-0005-0000-0000-0000A5510000}"/>
    <cellStyle name="Normal 2 5 4 2 8" xfId="4216" xr:uid="{00000000-0005-0000-0000-0000A6510000}"/>
    <cellStyle name="Normal 2 5 4 2 8 2" xfId="13054" xr:uid="{00000000-0005-0000-0000-0000A7510000}"/>
    <cellStyle name="Normal 2 5 4 2 8 2 2" xfId="23305" xr:uid="{00000000-0005-0000-0000-0000A8510000}"/>
    <cellStyle name="Normal 2 5 4 2 8 2 2 2" xfId="48858" xr:uid="{00000000-0005-0000-0000-0000A9510000}"/>
    <cellStyle name="Normal 2 5 4 2 8 2 3" xfId="38609" xr:uid="{00000000-0005-0000-0000-0000AA510000}"/>
    <cellStyle name="Normal 2 5 4 2 8 3" xfId="9475" xr:uid="{00000000-0005-0000-0000-0000AB510000}"/>
    <cellStyle name="Normal 2 5 4 2 8 3 2" xfId="35032" xr:uid="{00000000-0005-0000-0000-0000AC510000}"/>
    <cellStyle name="Normal 2 5 4 2 8 4" xfId="18298" xr:uid="{00000000-0005-0000-0000-0000AD510000}"/>
    <cellStyle name="Normal 2 5 4 2 8 4 2" xfId="43851" xr:uid="{00000000-0005-0000-0000-0000AE510000}"/>
    <cellStyle name="Normal 2 5 4 2 8 5" xfId="29788" xr:uid="{00000000-0005-0000-0000-0000AF510000}"/>
    <cellStyle name="Normal 2 5 4 2 9" xfId="1488" xr:uid="{00000000-0005-0000-0000-0000B0510000}"/>
    <cellStyle name="Normal 2 5 4 2 9 2" xfId="10865" xr:uid="{00000000-0005-0000-0000-0000B1510000}"/>
    <cellStyle name="Normal 2 5 4 2 9 2 2" xfId="36420" xr:uid="{00000000-0005-0000-0000-0000B2510000}"/>
    <cellStyle name="Normal 2 5 4 2 9 3" xfId="20869" xr:uid="{00000000-0005-0000-0000-0000B3510000}"/>
    <cellStyle name="Normal 2 5 4 2 9 3 2" xfId="46422" xr:uid="{00000000-0005-0000-0000-0000B4510000}"/>
    <cellStyle name="Normal 2 5 4 2 9 4" xfId="27352" xr:uid="{00000000-0005-0000-0000-0000B5510000}"/>
    <cellStyle name="Normal 2 5 4 2_Degree data" xfId="3828" xr:uid="{00000000-0005-0000-0000-0000B6510000}"/>
    <cellStyle name="Normal 2 5 4 3" xfId="213" xr:uid="{00000000-0005-0000-0000-0000B7510000}"/>
    <cellStyle name="Normal 2 5 4 3 10" xfId="7159" xr:uid="{00000000-0005-0000-0000-0000B8510000}"/>
    <cellStyle name="Normal 2 5 4 3 10 2" xfId="19668" xr:uid="{00000000-0005-0000-0000-0000B9510000}"/>
    <cellStyle name="Normal 2 5 4 3 10 2 2" xfId="45221" xr:uid="{00000000-0005-0000-0000-0000BA510000}"/>
    <cellStyle name="Normal 2 5 4 3 10 3" xfId="32716" xr:uid="{00000000-0005-0000-0000-0000BB510000}"/>
    <cellStyle name="Normal 2 5 4 3 11" xfId="15905" xr:uid="{00000000-0005-0000-0000-0000BC510000}"/>
    <cellStyle name="Normal 2 5 4 3 11 2" xfId="41458" xr:uid="{00000000-0005-0000-0000-0000BD510000}"/>
    <cellStyle name="Normal 2 5 4 3 12" xfId="26151" xr:uid="{00000000-0005-0000-0000-0000BE510000}"/>
    <cellStyle name="Normal 2 5 4 3 2" xfId="539" xr:uid="{00000000-0005-0000-0000-0000BF510000}"/>
    <cellStyle name="Normal 2 5 4 3 2 10" xfId="26468" xr:uid="{00000000-0005-0000-0000-0000C0510000}"/>
    <cellStyle name="Normal 2 5 4 3 2 2" xfId="762" xr:uid="{00000000-0005-0000-0000-0000C1510000}"/>
    <cellStyle name="Normal 2 5 4 3 2 2 2" xfId="3248" xr:uid="{00000000-0005-0000-0000-0000C2510000}"/>
    <cellStyle name="Normal 2 5 4 3 2 2 2 2" xfId="12390" xr:uid="{00000000-0005-0000-0000-0000C3510000}"/>
    <cellStyle name="Normal 2 5 4 3 2 2 2 2 2" xfId="22609" xr:uid="{00000000-0005-0000-0000-0000C4510000}"/>
    <cellStyle name="Normal 2 5 4 3 2 2 2 2 2 2" xfId="48162" xr:uid="{00000000-0005-0000-0000-0000C5510000}"/>
    <cellStyle name="Normal 2 5 4 3 2 2 2 2 3" xfId="37945" xr:uid="{00000000-0005-0000-0000-0000C6510000}"/>
    <cellStyle name="Normal 2 5 4 3 2 2 2 3" xfId="8812" xr:uid="{00000000-0005-0000-0000-0000C7510000}"/>
    <cellStyle name="Normal 2 5 4 3 2 2 2 3 2" xfId="34369" xr:uid="{00000000-0005-0000-0000-0000C8510000}"/>
    <cellStyle name="Normal 2 5 4 3 2 2 2 4" xfId="17602" xr:uid="{00000000-0005-0000-0000-0000C9510000}"/>
    <cellStyle name="Normal 2 5 4 3 2 2 2 4 2" xfId="43155" xr:uid="{00000000-0005-0000-0000-0000CA510000}"/>
    <cellStyle name="Normal 2 5 4 3 2 2 2 5" xfId="29092" xr:uid="{00000000-0005-0000-0000-0000CB510000}"/>
    <cellStyle name="Normal 2 5 4 3 2 2 3" xfId="4577" xr:uid="{00000000-0005-0000-0000-0000CC510000}"/>
    <cellStyle name="Normal 2 5 4 3 2 2 3 2" xfId="13415" xr:uid="{00000000-0005-0000-0000-0000CD510000}"/>
    <cellStyle name="Normal 2 5 4 3 2 2 3 2 2" xfId="23666" xr:uid="{00000000-0005-0000-0000-0000CE510000}"/>
    <cellStyle name="Normal 2 5 4 3 2 2 3 2 2 2" xfId="49219" xr:uid="{00000000-0005-0000-0000-0000CF510000}"/>
    <cellStyle name="Normal 2 5 4 3 2 2 3 2 3" xfId="38970" xr:uid="{00000000-0005-0000-0000-0000D0510000}"/>
    <cellStyle name="Normal 2 5 4 3 2 2 3 3" xfId="9836" xr:uid="{00000000-0005-0000-0000-0000D1510000}"/>
    <cellStyle name="Normal 2 5 4 3 2 2 3 3 2" xfId="35393" xr:uid="{00000000-0005-0000-0000-0000D2510000}"/>
    <cellStyle name="Normal 2 5 4 3 2 2 3 4" xfId="18659" xr:uid="{00000000-0005-0000-0000-0000D3510000}"/>
    <cellStyle name="Normal 2 5 4 3 2 2 3 4 2" xfId="44212" xr:uid="{00000000-0005-0000-0000-0000D4510000}"/>
    <cellStyle name="Normal 2 5 4 3 2 2 3 5" xfId="30149" xr:uid="{00000000-0005-0000-0000-0000D5510000}"/>
    <cellStyle name="Normal 2 5 4 3 2 2 4" xfId="2357" xr:uid="{00000000-0005-0000-0000-0000D6510000}"/>
    <cellStyle name="Normal 2 5 4 3 2 2 4 2" xfId="11722" xr:uid="{00000000-0005-0000-0000-0000D7510000}"/>
    <cellStyle name="Normal 2 5 4 3 2 2 4 2 2" xfId="37277" xr:uid="{00000000-0005-0000-0000-0000D8510000}"/>
    <cellStyle name="Normal 2 5 4 3 2 2 4 3" xfId="21726" xr:uid="{00000000-0005-0000-0000-0000D9510000}"/>
    <cellStyle name="Normal 2 5 4 3 2 2 4 3 2" xfId="47279" xr:uid="{00000000-0005-0000-0000-0000DA510000}"/>
    <cellStyle name="Normal 2 5 4 3 2 2 4 4" xfId="28209" xr:uid="{00000000-0005-0000-0000-0000DB510000}"/>
    <cellStyle name="Normal 2 5 4 3 2 2 5" xfId="6033" xr:uid="{00000000-0005-0000-0000-0000DC510000}"/>
    <cellStyle name="Normal 2 5 4 3 2 2 5 2" xfId="14860" xr:uid="{00000000-0005-0000-0000-0000DD510000}"/>
    <cellStyle name="Normal 2 5 4 3 2 2 5 2 2" xfId="40415" xr:uid="{00000000-0005-0000-0000-0000DE510000}"/>
    <cellStyle name="Normal 2 5 4 3 2 2 5 3" xfId="25111" xr:uid="{00000000-0005-0000-0000-0000DF510000}"/>
    <cellStyle name="Normal 2 5 4 3 2 2 5 3 2" xfId="50664" xr:uid="{00000000-0005-0000-0000-0000E0510000}"/>
    <cellStyle name="Normal 2 5 4 3 2 2 5 4" xfId="31594" xr:uid="{00000000-0005-0000-0000-0000E1510000}"/>
    <cellStyle name="Normal 2 5 4 3 2 2 6" xfId="7477" xr:uid="{00000000-0005-0000-0000-0000E2510000}"/>
    <cellStyle name="Normal 2 5 4 3 2 2 6 2" xfId="20208" xr:uid="{00000000-0005-0000-0000-0000E3510000}"/>
    <cellStyle name="Normal 2 5 4 3 2 2 6 2 2" xfId="45761" xr:uid="{00000000-0005-0000-0000-0000E4510000}"/>
    <cellStyle name="Normal 2 5 4 3 2 2 6 3" xfId="33034" xr:uid="{00000000-0005-0000-0000-0000E5510000}"/>
    <cellStyle name="Normal 2 5 4 3 2 2 7" xfId="16719" xr:uid="{00000000-0005-0000-0000-0000E6510000}"/>
    <cellStyle name="Normal 2 5 4 3 2 2 7 2" xfId="42272" xr:uid="{00000000-0005-0000-0000-0000E7510000}"/>
    <cellStyle name="Normal 2 5 4 3 2 2 8" xfId="26691" xr:uid="{00000000-0005-0000-0000-0000E8510000}"/>
    <cellStyle name="Normal 2 5 4 3 2 3" xfId="1311" xr:uid="{00000000-0005-0000-0000-0000E9510000}"/>
    <cellStyle name="Normal 2 5 4 3 2 3 2" xfId="3740" xr:uid="{00000000-0005-0000-0000-0000EA510000}"/>
    <cellStyle name="Normal 2 5 4 3 2 3 2 2" xfId="12876" xr:uid="{00000000-0005-0000-0000-0000EB510000}"/>
    <cellStyle name="Normal 2 5 4 3 2 3 2 2 2" xfId="23095" xr:uid="{00000000-0005-0000-0000-0000EC510000}"/>
    <cellStyle name="Normal 2 5 4 3 2 3 2 2 2 2" xfId="48648" xr:uid="{00000000-0005-0000-0000-0000ED510000}"/>
    <cellStyle name="Normal 2 5 4 3 2 3 2 2 3" xfId="38431" xr:uid="{00000000-0005-0000-0000-0000EE510000}"/>
    <cellStyle name="Normal 2 5 4 3 2 3 2 3" xfId="9297" xr:uid="{00000000-0005-0000-0000-0000EF510000}"/>
    <cellStyle name="Normal 2 5 4 3 2 3 2 3 2" xfId="34854" xr:uid="{00000000-0005-0000-0000-0000F0510000}"/>
    <cellStyle name="Normal 2 5 4 3 2 3 2 4" xfId="18088" xr:uid="{00000000-0005-0000-0000-0000F1510000}"/>
    <cellStyle name="Normal 2 5 4 3 2 3 2 4 2" xfId="43641" xr:uid="{00000000-0005-0000-0000-0000F2510000}"/>
    <cellStyle name="Normal 2 5 4 3 2 3 2 5" xfId="29578" xr:uid="{00000000-0005-0000-0000-0000F3510000}"/>
    <cellStyle name="Normal 2 5 4 3 2 3 3" xfId="4926" xr:uid="{00000000-0005-0000-0000-0000F4510000}"/>
    <cellStyle name="Normal 2 5 4 3 2 3 3 2" xfId="13763" xr:uid="{00000000-0005-0000-0000-0000F5510000}"/>
    <cellStyle name="Normal 2 5 4 3 2 3 3 2 2" xfId="24014" xr:uid="{00000000-0005-0000-0000-0000F6510000}"/>
    <cellStyle name="Normal 2 5 4 3 2 3 3 2 2 2" xfId="49567" xr:uid="{00000000-0005-0000-0000-0000F7510000}"/>
    <cellStyle name="Normal 2 5 4 3 2 3 3 2 3" xfId="39318" xr:uid="{00000000-0005-0000-0000-0000F8510000}"/>
    <cellStyle name="Normal 2 5 4 3 2 3 3 3" xfId="10184" xr:uid="{00000000-0005-0000-0000-0000F9510000}"/>
    <cellStyle name="Normal 2 5 4 3 2 3 3 3 2" xfId="35741" xr:uid="{00000000-0005-0000-0000-0000FA510000}"/>
    <cellStyle name="Normal 2 5 4 3 2 3 3 4" xfId="19007" xr:uid="{00000000-0005-0000-0000-0000FB510000}"/>
    <cellStyle name="Normal 2 5 4 3 2 3 3 4 2" xfId="44560" xr:uid="{00000000-0005-0000-0000-0000FC510000}"/>
    <cellStyle name="Normal 2 5 4 3 2 3 3 5" xfId="30497" xr:uid="{00000000-0005-0000-0000-0000FD510000}"/>
    <cellStyle name="Normal 2 5 4 3 2 3 4" xfId="2134" xr:uid="{00000000-0005-0000-0000-0000FE510000}"/>
    <cellStyle name="Normal 2 5 4 3 2 3 4 2" xfId="11499" xr:uid="{00000000-0005-0000-0000-0000FF510000}"/>
    <cellStyle name="Normal 2 5 4 3 2 3 4 2 2" xfId="37054" xr:uid="{00000000-0005-0000-0000-000000520000}"/>
    <cellStyle name="Normal 2 5 4 3 2 3 4 3" xfId="21503" xr:uid="{00000000-0005-0000-0000-000001520000}"/>
    <cellStyle name="Normal 2 5 4 3 2 3 4 3 2" xfId="47056" xr:uid="{00000000-0005-0000-0000-000002520000}"/>
    <cellStyle name="Normal 2 5 4 3 2 3 4 4" xfId="27986" xr:uid="{00000000-0005-0000-0000-000003520000}"/>
    <cellStyle name="Normal 2 5 4 3 2 3 5" xfId="6381" xr:uid="{00000000-0005-0000-0000-000004520000}"/>
    <cellStyle name="Normal 2 5 4 3 2 3 5 2" xfId="15208" xr:uid="{00000000-0005-0000-0000-000005520000}"/>
    <cellStyle name="Normal 2 5 4 3 2 3 5 2 2" xfId="40763" xr:uid="{00000000-0005-0000-0000-000006520000}"/>
    <cellStyle name="Normal 2 5 4 3 2 3 5 3" xfId="25459" xr:uid="{00000000-0005-0000-0000-000007520000}"/>
    <cellStyle name="Normal 2 5 4 3 2 3 5 3 2" xfId="51012" xr:uid="{00000000-0005-0000-0000-000008520000}"/>
    <cellStyle name="Normal 2 5 4 3 2 3 5 4" xfId="31942" xr:uid="{00000000-0005-0000-0000-000009520000}"/>
    <cellStyle name="Normal 2 5 4 3 2 3 6" xfId="7827" xr:uid="{00000000-0005-0000-0000-00000A520000}"/>
    <cellStyle name="Normal 2 5 4 3 2 3 6 2" xfId="20694" xr:uid="{00000000-0005-0000-0000-00000B520000}"/>
    <cellStyle name="Normal 2 5 4 3 2 3 6 2 2" xfId="46247" xr:uid="{00000000-0005-0000-0000-00000C520000}"/>
    <cellStyle name="Normal 2 5 4 3 2 3 6 3" xfId="33384" xr:uid="{00000000-0005-0000-0000-00000D520000}"/>
    <cellStyle name="Normal 2 5 4 3 2 3 7" xfId="16496" xr:uid="{00000000-0005-0000-0000-00000E520000}"/>
    <cellStyle name="Normal 2 5 4 3 2 3 7 2" xfId="42049" xr:uid="{00000000-0005-0000-0000-00000F520000}"/>
    <cellStyle name="Normal 2 5 4 3 2 3 8" xfId="27177" xr:uid="{00000000-0005-0000-0000-000010520000}"/>
    <cellStyle name="Normal 2 5 4 3 2 4" xfId="3025" xr:uid="{00000000-0005-0000-0000-000011520000}"/>
    <cellStyle name="Normal 2 5 4 3 2 4 2" xfId="5403" xr:uid="{00000000-0005-0000-0000-000012520000}"/>
    <cellStyle name="Normal 2 5 4 3 2 4 2 2" xfId="14240" xr:uid="{00000000-0005-0000-0000-000013520000}"/>
    <cellStyle name="Normal 2 5 4 3 2 4 2 2 2" xfId="24491" xr:uid="{00000000-0005-0000-0000-000014520000}"/>
    <cellStyle name="Normal 2 5 4 3 2 4 2 2 2 2" xfId="50044" xr:uid="{00000000-0005-0000-0000-000015520000}"/>
    <cellStyle name="Normal 2 5 4 3 2 4 2 2 3" xfId="39795" xr:uid="{00000000-0005-0000-0000-000016520000}"/>
    <cellStyle name="Normal 2 5 4 3 2 4 2 3" xfId="10661" xr:uid="{00000000-0005-0000-0000-000017520000}"/>
    <cellStyle name="Normal 2 5 4 3 2 4 2 3 2" xfId="36218" xr:uid="{00000000-0005-0000-0000-000018520000}"/>
    <cellStyle name="Normal 2 5 4 3 2 4 2 4" xfId="19484" xr:uid="{00000000-0005-0000-0000-000019520000}"/>
    <cellStyle name="Normal 2 5 4 3 2 4 2 4 2" xfId="45037" xr:uid="{00000000-0005-0000-0000-00001A520000}"/>
    <cellStyle name="Normal 2 5 4 3 2 4 2 5" xfId="30974" xr:uid="{00000000-0005-0000-0000-00001B520000}"/>
    <cellStyle name="Normal 2 5 4 3 2 4 3" xfId="6858" xr:uid="{00000000-0005-0000-0000-00001C520000}"/>
    <cellStyle name="Normal 2 5 4 3 2 4 3 2" xfId="15685" xr:uid="{00000000-0005-0000-0000-00001D520000}"/>
    <cellStyle name="Normal 2 5 4 3 2 4 3 2 2" xfId="41240" xr:uid="{00000000-0005-0000-0000-00001E520000}"/>
    <cellStyle name="Normal 2 5 4 3 2 4 3 3" xfId="25936" xr:uid="{00000000-0005-0000-0000-00001F520000}"/>
    <cellStyle name="Normal 2 5 4 3 2 4 3 3 2" xfId="51489" xr:uid="{00000000-0005-0000-0000-000020520000}"/>
    <cellStyle name="Normal 2 5 4 3 2 4 3 4" xfId="32419" xr:uid="{00000000-0005-0000-0000-000021520000}"/>
    <cellStyle name="Normal 2 5 4 3 2 4 4" xfId="8304" xr:uid="{00000000-0005-0000-0000-000022520000}"/>
    <cellStyle name="Normal 2 5 4 3 2 4 4 2" xfId="22386" xr:uid="{00000000-0005-0000-0000-000023520000}"/>
    <cellStyle name="Normal 2 5 4 3 2 4 4 2 2" xfId="47939" xr:uid="{00000000-0005-0000-0000-000024520000}"/>
    <cellStyle name="Normal 2 5 4 3 2 4 4 3" xfId="33861" xr:uid="{00000000-0005-0000-0000-000025520000}"/>
    <cellStyle name="Normal 2 5 4 3 2 4 5" xfId="17379" xr:uid="{00000000-0005-0000-0000-000026520000}"/>
    <cellStyle name="Normal 2 5 4 3 2 4 5 2" xfId="42932" xr:uid="{00000000-0005-0000-0000-000027520000}"/>
    <cellStyle name="Normal 2 5 4 3 2 4 6" xfId="28869" xr:uid="{00000000-0005-0000-0000-000028520000}"/>
    <cellStyle name="Normal 2 5 4 3 2 5" xfId="4359" xr:uid="{00000000-0005-0000-0000-000029520000}"/>
    <cellStyle name="Normal 2 5 4 3 2 5 2" xfId="13197" xr:uid="{00000000-0005-0000-0000-00002A520000}"/>
    <cellStyle name="Normal 2 5 4 3 2 5 2 2" xfId="23448" xr:uid="{00000000-0005-0000-0000-00002B520000}"/>
    <cellStyle name="Normal 2 5 4 3 2 5 2 2 2" xfId="49001" xr:uid="{00000000-0005-0000-0000-00002C520000}"/>
    <cellStyle name="Normal 2 5 4 3 2 5 2 3" xfId="38752" xr:uid="{00000000-0005-0000-0000-00002D520000}"/>
    <cellStyle name="Normal 2 5 4 3 2 5 3" xfId="9618" xr:uid="{00000000-0005-0000-0000-00002E520000}"/>
    <cellStyle name="Normal 2 5 4 3 2 5 3 2" xfId="35175" xr:uid="{00000000-0005-0000-0000-00002F520000}"/>
    <cellStyle name="Normal 2 5 4 3 2 5 4" xfId="18441" xr:uid="{00000000-0005-0000-0000-000030520000}"/>
    <cellStyle name="Normal 2 5 4 3 2 5 4 2" xfId="43994" xr:uid="{00000000-0005-0000-0000-000031520000}"/>
    <cellStyle name="Normal 2 5 4 3 2 5 5" xfId="29931" xr:uid="{00000000-0005-0000-0000-000032520000}"/>
    <cellStyle name="Normal 2 5 4 3 2 6" xfId="1631" xr:uid="{00000000-0005-0000-0000-000033520000}"/>
    <cellStyle name="Normal 2 5 4 3 2 6 2" xfId="11008" xr:uid="{00000000-0005-0000-0000-000034520000}"/>
    <cellStyle name="Normal 2 5 4 3 2 6 2 2" xfId="36563" xr:uid="{00000000-0005-0000-0000-000035520000}"/>
    <cellStyle name="Normal 2 5 4 3 2 6 3" xfId="21012" xr:uid="{00000000-0005-0000-0000-000036520000}"/>
    <cellStyle name="Normal 2 5 4 3 2 6 3 2" xfId="46565" xr:uid="{00000000-0005-0000-0000-000037520000}"/>
    <cellStyle name="Normal 2 5 4 3 2 6 4" xfId="27495" xr:uid="{00000000-0005-0000-0000-000038520000}"/>
    <cellStyle name="Normal 2 5 4 3 2 7" xfId="5815" xr:uid="{00000000-0005-0000-0000-000039520000}"/>
    <cellStyle name="Normal 2 5 4 3 2 7 2" xfId="14642" xr:uid="{00000000-0005-0000-0000-00003A520000}"/>
    <cellStyle name="Normal 2 5 4 3 2 7 2 2" xfId="40197" xr:uid="{00000000-0005-0000-0000-00003B520000}"/>
    <cellStyle name="Normal 2 5 4 3 2 7 3" xfId="24893" xr:uid="{00000000-0005-0000-0000-00003C520000}"/>
    <cellStyle name="Normal 2 5 4 3 2 7 3 2" xfId="50446" xr:uid="{00000000-0005-0000-0000-00003D520000}"/>
    <cellStyle name="Normal 2 5 4 3 2 7 4" xfId="31376" xr:uid="{00000000-0005-0000-0000-00003E520000}"/>
    <cellStyle name="Normal 2 5 4 3 2 8" xfId="7259" xr:uid="{00000000-0005-0000-0000-00003F520000}"/>
    <cellStyle name="Normal 2 5 4 3 2 8 2" xfId="19985" xr:uid="{00000000-0005-0000-0000-000040520000}"/>
    <cellStyle name="Normal 2 5 4 3 2 8 2 2" xfId="45538" xr:uid="{00000000-0005-0000-0000-000041520000}"/>
    <cellStyle name="Normal 2 5 4 3 2 8 3" xfId="32816" xr:uid="{00000000-0005-0000-0000-000042520000}"/>
    <cellStyle name="Normal 2 5 4 3 2 9" xfId="16005" xr:uid="{00000000-0005-0000-0000-000043520000}"/>
    <cellStyle name="Normal 2 5 4 3 2 9 2" xfId="41558" xr:uid="{00000000-0005-0000-0000-000044520000}"/>
    <cellStyle name="Normal 2 5 4 3 2_Degree data" xfId="3846" xr:uid="{00000000-0005-0000-0000-000045520000}"/>
    <cellStyle name="Normal 2 5 4 3 3" xfId="439" xr:uid="{00000000-0005-0000-0000-000046520000}"/>
    <cellStyle name="Normal 2 5 4 3 3 2" xfId="2925" xr:uid="{00000000-0005-0000-0000-000047520000}"/>
    <cellStyle name="Normal 2 5 4 3 3 2 2" xfId="12213" xr:uid="{00000000-0005-0000-0000-000048520000}"/>
    <cellStyle name="Normal 2 5 4 3 3 2 2 2" xfId="22286" xr:uid="{00000000-0005-0000-0000-000049520000}"/>
    <cellStyle name="Normal 2 5 4 3 3 2 2 2 2" xfId="47839" xr:uid="{00000000-0005-0000-0000-00004A520000}"/>
    <cellStyle name="Normal 2 5 4 3 3 2 2 3" xfId="37768" xr:uid="{00000000-0005-0000-0000-00004B520000}"/>
    <cellStyle name="Normal 2 5 4 3 3 2 3" xfId="8445" xr:uid="{00000000-0005-0000-0000-00004C520000}"/>
    <cellStyle name="Normal 2 5 4 3 3 2 3 2" xfId="34002" xr:uid="{00000000-0005-0000-0000-00004D520000}"/>
    <cellStyle name="Normal 2 5 4 3 3 2 4" xfId="17279" xr:uid="{00000000-0005-0000-0000-00004E520000}"/>
    <cellStyle name="Normal 2 5 4 3 3 2 4 2" xfId="42832" xr:uid="{00000000-0005-0000-0000-00004F520000}"/>
    <cellStyle name="Normal 2 5 4 3 3 2 5" xfId="28769" xr:uid="{00000000-0005-0000-0000-000050520000}"/>
    <cellStyle name="Normal 2 5 4 3 3 3" xfId="4576" xr:uid="{00000000-0005-0000-0000-000051520000}"/>
    <cellStyle name="Normal 2 5 4 3 3 3 2" xfId="13414" xr:uid="{00000000-0005-0000-0000-000052520000}"/>
    <cellStyle name="Normal 2 5 4 3 3 3 2 2" xfId="23665" xr:uid="{00000000-0005-0000-0000-000053520000}"/>
    <cellStyle name="Normal 2 5 4 3 3 3 2 2 2" xfId="49218" xr:uid="{00000000-0005-0000-0000-000054520000}"/>
    <cellStyle name="Normal 2 5 4 3 3 3 2 3" xfId="38969" xr:uid="{00000000-0005-0000-0000-000055520000}"/>
    <cellStyle name="Normal 2 5 4 3 3 3 3" xfId="9835" xr:uid="{00000000-0005-0000-0000-000056520000}"/>
    <cellStyle name="Normal 2 5 4 3 3 3 3 2" xfId="35392" xr:uid="{00000000-0005-0000-0000-000057520000}"/>
    <cellStyle name="Normal 2 5 4 3 3 3 4" xfId="18658" xr:uid="{00000000-0005-0000-0000-000058520000}"/>
    <cellStyle name="Normal 2 5 4 3 3 3 4 2" xfId="44211" xr:uid="{00000000-0005-0000-0000-000059520000}"/>
    <cellStyle name="Normal 2 5 4 3 3 3 5" xfId="30148" xr:uid="{00000000-0005-0000-0000-00005A520000}"/>
    <cellStyle name="Normal 2 5 4 3 3 4" xfId="2034" xr:uid="{00000000-0005-0000-0000-00005B520000}"/>
    <cellStyle name="Normal 2 5 4 3 3 4 2" xfId="11399" xr:uid="{00000000-0005-0000-0000-00005C520000}"/>
    <cellStyle name="Normal 2 5 4 3 3 4 2 2" xfId="36954" xr:uid="{00000000-0005-0000-0000-00005D520000}"/>
    <cellStyle name="Normal 2 5 4 3 3 4 3" xfId="21403" xr:uid="{00000000-0005-0000-0000-00005E520000}"/>
    <cellStyle name="Normal 2 5 4 3 3 4 3 2" xfId="46956" xr:uid="{00000000-0005-0000-0000-00005F520000}"/>
    <cellStyle name="Normal 2 5 4 3 3 4 4" xfId="27886" xr:uid="{00000000-0005-0000-0000-000060520000}"/>
    <cellStyle name="Normal 2 5 4 3 3 5" xfId="6032" xr:uid="{00000000-0005-0000-0000-000061520000}"/>
    <cellStyle name="Normal 2 5 4 3 3 5 2" xfId="14859" xr:uid="{00000000-0005-0000-0000-000062520000}"/>
    <cellStyle name="Normal 2 5 4 3 3 5 2 2" xfId="40414" xr:uid="{00000000-0005-0000-0000-000063520000}"/>
    <cellStyle name="Normal 2 5 4 3 3 5 3" xfId="25110" xr:uid="{00000000-0005-0000-0000-000064520000}"/>
    <cellStyle name="Normal 2 5 4 3 3 5 3 2" xfId="50663" xr:uid="{00000000-0005-0000-0000-000065520000}"/>
    <cellStyle name="Normal 2 5 4 3 3 5 4" xfId="31593" xr:uid="{00000000-0005-0000-0000-000066520000}"/>
    <cellStyle name="Normal 2 5 4 3 3 6" xfId="7476" xr:uid="{00000000-0005-0000-0000-000067520000}"/>
    <cellStyle name="Normal 2 5 4 3 3 6 2" xfId="19885" xr:uid="{00000000-0005-0000-0000-000068520000}"/>
    <cellStyle name="Normal 2 5 4 3 3 6 2 2" xfId="45438" xr:uid="{00000000-0005-0000-0000-000069520000}"/>
    <cellStyle name="Normal 2 5 4 3 3 6 3" xfId="33033" xr:uid="{00000000-0005-0000-0000-00006A520000}"/>
    <cellStyle name="Normal 2 5 4 3 3 7" xfId="16396" xr:uid="{00000000-0005-0000-0000-00006B520000}"/>
    <cellStyle name="Normal 2 5 4 3 3 7 2" xfId="41949" xr:uid="{00000000-0005-0000-0000-00006C520000}"/>
    <cellStyle name="Normal 2 5 4 3 3 8" xfId="26368" xr:uid="{00000000-0005-0000-0000-00006D520000}"/>
    <cellStyle name="Normal 2 5 4 3 4" xfId="761" xr:uid="{00000000-0005-0000-0000-00006E520000}"/>
    <cellStyle name="Normal 2 5 4 3 4 2" xfId="3247" xr:uid="{00000000-0005-0000-0000-00006F520000}"/>
    <cellStyle name="Normal 2 5 4 3 4 2 2" xfId="12389" xr:uid="{00000000-0005-0000-0000-000070520000}"/>
    <cellStyle name="Normal 2 5 4 3 4 2 2 2" xfId="22608" xr:uid="{00000000-0005-0000-0000-000071520000}"/>
    <cellStyle name="Normal 2 5 4 3 4 2 2 2 2" xfId="48161" xr:uid="{00000000-0005-0000-0000-000072520000}"/>
    <cellStyle name="Normal 2 5 4 3 4 2 2 3" xfId="37944" xr:uid="{00000000-0005-0000-0000-000073520000}"/>
    <cellStyle name="Normal 2 5 4 3 4 2 3" xfId="8811" xr:uid="{00000000-0005-0000-0000-000074520000}"/>
    <cellStyle name="Normal 2 5 4 3 4 2 3 2" xfId="34368" xr:uid="{00000000-0005-0000-0000-000075520000}"/>
    <cellStyle name="Normal 2 5 4 3 4 2 4" xfId="17601" xr:uid="{00000000-0005-0000-0000-000076520000}"/>
    <cellStyle name="Normal 2 5 4 3 4 2 4 2" xfId="43154" xr:uid="{00000000-0005-0000-0000-000077520000}"/>
    <cellStyle name="Normal 2 5 4 3 4 2 5" xfId="29091" xr:uid="{00000000-0005-0000-0000-000078520000}"/>
    <cellStyle name="Normal 2 5 4 3 4 3" xfId="4925" xr:uid="{00000000-0005-0000-0000-000079520000}"/>
    <cellStyle name="Normal 2 5 4 3 4 3 2" xfId="13762" xr:uid="{00000000-0005-0000-0000-00007A520000}"/>
    <cellStyle name="Normal 2 5 4 3 4 3 2 2" xfId="24013" xr:uid="{00000000-0005-0000-0000-00007B520000}"/>
    <cellStyle name="Normal 2 5 4 3 4 3 2 2 2" xfId="49566" xr:uid="{00000000-0005-0000-0000-00007C520000}"/>
    <cellStyle name="Normal 2 5 4 3 4 3 2 3" xfId="39317" xr:uid="{00000000-0005-0000-0000-00007D520000}"/>
    <cellStyle name="Normal 2 5 4 3 4 3 3" xfId="10183" xr:uid="{00000000-0005-0000-0000-00007E520000}"/>
    <cellStyle name="Normal 2 5 4 3 4 3 3 2" xfId="35740" xr:uid="{00000000-0005-0000-0000-00007F520000}"/>
    <cellStyle name="Normal 2 5 4 3 4 3 4" xfId="19006" xr:uid="{00000000-0005-0000-0000-000080520000}"/>
    <cellStyle name="Normal 2 5 4 3 4 3 4 2" xfId="44559" xr:uid="{00000000-0005-0000-0000-000081520000}"/>
    <cellStyle name="Normal 2 5 4 3 4 3 5" xfId="30496" xr:uid="{00000000-0005-0000-0000-000082520000}"/>
    <cellStyle name="Normal 2 5 4 3 4 4" xfId="2356" xr:uid="{00000000-0005-0000-0000-000083520000}"/>
    <cellStyle name="Normal 2 5 4 3 4 4 2" xfId="11721" xr:uid="{00000000-0005-0000-0000-000084520000}"/>
    <cellStyle name="Normal 2 5 4 3 4 4 2 2" xfId="37276" xr:uid="{00000000-0005-0000-0000-000085520000}"/>
    <cellStyle name="Normal 2 5 4 3 4 4 3" xfId="21725" xr:uid="{00000000-0005-0000-0000-000086520000}"/>
    <cellStyle name="Normal 2 5 4 3 4 4 3 2" xfId="47278" xr:uid="{00000000-0005-0000-0000-000087520000}"/>
    <cellStyle name="Normal 2 5 4 3 4 4 4" xfId="28208" xr:uid="{00000000-0005-0000-0000-000088520000}"/>
    <cellStyle name="Normal 2 5 4 3 4 5" xfId="6380" xr:uid="{00000000-0005-0000-0000-000089520000}"/>
    <cellStyle name="Normal 2 5 4 3 4 5 2" xfId="15207" xr:uid="{00000000-0005-0000-0000-00008A520000}"/>
    <cellStyle name="Normal 2 5 4 3 4 5 2 2" xfId="40762" xr:uid="{00000000-0005-0000-0000-00008B520000}"/>
    <cellStyle name="Normal 2 5 4 3 4 5 3" xfId="25458" xr:uid="{00000000-0005-0000-0000-00008C520000}"/>
    <cellStyle name="Normal 2 5 4 3 4 5 3 2" xfId="51011" xr:uid="{00000000-0005-0000-0000-00008D520000}"/>
    <cellStyle name="Normal 2 5 4 3 4 5 4" xfId="31941" xr:uid="{00000000-0005-0000-0000-00008E520000}"/>
    <cellStyle name="Normal 2 5 4 3 4 6" xfId="7826" xr:uid="{00000000-0005-0000-0000-00008F520000}"/>
    <cellStyle name="Normal 2 5 4 3 4 6 2" xfId="20207" xr:uid="{00000000-0005-0000-0000-000090520000}"/>
    <cellStyle name="Normal 2 5 4 3 4 6 2 2" xfId="45760" xr:uid="{00000000-0005-0000-0000-000091520000}"/>
    <cellStyle name="Normal 2 5 4 3 4 6 3" xfId="33383" xr:uid="{00000000-0005-0000-0000-000092520000}"/>
    <cellStyle name="Normal 2 5 4 3 4 7" xfId="16718" xr:uid="{00000000-0005-0000-0000-000093520000}"/>
    <cellStyle name="Normal 2 5 4 3 4 7 2" xfId="42271" xr:uid="{00000000-0005-0000-0000-000094520000}"/>
    <cellStyle name="Normal 2 5 4 3 4 8" xfId="26690" xr:uid="{00000000-0005-0000-0000-000095520000}"/>
    <cellStyle name="Normal 2 5 4 3 5" xfId="1211" xr:uid="{00000000-0005-0000-0000-000096520000}"/>
    <cellStyle name="Normal 2 5 4 3 5 2" xfId="3640" xr:uid="{00000000-0005-0000-0000-000097520000}"/>
    <cellStyle name="Normal 2 5 4 3 5 2 2" xfId="12776" xr:uid="{00000000-0005-0000-0000-000098520000}"/>
    <cellStyle name="Normal 2 5 4 3 5 2 2 2" xfId="22995" xr:uid="{00000000-0005-0000-0000-000099520000}"/>
    <cellStyle name="Normal 2 5 4 3 5 2 2 2 2" xfId="48548" xr:uid="{00000000-0005-0000-0000-00009A520000}"/>
    <cellStyle name="Normal 2 5 4 3 5 2 2 3" xfId="38331" xr:uid="{00000000-0005-0000-0000-00009B520000}"/>
    <cellStyle name="Normal 2 5 4 3 5 2 3" xfId="9197" xr:uid="{00000000-0005-0000-0000-00009C520000}"/>
    <cellStyle name="Normal 2 5 4 3 5 2 3 2" xfId="34754" xr:uid="{00000000-0005-0000-0000-00009D520000}"/>
    <cellStyle name="Normal 2 5 4 3 5 2 4" xfId="17988" xr:uid="{00000000-0005-0000-0000-00009E520000}"/>
    <cellStyle name="Normal 2 5 4 3 5 2 4 2" xfId="43541" xr:uid="{00000000-0005-0000-0000-00009F520000}"/>
    <cellStyle name="Normal 2 5 4 3 5 2 5" xfId="29478" xr:uid="{00000000-0005-0000-0000-0000A0520000}"/>
    <cellStyle name="Normal 2 5 4 3 5 3" xfId="5303" xr:uid="{00000000-0005-0000-0000-0000A1520000}"/>
    <cellStyle name="Normal 2 5 4 3 5 3 2" xfId="14140" xr:uid="{00000000-0005-0000-0000-0000A2520000}"/>
    <cellStyle name="Normal 2 5 4 3 5 3 2 2" xfId="24391" xr:uid="{00000000-0005-0000-0000-0000A3520000}"/>
    <cellStyle name="Normal 2 5 4 3 5 3 2 2 2" xfId="49944" xr:uid="{00000000-0005-0000-0000-0000A4520000}"/>
    <cellStyle name="Normal 2 5 4 3 5 3 2 3" xfId="39695" xr:uid="{00000000-0005-0000-0000-0000A5520000}"/>
    <cellStyle name="Normal 2 5 4 3 5 3 3" xfId="10561" xr:uid="{00000000-0005-0000-0000-0000A6520000}"/>
    <cellStyle name="Normal 2 5 4 3 5 3 3 2" xfId="36118" xr:uid="{00000000-0005-0000-0000-0000A7520000}"/>
    <cellStyle name="Normal 2 5 4 3 5 3 4" xfId="19384" xr:uid="{00000000-0005-0000-0000-0000A8520000}"/>
    <cellStyle name="Normal 2 5 4 3 5 3 4 2" xfId="44937" xr:uid="{00000000-0005-0000-0000-0000A9520000}"/>
    <cellStyle name="Normal 2 5 4 3 5 3 5" xfId="30874" xr:uid="{00000000-0005-0000-0000-0000AA520000}"/>
    <cellStyle name="Normal 2 5 4 3 5 4" xfId="1814" xr:uid="{00000000-0005-0000-0000-0000AB520000}"/>
    <cellStyle name="Normal 2 5 4 3 5 4 2" xfId="11182" xr:uid="{00000000-0005-0000-0000-0000AC520000}"/>
    <cellStyle name="Normal 2 5 4 3 5 4 2 2" xfId="36737" xr:uid="{00000000-0005-0000-0000-0000AD520000}"/>
    <cellStyle name="Normal 2 5 4 3 5 4 3" xfId="21186" xr:uid="{00000000-0005-0000-0000-0000AE520000}"/>
    <cellStyle name="Normal 2 5 4 3 5 4 3 2" xfId="46739" xr:uid="{00000000-0005-0000-0000-0000AF520000}"/>
    <cellStyle name="Normal 2 5 4 3 5 4 4" xfId="27669" xr:uid="{00000000-0005-0000-0000-0000B0520000}"/>
    <cellStyle name="Normal 2 5 4 3 5 5" xfId="6758" xr:uid="{00000000-0005-0000-0000-0000B1520000}"/>
    <cellStyle name="Normal 2 5 4 3 5 5 2" xfId="15585" xr:uid="{00000000-0005-0000-0000-0000B2520000}"/>
    <cellStyle name="Normal 2 5 4 3 5 5 2 2" xfId="41140" xr:uid="{00000000-0005-0000-0000-0000B3520000}"/>
    <cellStyle name="Normal 2 5 4 3 5 5 3" xfId="25836" xr:uid="{00000000-0005-0000-0000-0000B4520000}"/>
    <cellStyle name="Normal 2 5 4 3 5 5 3 2" xfId="51389" xr:uid="{00000000-0005-0000-0000-0000B5520000}"/>
    <cellStyle name="Normal 2 5 4 3 5 5 4" xfId="32319" xr:uid="{00000000-0005-0000-0000-0000B6520000}"/>
    <cellStyle name="Normal 2 5 4 3 5 6" xfId="8204" xr:uid="{00000000-0005-0000-0000-0000B7520000}"/>
    <cellStyle name="Normal 2 5 4 3 5 6 2" xfId="20594" xr:uid="{00000000-0005-0000-0000-0000B8520000}"/>
    <cellStyle name="Normal 2 5 4 3 5 6 2 2" xfId="46147" xr:uid="{00000000-0005-0000-0000-0000B9520000}"/>
    <cellStyle name="Normal 2 5 4 3 5 6 3" xfId="33761" xr:uid="{00000000-0005-0000-0000-0000BA520000}"/>
    <cellStyle name="Normal 2 5 4 3 5 7" xfId="16179" xr:uid="{00000000-0005-0000-0000-0000BB520000}"/>
    <cellStyle name="Normal 2 5 4 3 5 7 2" xfId="41732" xr:uid="{00000000-0005-0000-0000-0000BC520000}"/>
    <cellStyle name="Normal 2 5 4 3 5 8" xfId="27077" xr:uid="{00000000-0005-0000-0000-0000BD520000}"/>
    <cellStyle name="Normal 2 5 4 3 6" xfId="2708" xr:uid="{00000000-0005-0000-0000-0000BE520000}"/>
    <cellStyle name="Normal 2 5 4 3 6 2" xfId="12025" xr:uid="{00000000-0005-0000-0000-0000BF520000}"/>
    <cellStyle name="Normal 2 5 4 3 6 2 2" xfId="22069" xr:uid="{00000000-0005-0000-0000-0000C0520000}"/>
    <cellStyle name="Normal 2 5 4 3 6 2 2 2" xfId="47622" xr:uid="{00000000-0005-0000-0000-0000C1520000}"/>
    <cellStyle name="Normal 2 5 4 3 6 2 3" xfId="37580" xr:uid="{00000000-0005-0000-0000-0000C2520000}"/>
    <cellStyle name="Normal 2 5 4 3 6 3" xfId="8540" xr:uid="{00000000-0005-0000-0000-0000C3520000}"/>
    <cellStyle name="Normal 2 5 4 3 6 3 2" xfId="34097" xr:uid="{00000000-0005-0000-0000-0000C4520000}"/>
    <cellStyle name="Normal 2 5 4 3 6 4" xfId="17062" xr:uid="{00000000-0005-0000-0000-0000C5520000}"/>
    <cellStyle name="Normal 2 5 4 3 6 4 2" xfId="42615" xr:uid="{00000000-0005-0000-0000-0000C6520000}"/>
    <cellStyle name="Normal 2 5 4 3 6 5" xfId="28552" xr:uid="{00000000-0005-0000-0000-0000C7520000}"/>
    <cellStyle name="Normal 2 5 4 3 7" xfId="4259" xr:uid="{00000000-0005-0000-0000-0000C8520000}"/>
    <cellStyle name="Normal 2 5 4 3 7 2" xfId="13097" xr:uid="{00000000-0005-0000-0000-0000C9520000}"/>
    <cellStyle name="Normal 2 5 4 3 7 2 2" xfId="23348" xr:uid="{00000000-0005-0000-0000-0000CA520000}"/>
    <cellStyle name="Normal 2 5 4 3 7 2 2 2" xfId="48901" xr:uid="{00000000-0005-0000-0000-0000CB520000}"/>
    <cellStyle name="Normal 2 5 4 3 7 2 3" xfId="38652" xr:uid="{00000000-0005-0000-0000-0000CC520000}"/>
    <cellStyle name="Normal 2 5 4 3 7 3" xfId="9518" xr:uid="{00000000-0005-0000-0000-0000CD520000}"/>
    <cellStyle name="Normal 2 5 4 3 7 3 2" xfId="35075" xr:uid="{00000000-0005-0000-0000-0000CE520000}"/>
    <cellStyle name="Normal 2 5 4 3 7 4" xfId="18341" xr:uid="{00000000-0005-0000-0000-0000CF520000}"/>
    <cellStyle name="Normal 2 5 4 3 7 4 2" xfId="43894" xr:uid="{00000000-0005-0000-0000-0000D0520000}"/>
    <cellStyle name="Normal 2 5 4 3 7 5" xfId="29831" xr:uid="{00000000-0005-0000-0000-0000D1520000}"/>
    <cellStyle name="Normal 2 5 4 3 8" xfId="1531" xr:uid="{00000000-0005-0000-0000-0000D2520000}"/>
    <cellStyle name="Normal 2 5 4 3 8 2" xfId="10908" xr:uid="{00000000-0005-0000-0000-0000D3520000}"/>
    <cellStyle name="Normal 2 5 4 3 8 2 2" xfId="36463" xr:uid="{00000000-0005-0000-0000-0000D4520000}"/>
    <cellStyle name="Normal 2 5 4 3 8 3" xfId="20912" xr:uid="{00000000-0005-0000-0000-0000D5520000}"/>
    <cellStyle name="Normal 2 5 4 3 8 3 2" xfId="46465" xr:uid="{00000000-0005-0000-0000-0000D6520000}"/>
    <cellStyle name="Normal 2 5 4 3 8 4" xfId="27395" xr:uid="{00000000-0005-0000-0000-0000D7520000}"/>
    <cellStyle name="Normal 2 5 4 3 9" xfId="5715" xr:uid="{00000000-0005-0000-0000-0000D8520000}"/>
    <cellStyle name="Normal 2 5 4 3 9 2" xfId="14542" xr:uid="{00000000-0005-0000-0000-0000D9520000}"/>
    <cellStyle name="Normal 2 5 4 3 9 2 2" xfId="40097" xr:uid="{00000000-0005-0000-0000-0000DA520000}"/>
    <cellStyle name="Normal 2 5 4 3 9 3" xfId="24793" xr:uid="{00000000-0005-0000-0000-0000DB520000}"/>
    <cellStyle name="Normal 2 5 4 3 9 3 2" xfId="50346" xr:uid="{00000000-0005-0000-0000-0000DC520000}"/>
    <cellStyle name="Normal 2 5 4 3 9 4" xfId="31276" xr:uid="{00000000-0005-0000-0000-0000DD520000}"/>
    <cellStyle name="Normal 2 5 4 3_Degree data" xfId="3929" xr:uid="{00000000-0005-0000-0000-0000DE520000}"/>
    <cellStyle name="Normal 2 5 4 4" xfId="245" xr:uid="{00000000-0005-0000-0000-0000DF520000}"/>
    <cellStyle name="Normal 2 5 4 4 10" xfId="7083" xr:uid="{00000000-0005-0000-0000-0000E0520000}"/>
    <cellStyle name="Normal 2 5 4 4 10 2" xfId="19697" xr:uid="{00000000-0005-0000-0000-0000E1520000}"/>
    <cellStyle name="Normal 2 5 4 4 10 2 2" xfId="45250" xr:uid="{00000000-0005-0000-0000-0000E2520000}"/>
    <cellStyle name="Normal 2 5 4 4 10 3" xfId="32640" xr:uid="{00000000-0005-0000-0000-0000E3520000}"/>
    <cellStyle name="Normal 2 5 4 4 11" xfId="15829" xr:uid="{00000000-0005-0000-0000-0000E4520000}"/>
    <cellStyle name="Normal 2 5 4 4 11 2" xfId="41382" xr:uid="{00000000-0005-0000-0000-0000E5520000}"/>
    <cellStyle name="Normal 2 5 4 4 12" xfId="26180" xr:uid="{00000000-0005-0000-0000-0000E6520000}"/>
    <cellStyle name="Normal 2 5 4 4 2" xfId="568" xr:uid="{00000000-0005-0000-0000-0000E7520000}"/>
    <cellStyle name="Normal 2 5 4 4 2 10" xfId="26497" xr:uid="{00000000-0005-0000-0000-0000E8520000}"/>
    <cellStyle name="Normal 2 5 4 4 2 2" xfId="764" xr:uid="{00000000-0005-0000-0000-0000E9520000}"/>
    <cellStyle name="Normal 2 5 4 4 2 2 2" xfId="3250" xr:uid="{00000000-0005-0000-0000-0000EA520000}"/>
    <cellStyle name="Normal 2 5 4 4 2 2 2 2" xfId="12392" xr:uid="{00000000-0005-0000-0000-0000EB520000}"/>
    <cellStyle name="Normal 2 5 4 4 2 2 2 2 2" xfId="22611" xr:uid="{00000000-0005-0000-0000-0000EC520000}"/>
    <cellStyle name="Normal 2 5 4 4 2 2 2 2 2 2" xfId="48164" xr:uid="{00000000-0005-0000-0000-0000ED520000}"/>
    <cellStyle name="Normal 2 5 4 4 2 2 2 2 3" xfId="37947" xr:uid="{00000000-0005-0000-0000-0000EE520000}"/>
    <cellStyle name="Normal 2 5 4 4 2 2 2 3" xfId="8814" xr:uid="{00000000-0005-0000-0000-0000EF520000}"/>
    <cellStyle name="Normal 2 5 4 4 2 2 2 3 2" xfId="34371" xr:uid="{00000000-0005-0000-0000-0000F0520000}"/>
    <cellStyle name="Normal 2 5 4 4 2 2 2 4" xfId="17604" xr:uid="{00000000-0005-0000-0000-0000F1520000}"/>
    <cellStyle name="Normal 2 5 4 4 2 2 2 4 2" xfId="43157" xr:uid="{00000000-0005-0000-0000-0000F2520000}"/>
    <cellStyle name="Normal 2 5 4 4 2 2 2 5" xfId="29094" xr:uid="{00000000-0005-0000-0000-0000F3520000}"/>
    <cellStyle name="Normal 2 5 4 4 2 2 3" xfId="4579" xr:uid="{00000000-0005-0000-0000-0000F4520000}"/>
    <cellStyle name="Normal 2 5 4 4 2 2 3 2" xfId="13417" xr:uid="{00000000-0005-0000-0000-0000F5520000}"/>
    <cellStyle name="Normal 2 5 4 4 2 2 3 2 2" xfId="23668" xr:uid="{00000000-0005-0000-0000-0000F6520000}"/>
    <cellStyle name="Normal 2 5 4 4 2 2 3 2 2 2" xfId="49221" xr:uid="{00000000-0005-0000-0000-0000F7520000}"/>
    <cellStyle name="Normal 2 5 4 4 2 2 3 2 3" xfId="38972" xr:uid="{00000000-0005-0000-0000-0000F8520000}"/>
    <cellStyle name="Normal 2 5 4 4 2 2 3 3" xfId="9838" xr:uid="{00000000-0005-0000-0000-0000F9520000}"/>
    <cellStyle name="Normal 2 5 4 4 2 2 3 3 2" xfId="35395" xr:uid="{00000000-0005-0000-0000-0000FA520000}"/>
    <cellStyle name="Normal 2 5 4 4 2 2 3 4" xfId="18661" xr:uid="{00000000-0005-0000-0000-0000FB520000}"/>
    <cellStyle name="Normal 2 5 4 4 2 2 3 4 2" xfId="44214" xr:uid="{00000000-0005-0000-0000-0000FC520000}"/>
    <cellStyle name="Normal 2 5 4 4 2 2 3 5" xfId="30151" xr:uid="{00000000-0005-0000-0000-0000FD520000}"/>
    <cellStyle name="Normal 2 5 4 4 2 2 4" xfId="2359" xr:uid="{00000000-0005-0000-0000-0000FE520000}"/>
    <cellStyle name="Normal 2 5 4 4 2 2 4 2" xfId="11724" xr:uid="{00000000-0005-0000-0000-0000FF520000}"/>
    <cellStyle name="Normal 2 5 4 4 2 2 4 2 2" xfId="37279" xr:uid="{00000000-0005-0000-0000-000000530000}"/>
    <cellStyle name="Normal 2 5 4 4 2 2 4 3" xfId="21728" xr:uid="{00000000-0005-0000-0000-000001530000}"/>
    <cellStyle name="Normal 2 5 4 4 2 2 4 3 2" xfId="47281" xr:uid="{00000000-0005-0000-0000-000002530000}"/>
    <cellStyle name="Normal 2 5 4 4 2 2 4 4" xfId="28211" xr:uid="{00000000-0005-0000-0000-000003530000}"/>
    <cellStyle name="Normal 2 5 4 4 2 2 5" xfId="6035" xr:uid="{00000000-0005-0000-0000-000004530000}"/>
    <cellStyle name="Normal 2 5 4 4 2 2 5 2" xfId="14862" xr:uid="{00000000-0005-0000-0000-000005530000}"/>
    <cellStyle name="Normal 2 5 4 4 2 2 5 2 2" xfId="40417" xr:uid="{00000000-0005-0000-0000-000006530000}"/>
    <cellStyle name="Normal 2 5 4 4 2 2 5 3" xfId="25113" xr:uid="{00000000-0005-0000-0000-000007530000}"/>
    <cellStyle name="Normal 2 5 4 4 2 2 5 3 2" xfId="50666" xr:uid="{00000000-0005-0000-0000-000008530000}"/>
    <cellStyle name="Normal 2 5 4 4 2 2 5 4" xfId="31596" xr:uid="{00000000-0005-0000-0000-000009530000}"/>
    <cellStyle name="Normal 2 5 4 4 2 2 6" xfId="7479" xr:uid="{00000000-0005-0000-0000-00000A530000}"/>
    <cellStyle name="Normal 2 5 4 4 2 2 6 2" xfId="20210" xr:uid="{00000000-0005-0000-0000-00000B530000}"/>
    <cellStyle name="Normal 2 5 4 4 2 2 6 2 2" xfId="45763" xr:uid="{00000000-0005-0000-0000-00000C530000}"/>
    <cellStyle name="Normal 2 5 4 4 2 2 6 3" xfId="33036" xr:uid="{00000000-0005-0000-0000-00000D530000}"/>
    <cellStyle name="Normal 2 5 4 4 2 2 7" xfId="16721" xr:uid="{00000000-0005-0000-0000-00000E530000}"/>
    <cellStyle name="Normal 2 5 4 4 2 2 7 2" xfId="42274" xr:uid="{00000000-0005-0000-0000-00000F530000}"/>
    <cellStyle name="Normal 2 5 4 4 2 2 8" xfId="26693" xr:uid="{00000000-0005-0000-0000-000010530000}"/>
    <cellStyle name="Normal 2 5 4 4 2 3" xfId="1340" xr:uid="{00000000-0005-0000-0000-000011530000}"/>
    <cellStyle name="Normal 2 5 4 4 2 3 2" xfId="3769" xr:uid="{00000000-0005-0000-0000-000012530000}"/>
    <cellStyle name="Normal 2 5 4 4 2 3 2 2" xfId="12905" xr:uid="{00000000-0005-0000-0000-000013530000}"/>
    <cellStyle name="Normal 2 5 4 4 2 3 2 2 2" xfId="23124" xr:uid="{00000000-0005-0000-0000-000014530000}"/>
    <cellStyle name="Normal 2 5 4 4 2 3 2 2 2 2" xfId="48677" xr:uid="{00000000-0005-0000-0000-000015530000}"/>
    <cellStyle name="Normal 2 5 4 4 2 3 2 2 3" xfId="38460" xr:uid="{00000000-0005-0000-0000-000016530000}"/>
    <cellStyle name="Normal 2 5 4 4 2 3 2 3" xfId="9326" xr:uid="{00000000-0005-0000-0000-000017530000}"/>
    <cellStyle name="Normal 2 5 4 4 2 3 2 3 2" xfId="34883" xr:uid="{00000000-0005-0000-0000-000018530000}"/>
    <cellStyle name="Normal 2 5 4 4 2 3 2 4" xfId="18117" xr:uid="{00000000-0005-0000-0000-000019530000}"/>
    <cellStyle name="Normal 2 5 4 4 2 3 2 4 2" xfId="43670" xr:uid="{00000000-0005-0000-0000-00001A530000}"/>
    <cellStyle name="Normal 2 5 4 4 2 3 2 5" xfId="29607" xr:uid="{00000000-0005-0000-0000-00001B530000}"/>
    <cellStyle name="Normal 2 5 4 4 2 3 3" xfId="4928" xr:uid="{00000000-0005-0000-0000-00001C530000}"/>
    <cellStyle name="Normal 2 5 4 4 2 3 3 2" xfId="13765" xr:uid="{00000000-0005-0000-0000-00001D530000}"/>
    <cellStyle name="Normal 2 5 4 4 2 3 3 2 2" xfId="24016" xr:uid="{00000000-0005-0000-0000-00001E530000}"/>
    <cellStyle name="Normal 2 5 4 4 2 3 3 2 2 2" xfId="49569" xr:uid="{00000000-0005-0000-0000-00001F530000}"/>
    <cellStyle name="Normal 2 5 4 4 2 3 3 2 3" xfId="39320" xr:uid="{00000000-0005-0000-0000-000020530000}"/>
    <cellStyle name="Normal 2 5 4 4 2 3 3 3" xfId="10186" xr:uid="{00000000-0005-0000-0000-000021530000}"/>
    <cellStyle name="Normal 2 5 4 4 2 3 3 3 2" xfId="35743" xr:uid="{00000000-0005-0000-0000-000022530000}"/>
    <cellStyle name="Normal 2 5 4 4 2 3 3 4" xfId="19009" xr:uid="{00000000-0005-0000-0000-000023530000}"/>
    <cellStyle name="Normal 2 5 4 4 2 3 3 4 2" xfId="44562" xr:uid="{00000000-0005-0000-0000-000024530000}"/>
    <cellStyle name="Normal 2 5 4 4 2 3 3 5" xfId="30499" xr:uid="{00000000-0005-0000-0000-000025530000}"/>
    <cellStyle name="Normal 2 5 4 4 2 3 4" xfId="2163" xr:uid="{00000000-0005-0000-0000-000026530000}"/>
    <cellStyle name="Normal 2 5 4 4 2 3 4 2" xfId="11528" xr:uid="{00000000-0005-0000-0000-000027530000}"/>
    <cellStyle name="Normal 2 5 4 4 2 3 4 2 2" xfId="37083" xr:uid="{00000000-0005-0000-0000-000028530000}"/>
    <cellStyle name="Normal 2 5 4 4 2 3 4 3" xfId="21532" xr:uid="{00000000-0005-0000-0000-000029530000}"/>
    <cellStyle name="Normal 2 5 4 4 2 3 4 3 2" xfId="47085" xr:uid="{00000000-0005-0000-0000-00002A530000}"/>
    <cellStyle name="Normal 2 5 4 4 2 3 4 4" xfId="28015" xr:uid="{00000000-0005-0000-0000-00002B530000}"/>
    <cellStyle name="Normal 2 5 4 4 2 3 5" xfId="6383" xr:uid="{00000000-0005-0000-0000-00002C530000}"/>
    <cellStyle name="Normal 2 5 4 4 2 3 5 2" xfId="15210" xr:uid="{00000000-0005-0000-0000-00002D530000}"/>
    <cellStyle name="Normal 2 5 4 4 2 3 5 2 2" xfId="40765" xr:uid="{00000000-0005-0000-0000-00002E530000}"/>
    <cellStyle name="Normal 2 5 4 4 2 3 5 3" xfId="25461" xr:uid="{00000000-0005-0000-0000-00002F530000}"/>
    <cellStyle name="Normal 2 5 4 4 2 3 5 3 2" xfId="51014" xr:uid="{00000000-0005-0000-0000-000030530000}"/>
    <cellStyle name="Normal 2 5 4 4 2 3 5 4" xfId="31944" xr:uid="{00000000-0005-0000-0000-000031530000}"/>
    <cellStyle name="Normal 2 5 4 4 2 3 6" xfId="7829" xr:uid="{00000000-0005-0000-0000-000032530000}"/>
    <cellStyle name="Normal 2 5 4 4 2 3 6 2" xfId="20723" xr:uid="{00000000-0005-0000-0000-000033530000}"/>
    <cellStyle name="Normal 2 5 4 4 2 3 6 2 2" xfId="46276" xr:uid="{00000000-0005-0000-0000-000034530000}"/>
    <cellStyle name="Normal 2 5 4 4 2 3 6 3" xfId="33386" xr:uid="{00000000-0005-0000-0000-000035530000}"/>
    <cellStyle name="Normal 2 5 4 4 2 3 7" xfId="16525" xr:uid="{00000000-0005-0000-0000-000036530000}"/>
    <cellStyle name="Normal 2 5 4 4 2 3 7 2" xfId="42078" xr:uid="{00000000-0005-0000-0000-000037530000}"/>
    <cellStyle name="Normal 2 5 4 4 2 3 8" xfId="27206" xr:uid="{00000000-0005-0000-0000-000038530000}"/>
    <cellStyle name="Normal 2 5 4 4 2 4" xfId="3054" xr:uid="{00000000-0005-0000-0000-000039530000}"/>
    <cellStyle name="Normal 2 5 4 4 2 4 2" xfId="5432" xr:uid="{00000000-0005-0000-0000-00003A530000}"/>
    <cellStyle name="Normal 2 5 4 4 2 4 2 2" xfId="14269" xr:uid="{00000000-0005-0000-0000-00003B530000}"/>
    <cellStyle name="Normal 2 5 4 4 2 4 2 2 2" xfId="24520" xr:uid="{00000000-0005-0000-0000-00003C530000}"/>
    <cellStyle name="Normal 2 5 4 4 2 4 2 2 2 2" xfId="50073" xr:uid="{00000000-0005-0000-0000-00003D530000}"/>
    <cellStyle name="Normal 2 5 4 4 2 4 2 2 3" xfId="39824" xr:uid="{00000000-0005-0000-0000-00003E530000}"/>
    <cellStyle name="Normal 2 5 4 4 2 4 2 3" xfId="10690" xr:uid="{00000000-0005-0000-0000-00003F530000}"/>
    <cellStyle name="Normal 2 5 4 4 2 4 2 3 2" xfId="36247" xr:uid="{00000000-0005-0000-0000-000040530000}"/>
    <cellStyle name="Normal 2 5 4 4 2 4 2 4" xfId="19513" xr:uid="{00000000-0005-0000-0000-000041530000}"/>
    <cellStyle name="Normal 2 5 4 4 2 4 2 4 2" xfId="45066" xr:uid="{00000000-0005-0000-0000-000042530000}"/>
    <cellStyle name="Normal 2 5 4 4 2 4 2 5" xfId="31003" xr:uid="{00000000-0005-0000-0000-000043530000}"/>
    <cellStyle name="Normal 2 5 4 4 2 4 3" xfId="6887" xr:uid="{00000000-0005-0000-0000-000044530000}"/>
    <cellStyle name="Normal 2 5 4 4 2 4 3 2" xfId="15714" xr:uid="{00000000-0005-0000-0000-000045530000}"/>
    <cellStyle name="Normal 2 5 4 4 2 4 3 2 2" xfId="41269" xr:uid="{00000000-0005-0000-0000-000046530000}"/>
    <cellStyle name="Normal 2 5 4 4 2 4 3 3" xfId="25965" xr:uid="{00000000-0005-0000-0000-000047530000}"/>
    <cellStyle name="Normal 2 5 4 4 2 4 3 3 2" xfId="51518" xr:uid="{00000000-0005-0000-0000-000048530000}"/>
    <cellStyle name="Normal 2 5 4 4 2 4 3 4" xfId="32448" xr:uid="{00000000-0005-0000-0000-000049530000}"/>
    <cellStyle name="Normal 2 5 4 4 2 4 4" xfId="8333" xr:uid="{00000000-0005-0000-0000-00004A530000}"/>
    <cellStyle name="Normal 2 5 4 4 2 4 4 2" xfId="22415" xr:uid="{00000000-0005-0000-0000-00004B530000}"/>
    <cellStyle name="Normal 2 5 4 4 2 4 4 2 2" xfId="47968" xr:uid="{00000000-0005-0000-0000-00004C530000}"/>
    <cellStyle name="Normal 2 5 4 4 2 4 4 3" xfId="33890" xr:uid="{00000000-0005-0000-0000-00004D530000}"/>
    <cellStyle name="Normal 2 5 4 4 2 4 5" xfId="17408" xr:uid="{00000000-0005-0000-0000-00004E530000}"/>
    <cellStyle name="Normal 2 5 4 4 2 4 5 2" xfId="42961" xr:uid="{00000000-0005-0000-0000-00004F530000}"/>
    <cellStyle name="Normal 2 5 4 4 2 4 6" xfId="28898" xr:uid="{00000000-0005-0000-0000-000050530000}"/>
    <cellStyle name="Normal 2 5 4 4 2 5" xfId="4388" xr:uid="{00000000-0005-0000-0000-000051530000}"/>
    <cellStyle name="Normal 2 5 4 4 2 5 2" xfId="13226" xr:uid="{00000000-0005-0000-0000-000052530000}"/>
    <cellStyle name="Normal 2 5 4 4 2 5 2 2" xfId="23477" xr:uid="{00000000-0005-0000-0000-000053530000}"/>
    <cellStyle name="Normal 2 5 4 4 2 5 2 2 2" xfId="49030" xr:uid="{00000000-0005-0000-0000-000054530000}"/>
    <cellStyle name="Normal 2 5 4 4 2 5 2 3" xfId="38781" xr:uid="{00000000-0005-0000-0000-000055530000}"/>
    <cellStyle name="Normal 2 5 4 4 2 5 3" xfId="9647" xr:uid="{00000000-0005-0000-0000-000056530000}"/>
    <cellStyle name="Normal 2 5 4 4 2 5 3 2" xfId="35204" xr:uid="{00000000-0005-0000-0000-000057530000}"/>
    <cellStyle name="Normal 2 5 4 4 2 5 4" xfId="18470" xr:uid="{00000000-0005-0000-0000-000058530000}"/>
    <cellStyle name="Normal 2 5 4 4 2 5 4 2" xfId="44023" xr:uid="{00000000-0005-0000-0000-000059530000}"/>
    <cellStyle name="Normal 2 5 4 4 2 5 5" xfId="29960" xr:uid="{00000000-0005-0000-0000-00005A530000}"/>
    <cellStyle name="Normal 2 5 4 4 2 6" xfId="1660" xr:uid="{00000000-0005-0000-0000-00005B530000}"/>
    <cellStyle name="Normal 2 5 4 4 2 6 2" xfId="11037" xr:uid="{00000000-0005-0000-0000-00005C530000}"/>
    <cellStyle name="Normal 2 5 4 4 2 6 2 2" xfId="36592" xr:uid="{00000000-0005-0000-0000-00005D530000}"/>
    <cellStyle name="Normal 2 5 4 4 2 6 3" xfId="21041" xr:uid="{00000000-0005-0000-0000-00005E530000}"/>
    <cellStyle name="Normal 2 5 4 4 2 6 3 2" xfId="46594" xr:uid="{00000000-0005-0000-0000-00005F530000}"/>
    <cellStyle name="Normal 2 5 4 4 2 6 4" xfId="27524" xr:uid="{00000000-0005-0000-0000-000060530000}"/>
    <cellStyle name="Normal 2 5 4 4 2 7" xfId="5844" xr:uid="{00000000-0005-0000-0000-000061530000}"/>
    <cellStyle name="Normal 2 5 4 4 2 7 2" xfId="14671" xr:uid="{00000000-0005-0000-0000-000062530000}"/>
    <cellStyle name="Normal 2 5 4 4 2 7 2 2" xfId="40226" xr:uid="{00000000-0005-0000-0000-000063530000}"/>
    <cellStyle name="Normal 2 5 4 4 2 7 3" xfId="24922" xr:uid="{00000000-0005-0000-0000-000064530000}"/>
    <cellStyle name="Normal 2 5 4 4 2 7 3 2" xfId="50475" xr:uid="{00000000-0005-0000-0000-000065530000}"/>
    <cellStyle name="Normal 2 5 4 4 2 7 4" xfId="31405" xr:uid="{00000000-0005-0000-0000-000066530000}"/>
    <cellStyle name="Normal 2 5 4 4 2 8" xfId="7288" xr:uid="{00000000-0005-0000-0000-000067530000}"/>
    <cellStyle name="Normal 2 5 4 4 2 8 2" xfId="20014" xr:uid="{00000000-0005-0000-0000-000068530000}"/>
    <cellStyle name="Normal 2 5 4 4 2 8 2 2" xfId="45567" xr:uid="{00000000-0005-0000-0000-000069530000}"/>
    <cellStyle name="Normal 2 5 4 4 2 8 3" xfId="32845" xr:uid="{00000000-0005-0000-0000-00006A530000}"/>
    <cellStyle name="Normal 2 5 4 4 2 9" xfId="16034" xr:uid="{00000000-0005-0000-0000-00006B530000}"/>
    <cellStyle name="Normal 2 5 4 4 2 9 2" xfId="41587" xr:uid="{00000000-0005-0000-0000-00006C530000}"/>
    <cellStyle name="Normal 2 5 4 4 2_Degree data" xfId="3826" xr:uid="{00000000-0005-0000-0000-00006D530000}"/>
    <cellStyle name="Normal 2 5 4 4 3" xfId="363" xr:uid="{00000000-0005-0000-0000-00006E530000}"/>
    <cellStyle name="Normal 2 5 4 4 3 2" xfId="2849" xr:uid="{00000000-0005-0000-0000-00006F530000}"/>
    <cellStyle name="Normal 2 5 4 4 3 2 2" xfId="12137" xr:uid="{00000000-0005-0000-0000-000070530000}"/>
    <cellStyle name="Normal 2 5 4 4 3 2 2 2" xfId="22210" xr:uid="{00000000-0005-0000-0000-000071530000}"/>
    <cellStyle name="Normal 2 5 4 4 3 2 2 2 2" xfId="47763" xr:uid="{00000000-0005-0000-0000-000072530000}"/>
    <cellStyle name="Normal 2 5 4 4 3 2 2 3" xfId="37692" xr:uid="{00000000-0005-0000-0000-000073530000}"/>
    <cellStyle name="Normal 2 5 4 4 3 2 3" xfId="8584" xr:uid="{00000000-0005-0000-0000-000074530000}"/>
    <cellStyle name="Normal 2 5 4 4 3 2 3 2" xfId="34141" xr:uid="{00000000-0005-0000-0000-000075530000}"/>
    <cellStyle name="Normal 2 5 4 4 3 2 4" xfId="17203" xr:uid="{00000000-0005-0000-0000-000076530000}"/>
    <cellStyle name="Normal 2 5 4 4 3 2 4 2" xfId="42756" xr:uid="{00000000-0005-0000-0000-000077530000}"/>
    <cellStyle name="Normal 2 5 4 4 3 2 5" xfId="28693" xr:uid="{00000000-0005-0000-0000-000078530000}"/>
    <cellStyle name="Normal 2 5 4 4 3 3" xfId="4578" xr:uid="{00000000-0005-0000-0000-000079530000}"/>
    <cellStyle name="Normal 2 5 4 4 3 3 2" xfId="13416" xr:uid="{00000000-0005-0000-0000-00007A530000}"/>
    <cellStyle name="Normal 2 5 4 4 3 3 2 2" xfId="23667" xr:uid="{00000000-0005-0000-0000-00007B530000}"/>
    <cellStyle name="Normal 2 5 4 4 3 3 2 2 2" xfId="49220" xr:uid="{00000000-0005-0000-0000-00007C530000}"/>
    <cellStyle name="Normal 2 5 4 4 3 3 2 3" xfId="38971" xr:uid="{00000000-0005-0000-0000-00007D530000}"/>
    <cellStyle name="Normal 2 5 4 4 3 3 3" xfId="9837" xr:uid="{00000000-0005-0000-0000-00007E530000}"/>
    <cellStyle name="Normal 2 5 4 4 3 3 3 2" xfId="35394" xr:uid="{00000000-0005-0000-0000-00007F530000}"/>
    <cellStyle name="Normal 2 5 4 4 3 3 4" xfId="18660" xr:uid="{00000000-0005-0000-0000-000080530000}"/>
    <cellStyle name="Normal 2 5 4 4 3 3 4 2" xfId="44213" xr:uid="{00000000-0005-0000-0000-000081530000}"/>
    <cellStyle name="Normal 2 5 4 4 3 3 5" xfId="30150" xr:uid="{00000000-0005-0000-0000-000082530000}"/>
    <cellStyle name="Normal 2 5 4 4 3 4" xfId="1958" xr:uid="{00000000-0005-0000-0000-000083530000}"/>
    <cellStyle name="Normal 2 5 4 4 3 4 2" xfId="11323" xr:uid="{00000000-0005-0000-0000-000084530000}"/>
    <cellStyle name="Normal 2 5 4 4 3 4 2 2" xfId="36878" xr:uid="{00000000-0005-0000-0000-000085530000}"/>
    <cellStyle name="Normal 2 5 4 4 3 4 3" xfId="21327" xr:uid="{00000000-0005-0000-0000-000086530000}"/>
    <cellStyle name="Normal 2 5 4 4 3 4 3 2" xfId="46880" xr:uid="{00000000-0005-0000-0000-000087530000}"/>
    <cellStyle name="Normal 2 5 4 4 3 4 4" xfId="27810" xr:uid="{00000000-0005-0000-0000-000088530000}"/>
    <cellStyle name="Normal 2 5 4 4 3 5" xfId="6034" xr:uid="{00000000-0005-0000-0000-000089530000}"/>
    <cellStyle name="Normal 2 5 4 4 3 5 2" xfId="14861" xr:uid="{00000000-0005-0000-0000-00008A530000}"/>
    <cellStyle name="Normal 2 5 4 4 3 5 2 2" xfId="40416" xr:uid="{00000000-0005-0000-0000-00008B530000}"/>
    <cellStyle name="Normal 2 5 4 4 3 5 3" xfId="25112" xr:uid="{00000000-0005-0000-0000-00008C530000}"/>
    <cellStyle name="Normal 2 5 4 4 3 5 3 2" xfId="50665" xr:uid="{00000000-0005-0000-0000-00008D530000}"/>
    <cellStyle name="Normal 2 5 4 4 3 5 4" xfId="31595" xr:uid="{00000000-0005-0000-0000-00008E530000}"/>
    <cellStyle name="Normal 2 5 4 4 3 6" xfId="7478" xr:uid="{00000000-0005-0000-0000-00008F530000}"/>
    <cellStyle name="Normal 2 5 4 4 3 6 2" xfId="19809" xr:uid="{00000000-0005-0000-0000-000090530000}"/>
    <cellStyle name="Normal 2 5 4 4 3 6 2 2" xfId="45362" xr:uid="{00000000-0005-0000-0000-000091530000}"/>
    <cellStyle name="Normal 2 5 4 4 3 6 3" xfId="33035" xr:uid="{00000000-0005-0000-0000-000092530000}"/>
    <cellStyle name="Normal 2 5 4 4 3 7" xfId="16320" xr:uid="{00000000-0005-0000-0000-000093530000}"/>
    <cellStyle name="Normal 2 5 4 4 3 7 2" xfId="41873" xr:uid="{00000000-0005-0000-0000-000094530000}"/>
    <cellStyle name="Normal 2 5 4 4 3 8" xfId="26292" xr:uid="{00000000-0005-0000-0000-000095530000}"/>
    <cellStyle name="Normal 2 5 4 4 4" xfId="763" xr:uid="{00000000-0005-0000-0000-000096530000}"/>
    <cellStyle name="Normal 2 5 4 4 4 2" xfId="3249" xr:uid="{00000000-0005-0000-0000-000097530000}"/>
    <cellStyle name="Normal 2 5 4 4 4 2 2" xfId="12391" xr:uid="{00000000-0005-0000-0000-000098530000}"/>
    <cellStyle name="Normal 2 5 4 4 4 2 2 2" xfId="22610" xr:uid="{00000000-0005-0000-0000-000099530000}"/>
    <cellStyle name="Normal 2 5 4 4 4 2 2 2 2" xfId="48163" xr:uid="{00000000-0005-0000-0000-00009A530000}"/>
    <cellStyle name="Normal 2 5 4 4 4 2 2 3" xfId="37946" xr:uid="{00000000-0005-0000-0000-00009B530000}"/>
    <cellStyle name="Normal 2 5 4 4 4 2 3" xfId="8813" xr:uid="{00000000-0005-0000-0000-00009C530000}"/>
    <cellStyle name="Normal 2 5 4 4 4 2 3 2" xfId="34370" xr:uid="{00000000-0005-0000-0000-00009D530000}"/>
    <cellStyle name="Normal 2 5 4 4 4 2 4" xfId="17603" xr:uid="{00000000-0005-0000-0000-00009E530000}"/>
    <cellStyle name="Normal 2 5 4 4 4 2 4 2" xfId="43156" xr:uid="{00000000-0005-0000-0000-00009F530000}"/>
    <cellStyle name="Normal 2 5 4 4 4 2 5" xfId="29093" xr:uid="{00000000-0005-0000-0000-0000A0530000}"/>
    <cellStyle name="Normal 2 5 4 4 4 3" xfId="4927" xr:uid="{00000000-0005-0000-0000-0000A1530000}"/>
    <cellStyle name="Normal 2 5 4 4 4 3 2" xfId="13764" xr:uid="{00000000-0005-0000-0000-0000A2530000}"/>
    <cellStyle name="Normal 2 5 4 4 4 3 2 2" xfId="24015" xr:uid="{00000000-0005-0000-0000-0000A3530000}"/>
    <cellStyle name="Normal 2 5 4 4 4 3 2 2 2" xfId="49568" xr:uid="{00000000-0005-0000-0000-0000A4530000}"/>
    <cellStyle name="Normal 2 5 4 4 4 3 2 3" xfId="39319" xr:uid="{00000000-0005-0000-0000-0000A5530000}"/>
    <cellStyle name="Normal 2 5 4 4 4 3 3" xfId="10185" xr:uid="{00000000-0005-0000-0000-0000A6530000}"/>
    <cellStyle name="Normal 2 5 4 4 4 3 3 2" xfId="35742" xr:uid="{00000000-0005-0000-0000-0000A7530000}"/>
    <cellStyle name="Normal 2 5 4 4 4 3 4" xfId="19008" xr:uid="{00000000-0005-0000-0000-0000A8530000}"/>
    <cellStyle name="Normal 2 5 4 4 4 3 4 2" xfId="44561" xr:uid="{00000000-0005-0000-0000-0000A9530000}"/>
    <cellStyle name="Normal 2 5 4 4 4 3 5" xfId="30498" xr:uid="{00000000-0005-0000-0000-0000AA530000}"/>
    <cellStyle name="Normal 2 5 4 4 4 4" xfId="2358" xr:uid="{00000000-0005-0000-0000-0000AB530000}"/>
    <cellStyle name="Normal 2 5 4 4 4 4 2" xfId="11723" xr:uid="{00000000-0005-0000-0000-0000AC530000}"/>
    <cellStyle name="Normal 2 5 4 4 4 4 2 2" xfId="37278" xr:uid="{00000000-0005-0000-0000-0000AD530000}"/>
    <cellStyle name="Normal 2 5 4 4 4 4 3" xfId="21727" xr:uid="{00000000-0005-0000-0000-0000AE530000}"/>
    <cellStyle name="Normal 2 5 4 4 4 4 3 2" xfId="47280" xr:uid="{00000000-0005-0000-0000-0000AF530000}"/>
    <cellStyle name="Normal 2 5 4 4 4 4 4" xfId="28210" xr:uid="{00000000-0005-0000-0000-0000B0530000}"/>
    <cellStyle name="Normal 2 5 4 4 4 5" xfId="6382" xr:uid="{00000000-0005-0000-0000-0000B1530000}"/>
    <cellStyle name="Normal 2 5 4 4 4 5 2" xfId="15209" xr:uid="{00000000-0005-0000-0000-0000B2530000}"/>
    <cellStyle name="Normal 2 5 4 4 4 5 2 2" xfId="40764" xr:uid="{00000000-0005-0000-0000-0000B3530000}"/>
    <cellStyle name="Normal 2 5 4 4 4 5 3" xfId="25460" xr:uid="{00000000-0005-0000-0000-0000B4530000}"/>
    <cellStyle name="Normal 2 5 4 4 4 5 3 2" xfId="51013" xr:uid="{00000000-0005-0000-0000-0000B5530000}"/>
    <cellStyle name="Normal 2 5 4 4 4 5 4" xfId="31943" xr:uid="{00000000-0005-0000-0000-0000B6530000}"/>
    <cellStyle name="Normal 2 5 4 4 4 6" xfId="7828" xr:uid="{00000000-0005-0000-0000-0000B7530000}"/>
    <cellStyle name="Normal 2 5 4 4 4 6 2" xfId="20209" xr:uid="{00000000-0005-0000-0000-0000B8530000}"/>
    <cellStyle name="Normal 2 5 4 4 4 6 2 2" xfId="45762" xr:uid="{00000000-0005-0000-0000-0000B9530000}"/>
    <cellStyle name="Normal 2 5 4 4 4 6 3" xfId="33385" xr:uid="{00000000-0005-0000-0000-0000BA530000}"/>
    <cellStyle name="Normal 2 5 4 4 4 7" xfId="16720" xr:uid="{00000000-0005-0000-0000-0000BB530000}"/>
    <cellStyle name="Normal 2 5 4 4 4 7 2" xfId="42273" xr:uid="{00000000-0005-0000-0000-0000BC530000}"/>
    <cellStyle name="Normal 2 5 4 4 4 8" xfId="26692" xr:uid="{00000000-0005-0000-0000-0000BD530000}"/>
    <cellStyle name="Normal 2 5 4 4 5" xfId="1135" xr:uid="{00000000-0005-0000-0000-0000BE530000}"/>
    <cellStyle name="Normal 2 5 4 4 5 2" xfId="3564" xr:uid="{00000000-0005-0000-0000-0000BF530000}"/>
    <cellStyle name="Normal 2 5 4 4 5 2 2" xfId="12700" xr:uid="{00000000-0005-0000-0000-0000C0530000}"/>
    <cellStyle name="Normal 2 5 4 4 5 2 2 2" xfId="22919" xr:uid="{00000000-0005-0000-0000-0000C1530000}"/>
    <cellStyle name="Normal 2 5 4 4 5 2 2 2 2" xfId="48472" xr:uid="{00000000-0005-0000-0000-0000C2530000}"/>
    <cellStyle name="Normal 2 5 4 4 5 2 2 3" xfId="38255" xr:uid="{00000000-0005-0000-0000-0000C3530000}"/>
    <cellStyle name="Normal 2 5 4 4 5 2 3" xfId="9121" xr:uid="{00000000-0005-0000-0000-0000C4530000}"/>
    <cellStyle name="Normal 2 5 4 4 5 2 3 2" xfId="34678" xr:uid="{00000000-0005-0000-0000-0000C5530000}"/>
    <cellStyle name="Normal 2 5 4 4 5 2 4" xfId="17912" xr:uid="{00000000-0005-0000-0000-0000C6530000}"/>
    <cellStyle name="Normal 2 5 4 4 5 2 4 2" xfId="43465" xr:uid="{00000000-0005-0000-0000-0000C7530000}"/>
    <cellStyle name="Normal 2 5 4 4 5 2 5" xfId="29402" xr:uid="{00000000-0005-0000-0000-0000C8530000}"/>
    <cellStyle name="Normal 2 5 4 4 5 3" xfId="5227" xr:uid="{00000000-0005-0000-0000-0000C9530000}"/>
    <cellStyle name="Normal 2 5 4 4 5 3 2" xfId="14064" xr:uid="{00000000-0005-0000-0000-0000CA530000}"/>
    <cellStyle name="Normal 2 5 4 4 5 3 2 2" xfId="24315" xr:uid="{00000000-0005-0000-0000-0000CB530000}"/>
    <cellStyle name="Normal 2 5 4 4 5 3 2 2 2" xfId="49868" xr:uid="{00000000-0005-0000-0000-0000CC530000}"/>
    <cellStyle name="Normal 2 5 4 4 5 3 2 3" xfId="39619" xr:uid="{00000000-0005-0000-0000-0000CD530000}"/>
    <cellStyle name="Normal 2 5 4 4 5 3 3" xfId="10485" xr:uid="{00000000-0005-0000-0000-0000CE530000}"/>
    <cellStyle name="Normal 2 5 4 4 5 3 3 2" xfId="36042" xr:uid="{00000000-0005-0000-0000-0000CF530000}"/>
    <cellStyle name="Normal 2 5 4 4 5 3 4" xfId="19308" xr:uid="{00000000-0005-0000-0000-0000D0530000}"/>
    <cellStyle name="Normal 2 5 4 4 5 3 4 2" xfId="44861" xr:uid="{00000000-0005-0000-0000-0000D1530000}"/>
    <cellStyle name="Normal 2 5 4 4 5 3 5" xfId="30798" xr:uid="{00000000-0005-0000-0000-0000D2530000}"/>
    <cellStyle name="Normal 2 5 4 4 5 4" xfId="1843" xr:uid="{00000000-0005-0000-0000-0000D3530000}"/>
    <cellStyle name="Normal 2 5 4 4 5 4 2" xfId="11211" xr:uid="{00000000-0005-0000-0000-0000D4530000}"/>
    <cellStyle name="Normal 2 5 4 4 5 4 2 2" xfId="36766" xr:uid="{00000000-0005-0000-0000-0000D5530000}"/>
    <cellStyle name="Normal 2 5 4 4 5 4 3" xfId="21215" xr:uid="{00000000-0005-0000-0000-0000D6530000}"/>
    <cellStyle name="Normal 2 5 4 4 5 4 3 2" xfId="46768" xr:uid="{00000000-0005-0000-0000-0000D7530000}"/>
    <cellStyle name="Normal 2 5 4 4 5 4 4" xfId="27698" xr:uid="{00000000-0005-0000-0000-0000D8530000}"/>
    <cellStyle name="Normal 2 5 4 4 5 5" xfId="6682" xr:uid="{00000000-0005-0000-0000-0000D9530000}"/>
    <cellStyle name="Normal 2 5 4 4 5 5 2" xfId="15509" xr:uid="{00000000-0005-0000-0000-0000DA530000}"/>
    <cellStyle name="Normal 2 5 4 4 5 5 2 2" xfId="41064" xr:uid="{00000000-0005-0000-0000-0000DB530000}"/>
    <cellStyle name="Normal 2 5 4 4 5 5 3" xfId="25760" xr:uid="{00000000-0005-0000-0000-0000DC530000}"/>
    <cellStyle name="Normal 2 5 4 4 5 5 3 2" xfId="51313" xr:uid="{00000000-0005-0000-0000-0000DD530000}"/>
    <cellStyle name="Normal 2 5 4 4 5 5 4" xfId="32243" xr:uid="{00000000-0005-0000-0000-0000DE530000}"/>
    <cellStyle name="Normal 2 5 4 4 5 6" xfId="8128" xr:uid="{00000000-0005-0000-0000-0000DF530000}"/>
    <cellStyle name="Normal 2 5 4 4 5 6 2" xfId="20518" xr:uid="{00000000-0005-0000-0000-0000E0530000}"/>
    <cellStyle name="Normal 2 5 4 4 5 6 2 2" xfId="46071" xr:uid="{00000000-0005-0000-0000-0000E1530000}"/>
    <cellStyle name="Normal 2 5 4 4 5 6 3" xfId="33685" xr:uid="{00000000-0005-0000-0000-0000E2530000}"/>
    <cellStyle name="Normal 2 5 4 4 5 7" xfId="16208" xr:uid="{00000000-0005-0000-0000-0000E3530000}"/>
    <cellStyle name="Normal 2 5 4 4 5 7 2" xfId="41761" xr:uid="{00000000-0005-0000-0000-0000E4530000}"/>
    <cellStyle name="Normal 2 5 4 4 5 8" xfId="27001" xr:uid="{00000000-0005-0000-0000-0000E5530000}"/>
    <cellStyle name="Normal 2 5 4 4 6" xfId="2737" xr:uid="{00000000-0005-0000-0000-0000E6530000}"/>
    <cellStyle name="Normal 2 5 4 4 6 2" xfId="12054" xr:uid="{00000000-0005-0000-0000-0000E7530000}"/>
    <cellStyle name="Normal 2 5 4 4 6 2 2" xfId="22098" xr:uid="{00000000-0005-0000-0000-0000E8530000}"/>
    <cellStyle name="Normal 2 5 4 4 6 2 2 2" xfId="47651" xr:uid="{00000000-0005-0000-0000-0000E9530000}"/>
    <cellStyle name="Normal 2 5 4 4 6 2 3" xfId="37609" xr:uid="{00000000-0005-0000-0000-0000EA530000}"/>
    <cellStyle name="Normal 2 5 4 4 6 3" xfId="8615" xr:uid="{00000000-0005-0000-0000-0000EB530000}"/>
    <cellStyle name="Normal 2 5 4 4 6 3 2" xfId="34172" xr:uid="{00000000-0005-0000-0000-0000EC530000}"/>
    <cellStyle name="Normal 2 5 4 4 6 4" xfId="17091" xr:uid="{00000000-0005-0000-0000-0000ED530000}"/>
    <cellStyle name="Normal 2 5 4 4 6 4 2" xfId="42644" xr:uid="{00000000-0005-0000-0000-0000EE530000}"/>
    <cellStyle name="Normal 2 5 4 4 6 5" xfId="28581" xr:uid="{00000000-0005-0000-0000-0000EF530000}"/>
    <cellStyle name="Normal 2 5 4 4 7" xfId="4183" xr:uid="{00000000-0005-0000-0000-0000F0530000}"/>
    <cellStyle name="Normal 2 5 4 4 7 2" xfId="13021" xr:uid="{00000000-0005-0000-0000-0000F1530000}"/>
    <cellStyle name="Normal 2 5 4 4 7 2 2" xfId="23272" xr:uid="{00000000-0005-0000-0000-0000F2530000}"/>
    <cellStyle name="Normal 2 5 4 4 7 2 2 2" xfId="48825" xr:uid="{00000000-0005-0000-0000-0000F3530000}"/>
    <cellStyle name="Normal 2 5 4 4 7 2 3" xfId="38576" xr:uid="{00000000-0005-0000-0000-0000F4530000}"/>
    <cellStyle name="Normal 2 5 4 4 7 3" xfId="9442" xr:uid="{00000000-0005-0000-0000-0000F5530000}"/>
    <cellStyle name="Normal 2 5 4 4 7 3 2" xfId="34999" xr:uid="{00000000-0005-0000-0000-0000F6530000}"/>
    <cellStyle name="Normal 2 5 4 4 7 4" xfId="18265" xr:uid="{00000000-0005-0000-0000-0000F7530000}"/>
    <cellStyle name="Normal 2 5 4 4 7 4 2" xfId="43818" xr:uid="{00000000-0005-0000-0000-0000F8530000}"/>
    <cellStyle name="Normal 2 5 4 4 7 5" xfId="29755" xr:uid="{00000000-0005-0000-0000-0000F9530000}"/>
    <cellStyle name="Normal 2 5 4 4 8" xfId="1455" xr:uid="{00000000-0005-0000-0000-0000FA530000}"/>
    <cellStyle name="Normal 2 5 4 4 8 2" xfId="10832" xr:uid="{00000000-0005-0000-0000-0000FB530000}"/>
    <cellStyle name="Normal 2 5 4 4 8 2 2" xfId="36387" xr:uid="{00000000-0005-0000-0000-0000FC530000}"/>
    <cellStyle name="Normal 2 5 4 4 8 3" xfId="20836" xr:uid="{00000000-0005-0000-0000-0000FD530000}"/>
    <cellStyle name="Normal 2 5 4 4 8 3 2" xfId="46389" xr:uid="{00000000-0005-0000-0000-0000FE530000}"/>
    <cellStyle name="Normal 2 5 4 4 8 4" xfId="27319" xr:uid="{00000000-0005-0000-0000-0000FF530000}"/>
    <cellStyle name="Normal 2 5 4 4 9" xfId="5639" xr:uid="{00000000-0005-0000-0000-000000540000}"/>
    <cellStyle name="Normal 2 5 4 4 9 2" xfId="14466" xr:uid="{00000000-0005-0000-0000-000001540000}"/>
    <cellStyle name="Normal 2 5 4 4 9 2 2" xfId="40021" xr:uid="{00000000-0005-0000-0000-000002540000}"/>
    <cellStyle name="Normal 2 5 4 4 9 3" xfId="24717" xr:uid="{00000000-0005-0000-0000-000003540000}"/>
    <cellStyle name="Normal 2 5 4 4 9 3 2" xfId="50270" xr:uid="{00000000-0005-0000-0000-000004540000}"/>
    <cellStyle name="Normal 2 5 4 4 9 4" xfId="31200" xr:uid="{00000000-0005-0000-0000-000005540000}"/>
    <cellStyle name="Normal 2 5 4 4_Degree data" xfId="3899" xr:uid="{00000000-0005-0000-0000-000006540000}"/>
    <cellStyle name="Normal 2 5 4 5" xfId="463" xr:uid="{00000000-0005-0000-0000-000007540000}"/>
    <cellStyle name="Normal 2 5 4 5 10" xfId="26392" xr:uid="{00000000-0005-0000-0000-000008540000}"/>
    <cellStyle name="Normal 2 5 4 5 2" xfId="765" xr:uid="{00000000-0005-0000-0000-000009540000}"/>
    <cellStyle name="Normal 2 5 4 5 2 2" xfId="3251" xr:uid="{00000000-0005-0000-0000-00000A540000}"/>
    <cellStyle name="Normal 2 5 4 5 2 2 2" xfId="12393" xr:uid="{00000000-0005-0000-0000-00000B540000}"/>
    <cellStyle name="Normal 2 5 4 5 2 2 2 2" xfId="22612" xr:uid="{00000000-0005-0000-0000-00000C540000}"/>
    <cellStyle name="Normal 2 5 4 5 2 2 2 2 2" xfId="48165" xr:uid="{00000000-0005-0000-0000-00000D540000}"/>
    <cellStyle name="Normal 2 5 4 5 2 2 2 3" xfId="37948" xr:uid="{00000000-0005-0000-0000-00000E540000}"/>
    <cellStyle name="Normal 2 5 4 5 2 2 3" xfId="8815" xr:uid="{00000000-0005-0000-0000-00000F540000}"/>
    <cellStyle name="Normal 2 5 4 5 2 2 3 2" xfId="34372" xr:uid="{00000000-0005-0000-0000-000010540000}"/>
    <cellStyle name="Normal 2 5 4 5 2 2 4" xfId="17605" xr:uid="{00000000-0005-0000-0000-000011540000}"/>
    <cellStyle name="Normal 2 5 4 5 2 2 4 2" xfId="43158" xr:uid="{00000000-0005-0000-0000-000012540000}"/>
    <cellStyle name="Normal 2 5 4 5 2 2 5" xfId="29095" xr:uid="{00000000-0005-0000-0000-000013540000}"/>
    <cellStyle name="Normal 2 5 4 5 2 3" xfId="4580" xr:uid="{00000000-0005-0000-0000-000014540000}"/>
    <cellStyle name="Normal 2 5 4 5 2 3 2" xfId="13418" xr:uid="{00000000-0005-0000-0000-000015540000}"/>
    <cellStyle name="Normal 2 5 4 5 2 3 2 2" xfId="23669" xr:uid="{00000000-0005-0000-0000-000016540000}"/>
    <cellStyle name="Normal 2 5 4 5 2 3 2 2 2" xfId="49222" xr:uid="{00000000-0005-0000-0000-000017540000}"/>
    <cellStyle name="Normal 2 5 4 5 2 3 2 3" xfId="38973" xr:uid="{00000000-0005-0000-0000-000018540000}"/>
    <cellStyle name="Normal 2 5 4 5 2 3 3" xfId="9839" xr:uid="{00000000-0005-0000-0000-000019540000}"/>
    <cellStyle name="Normal 2 5 4 5 2 3 3 2" xfId="35396" xr:uid="{00000000-0005-0000-0000-00001A540000}"/>
    <cellStyle name="Normal 2 5 4 5 2 3 4" xfId="18662" xr:uid="{00000000-0005-0000-0000-00001B540000}"/>
    <cellStyle name="Normal 2 5 4 5 2 3 4 2" xfId="44215" xr:uid="{00000000-0005-0000-0000-00001C540000}"/>
    <cellStyle name="Normal 2 5 4 5 2 3 5" xfId="30152" xr:uid="{00000000-0005-0000-0000-00001D540000}"/>
    <cellStyle name="Normal 2 5 4 5 2 4" xfId="2360" xr:uid="{00000000-0005-0000-0000-00001E540000}"/>
    <cellStyle name="Normal 2 5 4 5 2 4 2" xfId="11725" xr:uid="{00000000-0005-0000-0000-00001F540000}"/>
    <cellStyle name="Normal 2 5 4 5 2 4 2 2" xfId="37280" xr:uid="{00000000-0005-0000-0000-000020540000}"/>
    <cellStyle name="Normal 2 5 4 5 2 4 3" xfId="21729" xr:uid="{00000000-0005-0000-0000-000021540000}"/>
    <cellStyle name="Normal 2 5 4 5 2 4 3 2" xfId="47282" xr:uid="{00000000-0005-0000-0000-000022540000}"/>
    <cellStyle name="Normal 2 5 4 5 2 4 4" xfId="28212" xr:uid="{00000000-0005-0000-0000-000023540000}"/>
    <cellStyle name="Normal 2 5 4 5 2 5" xfId="6036" xr:uid="{00000000-0005-0000-0000-000024540000}"/>
    <cellStyle name="Normal 2 5 4 5 2 5 2" xfId="14863" xr:uid="{00000000-0005-0000-0000-000025540000}"/>
    <cellStyle name="Normal 2 5 4 5 2 5 2 2" xfId="40418" xr:uid="{00000000-0005-0000-0000-000026540000}"/>
    <cellStyle name="Normal 2 5 4 5 2 5 3" xfId="25114" xr:uid="{00000000-0005-0000-0000-000027540000}"/>
    <cellStyle name="Normal 2 5 4 5 2 5 3 2" xfId="50667" xr:uid="{00000000-0005-0000-0000-000028540000}"/>
    <cellStyle name="Normal 2 5 4 5 2 5 4" xfId="31597" xr:uid="{00000000-0005-0000-0000-000029540000}"/>
    <cellStyle name="Normal 2 5 4 5 2 6" xfId="7480" xr:uid="{00000000-0005-0000-0000-00002A540000}"/>
    <cellStyle name="Normal 2 5 4 5 2 6 2" xfId="20211" xr:uid="{00000000-0005-0000-0000-00002B540000}"/>
    <cellStyle name="Normal 2 5 4 5 2 6 2 2" xfId="45764" xr:uid="{00000000-0005-0000-0000-00002C540000}"/>
    <cellStyle name="Normal 2 5 4 5 2 6 3" xfId="33037" xr:uid="{00000000-0005-0000-0000-00002D540000}"/>
    <cellStyle name="Normal 2 5 4 5 2 7" xfId="16722" xr:uid="{00000000-0005-0000-0000-00002E540000}"/>
    <cellStyle name="Normal 2 5 4 5 2 7 2" xfId="42275" xr:uid="{00000000-0005-0000-0000-00002F540000}"/>
    <cellStyle name="Normal 2 5 4 5 2 8" xfId="26694" xr:uid="{00000000-0005-0000-0000-000030540000}"/>
    <cellStyle name="Normal 2 5 4 5 3" xfId="1235" xr:uid="{00000000-0005-0000-0000-000031540000}"/>
    <cellStyle name="Normal 2 5 4 5 3 2" xfId="3664" xr:uid="{00000000-0005-0000-0000-000032540000}"/>
    <cellStyle name="Normal 2 5 4 5 3 2 2" xfId="12800" xr:uid="{00000000-0005-0000-0000-000033540000}"/>
    <cellStyle name="Normal 2 5 4 5 3 2 2 2" xfId="23019" xr:uid="{00000000-0005-0000-0000-000034540000}"/>
    <cellStyle name="Normal 2 5 4 5 3 2 2 2 2" xfId="48572" xr:uid="{00000000-0005-0000-0000-000035540000}"/>
    <cellStyle name="Normal 2 5 4 5 3 2 2 3" xfId="38355" xr:uid="{00000000-0005-0000-0000-000036540000}"/>
    <cellStyle name="Normal 2 5 4 5 3 2 3" xfId="9221" xr:uid="{00000000-0005-0000-0000-000037540000}"/>
    <cellStyle name="Normal 2 5 4 5 3 2 3 2" xfId="34778" xr:uid="{00000000-0005-0000-0000-000038540000}"/>
    <cellStyle name="Normal 2 5 4 5 3 2 4" xfId="18012" xr:uid="{00000000-0005-0000-0000-000039540000}"/>
    <cellStyle name="Normal 2 5 4 5 3 2 4 2" xfId="43565" xr:uid="{00000000-0005-0000-0000-00003A540000}"/>
    <cellStyle name="Normal 2 5 4 5 3 2 5" xfId="29502" xr:uid="{00000000-0005-0000-0000-00003B540000}"/>
    <cellStyle name="Normal 2 5 4 5 3 3" xfId="4929" xr:uid="{00000000-0005-0000-0000-00003C540000}"/>
    <cellStyle name="Normal 2 5 4 5 3 3 2" xfId="13766" xr:uid="{00000000-0005-0000-0000-00003D540000}"/>
    <cellStyle name="Normal 2 5 4 5 3 3 2 2" xfId="24017" xr:uid="{00000000-0005-0000-0000-00003E540000}"/>
    <cellStyle name="Normal 2 5 4 5 3 3 2 2 2" xfId="49570" xr:uid="{00000000-0005-0000-0000-00003F540000}"/>
    <cellStyle name="Normal 2 5 4 5 3 3 2 3" xfId="39321" xr:uid="{00000000-0005-0000-0000-000040540000}"/>
    <cellStyle name="Normal 2 5 4 5 3 3 3" xfId="10187" xr:uid="{00000000-0005-0000-0000-000041540000}"/>
    <cellStyle name="Normal 2 5 4 5 3 3 3 2" xfId="35744" xr:uid="{00000000-0005-0000-0000-000042540000}"/>
    <cellStyle name="Normal 2 5 4 5 3 3 4" xfId="19010" xr:uid="{00000000-0005-0000-0000-000043540000}"/>
    <cellStyle name="Normal 2 5 4 5 3 3 4 2" xfId="44563" xr:uid="{00000000-0005-0000-0000-000044540000}"/>
    <cellStyle name="Normal 2 5 4 5 3 3 5" xfId="30500" xr:uid="{00000000-0005-0000-0000-000045540000}"/>
    <cellStyle name="Normal 2 5 4 5 3 4" xfId="2058" xr:uid="{00000000-0005-0000-0000-000046540000}"/>
    <cellStyle name="Normal 2 5 4 5 3 4 2" xfId="11423" xr:uid="{00000000-0005-0000-0000-000047540000}"/>
    <cellStyle name="Normal 2 5 4 5 3 4 2 2" xfId="36978" xr:uid="{00000000-0005-0000-0000-000048540000}"/>
    <cellStyle name="Normal 2 5 4 5 3 4 3" xfId="21427" xr:uid="{00000000-0005-0000-0000-000049540000}"/>
    <cellStyle name="Normal 2 5 4 5 3 4 3 2" xfId="46980" xr:uid="{00000000-0005-0000-0000-00004A540000}"/>
    <cellStyle name="Normal 2 5 4 5 3 4 4" xfId="27910" xr:uid="{00000000-0005-0000-0000-00004B540000}"/>
    <cellStyle name="Normal 2 5 4 5 3 5" xfId="6384" xr:uid="{00000000-0005-0000-0000-00004C540000}"/>
    <cellStyle name="Normal 2 5 4 5 3 5 2" xfId="15211" xr:uid="{00000000-0005-0000-0000-00004D540000}"/>
    <cellStyle name="Normal 2 5 4 5 3 5 2 2" xfId="40766" xr:uid="{00000000-0005-0000-0000-00004E540000}"/>
    <cellStyle name="Normal 2 5 4 5 3 5 3" xfId="25462" xr:uid="{00000000-0005-0000-0000-00004F540000}"/>
    <cellStyle name="Normal 2 5 4 5 3 5 3 2" xfId="51015" xr:uid="{00000000-0005-0000-0000-000050540000}"/>
    <cellStyle name="Normal 2 5 4 5 3 5 4" xfId="31945" xr:uid="{00000000-0005-0000-0000-000051540000}"/>
    <cellStyle name="Normal 2 5 4 5 3 6" xfId="7830" xr:uid="{00000000-0005-0000-0000-000052540000}"/>
    <cellStyle name="Normal 2 5 4 5 3 6 2" xfId="20618" xr:uid="{00000000-0005-0000-0000-000053540000}"/>
    <cellStyle name="Normal 2 5 4 5 3 6 2 2" xfId="46171" xr:uid="{00000000-0005-0000-0000-000054540000}"/>
    <cellStyle name="Normal 2 5 4 5 3 6 3" xfId="33387" xr:uid="{00000000-0005-0000-0000-000055540000}"/>
    <cellStyle name="Normal 2 5 4 5 3 7" xfId="16420" xr:uid="{00000000-0005-0000-0000-000056540000}"/>
    <cellStyle name="Normal 2 5 4 5 3 7 2" xfId="41973" xr:uid="{00000000-0005-0000-0000-000057540000}"/>
    <cellStyle name="Normal 2 5 4 5 3 8" xfId="27101" xr:uid="{00000000-0005-0000-0000-000058540000}"/>
    <cellStyle name="Normal 2 5 4 5 4" xfId="2949" xr:uid="{00000000-0005-0000-0000-000059540000}"/>
    <cellStyle name="Normal 2 5 4 5 4 2" xfId="5327" xr:uid="{00000000-0005-0000-0000-00005A540000}"/>
    <cellStyle name="Normal 2 5 4 5 4 2 2" xfId="14164" xr:uid="{00000000-0005-0000-0000-00005B540000}"/>
    <cellStyle name="Normal 2 5 4 5 4 2 2 2" xfId="24415" xr:uid="{00000000-0005-0000-0000-00005C540000}"/>
    <cellStyle name="Normal 2 5 4 5 4 2 2 2 2" xfId="49968" xr:uid="{00000000-0005-0000-0000-00005D540000}"/>
    <cellStyle name="Normal 2 5 4 5 4 2 2 3" xfId="39719" xr:uid="{00000000-0005-0000-0000-00005E540000}"/>
    <cellStyle name="Normal 2 5 4 5 4 2 3" xfId="10585" xr:uid="{00000000-0005-0000-0000-00005F540000}"/>
    <cellStyle name="Normal 2 5 4 5 4 2 3 2" xfId="36142" xr:uid="{00000000-0005-0000-0000-000060540000}"/>
    <cellStyle name="Normal 2 5 4 5 4 2 4" xfId="19408" xr:uid="{00000000-0005-0000-0000-000061540000}"/>
    <cellStyle name="Normal 2 5 4 5 4 2 4 2" xfId="44961" xr:uid="{00000000-0005-0000-0000-000062540000}"/>
    <cellStyle name="Normal 2 5 4 5 4 2 5" xfId="30898" xr:uid="{00000000-0005-0000-0000-000063540000}"/>
    <cellStyle name="Normal 2 5 4 5 4 3" xfId="6782" xr:uid="{00000000-0005-0000-0000-000064540000}"/>
    <cellStyle name="Normal 2 5 4 5 4 3 2" xfId="15609" xr:uid="{00000000-0005-0000-0000-000065540000}"/>
    <cellStyle name="Normal 2 5 4 5 4 3 2 2" xfId="41164" xr:uid="{00000000-0005-0000-0000-000066540000}"/>
    <cellStyle name="Normal 2 5 4 5 4 3 3" xfId="25860" xr:uid="{00000000-0005-0000-0000-000067540000}"/>
    <cellStyle name="Normal 2 5 4 5 4 3 3 2" xfId="51413" xr:uid="{00000000-0005-0000-0000-000068540000}"/>
    <cellStyle name="Normal 2 5 4 5 4 3 4" xfId="32343" xr:uid="{00000000-0005-0000-0000-000069540000}"/>
    <cellStyle name="Normal 2 5 4 5 4 4" xfId="8228" xr:uid="{00000000-0005-0000-0000-00006A540000}"/>
    <cellStyle name="Normal 2 5 4 5 4 4 2" xfId="22310" xr:uid="{00000000-0005-0000-0000-00006B540000}"/>
    <cellStyle name="Normal 2 5 4 5 4 4 2 2" xfId="47863" xr:uid="{00000000-0005-0000-0000-00006C540000}"/>
    <cellStyle name="Normal 2 5 4 5 4 4 3" xfId="33785" xr:uid="{00000000-0005-0000-0000-00006D540000}"/>
    <cellStyle name="Normal 2 5 4 5 4 5" xfId="17303" xr:uid="{00000000-0005-0000-0000-00006E540000}"/>
    <cellStyle name="Normal 2 5 4 5 4 5 2" xfId="42856" xr:uid="{00000000-0005-0000-0000-00006F540000}"/>
    <cellStyle name="Normal 2 5 4 5 4 6" xfId="28793" xr:uid="{00000000-0005-0000-0000-000070540000}"/>
    <cellStyle name="Normal 2 5 4 5 5" xfId="4283" xr:uid="{00000000-0005-0000-0000-000071540000}"/>
    <cellStyle name="Normal 2 5 4 5 5 2" xfId="13121" xr:uid="{00000000-0005-0000-0000-000072540000}"/>
    <cellStyle name="Normal 2 5 4 5 5 2 2" xfId="23372" xr:uid="{00000000-0005-0000-0000-000073540000}"/>
    <cellStyle name="Normal 2 5 4 5 5 2 2 2" xfId="48925" xr:uid="{00000000-0005-0000-0000-000074540000}"/>
    <cellStyle name="Normal 2 5 4 5 5 2 3" xfId="38676" xr:uid="{00000000-0005-0000-0000-000075540000}"/>
    <cellStyle name="Normal 2 5 4 5 5 3" xfId="9542" xr:uid="{00000000-0005-0000-0000-000076540000}"/>
    <cellStyle name="Normal 2 5 4 5 5 3 2" xfId="35099" xr:uid="{00000000-0005-0000-0000-000077540000}"/>
    <cellStyle name="Normal 2 5 4 5 5 4" xfId="18365" xr:uid="{00000000-0005-0000-0000-000078540000}"/>
    <cellStyle name="Normal 2 5 4 5 5 4 2" xfId="43918" xr:uid="{00000000-0005-0000-0000-000079540000}"/>
    <cellStyle name="Normal 2 5 4 5 5 5" xfId="29855" xr:uid="{00000000-0005-0000-0000-00007A540000}"/>
    <cellStyle name="Normal 2 5 4 5 6" xfId="1555" xr:uid="{00000000-0005-0000-0000-00007B540000}"/>
    <cellStyle name="Normal 2 5 4 5 6 2" xfId="10932" xr:uid="{00000000-0005-0000-0000-00007C540000}"/>
    <cellStyle name="Normal 2 5 4 5 6 2 2" xfId="36487" xr:uid="{00000000-0005-0000-0000-00007D540000}"/>
    <cellStyle name="Normal 2 5 4 5 6 3" xfId="20936" xr:uid="{00000000-0005-0000-0000-00007E540000}"/>
    <cellStyle name="Normal 2 5 4 5 6 3 2" xfId="46489" xr:uid="{00000000-0005-0000-0000-00007F540000}"/>
    <cellStyle name="Normal 2 5 4 5 6 4" xfId="27419" xr:uid="{00000000-0005-0000-0000-000080540000}"/>
    <cellStyle name="Normal 2 5 4 5 7" xfId="5739" xr:uid="{00000000-0005-0000-0000-000081540000}"/>
    <cellStyle name="Normal 2 5 4 5 7 2" xfId="14566" xr:uid="{00000000-0005-0000-0000-000082540000}"/>
    <cellStyle name="Normal 2 5 4 5 7 2 2" xfId="40121" xr:uid="{00000000-0005-0000-0000-000083540000}"/>
    <cellStyle name="Normal 2 5 4 5 7 3" xfId="24817" xr:uid="{00000000-0005-0000-0000-000084540000}"/>
    <cellStyle name="Normal 2 5 4 5 7 3 2" xfId="50370" xr:uid="{00000000-0005-0000-0000-000085540000}"/>
    <cellStyle name="Normal 2 5 4 5 7 4" xfId="31300" xr:uid="{00000000-0005-0000-0000-000086540000}"/>
    <cellStyle name="Normal 2 5 4 5 8" xfId="7183" xr:uid="{00000000-0005-0000-0000-000087540000}"/>
    <cellStyle name="Normal 2 5 4 5 8 2" xfId="19909" xr:uid="{00000000-0005-0000-0000-000088540000}"/>
    <cellStyle name="Normal 2 5 4 5 8 2 2" xfId="45462" xr:uid="{00000000-0005-0000-0000-000089540000}"/>
    <cellStyle name="Normal 2 5 4 5 8 3" xfId="32740" xr:uid="{00000000-0005-0000-0000-00008A540000}"/>
    <cellStyle name="Normal 2 5 4 5 9" xfId="15929" xr:uid="{00000000-0005-0000-0000-00008B540000}"/>
    <cellStyle name="Normal 2 5 4 5 9 2" xfId="41482" xr:uid="{00000000-0005-0000-0000-00008C540000}"/>
    <cellStyle name="Normal 2 5 4 5_Degree data" xfId="3901" xr:uid="{00000000-0005-0000-0000-00008D540000}"/>
    <cellStyle name="Normal 2 5 4 6" xfId="339" xr:uid="{00000000-0005-0000-0000-00008E540000}"/>
    <cellStyle name="Normal 2 5 4 6 10" xfId="26268" xr:uid="{00000000-0005-0000-0000-00008F540000}"/>
    <cellStyle name="Normal 2 5 4 6 2" xfId="766" xr:uid="{00000000-0005-0000-0000-000090540000}"/>
    <cellStyle name="Normal 2 5 4 6 2 2" xfId="3252" xr:uid="{00000000-0005-0000-0000-000091540000}"/>
    <cellStyle name="Normal 2 5 4 6 2 2 2" xfId="12394" xr:uid="{00000000-0005-0000-0000-000092540000}"/>
    <cellStyle name="Normal 2 5 4 6 2 2 2 2" xfId="22613" xr:uid="{00000000-0005-0000-0000-000093540000}"/>
    <cellStyle name="Normal 2 5 4 6 2 2 2 2 2" xfId="48166" xr:uid="{00000000-0005-0000-0000-000094540000}"/>
    <cellStyle name="Normal 2 5 4 6 2 2 2 3" xfId="37949" xr:uid="{00000000-0005-0000-0000-000095540000}"/>
    <cellStyle name="Normal 2 5 4 6 2 2 3" xfId="8816" xr:uid="{00000000-0005-0000-0000-000096540000}"/>
    <cellStyle name="Normal 2 5 4 6 2 2 3 2" xfId="34373" xr:uid="{00000000-0005-0000-0000-000097540000}"/>
    <cellStyle name="Normal 2 5 4 6 2 2 4" xfId="17606" xr:uid="{00000000-0005-0000-0000-000098540000}"/>
    <cellStyle name="Normal 2 5 4 6 2 2 4 2" xfId="43159" xr:uid="{00000000-0005-0000-0000-000099540000}"/>
    <cellStyle name="Normal 2 5 4 6 2 2 5" xfId="29096" xr:uid="{00000000-0005-0000-0000-00009A540000}"/>
    <cellStyle name="Normal 2 5 4 6 2 3" xfId="4581" xr:uid="{00000000-0005-0000-0000-00009B540000}"/>
    <cellStyle name="Normal 2 5 4 6 2 3 2" xfId="13419" xr:uid="{00000000-0005-0000-0000-00009C540000}"/>
    <cellStyle name="Normal 2 5 4 6 2 3 2 2" xfId="23670" xr:uid="{00000000-0005-0000-0000-00009D540000}"/>
    <cellStyle name="Normal 2 5 4 6 2 3 2 2 2" xfId="49223" xr:uid="{00000000-0005-0000-0000-00009E540000}"/>
    <cellStyle name="Normal 2 5 4 6 2 3 2 3" xfId="38974" xr:uid="{00000000-0005-0000-0000-00009F540000}"/>
    <cellStyle name="Normal 2 5 4 6 2 3 3" xfId="9840" xr:uid="{00000000-0005-0000-0000-0000A0540000}"/>
    <cellStyle name="Normal 2 5 4 6 2 3 3 2" xfId="35397" xr:uid="{00000000-0005-0000-0000-0000A1540000}"/>
    <cellStyle name="Normal 2 5 4 6 2 3 4" xfId="18663" xr:uid="{00000000-0005-0000-0000-0000A2540000}"/>
    <cellStyle name="Normal 2 5 4 6 2 3 4 2" xfId="44216" xr:uid="{00000000-0005-0000-0000-0000A3540000}"/>
    <cellStyle name="Normal 2 5 4 6 2 3 5" xfId="30153" xr:uid="{00000000-0005-0000-0000-0000A4540000}"/>
    <cellStyle name="Normal 2 5 4 6 2 4" xfId="2361" xr:uid="{00000000-0005-0000-0000-0000A5540000}"/>
    <cellStyle name="Normal 2 5 4 6 2 4 2" xfId="11726" xr:uid="{00000000-0005-0000-0000-0000A6540000}"/>
    <cellStyle name="Normal 2 5 4 6 2 4 2 2" xfId="37281" xr:uid="{00000000-0005-0000-0000-0000A7540000}"/>
    <cellStyle name="Normal 2 5 4 6 2 4 3" xfId="21730" xr:uid="{00000000-0005-0000-0000-0000A8540000}"/>
    <cellStyle name="Normal 2 5 4 6 2 4 3 2" xfId="47283" xr:uid="{00000000-0005-0000-0000-0000A9540000}"/>
    <cellStyle name="Normal 2 5 4 6 2 4 4" xfId="28213" xr:uid="{00000000-0005-0000-0000-0000AA540000}"/>
    <cellStyle name="Normal 2 5 4 6 2 5" xfId="6037" xr:uid="{00000000-0005-0000-0000-0000AB540000}"/>
    <cellStyle name="Normal 2 5 4 6 2 5 2" xfId="14864" xr:uid="{00000000-0005-0000-0000-0000AC540000}"/>
    <cellStyle name="Normal 2 5 4 6 2 5 2 2" xfId="40419" xr:uid="{00000000-0005-0000-0000-0000AD540000}"/>
    <cellStyle name="Normal 2 5 4 6 2 5 3" xfId="25115" xr:uid="{00000000-0005-0000-0000-0000AE540000}"/>
    <cellStyle name="Normal 2 5 4 6 2 5 3 2" xfId="50668" xr:uid="{00000000-0005-0000-0000-0000AF540000}"/>
    <cellStyle name="Normal 2 5 4 6 2 5 4" xfId="31598" xr:uid="{00000000-0005-0000-0000-0000B0540000}"/>
    <cellStyle name="Normal 2 5 4 6 2 6" xfId="7481" xr:uid="{00000000-0005-0000-0000-0000B1540000}"/>
    <cellStyle name="Normal 2 5 4 6 2 6 2" xfId="20212" xr:uid="{00000000-0005-0000-0000-0000B2540000}"/>
    <cellStyle name="Normal 2 5 4 6 2 6 2 2" xfId="45765" xr:uid="{00000000-0005-0000-0000-0000B3540000}"/>
    <cellStyle name="Normal 2 5 4 6 2 6 3" xfId="33038" xr:uid="{00000000-0005-0000-0000-0000B4540000}"/>
    <cellStyle name="Normal 2 5 4 6 2 7" xfId="16723" xr:uid="{00000000-0005-0000-0000-0000B5540000}"/>
    <cellStyle name="Normal 2 5 4 6 2 7 2" xfId="42276" xr:uid="{00000000-0005-0000-0000-0000B6540000}"/>
    <cellStyle name="Normal 2 5 4 6 2 8" xfId="26695" xr:uid="{00000000-0005-0000-0000-0000B7540000}"/>
    <cellStyle name="Normal 2 5 4 6 3" xfId="1111" xr:uid="{00000000-0005-0000-0000-0000B8540000}"/>
    <cellStyle name="Normal 2 5 4 6 3 2" xfId="3540" xr:uid="{00000000-0005-0000-0000-0000B9540000}"/>
    <cellStyle name="Normal 2 5 4 6 3 2 2" xfId="12676" xr:uid="{00000000-0005-0000-0000-0000BA540000}"/>
    <cellStyle name="Normal 2 5 4 6 3 2 2 2" xfId="22895" xr:uid="{00000000-0005-0000-0000-0000BB540000}"/>
    <cellStyle name="Normal 2 5 4 6 3 2 2 2 2" xfId="48448" xr:uid="{00000000-0005-0000-0000-0000BC540000}"/>
    <cellStyle name="Normal 2 5 4 6 3 2 2 3" xfId="38231" xr:uid="{00000000-0005-0000-0000-0000BD540000}"/>
    <cellStyle name="Normal 2 5 4 6 3 2 3" xfId="9097" xr:uid="{00000000-0005-0000-0000-0000BE540000}"/>
    <cellStyle name="Normal 2 5 4 6 3 2 3 2" xfId="34654" xr:uid="{00000000-0005-0000-0000-0000BF540000}"/>
    <cellStyle name="Normal 2 5 4 6 3 2 4" xfId="17888" xr:uid="{00000000-0005-0000-0000-0000C0540000}"/>
    <cellStyle name="Normal 2 5 4 6 3 2 4 2" xfId="43441" xr:uid="{00000000-0005-0000-0000-0000C1540000}"/>
    <cellStyle name="Normal 2 5 4 6 3 2 5" xfId="29378" xr:uid="{00000000-0005-0000-0000-0000C2540000}"/>
    <cellStyle name="Normal 2 5 4 6 3 3" xfId="4930" xr:uid="{00000000-0005-0000-0000-0000C3540000}"/>
    <cellStyle name="Normal 2 5 4 6 3 3 2" xfId="13767" xr:uid="{00000000-0005-0000-0000-0000C4540000}"/>
    <cellStyle name="Normal 2 5 4 6 3 3 2 2" xfId="24018" xr:uid="{00000000-0005-0000-0000-0000C5540000}"/>
    <cellStyle name="Normal 2 5 4 6 3 3 2 2 2" xfId="49571" xr:uid="{00000000-0005-0000-0000-0000C6540000}"/>
    <cellStyle name="Normal 2 5 4 6 3 3 2 3" xfId="39322" xr:uid="{00000000-0005-0000-0000-0000C7540000}"/>
    <cellStyle name="Normal 2 5 4 6 3 3 3" xfId="10188" xr:uid="{00000000-0005-0000-0000-0000C8540000}"/>
    <cellStyle name="Normal 2 5 4 6 3 3 3 2" xfId="35745" xr:uid="{00000000-0005-0000-0000-0000C9540000}"/>
    <cellStyle name="Normal 2 5 4 6 3 3 4" xfId="19011" xr:uid="{00000000-0005-0000-0000-0000CA540000}"/>
    <cellStyle name="Normal 2 5 4 6 3 3 4 2" xfId="44564" xr:uid="{00000000-0005-0000-0000-0000CB540000}"/>
    <cellStyle name="Normal 2 5 4 6 3 3 5" xfId="30501" xr:uid="{00000000-0005-0000-0000-0000CC540000}"/>
    <cellStyle name="Normal 2 5 4 6 3 4" xfId="2588" xr:uid="{00000000-0005-0000-0000-0000CD540000}"/>
    <cellStyle name="Normal 2 5 4 6 3 4 2" xfId="11952" xr:uid="{00000000-0005-0000-0000-0000CE540000}"/>
    <cellStyle name="Normal 2 5 4 6 3 4 2 2" xfId="37507" xr:uid="{00000000-0005-0000-0000-0000CF540000}"/>
    <cellStyle name="Normal 2 5 4 6 3 4 3" xfId="21956" xr:uid="{00000000-0005-0000-0000-0000D0540000}"/>
    <cellStyle name="Normal 2 5 4 6 3 4 3 2" xfId="47509" xr:uid="{00000000-0005-0000-0000-0000D1540000}"/>
    <cellStyle name="Normal 2 5 4 6 3 4 4" xfId="28439" xr:uid="{00000000-0005-0000-0000-0000D2540000}"/>
    <cellStyle name="Normal 2 5 4 6 3 5" xfId="6385" xr:uid="{00000000-0005-0000-0000-0000D3540000}"/>
    <cellStyle name="Normal 2 5 4 6 3 5 2" xfId="15212" xr:uid="{00000000-0005-0000-0000-0000D4540000}"/>
    <cellStyle name="Normal 2 5 4 6 3 5 2 2" xfId="40767" xr:uid="{00000000-0005-0000-0000-0000D5540000}"/>
    <cellStyle name="Normal 2 5 4 6 3 5 3" xfId="25463" xr:uid="{00000000-0005-0000-0000-0000D6540000}"/>
    <cellStyle name="Normal 2 5 4 6 3 5 3 2" xfId="51016" xr:uid="{00000000-0005-0000-0000-0000D7540000}"/>
    <cellStyle name="Normal 2 5 4 6 3 5 4" xfId="31946" xr:uid="{00000000-0005-0000-0000-0000D8540000}"/>
    <cellStyle name="Normal 2 5 4 6 3 6" xfId="7831" xr:uid="{00000000-0005-0000-0000-0000D9540000}"/>
    <cellStyle name="Normal 2 5 4 6 3 6 2" xfId="20494" xr:uid="{00000000-0005-0000-0000-0000DA540000}"/>
    <cellStyle name="Normal 2 5 4 6 3 6 2 2" xfId="46047" xr:uid="{00000000-0005-0000-0000-0000DB540000}"/>
    <cellStyle name="Normal 2 5 4 6 3 6 3" xfId="33388" xr:uid="{00000000-0005-0000-0000-0000DC540000}"/>
    <cellStyle name="Normal 2 5 4 6 3 7" xfId="16949" xr:uid="{00000000-0005-0000-0000-0000DD540000}"/>
    <cellStyle name="Normal 2 5 4 6 3 7 2" xfId="42502" xr:uid="{00000000-0005-0000-0000-0000DE540000}"/>
    <cellStyle name="Normal 2 5 4 6 3 8" xfId="26977" xr:uid="{00000000-0005-0000-0000-0000DF540000}"/>
    <cellStyle name="Normal 2 5 4 6 4" xfId="2825" xr:uid="{00000000-0005-0000-0000-0000E0540000}"/>
    <cellStyle name="Normal 2 5 4 6 4 2" xfId="5203" xr:uid="{00000000-0005-0000-0000-0000E1540000}"/>
    <cellStyle name="Normal 2 5 4 6 4 2 2" xfId="14040" xr:uid="{00000000-0005-0000-0000-0000E2540000}"/>
    <cellStyle name="Normal 2 5 4 6 4 2 2 2" xfId="24291" xr:uid="{00000000-0005-0000-0000-0000E3540000}"/>
    <cellStyle name="Normal 2 5 4 6 4 2 2 2 2" xfId="49844" xr:uid="{00000000-0005-0000-0000-0000E4540000}"/>
    <cellStyle name="Normal 2 5 4 6 4 2 2 3" xfId="39595" xr:uid="{00000000-0005-0000-0000-0000E5540000}"/>
    <cellStyle name="Normal 2 5 4 6 4 2 3" xfId="10461" xr:uid="{00000000-0005-0000-0000-0000E6540000}"/>
    <cellStyle name="Normal 2 5 4 6 4 2 3 2" xfId="36018" xr:uid="{00000000-0005-0000-0000-0000E7540000}"/>
    <cellStyle name="Normal 2 5 4 6 4 2 4" xfId="19284" xr:uid="{00000000-0005-0000-0000-0000E8540000}"/>
    <cellStyle name="Normal 2 5 4 6 4 2 4 2" xfId="44837" xr:uid="{00000000-0005-0000-0000-0000E9540000}"/>
    <cellStyle name="Normal 2 5 4 6 4 2 5" xfId="30774" xr:uid="{00000000-0005-0000-0000-0000EA540000}"/>
    <cellStyle name="Normal 2 5 4 6 4 3" xfId="6658" xr:uid="{00000000-0005-0000-0000-0000EB540000}"/>
    <cellStyle name="Normal 2 5 4 6 4 3 2" xfId="15485" xr:uid="{00000000-0005-0000-0000-0000EC540000}"/>
    <cellStyle name="Normal 2 5 4 6 4 3 2 2" xfId="41040" xr:uid="{00000000-0005-0000-0000-0000ED540000}"/>
    <cellStyle name="Normal 2 5 4 6 4 3 3" xfId="25736" xr:uid="{00000000-0005-0000-0000-0000EE540000}"/>
    <cellStyle name="Normal 2 5 4 6 4 3 3 2" xfId="51289" xr:uid="{00000000-0005-0000-0000-0000EF540000}"/>
    <cellStyle name="Normal 2 5 4 6 4 3 4" xfId="32219" xr:uid="{00000000-0005-0000-0000-0000F0540000}"/>
    <cellStyle name="Normal 2 5 4 6 4 4" xfId="8104" xr:uid="{00000000-0005-0000-0000-0000F1540000}"/>
    <cellStyle name="Normal 2 5 4 6 4 4 2" xfId="22186" xr:uid="{00000000-0005-0000-0000-0000F2540000}"/>
    <cellStyle name="Normal 2 5 4 6 4 4 2 2" xfId="47739" xr:uid="{00000000-0005-0000-0000-0000F3540000}"/>
    <cellStyle name="Normal 2 5 4 6 4 4 3" xfId="33661" xr:uid="{00000000-0005-0000-0000-0000F4540000}"/>
    <cellStyle name="Normal 2 5 4 6 4 5" xfId="17179" xr:uid="{00000000-0005-0000-0000-0000F5540000}"/>
    <cellStyle name="Normal 2 5 4 6 4 5 2" xfId="42732" xr:uid="{00000000-0005-0000-0000-0000F6540000}"/>
    <cellStyle name="Normal 2 5 4 6 4 6" xfId="28669" xr:uid="{00000000-0005-0000-0000-0000F7540000}"/>
    <cellStyle name="Normal 2 5 4 6 5" xfId="4157" xr:uid="{00000000-0005-0000-0000-0000F8540000}"/>
    <cellStyle name="Normal 2 5 4 6 5 2" xfId="12995" xr:uid="{00000000-0005-0000-0000-0000F9540000}"/>
    <cellStyle name="Normal 2 5 4 6 5 2 2" xfId="23246" xr:uid="{00000000-0005-0000-0000-0000FA540000}"/>
    <cellStyle name="Normal 2 5 4 6 5 2 2 2" xfId="48799" xr:uid="{00000000-0005-0000-0000-0000FB540000}"/>
    <cellStyle name="Normal 2 5 4 6 5 2 3" xfId="38550" xr:uid="{00000000-0005-0000-0000-0000FC540000}"/>
    <cellStyle name="Normal 2 5 4 6 5 3" xfId="9416" xr:uid="{00000000-0005-0000-0000-0000FD540000}"/>
    <cellStyle name="Normal 2 5 4 6 5 3 2" xfId="34973" xr:uid="{00000000-0005-0000-0000-0000FE540000}"/>
    <cellStyle name="Normal 2 5 4 6 5 4" xfId="18239" xr:uid="{00000000-0005-0000-0000-0000FF540000}"/>
    <cellStyle name="Normal 2 5 4 6 5 4 2" xfId="43792" xr:uid="{00000000-0005-0000-0000-000000550000}"/>
    <cellStyle name="Normal 2 5 4 6 5 5" xfId="29729" xr:uid="{00000000-0005-0000-0000-000001550000}"/>
    <cellStyle name="Normal 2 5 4 6 6" xfId="1934" xr:uid="{00000000-0005-0000-0000-000002550000}"/>
    <cellStyle name="Normal 2 5 4 6 6 2" xfId="11299" xr:uid="{00000000-0005-0000-0000-000003550000}"/>
    <cellStyle name="Normal 2 5 4 6 6 2 2" xfId="36854" xr:uid="{00000000-0005-0000-0000-000004550000}"/>
    <cellStyle name="Normal 2 5 4 6 6 3" xfId="21303" xr:uid="{00000000-0005-0000-0000-000005550000}"/>
    <cellStyle name="Normal 2 5 4 6 6 3 2" xfId="46856" xr:uid="{00000000-0005-0000-0000-000006550000}"/>
    <cellStyle name="Normal 2 5 4 6 6 4" xfId="27786" xr:uid="{00000000-0005-0000-0000-000007550000}"/>
    <cellStyle name="Normal 2 5 4 6 7" xfId="5615" xr:uid="{00000000-0005-0000-0000-000008550000}"/>
    <cellStyle name="Normal 2 5 4 6 7 2" xfId="14442" xr:uid="{00000000-0005-0000-0000-000009550000}"/>
    <cellStyle name="Normal 2 5 4 6 7 2 2" xfId="39997" xr:uid="{00000000-0005-0000-0000-00000A550000}"/>
    <cellStyle name="Normal 2 5 4 6 7 3" xfId="24693" xr:uid="{00000000-0005-0000-0000-00000B550000}"/>
    <cellStyle name="Normal 2 5 4 6 7 3 2" xfId="50246" xr:uid="{00000000-0005-0000-0000-00000C550000}"/>
    <cellStyle name="Normal 2 5 4 6 7 4" xfId="31176" xr:uid="{00000000-0005-0000-0000-00000D550000}"/>
    <cellStyle name="Normal 2 5 4 6 8" xfId="7059" xr:uid="{00000000-0005-0000-0000-00000E550000}"/>
    <cellStyle name="Normal 2 5 4 6 8 2" xfId="19785" xr:uid="{00000000-0005-0000-0000-00000F550000}"/>
    <cellStyle name="Normal 2 5 4 6 8 2 2" xfId="45338" xr:uid="{00000000-0005-0000-0000-000010550000}"/>
    <cellStyle name="Normal 2 5 4 6 8 3" xfId="32616" xr:uid="{00000000-0005-0000-0000-000011550000}"/>
    <cellStyle name="Normal 2 5 4 6 9" xfId="16296" xr:uid="{00000000-0005-0000-0000-000012550000}"/>
    <cellStyle name="Normal 2 5 4 6 9 2" xfId="41849" xr:uid="{00000000-0005-0000-0000-000013550000}"/>
    <cellStyle name="Normal 2 5 4 6_Degree data" xfId="3830" xr:uid="{00000000-0005-0000-0000-000014550000}"/>
    <cellStyle name="Normal 2 5 4 7" xfId="757" xr:uid="{00000000-0005-0000-0000-000015550000}"/>
    <cellStyle name="Normal 2 5 4 7 2" xfId="3243" xr:uid="{00000000-0005-0000-0000-000016550000}"/>
    <cellStyle name="Normal 2 5 4 7 2 2" xfId="12385" xr:uid="{00000000-0005-0000-0000-000017550000}"/>
    <cellStyle name="Normal 2 5 4 7 2 2 2" xfId="22604" xr:uid="{00000000-0005-0000-0000-000018550000}"/>
    <cellStyle name="Normal 2 5 4 7 2 2 2 2" xfId="48157" xr:uid="{00000000-0005-0000-0000-000019550000}"/>
    <cellStyle name="Normal 2 5 4 7 2 2 3" xfId="37940" xr:uid="{00000000-0005-0000-0000-00001A550000}"/>
    <cellStyle name="Normal 2 5 4 7 2 3" xfId="8807" xr:uid="{00000000-0005-0000-0000-00001B550000}"/>
    <cellStyle name="Normal 2 5 4 7 2 3 2" xfId="34364" xr:uid="{00000000-0005-0000-0000-00001C550000}"/>
    <cellStyle name="Normal 2 5 4 7 2 4" xfId="17597" xr:uid="{00000000-0005-0000-0000-00001D550000}"/>
    <cellStyle name="Normal 2 5 4 7 2 4 2" xfId="43150" xr:uid="{00000000-0005-0000-0000-00001E550000}"/>
    <cellStyle name="Normal 2 5 4 7 2 5" xfId="29087" xr:uid="{00000000-0005-0000-0000-00001F550000}"/>
    <cellStyle name="Normal 2 5 4 7 3" xfId="4572" xr:uid="{00000000-0005-0000-0000-000020550000}"/>
    <cellStyle name="Normal 2 5 4 7 3 2" xfId="13410" xr:uid="{00000000-0005-0000-0000-000021550000}"/>
    <cellStyle name="Normal 2 5 4 7 3 2 2" xfId="23661" xr:uid="{00000000-0005-0000-0000-000022550000}"/>
    <cellStyle name="Normal 2 5 4 7 3 2 2 2" xfId="49214" xr:uid="{00000000-0005-0000-0000-000023550000}"/>
    <cellStyle name="Normal 2 5 4 7 3 2 3" xfId="38965" xr:uid="{00000000-0005-0000-0000-000024550000}"/>
    <cellStyle name="Normal 2 5 4 7 3 3" xfId="9831" xr:uid="{00000000-0005-0000-0000-000025550000}"/>
    <cellStyle name="Normal 2 5 4 7 3 3 2" xfId="35388" xr:uid="{00000000-0005-0000-0000-000026550000}"/>
    <cellStyle name="Normal 2 5 4 7 3 4" xfId="18654" xr:uid="{00000000-0005-0000-0000-000027550000}"/>
    <cellStyle name="Normal 2 5 4 7 3 4 2" xfId="44207" xr:uid="{00000000-0005-0000-0000-000028550000}"/>
    <cellStyle name="Normal 2 5 4 7 3 5" xfId="30144" xr:uid="{00000000-0005-0000-0000-000029550000}"/>
    <cellStyle name="Normal 2 5 4 7 4" xfId="2352" xr:uid="{00000000-0005-0000-0000-00002A550000}"/>
    <cellStyle name="Normal 2 5 4 7 4 2" xfId="11717" xr:uid="{00000000-0005-0000-0000-00002B550000}"/>
    <cellStyle name="Normal 2 5 4 7 4 2 2" xfId="37272" xr:uid="{00000000-0005-0000-0000-00002C550000}"/>
    <cellStyle name="Normal 2 5 4 7 4 3" xfId="21721" xr:uid="{00000000-0005-0000-0000-00002D550000}"/>
    <cellStyle name="Normal 2 5 4 7 4 3 2" xfId="47274" xr:uid="{00000000-0005-0000-0000-00002E550000}"/>
    <cellStyle name="Normal 2 5 4 7 4 4" xfId="28204" xr:uid="{00000000-0005-0000-0000-00002F550000}"/>
    <cellStyle name="Normal 2 5 4 7 5" xfId="6028" xr:uid="{00000000-0005-0000-0000-000030550000}"/>
    <cellStyle name="Normal 2 5 4 7 5 2" xfId="14855" xr:uid="{00000000-0005-0000-0000-000031550000}"/>
    <cellStyle name="Normal 2 5 4 7 5 2 2" xfId="40410" xr:uid="{00000000-0005-0000-0000-000032550000}"/>
    <cellStyle name="Normal 2 5 4 7 5 3" xfId="25106" xr:uid="{00000000-0005-0000-0000-000033550000}"/>
    <cellStyle name="Normal 2 5 4 7 5 3 2" xfId="50659" xr:uid="{00000000-0005-0000-0000-000034550000}"/>
    <cellStyle name="Normal 2 5 4 7 5 4" xfId="31589" xr:uid="{00000000-0005-0000-0000-000035550000}"/>
    <cellStyle name="Normal 2 5 4 7 6" xfId="7472" xr:uid="{00000000-0005-0000-0000-000036550000}"/>
    <cellStyle name="Normal 2 5 4 7 6 2" xfId="20203" xr:uid="{00000000-0005-0000-0000-000037550000}"/>
    <cellStyle name="Normal 2 5 4 7 6 2 2" xfId="45756" xr:uid="{00000000-0005-0000-0000-000038550000}"/>
    <cellStyle name="Normal 2 5 4 7 6 3" xfId="33029" xr:uid="{00000000-0005-0000-0000-000039550000}"/>
    <cellStyle name="Normal 2 5 4 7 7" xfId="16714" xr:uid="{00000000-0005-0000-0000-00003A550000}"/>
    <cellStyle name="Normal 2 5 4 7 7 2" xfId="42267" xr:uid="{00000000-0005-0000-0000-00003B550000}"/>
    <cellStyle name="Normal 2 5 4 7 8" xfId="26686" xr:uid="{00000000-0005-0000-0000-00003C550000}"/>
    <cellStyle name="Normal 2 5 4 8" xfId="1066" xr:uid="{00000000-0005-0000-0000-00003D550000}"/>
    <cellStyle name="Normal 2 5 4 8 2" xfId="3495" xr:uid="{00000000-0005-0000-0000-00003E550000}"/>
    <cellStyle name="Normal 2 5 4 8 2 2" xfId="12631" xr:uid="{00000000-0005-0000-0000-00003F550000}"/>
    <cellStyle name="Normal 2 5 4 8 2 2 2" xfId="22850" xr:uid="{00000000-0005-0000-0000-000040550000}"/>
    <cellStyle name="Normal 2 5 4 8 2 2 2 2" xfId="48403" xr:uid="{00000000-0005-0000-0000-000041550000}"/>
    <cellStyle name="Normal 2 5 4 8 2 2 3" xfId="38186" xr:uid="{00000000-0005-0000-0000-000042550000}"/>
    <cellStyle name="Normal 2 5 4 8 2 3" xfId="9053" xr:uid="{00000000-0005-0000-0000-000043550000}"/>
    <cellStyle name="Normal 2 5 4 8 2 3 2" xfId="34610" xr:uid="{00000000-0005-0000-0000-000044550000}"/>
    <cellStyle name="Normal 2 5 4 8 2 4" xfId="17843" xr:uid="{00000000-0005-0000-0000-000045550000}"/>
    <cellStyle name="Normal 2 5 4 8 2 4 2" xfId="43396" xr:uid="{00000000-0005-0000-0000-000046550000}"/>
    <cellStyle name="Normal 2 5 4 8 2 5" xfId="29333" xr:uid="{00000000-0005-0000-0000-000047550000}"/>
    <cellStyle name="Normal 2 5 4 8 3" xfId="4921" xr:uid="{00000000-0005-0000-0000-000048550000}"/>
    <cellStyle name="Normal 2 5 4 8 3 2" xfId="13758" xr:uid="{00000000-0005-0000-0000-000049550000}"/>
    <cellStyle name="Normal 2 5 4 8 3 2 2" xfId="24009" xr:uid="{00000000-0005-0000-0000-00004A550000}"/>
    <cellStyle name="Normal 2 5 4 8 3 2 2 2" xfId="49562" xr:uid="{00000000-0005-0000-0000-00004B550000}"/>
    <cellStyle name="Normal 2 5 4 8 3 2 3" xfId="39313" xr:uid="{00000000-0005-0000-0000-00004C550000}"/>
    <cellStyle name="Normal 2 5 4 8 3 3" xfId="10179" xr:uid="{00000000-0005-0000-0000-00004D550000}"/>
    <cellStyle name="Normal 2 5 4 8 3 3 2" xfId="35736" xr:uid="{00000000-0005-0000-0000-00004E550000}"/>
    <cellStyle name="Normal 2 5 4 8 3 4" xfId="19002" xr:uid="{00000000-0005-0000-0000-00004F550000}"/>
    <cellStyle name="Normal 2 5 4 8 3 4 2" xfId="44555" xr:uid="{00000000-0005-0000-0000-000050550000}"/>
    <cellStyle name="Normal 2 5 4 8 3 5" xfId="30492" xr:uid="{00000000-0005-0000-0000-000051550000}"/>
    <cellStyle name="Normal 2 5 4 8 4" xfId="1731" xr:uid="{00000000-0005-0000-0000-000052550000}"/>
    <cellStyle name="Normal 2 5 4 8 4 2" xfId="11105" xr:uid="{00000000-0005-0000-0000-000053550000}"/>
    <cellStyle name="Normal 2 5 4 8 4 2 2" xfId="36660" xr:uid="{00000000-0005-0000-0000-000054550000}"/>
    <cellStyle name="Normal 2 5 4 8 4 3" xfId="21109" xr:uid="{00000000-0005-0000-0000-000055550000}"/>
    <cellStyle name="Normal 2 5 4 8 4 3 2" xfId="46662" xr:uid="{00000000-0005-0000-0000-000056550000}"/>
    <cellStyle name="Normal 2 5 4 8 4 4" xfId="27592" xr:uid="{00000000-0005-0000-0000-000057550000}"/>
    <cellStyle name="Normal 2 5 4 8 5" xfId="6376" xr:uid="{00000000-0005-0000-0000-000058550000}"/>
    <cellStyle name="Normal 2 5 4 8 5 2" xfId="15203" xr:uid="{00000000-0005-0000-0000-000059550000}"/>
    <cellStyle name="Normal 2 5 4 8 5 2 2" xfId="40758" xr:uid="{00000000-0005-0000-0000-00005A550000}"/>
    <cellStyle name="Normal 2 5 4 8 5 3" xfId="25454" xr:uid="{00000000-0005-0000-0000-00005B550000}"/>
    <cellStyle name="Normal 2 5 4 8 5 3 2" xfId="51007" xr:uid="{00000000-0005-0000-0000-00005C550000}"/>
    <cellStyle name="Normal 2 5 4 8 5 4" xfId="31937" xr:uid="{00000000-0005-0000-0000-00005D550000}"/>
    <cellStyle name="Normal 2 5 4 8 6" xfId="7822" xr:uid="{00000000-0005-0000-0000-00005E550000}"/>
    <cellStyle name="Normal 2 5 4 8 6 2" xfId="20449" xr:uid="{00000000-0005-0000-0000-00005F550000}"/>
    <cellStyle name="Normal 2 5 4 8 6 2 2" xfId="46002" xr:uid="{00000000-0005-0000-0000-000060550000}"/>
    <cellStyle name="Normal 2 5 4 8 6 3" xfId="33379" xr:uid="{00000000-0005-0000-0000-000061550000}"/>
    <cellStyle name="Normal 2 5 4 8 7" xfId="16102" xr:uid="{00000000-0005-0000-0000-000062550000}"/>
    <cellStyle name="Normal 2 5 4 8 7 2" xfId="41655" xr:uid="{00000000-0005-0000-0000-000063550000}"/>
    <cellStyle name="Normal 2 5 4 8 8" xfId="26932" xr:uid="{00000000-0005-0000-0000-000064550000}"/>
    <cellStyle name="Normal 2 5 4 9" xfId="2631" xr:uid="{00000000-0005-0000-0000-000065550000}"/>
    <cellStyle name="Normal 2 5 4 9 2" xfId="5158" xr:uid="{00000000-0005-0000-0000-000066550000}"/>
    <cellStyle name="Normal 2 5 4 9 2 2" xfId="13995" xr:uid="{00000000-0005-0000-0000-000067550000}"/>
    <cellStyle name="Normal 2 5 4 9 2 2 2" xfId="24246" xr:uid="{00000000-0005-0000-0000-000068550000}"/>
    <cellStyle name="Normal 2 5 4 9 2 2 2 2" xfId="49799" xr:uid="{00000000-0005-0000-0000-000069550000}"/>
    <cellStyle name="Normal 2 5 4 9 2 2 3" xfId="39550" xr:uid="{00000000-0005-0000-0000-00006A550000}"/>
    <cellStyle name="Normal 2 5 4 9 2 3" xfId="10416" xr:uid="{00000000-0005-0000-0000-00006B550000}"/>
    <cellStyle name="Normal 2 5 4 9 2 3 2" xfId="35973" xr:uid="{00000000-0005-0000-0000-00006C550000}"/>
    <cellStyle name="Normal 2 5 4 9 2 4" xfId="19239" xr:uid="{00000000-0005-0000-0000-00006D550000}"/>
    <cellStyle name="Normal 2 5 4 9 2 4 2" xfId="44792" xr:uid="{00000000-0005-0000-0000-00006E550000}"/>
    <cellStyle name="Normal 2 5 4 9 2 5" xfId="30729" xr:uid="{00000000-0005-0000-0000-00006F550000}"/>
    <cellStyle name="Normal 2 5 4 9 3" xfId="6613" xr:uid="{00000000-0005-0000-0000-000070550000}"/>
    <cellStyle name="Normal 2 5 4 9 3 2" xfId="15440" xr:uid="{00000000-0005-0000-0000-000071550000}"/>
    <cellStyle name="Normal 2 5 4 9 3 2 2" xfId="40995" xr:uid="{00000000-0005-0000-0000-000072550000}"/>
    <cellStyle name="Normal 2 5 4 9 3 3" xfId="25691" xr:uid="{00000000-0005-0000-0000-000073550000}"/>
    <cellStyle name="Normal 2 5 4 9 3 3 2" xfId="51244" xr:uid="{00000000-0005-0000-0000-000074550000}"/>
    <cellStyle name="Normal 2 5 4 9 3 4" xfId="32174" xr:uid="{00000000-0005-0000-0000-000075550000}"/>
    <cellStyle name="Normal 2 5 4 9 4" xfId="8059" xr:uid="{00000000-0005-0000-0000-000076550000}"/>
    <cellStyle name="Normal 2 5 4 9 4 2" xfId="21993" xr:uid="{00000000-0005-0000-0000-000077550000}"/>
    <cellStyle name="Normal 2 5 4 9 4 2 2" xfId="47546" xr:uid="{00000000-0005-0000-0000-000078550000}"/>
    <cellStyle name="Normal 2 5 4 9 4 3" xfId="33616" xr:uid="{00000000-0005-0000-0000-000079550000}"/>
    <cellStyle name="Normal 2 5 4 9 5" xfId="16986" xr:uid="{00000000-0005-0000-0000-00007A550000}"/>
    <cellStyle name="Normal 2 5 4 9 5 2" xfId="42539" xr:uid="{00000000-0005-0000-0000-00007B550000}"/>
    <cellStyle name="Normal 2 5 4 9 6" xfId="28476" xr:uid="{00000000-0005-0000-0000-00007C550000}"/>
    <cellStyle name="Normal 2 5 4_Degree data" xfId="3890" xr:uid="{00000000-0005-0000-0000-00007D550000}"/>
    <cellStyle name="Normal 2 5 5" xfId="133" xr:uid="{00000000-0005-0000-0000-00007E550000}"/>
    <cellStyle name="Normal 2 5 5 10" xfId="1401" xr:uid="{00000000-0005-0000-0000-00007F550000}"/>
    <cellStyle name="Normal 2 5 5 10 2" xfId="10778" xr:uid="{00000000-0005-0000-0000-000080550000}"/>
    <cellStyle name="Normal 2 5 5 10 2 2" xfId="36333" xr:uid="{00000000-0005-0000-0000-000081550000}"/>
    <cellStyle name="Normal 2 5 5 10 3" xfId="20782" xr:uid="{00000000-0005-0000-0000-000082550000}"/>
    <cellStyle name="Normal 2 5 5 10 3 2" xfId="46335" xr:uid="{00000000-0005-0000-0000-000083550000}"/>
    <cellStyle name="Normal 2 5 5 10 4" xfId="27265" xr:uid="{00000000-0005-0000-0000-000084550000}"/>
    <cellStyle name="Normal 2 5 5 11" xfId="5512" xr:uid="{00000000-0005-0000-0000-000085550000}"/>
    <cellStyle name="Normal 2 5 5 11 2" xfId="14339" xr:uid="{00000000-0005-0000-0000-000086550000}"/>
    <cellStyle name="Normal 2 5 5 11 2 2" xfId="39894" xr:uid="{00000000-0005-0000-0000-000087550000}"/>
    <cellStyle name="Normal 2 5 5 11 3" xfId="24590" xr:uid="{00000000-0005-0000-0000-000088550000}"/>
    <cellStyle name="Normal 2 5 5 11 3 2" xfId="50143" xr:uid="{00000000-0005-0000-0000-000089550000}"/>
    <cellStyle name="Normal 2 5 5 11 4" xfId="31073" xr:uid="{00000000-0005-0000-0000-00008A550000}"/>
    <cellStyle name="Normal 2 5 5 12" xfId="6952" xr:uid="{00000000-0005-0000-0000-00008B550000}"/>
    <cellStyle name="Normal 2 5 5 12 2" xfId="19597" xr:uid="{00000000-0005-0000-0000-00008C550000}"/>
    <cellStyle name="Normal 2 5 5 12 2 2" xfId="45150" xr:uid="{00000000-0005-0000-0000-00008D550000}"/>
    <cellStyle name="Normal 2 5 5 12 3" xfId="32510" xr:uid="{00000000-0005-0000-0000-00008E550000}"/>
    <cellStyle name="Normal 2 5 5 13" xfId="15775" xr:uid="{00000000-0005-0000-0000-00008F550000}"/>
    <cellStyle name="Normal 2 5 5 13 2" xfId="41328" xr:uid="{00000000-0005-0000-0000-000090550000}"/>
    <cellStyle name="Normal 2 5 5 14" xfId="26080" xr:uid="{00000000-0005-0000-0000-000091550000}"/>
    <cellStyle name="Normal 2 5 5 2" xfId="183" xr:uid="{00000000-0005-0000-0000-000092550000}"/>
    <cellStyle name="Normal 2 5 5 2 10" xfId="7131" xr:uid="{00000000-0005-0000-0000-000093550000}"/>
    <cellStyle name="Normal 2 5 5 2 10 2" xfId="19640" xr:uid="{00000000-0005-0000-0000-000094550000}"/>
    <cellStyle name="Normal 2 5 5 2 10 2 2" xfId="45193" xr:uid="{00000000-0005-0000-0000-000095550000}"/>
    <cellStyle name="Normal 2 5 5 2 10 3" xfId="32688" xr:uid="{00000000-0005-0000-0000-000096550000}"/>
    <cellStyle name="Normal 2 5 5 2 11" xfId="15877" xr:uid="{00000000-0005-0000-0000-000097550000}"/>
    <cellStyle name="Normal 2 5 5 2 11 2" xfId="41430" xr:uid="{00000000-0005-0000-0000-000098550000}"/>
    <cellStyle name="Normal 2 5 5 2 12" xfId="26123" xr:uid="{00000000-0005-0000-0000-000099550000}"/>
    <cellStyle name="Normal 2 5 5 2 2" xfId="511" xr:uid="{00000000-0005-0000-0000-00009A550000}"/>
    <cellStyle name="Normal 2 5 5 2 2 10" xfId="26440" xr:uid="{00000000-0005-0000-0000-00009B550000}"/>
    <cellStyle name="Normal 2 5 5 2 2 2" xfId="769" xr:uid="{00000000-0005-0000-0000-00009C550000}"/>
    <cellStyle name="Normal 2 5 5 2 2 2 2" xfId="3255" xr:uid="{00000000-0005-0000-0000-00009D550000}"/>
    <cellStyle name="Normal 2 5 5 2 2 2 2 2" xfId="12397" xr:uid="{00000000-0005-0000-0000-00009E550000}"/>
    <cellStyle name="Normal 2 5 5 2 2 2 2 2 2" xfId="22616" xr:uid="{00000000-0005-0000-0000-00009F550000}"/>
    <cellStyle name="Normal 2 5 5 2 2 2 2 2 2 2" xfId="48169" xr:uid="{00000000-0005-0000-0000-0000A0550000}"/>
    <cellStyle name="Normal 2 5 5 2 2 2 2 2 3" xfId="37952" xr:uid="{00000000-0005-0000-0000-0000A1550000}"/>
    <cellStyle name="Normal 2 5 5 2 2 2 2 3" xfId="8819" xr:uid="{00000000-0005-0000-0000-0000A2550000}"/>
    <cellStyle name="Normal 2 5 5 2 2 2 2 3 2" xfId="34376" xr:uid="{00000000-0005-0000-0000-0000A3550000}"/>
    <cellStyle name="Normal 2 5 5 2 2 2 2 4" xfId="17609" xr:uid="{00000000-0005-0000-0000-0000A4550000}"/>
    <cellStyle name="Normal 2 5 5 2 2 2 2 4 2" xfId="43162" xr:uid="{00000000-0005-0000-0000-0000A5550000}"/>
    <cellStyle name="Normal 2 5 5 2 2 2 2 5" xfId="29099" xr:uid="{00000000-0005-0000-0000-0000A6550000}"/>
    <cellStyle name="Normal 2 5 5 2 2 2 3" xfId="4584" xr:uid="{00000000-0005-0000-0000-0000A7550000}"/>
    <cellStyle name="Normal 2 5 5 2 2 2 3 2" xfId="13422" xr:uid="{00000000-0005-0000-0000-0000A8550000}"/>
    <cellStyle name="Normal 2 5 5 2 2 2 3 2 2" xfId="23673" xr:uid="{00000000-0005-0000-0000-0000A9550000}"/>
    <cellStyle name="Normal 2 5 5 2 2 2 3 2 2 2" xfId="49226" xr:uid="{00000000-0005-0000-0000-0000AA550000}"/>
    <cellStyle name="Normal 2 5 5 2 2 2 3 2 3" xfId="38977" xr:uid="{00000000-0005-0000-0000-0000AB550000}"/>
    <cellStyle name="Normal 2 5 5 2 2 2 3 3" xfId="9843" xr:uid="{00000000-0005-0000-0000-0000AC550000}"/>
    <cellStyle name="Normal 2 5 5 2 2 2 3 3 2" xfId="35400" xr:uid="{00000000-0005-0000-0000-0000AD550000}"/>
    <cellStyle name="Normal 2 5 5 2 2 2 3 4" xfId="18666" xr:uid="{00000000-0005-0000-0000-0000AE550000}"/>
    <cellStyle name="Normal 2 5 5 2 2 2 3 4 2" xfId="44219" xr:uid="{00000000-0005-0000-0000-0000AF550000}"/>
    <cellStyle name="Normal 2 5 5 2 2 2 3 5" xfId="30156" xr:uid="{00000000-0005-0000-0000-0000B0550000}"/>
    <cellStyle name="Normal 2 5 5 2 2 2 4" xfId="2364" xr:uid="{00000000-0005-0000-0000-0000B1550000}"/>
    <cellStyle name="Normal 2 5 5 2 2 2 4 2" xfId="11729" xr:uid="{00000000-0005-0000-0000-0000B2550000}"/>
    <cellStyle name="Normal 2 5 5 2 2 2 4 2 2" xfId="37284" xr:uid="{00000000-0005-0000-0000-0000B3550000}"/>
    <cellStyle name="Normal 2 5 5 2 2 2 4 3" xfId="21733" xr:uid="{00000000-0005-0000-0000-0000B4550000}"/>
    <cellStyle name="Normal 2 5 5 2 2 2 4 3 2" xfId="47286" xr:uid="{00000000-0005-0000-0000-0000B5550000}"/>
    <cellStyle name="Normal 2 5 5 2 2 2 4 4" xfId="28216" xr:uid="{00000000-0005-0000-0000-0000B6550000}"/>
    <cellStyle name="Normal 2 5 5 2 2 2 5" xfId="6040" xr:uid="{00000000-0005-0000-0000-0000B7550000}"/>
    <cellStyle name="Normal 2 5 5 2 2 2 5 2" xfId="14867" xr:uid="{00000000-0005-0000-0000-0000B8550000}"/>
    <cellStyle name="Normal 2 5 5 2 2 2 5 2 2" xfId="40422" xr:uid="{00000000-0005-0000-0000-0000B9550000}"/>
    <cellStyle name="Normal 2 5 5 2 2 2 5 3" xfId="25118" xr:uid="{00000000-0005-0000-0000-0000BA550000}"/>
    <cellStyle name="Normal 2 5 5 2 2 2 5 3 2" xfId="50671" xr:uid="{00000000-0005-0000-0000-0000BB550000}"/>
    <cellStyle name="Normal 2 5 5 2 2 2 5 4" xfId="31601" xr:uid="{00000000-0005-0000-0000-0000BC550000}"/>
    <cellStyle name="Normal 2 5 5 2 2 2 6" xfId="7484" xr:uid="{00000000-0005-0000-0000-0000BD550000}"/>
    <cellStyle name="Normal 2 5 5 2 2 2 6 2" xfId="20215" xr:uid="{00000000-0005-0000-0000-0000BE550000}"/>
    <cellStyle name="Normal 2 5 5 2 2 2 6 2 2" xfId="45768" xr:uid="{00000000-0005-0000-0000-0000BF550000}"/>
    <cellStyle name="Normal 2 5 5 2 2 2 6 3" xfId="33041" xr:uid="{00000000-0005-0000-0000-0000C0550000}"/>
    <cellStyle name="Normal 2 5 5 2 2 2 7" xfId="16726" xr:uid="{00000000-0005-0000-0000-0000C1550000}"/>
    <cellStyle name="Normal 2 5 5 2 2 2 7 2" xfId="42279" xr:uid="{00000000-0005-0000-0000-0000C2550000}"/>
    <cellStyle name="Normal 2 5 5 2 2 2 8" xfId="26698" xr:uid="{00000000-0005-0000-0000-0000C3550000}"/>
    <cellStyle name="Normal 2 5 5 2 2 3" xfId="1283" xr:uid="{00000000-0005-0000-0000-0000C4550000}"/>
    <cellStyle name="Normal 2 5 5 2 2 3 2" xfId="3712" xr:uid="{00000000-0005-0000-0000-0000C5550000}"/>
    <cellStyle name="Normal 2 5 5 2 2 3 2 2" xfId="12848" xr:uid="{00000000-0005-0000-0000-0000C6550000}"/>
    <cellStyle name="Normal 2 5 5 2 2 3 2 2 2" xfId="23067" xr:uid="{00000000-0005-0000-0000-0000C7550000}"/>
    <cellStyle name="Normal 2 5 5 2 2 3 2 2 2 2" xfId="48620" xr:uid="{00000000-0005-0000-0000-0000C8550000}"/>
    <cellStyle name="Normal 2 5 5 2 2 3 2 2 3" xfId="38403" xr:uid="{00000000-0005-0000-0000-0000C9550000}"/>
    <cellStyle name="Normal 2 5 5 2 2 3 2 3" xfId="9269" xr:uid="{00000000-0005-0000-0000-0000CA550000}"/>
    <cellStyle name="Normal 2 5 5 2 2 3 2 3 2" xfId="34826" xr:uid="{00000000-0005-0000-0000-0000CB550000}"/>
    <cellStyle name="Normal 2 5 5 2 2 3 2 4" xfId="18060" xr:uid="{00000000-0005-0000-0000-0000CC550000}"/>
    <cellStyle name="Normal 2 5 5 2 2 3 2 4 2" xfId="43613" xr:uid="{00000000-0005-0000-0000-0000CD550000}"/>
    <cellStyle name="Normal 2 5 5 2 2 3 2 5" xfId="29550" xr:uid="{00000000-0005-0000-0000-0000CE550000}"/>
    <cellStyle name="Normal 2 5 5 2 2 3 3" xfId="4933" xr:uid="{00000000-0005-0000-0000-0000CF550000}"/>
    <cellStyle name="Normal 2 5 5 2 2 3 3 2" xfId="13770" xr:uid="{00000000-0005-0000-0000-0000D0550000}"/>
    <cellStyle name="Normal 2 5 5 2 2 3 3 2 2" xfId="24021" xr:uid="{00000000-0005-0000-0000-0000D1550000}"/>
    <cellStyle name="Normal 2 5 5 2 2 3 3 2 2 2" xfId="49574" xr:uid="{00000000-0005-0000-0000-0000D2550000}"/>
    <cellStyle name="Normal 2 5 5 2 2 3 3 2 3" xfId="39325" xr:uid="{00000000-0005-0000-0000-0000D3550000}"/>
    <cellStyle name="Normal 2 5 5 2 2 3 3 3" xfId="10191" xr:uid="{00000000-0005-0000-0000-0000D4550000}"/>
    <cellStyle name="Normal 2 5 5 2 2 3 3 3 2" xfId="35748" xr:uid="{00000000-0005-0000-0000-0000D5550000}"/>
    <cellStyle name="Normal 2 5 5 2 2 3 3 4" xfId="19014" xr:uid="{00000000-0005-0000-0000-0000D6550000}"/>
    <cellStyle name="Normal 2 5 5 2 2 3 3 4 2" xfId="44567" xr:uid="{00000000-0005-0000-0000-0000D7550000}"/>
    <cellStyle name="Normal 2 5 5 2 2 3 3 5" xfId="30504" xr:uid="{00000000-0005-0000-0000-0000D8550000}"/>
    <cellStyle name="Normal 2 5 5 2 2 3 4" xfId="2106" xr:uid="{00000000-0005-0000-0000-0000D9550000}"/>
    <cellStyle name="Normal 2 5 5 2 2 3 4 2" xfId="11471" xr:uid="{00000000-0005-0000-0000-0000DA550000}"/>
    <cellStyle name="Normal 2 5 5 2 2 3 4 2 2" xfId="37026" xr:uid="{00000000-0005-0000-0000-0000DB550000}"/>
    <cellStyle name="Normal 2 5 5 2 2 3 4 3" xfId="21475" xr:uid="{00000000-0005-0000-0000-0000DC550000}"/>
    <cellStyle name="Normal 2 5 5 2 2 3 4 3 2" xfId="47028" xr:uid="{00000000-0005-0000-0000-0000DD550000}"/>
    <cellStyle name="Normal 2 5 5 2 2 3 4 4" xfId="27958" xr:uid="{00000000-0005-0000-0000-0000DE550000}"/>
    <cellStyle name="Normal 2 5 5 2 2 3 5" xfId="6388" xr:uid="{00000000-0005-0000-0000-0000DF550000}"/>
    <cellStyle name="Normal 2 5 5 2 2 3 5 2" xfId="15215" xr:uid="{00000000-0005-0000-0000-0000E0550000}"/>
    <cellStyle name="Normal 2 5 5 2 2 3 5 2 2" xfId="40770" xr:uid="{00000000-0005-0000-0000-0000E1550000}"/>
    <cellStyle name="Normal 2 5 5 2 2 3 5 3" xfId="25466" xr:uid="{00000000-0005-0000-0000-0000E2550000}"/>
    <cellStyle name="Normal 2 5 5 2 2 3 5 3 2" xfId="51019" xr:uid="{00000000-0005-0000-0000-0000E3550000}"/>
    <cellStyle name="Normal 2 5 5 2 2 3 5 4" xfId="31949" xr:uid="{00000000-0005-0000-0000-0000E4550000}"/>
    <cellStyle name="Normal 2 5 5 2 2 3 6" xfId="7834" xr:uid="{00000000-0005-0000-0000-0000E5550000}"/>
    <cellStyle name="Normal 2 5 5 2 2 3 6 2" xfId="20666" xr:uid="{00000000-0005-0000-0000-0000E6550000}"/>
    <cellStyle name="Normal 2 5 5 2 2 3 6 2 2" xfId="46219" xr:uid="{00000000-0005-0000-0000-0000E7550000}"/>
    <cellStyle name="Normal 2 5 5 2 2 3 6 3" xfId="33391" xr:uid="{00000000-0005-0000-0000-0000E8550000}"/>
    <cellStyle name="Normal 2 5 5 2 2 3 7" xfId="16468" xr:uid="{00000000-0005-0000-0000-0000E9550000}"/>
    <cellStyle name="Normal 2 5 5 2 2 3 7 2" xfId="42021" xr:uid="{00000000-0005-0000-0000-0000EA550000}"/>
    <cellStyle name="Normal 2 5 5 2 2 3 8" xfId="27149" xr:uid="{00000000-0005-0000-0000-0000EB550000}"/>
    <cellStyle name="Normal 2 5 5 2 2 4" xfId="2997" xr:uid="{00000000-0005-0000-0000-0000EC550000}"/>
    <cellStyle name="Normal 2 5 5 2 2 4 2" xfId="5375" xr:uid="{00000000-0005-0000-0000-0000ED550000}"/>
    <cellStyle name="Normal 2 5 5 2 2 4 2 2" xfId="14212" xr:uid="{00000000-0005-0000-0000-0000EE550000}"/>
    <cellStyle name="Normal 2 5 5 2 2 4 2 2 2" xfId="24463" xr:uid="{00000000-0005-0000-0000-0000EF550000}"/>
    <cellStyle name="Normal 2 5 5 2 2 4 2 2 2 2" xfId="50016" xr:uid="{00000000-0005-0000-0000-0000F0550000}"/>
    <cellStyle name="Normal 2 5 5 2 2 4 2 2 3" xfId="39767" xr:uid="{00000000-0005-0000-0000-0000F1550000}"/>
    <cellStyle name="Normal 2 5 5 2 2 4 2 3" xfId="10633" xr:uid="{00000000-0005-0000-0000-0000F2550000}"/>
    <cellStyle name="Normal 2 5 5 2 2 4 2 3 2" xfId="36190" xr:uid="{00000000-0005-0000-0000-0000F3550000}"/>
    <cellStyle name="Normal 2 5 5 2 2 4 2 4" xfId="19456" xr:uid="{00000000-0005-0000-0000-0000F4550000}"/>
    <cellStyle name="Normal 2 5 5 2 2 4 2 4 2" xfId="45009" xr:uid="{00000000-0005-0000-0000-0000F5550000}"/>
    <cellStyle name="Normal 2 5 5 2 2 4 2 5" xfId="30946" xr:uid="{00000000-0005-0000-0000-0000F6550000}"/>
    <cellStyle name="Normal 2 5 5 2 2 4 3" xfId="6830" xr:uid="{00000000-0005-0000-0000-0000F7550000}"/>
    <cellStyle name="Normal 2 5 5 2 2 4 3 2" xfId="15657" xr:uid="{00000000-0005-0000-0000-0000F8550000}"/>
    <cellStyle name="Normal 2 5 5 2 2 4 3 2 2" xfId="41212" xr:uid="{00000000-0005-0000-0000-0000F9550000}"/>
    <cellStyle name="Normal 2 5 5 2 2 4 3 3" xfId="25908" xr:uid="{00000000-0005-0000-0000-0000FA550000}"/>
    <cellStyle name="Normal 2 5 5 2 2 4 3 3 2" xfId="51461" xr:uid="{00000000-0005-0000-0000-0000FB550000}"/>
    <cellStyle name="Normal 2 5 5 2 2 4 3 4" xfId="32391" xr:uid="{00000000-0005-0000-0000-0000FC550000}"/>
    <cellStyle name="Normal 2 5 5 2 2 4 4" xfId="8276" xr:uid="{00000000-0005-0000-0000-0000FD550000}"/>
    <cellStyle name="Normal 2 5 5 2 2 4 4 2" xfId="22358" xr:uid="{00000000-0005-0000-0000-0000FE550000}"/>
    <cellStyle name="Normal 2 5 5 2 2 4 4 2 2" xfId="47911" xr:uid="{00000000-0005-0000-0000-0000FF550000}"/>
    <cellStyle name="Normal 2 5 5 2 2 4 4 3" xfId="33833" xr:uid="{00000000-0005-0000-0000-000000560000}"/>
    <cellStyle name="Normal 2 5 5 2 2 4 5" xfId="17351" xr:uid="{00000000-0005-0000-0000-000001560000}"/>
    <cellStyle name="Normal 2 5 5 2 2 4 5 2" xfId="42904" xr:uid="{00000000-0005-0000-0000-000002560000}"/>
    <cellStyle name="Normal 2 5 5 2 2 4 6" xfId="28841" xr:uid="{00000000-0005-0000-0000-000003560000}"/>
    <cellStyle name="Normal 2 5 5 2 2 5" xfId="4331" xr:uid="{00000000-0005-0000-0000-000004560000}"/>
    <cellStyle name="Normal 2 5 5 2 2 5 2" xfId="13169" xr:uid="{00000000-0005-0000-0000-000005560000}"/>
    <cellStyle name="Normal 2 5 5 2 2 5 2 2" xfId="23420" xr:uid="{00000000-0005-0000-0000-000006560000}"/>
    <cellStyle name="Normal 2 5 5 2 2 5 2 2 2" xfId="48973" xr:uid="{00000000-0005-0000-0000-000007560000}"/>
    <cellStyle name="Normal 2 5 5 2 2 5 2 3" xfId="38724" xr:uid="{00000000-0005-0000-0000-000008560000}"/>
    <cellStyle name="Normal 2 5 5 2 2 5 3" xfId="9590" xr:uid="{00000000-0005-0000-0000-000009560000}"/>
    <cellStyle name="Normal 2 5 5 2 2 5 3 2" xfId="35147" xr:uid="{00000000-0005-0000-0000-00000A560000}"/>
    <cellStyle name="Normal 2 5 5 2 2 5 4" xfId="18413" xr:uid="{00000000-0005-0000-0000-00000B560000}"/>
    <cellStyle name="Normal 2 5 5 2 2 5 4 2" xfId="43966" xr:uid="{00000000-0005-0000-0000-00000C560000}"/>
    <cellStyle name="Normal 2 5 5 2 2 5 5" xfId="29903" xr:uid="{00000000-0005-0000-0000-00000D560000}"/>
    <cellStyle name="Normal 2 5 5 2 2 6" xfId="1603" xr:uid="{00000000-0005-0000-0000-00000E560000}"/>
    <cellStyle name="Normal 2 5 5 2 2 6 2" xfId="10980" xr:uid="{00000000-0005-0000-0000-00000F560000}"/>
    <cellStyle name="Normal 2 5 5 2 2 6 2 2" xfId="36535" xr:uid="{00000000-0005-0000-0000-000010560000}"/>
    <cellStyle name="Normal 2 5 5 2 2 6 3" xfId="20984" xr:uid="{00000000-0005-0000-0000-000011560000}"/>
    <cellStyle name="Normal 2 5 5 2 2 6 3 2" xfId="46537" xr:uid="{00000000-0005-0000-0000-000012560000}"/>
    <cellStyle name="Normal 2 5 5 2 2 6 4" xfId="27467" xr:uid="{00000000-0005-0000-0000-000013560000}"/>
    <cellStyle name="Normal 2 5 5 2 2 7" xfId="5787" xr:uid="{00000000-0005-0000-0000-000014560000}"/>
    <cellStyle name="Normal 2 5 5 2 2 7 2" xfId="14614" xr:uid="{00000000-0005-0000-0000-000015560000}"/>
    <cellStyle name="Normal 2 5 5 2 2 7 2 2" xfId="40169" xr:uid="{00000000-0005-0000-0000-000016560000}"/>
    <cellStyle name="Normal 2 5 5 2 2 7 3" xfId="24865" xr:uid="{00000000-0005-0000-0000-000017560000}"/>
    <cellStyle name="Normal 2 5 5 2 2 7 3 2" xfId="50418" xr:uid="{00000000-0005-0000-0000-000018560000}"/>
    <cellStyle name="Normal 2 5 5 2 2 7 4" xfId="31348" xr:uid="{00000000-0005-0000-0000-000019560000}"/>
    <cellStyle name="Normal 2 5 5 2 2 8" xfId="7231" xr:uid="{00000000-0005-0000-0000-00001A560000}"/>
    <cellStyle name="Normal 2 5 5 2 2 8 2" xfId="19957" xr:uid="{00000000-0005-0000-0000-00001B560000}"/>
    <cellStyle name="Normal 2 5 5 2 2 8 2 2" xfId="45510" xr:uid="{00000000-0005-0000-0000-00001C560000}"/>
    <cellStyle name="Normal 2 5 5 2 2 8 3" xfId="32788" xr:uid="{00000000-0005-0000-0000-00001D560000}"/>
    <cellStyle name="Normal 2 5 5 2 2 9" xfId="15977" xr:uid="{00000000-0005-0000-0000-00001E560000}"/>
    <cellStyle name="Normal 2 5 5 2 2 9 2" xfId="41530" xr:uid="{00000000-0005-0000-0000-00001F560000}"/>
    <cellStyle name="Normal 2 5 5 2 2_Degree data" xfId="3462" xr:uid="{00000000-0005-0000-0000-000020560000}"/>
    <cellStyle name="Normal 2 5 5 2 3" xfId="411" xr:uid="{00000000-0005-0000-0000-000021560000}"/>
    <cellStyle name="Normal 2 5 5 2 3 2" xfId="2897" xr:uid="{00000000-0005-0000-0000-000022560000}"/>
    <cellStyle name="Normal 2 5 5 2 3 2 2" xfId="12185" xr:uid="{00000000-0005-0000-0000-000023560000}"/>
    <cellStyle name="Normal 2 5 5 2 3 2 2 2" xfId="22258" xr:uid="{00000000-0005-0000-0000-000024560000}"/>
    <cellStyle name="Normal 2 5 5 2 3 2 2 2 2" xfId="47811" xr:uid="{00000000-0005-0000-0000-000025560000}"/>
    <cellStyle name="Normal 2 5 5 2 3 2 2 3" xfId="37740" xr:uid="{00000000-0005-0000-0000-000026560000}"/>
    <cellStyle name="Normal 2 5 5 2 3 2 3" xfId="8451" xr:uid="{00000000-0005-0000-0000-000027560000}"/>
    <cellStyle name="Normal 2 5 5 2 3 2 3 2" xfId="34008" xr:uid="{00000000-0005-0000-0000-000028560000}"/>
    <cellStyle name="Normal 2 5 5 2 3 2 4" xfId="17251" xr:uid="{00000000-0005-0000-0000-000029560000}"/>
    <cellStyle name="Normal 2 5 5 2 3 2 4 2" xfId="42804" xr:uid="{00000000-0005-0000-0000-00002A560000}"/>
    <cellStyle name="Normal 2 5 5 2 3 2 5" xfId="28741" xr:uid="{00000000-0005-0000-0000-00002B560000}"/>
    <cellStyle name="Normal 2 5 5 2 3 3" xfId="4583" xr:uid="{00000000-0005-0000-0000-00002C560000}"/>
    <cellStyle name="Normal 2 5 5 2 3 3 2" xfId="13421" xr:uid="{00000000-0005-0000-0000-00002D560000}"/>
    <cellStyle name="Normal 2 5 5 2 3 3 2 2" xfId="23672" xr:uid="{00000000-0005-0000-0000-00002E560000}"/>
    <cellStyle name="Normal 2 5 5 2 3 3 2 2 2" xfId="49225" xr:uid="{00000000-0005-0000-0000-00002F560000}"/>
    <cellStyle name="Normal 2 5 5 2 3 3 2 3" xfId="38976" xr:uid="{00000000-0005-0000-0000-000030560000}"/>
    <cellStyle name="Normal 2 5 5 2 3 3 3" xfId="9842" xr:uid="{00000000-0005-0000-0000-000031560000}"/>
    <cellStyle name="Normal 2 5 5 2 3 3 3 2" xfId="35399" xr:uid="{00000000-0005-0000-0000-000032560000}"/>
    <cellStyle name="Normal 2 5 5 2 3 3 4" xfId="18665" xr:uid="{00000000-0005-0000-0000-000033560000}"/>
    <cellStyle name="Normal 2 5 5 2 3 3 4 2" xfId="44218" xr:uid="{00000000-0005-0000-0000-000034560000}"/>
    <cellStyle name="Normal 2 5 5 2 3 3 5" xfId="30155" xr:uid="{00000000-0005-0000-0000-000035560000}"/>
    <cellStyle name="Normal 2 5 5 2 3 4" xfId="2006" xr:uid="{00000000-0005-0000-0000-000036560000}"/>
    <cellStyle name="Normal 2 5 5 2 3 4 2" xfId="11371" xr:uid="{00000000-0005-0000-0000-000037560000}"/>
    <cellStyle name="Normal 2 5 5 2 3 4 2 2" xfId="36926" xr:uid="{00000000-0005-0000-0000-000038560000}"/>
    <cellStyle name="Normal 2 5 5 2 3 4 3" xfId="21375" xr:uid="{00000000-0005-0000-0000-000039560000}"/>
    <cellStyle name="Normal 2 5 5 2 3 4 3 2" xfId="46928" xr:uid="{00000000-0005-0000-0000-00003A560000}"/>
    <cellStyle name="Normal 2 5 5 2 3 4 4" xfId="27858" xr:uid="{00000000-0005-0000-0000-00003B560000}"/>
    <cellStyle name="Normal 2 5 5 2 3 5" xfId="6039" xr:uid="{00000000-0005-0000-0000-00003C560000}"/>
    <cellStyle name="Normal 2 5 5 2 3 5 2" xfId="14866" xr:uid="{00000000-0005-0000-0000-00003D560000}"/>
    <cellStyle name="Normal 2 5 5 2 3 5 2 2" xfId="40421" xr:uid="{00000000-0005-0000-0000-00003E560000}"/>
    <cellStyle name="Normal 2 5 5 2 3 5 3" xfId="25117" xr:uid="{00000000-0005-0000-0000-00003F560000}"/>
    <cellStyle name="Normal 2 5 5 2 3 5 3 2" xfId="50670" xr:uid="{00000000-0005-0000-0000-000040560000}"/>
    <cellStyle name="Normal 2 5 5 2 3 5 4" xfId="31600" xr:uid="{00000000-0005-0000-0000-000041560000}"/>
    <cellStyle name="Normal 2 5 5 2 3 6" xfId="7483" xr:uid="{00000000-0005-0000-0000-000042560000}"/>
    <cellStyle name="Normal 2 5 5 2 3 6 2" xfId="19857" xr:uid="{00000000-0005-0000-0000-000043560000}"/>
    <cellStyle name="Normal 2 5 5 2 3 6 2 2" xfId="45410" xr:uid="{00000000-0005-0000-0000-000044560000}"/>
    <cellStyle name="Normal 2 5 5 2 3 6 3" xfId="33040" xr:uid="{00000000-0005-0000-0000-000045560000}"/>
    <cellStyle name="Normal 2 5 5 2 3 7" xfId="16368" xr:uid="{00000000-0005-0000-0000-000046560000}"/>
    <cellStyle name="Normal 2 5 5 2 3 7 2" xfId="41921" xr:uid="{00000000-0005-0000-0000-000047560000}"/>
    <cellStyle name="Normal 2 5 5 2 3 8" xfId="26340" xr:uid="{00000000-0005-0000-0000-000048560000}"/>
    <cellStyle name="Normal 2 5 5 2 4" xfId="768" xr:uid="{00000000-0005-0000-0000-000049560000}"/>
    <cellStyle name="Normal 2 5 5 2 4 2" xfId="3254" xr:uid="{00000000-0005-0000-0000-00004A560000}"/>
    <cellStyle name="Normal 2 5 5 2 4 2 2" xfId="12396" xr:uid="{00000000-0005-0000-0000-00004B560000}"/>
    <cellStyle name="Normal 2 5 5 2 4 2 2 2" xfId="22615" xr:uid="{00000000-0005-0000-0000-00004C560000}"/>
    <cellStyle name="Normal 2 5 5 2 4 2 2 2 2" xfId="48168" xr:uid="{00000000-0005-0000-0000-00004D560000}"/>
    <cellStyle name="Normal 2 5 5 2 4 2 2 3" xfId="37951" xr:uid="{00000000-0005-0000-0000-00004E560000}"/>
    <cellStyle name="Normal 2 5 5 2 4 2 3" xfId="8818" xr:uid="{00000000-0005-0000-0000-00004F560000}"/>
    <cellStyle name="Normal 2 5 5 2 4 2 3 2" xfId="34375" xr:uid="{00000000-0005-0000-0000-000050560000}"/>
    <cellStyle name="Normal 2 5 5 2 4 2 4" xfId="17608" xr:uid="{00000000-0005-0000-0000-000051560000}"/>
    <cellStyle name="Normal 2 5 5 2 4 2 4 2" xfId="43161" xr:uid="{00000000-0005-0000-0000-000052560000}"/>
    <cellStyle name="Normal 2 5 5 2 4 2 5" xfId="29098" xr:uid="{00000000-0005-0000-0000-000053560000}"/>
    <cellStyle name="Normal 2 5 5 2 4 3" xfId="4932" xr:uid="{00000000-0005-0000-0000-000054560000}"/>
    <cellStyle name="Normal 2 5 5 2 4 3 2" xfId="13769" xr:uid="{00000000-0005-0000-0000-000055560000}"/>
    <cellStyle name="Normal 2 5 5 2 4 3 2 2" xfId="24020" xr:uid="{00000000-0005-0000-0000-000056560000}"/>
    <cellStyle name="Normal 2 5 5 2 4 3 2 2 2" xfId="49573" xr:uid="{00000000-0005-0000-0000-000057560000}"/>
    <cellStyle name="Normal 2 5 5 2 4 3 2 3" xfId="39324" xr:uid="{00000000-0005-0000-0000-000058560000}"/>
    <cellStyle name="Normal 2 5 5 2 4 3 3" xfId="10190" xr:uid="{00000000-0005-0000-0000-000059560000}"/>
    <cellStyle name="Normal 2 5 5 2 4 3 3 2" xfId="35747" xr:uid="{00000000-0005-0000-0000-00005A560000}"/>
    <cellStyle name="Normal 2 5 5 2 4 3 4" xfId="19013" xr:uid="{00000000-0005-0000-0000-00005B560000}"/>
    <cellStyle name="Normal 2 5 5 2 4 3 4 2" xfId="44566" xr:uid="{00000000-0005-0000-0000-00005C560000}"/>
    <cellStyle name="Normal 2 5 5 2 4 3 5" xfId="30503" xr:uid="{00000000-0005-0000-0000-00005D560000}"/>
    <cellStyle name="Normal 2 5 5 2 4 4" xfId="2363" xr:uid="{00000000-0005-0000-0000-00005E560000}"/>
    <cellStyle name="Normal 2 5 5 2 4 4 2" xfId="11728" xr:uid="{00000000-0005-0000-0000-00005F560000}"/>
    <cellStyle name="Normal 2 5 5 2 4 4 2 2" xfId="37283" xr:uid="{00000000-0005-0000-0000-000060560000}"/>
    <cellStyle name="Normal 2 5 5 2 4 4 3" xfId="21732" xr:uid="{00000000-0005-0000-0000-000061560000}"/>
    <cellStyle name="Normal 2 5 5 2 4 4 3 2" xfId="47285" xr:uid="{00000000-0005-0000-0000-000062560000}"/>
    <cellStyle name="Normal 2 5 5 2 4 4 4" xfId="28215" xr:uid="{00000000-0005-0000-0000-000063560000}"/>
    <cellStyle name="Normal 2 5 5 2 4 5" xfId="6387" xr:uid="{00000000-0005-0000-0000-000064560000}"/>
    <cellStyle name="Normal 2 5 5 2 4 5 2" xfId="15214" xr:uid="{00000000-0005-0000-0000-000065560000}"/>
    <cellStyle name="Normal 2 5 5 2 4 5 2 2" xfId="40769" xr:uid="{00000000-0005-0000-0000-000066560000}"/>
    <cellStyle name="Normal 2 5 5 2 4 5 3" xfId="25465" xr:uid="{00000000-0005-0000-0000-000067560000}"/>
    <cellStyle name="Normal 2 5 5 2 4 5 3 2" xfId="51018" xr:uid="{00000000-0005-0000-0000-000068560000}"/>
    <cellStyle name="Normal 2 5 5 2 4 5 4" xfId="31948" xr:uid="{00000000-0005-0000-0000-000069560000}"/>
    <cellStyle name="Normal 2 5 5 2 4 6" xfId="7833" xr:uid="{00000000-0005-0000-0000-00006A560000}"/>
    <cellStyle name="Normal 2 5 5 2 4 6 2" xfId="20214" xr:uid="{00000000-0005-0000-0000-00006B560000}"/>
    <cellStyle name="Normal 2 5 5 2 4 6 2 2" xfId="45767" xr:uid="{00000000-0005-0000-0000-00006C560000}"/>
    <cellStyle name="Normal 2 5 5 2 4 6 3" xfId="33390" xr:uid="{00000000-0005-0000-0000-00006D560000}"/>
    <cellStyle name="Normal 2 5 5 2 4 7" xfId="16725" xr:uid="{00000000-0005-0000-0000-00006E560000}"/>
    <cellStyle name="Normal 2 5 5 2 4 7 2" xfId="42278" xr:uid="{00000000-0005-0000-0000-00006F560000}"/>
    <cellStyle name="Normal 2 5 5 2 4 8" xfId="26697" xr:uid="{00000000-0005-0000-0000-000070560000}"/>
    <cellStyle name="Normal 2 5 5 2 5" xfId="1183" xr:uid="{00000000-0005-0000-0000-000071560000}"/>
    <cellStyle name="Normal 2 5 5 2 5 2" xfId="3612" xr:uid="{00000000-0005-0000-0000-000072560000}"/>
    <cellStyle name="Normal 2 5 5 2 5 2 2" xfId="12748" xr:uid="{00000000-0005-0000-0000-000073560000}"/>
    <cellStyle name="Normal 2 5 5 2 5 2 2 2" xfId="22967" xr:uid="{00000000-0005-0000-0000-000074560000}"/>
    <cellStyle name="Normal 2 5 5 2 5 2 2 2 2" xfId="48520" xr:uid="{00000000-0005-0000-0000-000075560000}"/>
    <cellStyle name="Normal 2 5 5 2 5 2 2 3" xfId="38303" xr:uid="{00000000-0005-0000-0000-000076560000}"/>
    <cellStyle name="Normal 2 5 5 2 5 2 3" xfId="9169" xr:uid="{00000000-0005-0000-0000-000077560000}"/>
    <cellStyle name="Normal 2 5 5 2 5 2 3 2" xfId="34726" xr:uid="{00000000-0005-0000-0000-000078560000}"/>
    <cellStyle name="Normal 2 5 5 2 5 2 4" xfId="17960" xr:uid="{00000000-0005-0000-0000-000079560000}"/>
    <cellStyle name="Normal 2 5 5 2 5 2 4 2" xfId="43513" xr:uid="{00000000-0005-0000-0000-00007A560000}"/>
    <cellStyle name="Normal 2 5 5 2 5 2 5" xfId="29450" xr:uid="{00000000-0005-0000-0000-00007B560000}"/>
    <cellStyle name="Normal 2 5 5 2 5 3" xfId="5275" xr:uid="{00000000-0005-0000-0000-00007C560000}"/>
    <cellStyle name="Normal 2 5 5 2 5 3 2" xfId="14112" xr:uid="{00000000-0005-0000-0000-00007D560000}"/>
    <cellStyle name="Normal 2 5 5 2 5 3 2 2" xfId="24363" xr:uid="{00000000-0005-0000-0000-00007E560000}"/>
    <cellStyle name="Normal 2 5 5 2 5 3 2 2 2" xfId="49916" xr:uid="{00000000-0005-0000-0000-00007F560000}"/>
    <cellStyle name="Normal 2 5 5 2 5 3 2 3" xfId="39667" xr:uid="{00000000-0005-0000-0000-000080560000}"/>
    <cellStyle name="Normal 2 5 5 2 5 3 3" xfId="10533" xr:uid="{00000000-0005-0000-0000-000081560000}"/>
    <cellStyle name="Normal 2 5 5 2 5 3 3 2" xfId="36090" xr:uid="{00000000-0005-0000-0000-000082560000}"/>
    <cellStyle name="Normal 2 5 5 2 5 3 4" xfId="19356" xr:uid="{00000000-0005-0000-0000-000083560000}"/>
    <cellStyle name="Normal 2 5 5 2 5 3 4 2" xfId="44909" xr:uid="{00000000-0005-0000-0000-000084560000}"/>
    <cellStyle name="Normal 2 5 5 2 5 3 5" xfId="30846" xr:uid="{00000000-0005-0000-0000-000085560000}"/>
    <cellStyle name="Normal 2 5 5 2 5 4" xfId="1785" xr:uid="{00000000-0005-0000-0000-000086560000}"/>
    <cellStyle name="Normal 2 5 5 2 5 4 2" xfId="11154" xr:uid="{00000000-0005-0000-0000-000087560000}"/>
    <cellStyle name="Normal 2 5 5 2 5 4 2 2" xfId="36709" xr:uid="{00000000-0005-0000-0000-000088560000}"/>
    <cellStyle name="Normal 2 5 5 2 5 4 3" xfId="21158" xr:uid="{00000000-0005-0000-0000-000089560000}"/>
    <cellStyle name="Normal 2 5 5 2 5 4 3 2" xfId="46711" xr:uid="{00000000-0005-0000-0000-00008A560000}"/>
    <cellStyle name="Normal 2 5 5 2 5 4 4" xfId="27641" xr:uid="{00000000-0005-0000-0000-00008B560000}"/>
    <cellStyle name="Normal 2 5 5 2 5 5" xfId="6730" xr:uid="{00000000-0005-0000-0000-00008C560000}"/>
    <cellStyle name="Normal 2 5 5 2 5 5 2" xfId="15557" xr:uid="{00000000-0005-0000-0000-00008D560000}"/>
    <cellStyle name="Normal 2 5 5 2 5 5 2 2" xfId="41112" xr:uid="{00000000-0005-0000-0000-00008E560000}"/>
    <cellStyle name="Normal 2 5 5 2 5 5 3" xfId="25808" xr:uid="{00000000-0005-0000-0000-00008F560000}"/>
    <cellStyle name="Normal 2 5 5 2 5 5 3 2" xfId="51361" xr:uid="{00000000-0005-0000-0000-000090560000}"/>
    <cellStyle name="Normal 2 5 5 2 5 5 4" xfId="32291" xr:uid="{00000000-0005-0000-0000-000091560000}"/>
    <cellStyle name="Normal 2 5 5 2 5 6" xfId="8176" xr:uid="{00000000-0005-0000-0000-000092560000}"/>
    <cellStyle name="Normal 2 5 5 2 5 6 2" xfId="20566" xr:uid="{00000000-0005-0000-0000-000093560000}"/>
    <cellStyle name="Normal 2 5 5 2 5 6 2 2" xfId="46119" xr:uid="{00000000-0005-0000-0000-000094560000}"/>
    <cellStyle name="Normal 2 5 5 2 5 6 3" xfId="33733" xr:uid="{00000000-0005-0000-0000-000095560000}"/>
    <cellStyle name="Normal 2 5 5 2 5 7" xfId="16151" xr:uid="{00000000-0005-0000-0000-000096560000}"/>
    <cellStyle name="Normal 2 5 5 2 5 7 2" xfId="41704" xr:uid="{00000000-0005-0000-0000-000097560000}"/>
    <cellStyle name="Normal 2 5 5 2 5 8" xfId="27049" xr:uid="{00000000-0005-0000-0000-000098560000}"/>
    <cellStyle name="Normal 2 5 5 2 6" xfId="2680" xr:uid="{00000000-0005-0000-0000-000099560000}"/>
    <cellStyle name="Normal 2 5 5 2 6 2" xfId="11997" xr:uid="{00000000-0005-0000-0000-00009A560000}"/>
    <cellStyle name="Normal 2 5 5 2 6 2 2" xfId="22041" xr:uid="{00000000-0005-0000-0000-00009B560000}"/>
    <cellStyle name="Normal 2 5 5 2 6 2 2 2" xfId="47594" xr:uid="{00000000-0005-0000-0000-00009C560000}"/>
    <cellStyle name="Normal 2 5 5 2 6 2 3" xfId="37552" xr:uid="{00000000-0005-0000-0000-00009D560000}"/>
    <cellStyle name="Normal 2 5 5 2 6 3" xfId="8496" xr:uid="{00000000-0005-0000-0000-00009E560000}"/>
    <cellStyle name="Normal 2 5 5 2 6 3 2" xfId="34053" xr:uid="{00000000-0005-0000-0000-00009F560000}"/>
    <cellStyle name="Normal 2 5 5 2 6 4" xfId="17034" xr:uid="{00000000-0005-0000-0000-0000A0560000}"/>
    <cellStyle name="Normal 2 5 5 2 6 4 2" xfId="42587" xr:uid="{00000000-0005-0000-0000-0000A1560000}"/>
    <cellStyle name="Normal 2 5 5 2 6 5" xfId="28524" xr:uid="{00000000-0005-0000-0000-0000A2560000}"/>
    <cellStyle name="Normal 2 5 5 2 7" xfId="4231" xr:uid="{00000000-0005-0000-0000-0000A3560000}"/>
    <cellStyle name="Normal 2 5 5 2 7 2" xfId="13069" xr:uid="{00000000-0005-0000-0000-0000A4560000}"/>
    <cellStyle name="Normal 2 5 5 2 7 2 2" xfId="23320" xr:uid="{00000000-0005-0000-0000-0000A5560000}"/>
    <cellStyle name="Normal 2 5 5 2 7 2 2 2" xfId="48873" xr:uid="{00000000-0005-0000-0000-0000A6560000}"/>
    <cellStyle name="Normal 2 5 5 2 7 2 3" xfId="38624" xr:uid="{00000000-0005-0000-0000-0000A7560000}"/>
    <cellStyle name="Normal 2 5 5 2 7 3" xfId="9490" xr:uid="{00000000-0005-0000-0000-0000A8560000}"/>
    <cellStyle name="Normal 2 5 5 2 7 3 2" xfId="35047" xr:uid="{00000000-0005-0000-0000-0000A9560000}"/>
    <cellStyle name="Normal 2 5 5 2 7 4" xfId="18313" xr:uid="{00000000-0005-0000-0000-0000AA560000}"/>
    <cellStyle name="Normal 2 5 5 2 7 4 2" xfId="43866" xr:uid="{00000000-0005-0000-0000-0000AB560000}"/>
    <cellStyle name="Normal 2 5 5 2 7 5" xfId="29803" xr:uid="{00000000-0005-0000-0000-0000AC560000}"/>
    <cellStyle name="Normal 2 5 5 2 8" xfId="1503" xr:uid="{00000000-0005-0000-0000-0000AD560000}"/>
    <cellStyle name="Normal 2 5 5 2 8 2" xfId="10880" xr:uid="{00000000-0005-0000-0000-0000AE560000}"/>
    <cellStyle name="Normal 2 5 5 2 8 2 2" xfId="36435" xr:uid="{00000000-0005-0000-0000-0000AF560000}"/>
    <cellStyle name="Normal 2 5 5 2 8 3" xfId="20884" xr:uid="{00000000-0005-0000-0000-0000B0560000}"/>
    <cellStyle name="Normal 2 5 5 2 8 3 2" xfId="46437" xr:uid="{00000000-0005-0000-0000-0000B1560000}"/>
    <cellStyle name="Normal 2 5 5 2 8 4" xfId="27367" xr:uid="{00000000-0005-0000-0000-0000B2560000}"/>
    <cellStyle name="Normal 2 5 5 2 9" xfId="5687" xr:uid="{00000000-0005-0000-0000-0000B3560000}"/>
    <cellStyle name="Normal 2 5 5 2 9 2" xfId="14514" xr:uid="{00000000-0005-0000-0000-0000B4560000}"/>
    <cellStyle name="Normal 2 5 5 2 9 2 2" xfId="40069" xr:uid="{00000000-0005-0000-0000-0000B5560000}"/>
    <cellStyle name="Normal 2 5 5 2 9 3" xfId="24765" xr:uid="{00000000-0005-0000-0000-0000B6560000}"/>
    <cellStyle name="Normal 2 5 5 2 9 3 2" xfId="50318" xr:uid="{00000000-0005-0000-0000-0000B7560000}"/>
    <cellStyle name="Normal 2 5 5 2 9 4" xfId="31248" xr:uid="{00000000-0005-0000-0000-0000B8560000}"/>
    <cellStyle name="Normal 2 5 5 2_Degree data" xfId="3884" xr:uid="{00000000-0005-0000-0000-0000B9560000}"/>
    <cellStyle name="Normal 2 5 5 3" xfId="250" xr:uid="{00000000-0005-0000-0000-0000BA560000}"/>
    <cellStyle name="Normal 2 5 5 3 10" xfId="7088" xr:uid="{00000000-0005-0000-0000-0000BB560000}"/>
    <cellStyle name="Normal 2 5 5 3 10 2" xfId="19702" xr:uid="{00000000-0005-0000-0000-0000BC560000}"/>
    <cellStyle name="Normal 2 5 5 3 10 2 2" xfId="45255" xr:uid="{00000000-0005-0000-0000-0000BD560000}"/>
    <cellStyle name="Normal 2 5 5 3 10 3" xfId="32645" xr:uid="{00000000-0005-0000-0000-0000BE560000}"/>
    <cellStyle name="Normal 2 5 5 3 11" xfId="15834" xr:uid="{00000000-0005-0000-0000-0000BF560000}"/>
    <cellStyle name="Normal 2 5 5 3 11 2" xfId="41387" xr:uid="{00000000-0005-0000-0000-0000C0560000}"/>
    <cellStyle name="Normal 2 5 5 3 12" xfId="26185" xr:uid="{00000000-0005-0000-0000-0000C1560000}"/>
    <cellStyle name="Normal 2 5 5 3 2" xfId="573" xr:uid="{00000000-0005-0000-0000-0000C2560000}"/>
    <cellStyle name="Normal 2 5 5 3 2 10" xfId="26502" xr:uid="{00000000-0005-0000-0000-0000C3560000}"/>
    <cellStyle name="Normal 2 5 5 3 2 2" xfId="771" xr:uid="{00000000-0005-0000-0000-0000C4560000}"/>
    <cellStyle name="Normal 2 5 5 3 2 2 2" xfId="3257" xr:uid="{00000000-0005-0000-0000-0000C5560000}"/>
    <cellStyle name="Normal 2 5 5 3 2 2 2 2" xfId="12399" xr:uid="{00000000-0005-0000-0000-0000C6560000}"/>
    <cellStyle name="Normal 2 5 5 3 2 2 2 2 2" xfId="22618" xr:uid="{00000000-0005-0000-0000-0000C7560000}"/>
    <cellStyle name="Normal 2 5 5 3 2 2 2 2 2 2" xfId="48171" xr:uid="{00000000-0005-0000-0000-0000C8560000}"/>
    <cellStyle name="Normal 2 5 5 3 2 2 2 2 3" xfId="37954" xr:uid="{00000000-0005-0000-0000-0000C9560000}"/>
    <cellStyle name="Normal 2 5 5 3 2 2 2 3" xfId="8821" xr:uid="{00000000-0005-0000-0000-0000CA560000}"/>
    <cellStyle name="Normal 2 5 5 3 2 2 2 3 2" xfId="34378" xr:uid="{00000000-0005-0000-0000-0000CB560000}"/>
    <cellStyle name="Normal 2 5 5 3 2 2 2 4" xfId="17611" xr:uid="{00000000-0005-0000-0000-0000CC560000}"/>
    <cellStyle name="Normal 2 5 5 3 2 2 2 4 2" xfId="43164" xr:uid="{00000000-0005-0000-0000-0000CD560000}"/>
    <cellStyle name="Normal 2 5 5 3 2 2 2 5" xfId="29101" xr:uid="{00000000-0005-0000-0000-0000CE560000}"/>
    <cellStyle name="Normal 2 5 5 3 2 2 3" xfId="4586" xr:uid="{00000000-0005-0000-0000-0000CF560000}"/>
    <cellStyle name="Normal 2 5 5 3 2 2 3 2" xfId="13424" xr:uid="{00000000-0005-0000-0000-0000D0560000}"/>
    <cellStyle name="Normal 2 5 5 3 2 2 3 2 2" xfId="23675" xr:uid="{00000000-0005-0000-0000-0000D1560000}"/>
    <cellStyle name="Normal 2 5 5 3 2 2 3 2 2 2" xfId="49228" xr:uid="{00000000-0005-0000-0000-0000D2560000}"/>
    <cellStyle name="Normal 2 5 5 3 2 2 3 2 3" xfId="38979" xr:uid="{00000000-0005-0000-0000-0000D3560000}"/>
    <cellStyle name="Normal 2 5 5 3 2 2 3 3" xfId="9845" xr:uid="{00000000-0005-0000-0000-0000D4560000}"/>
    <cellStyle name="Normal 2 5 5 3 2 2 3 3 2" xfId="35402" xr:uid="{00000000-0005-0000-0000-0000D5560000}"/>
    <cellStyle name="Normal 2 5 5 3 2 2 3 4" xfId="18668" xr:uid="{00000000-0005-0000-0000-0000D6560000}"/>
    <cellStyle name="Normal 2 5 5 3 2 2 3 4 2" xfId="44221" xr:uid="{00000000-0005-0000-0000-0000D7560000}"/>
    <cellStyle name="Normal 2 5 5 3 2 2 3 5" xfId="30158" xr:uid="{00000000-0005-0000-0000-0000D8560000}"/>
    <cellStyle name="Normal 2 5 5 3 2 2 4" xfId="2366" xr:uid="{00000000-0005-0000-0000-0000D9560000}"/>
    <cellStyle name="Normal 2 5 5 3 2 2 4 2" xfId="11731" xr:uid="{00000000-0005-0000-0000-0000DA560000}"/>
    <cellStyle name="Normal 2 5 5 3 2 2 4 2 2" xfId="37286" xr:uid="{00000000-0005-0000-0000-0000DB560000}"/>
    <cellStyle name="Normal 2 5 5 3 2 2 4 3" xfId="21735" xr:uid="{00000000-0005-0000-0000-0000DC560000}"/>
    <cellStyle name="Normal 2 5 5 3 2 2 4 3 2" xfId="47288" xr:uid="{00000000-0005-0000-0000-0000DD560000}"/>
    <cellStyle name="Normal 2 5 5 3 2 2 4 4" xfId="28218" xr:uid="{00000000-0005-0000-0000-0000DE560000}"/>
    <cellStyle name="Normal 2 5 5 3 2 2 5" xfId="6042" xr:uid="{00000000-0005-0000-0000-0000DF560000}"/>
    <cellStyle name="Normal 2 5 5 3 2 2 5 2" xfId="14869" xr:uid="{00000000-0005-0000-0000-0000E0560000}"/>
    <cellStyle name="Normal 2 5 5 3 2 2 5 2 2" xfId="40424" xr:uid="{00000000-0005-0000-0000-0000E1560000}"/>
    <cellStyle name="Normal 2 5 5 3 2 2 5 3" xfId="25120" xr:uid="{00000000-0005-0000-0000-0000E2560000}"/>
    <cellStyle name="Normal 2 5 5 3 2 2 5 3 2" xfId="50673" xr:uid="{00000000-0005-0000-0000-0000E3560000}"/>
    <cellStyle name="Normal 2 5 5 3 2 2 5 4" xfId="31603" xr:uid="{00000000-0005-0000-0000-0000E4560000}"/>
    <cellStyle name="Normal 2 5 5 3 2 2 6" xfId="7486" xr:uid="{00000000-0005-0000-0000-0000E5560000}"/>
    <cellStyle name="Normal 2 5 5 3 2 2 6 2" xfId="20217" xr:uid="{00000000-0005-0000-0000-0000E6560000}"/>
    <cellStyle name="Normal 2 5 5 3 2 2 6 2 2" xfId="45770" xr:uid="{00000000-0005-0000-0000-0000E7560000}"/>
    <cellStyle name="Normal 2 5 5 3 2 2 6 3" xfId="33043" xr:uid="{00000000-0005-0000-0000-0000E8560000}"/>
    <cellStyle name="Normal 2 5 5 3 2 2 7" xfId="16728" xr:uid="{00000000-0005-0000-0000-0000E9560000}"/>
    <cellStyle name="Normal 2 5 5 3 2 2 7 2" xfId="42281" xr:uid="{00000000-0005-0000-0000-0000EA560000}"/>
    <cellStyle name="Normal 2 5 5 3 2 2 8" xfId="26700" xr:uid="{00000000-0005-0000-0000-0000EB560000}"/>
    <cellStyle name="Normal 2 5 5 3 2 3" xfId="1345" xr:uid="{00000000-0005-0000-0000-0000EC560000}"/>
    <cellStyle name="Normal 2 5 5 3 2 3 2" xfId="3774" xr:uid="{00000000-0005-0000-0000-0000ED560000}"/>
    <cellStyle name="Normal 2 5 5 3 2 3 2 2" xfId="12910" xr:uid="{00000000-0005-0000-0000-0000EE560000}"/>
    <cellStyle name="Normal 2 5 5 3 2 3 2 2 2" xfId="23129" xr:uid="{00000000-0005-0000-0000-0000EF560000}"/>
    <cellStyle name="Normal 2 5 5 3 2 3 2 2 2 2" xfId="48682" xr:uid="{00000000-0005-0000-0000-0000F0560000}"/>
    <cellStyle name="Normal 2 5 5 3 2 3 2 2 3" xfId="38465" xr:uid="{00000000-0005-0000-0000-0000F1560000}"/>
    <cellStyle name="Normal 2 5 5 3 2 3 2 3" xfId="9331" xr:uid="{00000000-0005-0000-0000-0000F2560000}"/>
    <cellStyle name="Normal 2 5 5 3 2 3 2 3 2" xfId="34888" xr:uid="{00000000-0005-0000-0000-0000F3560000}"/>
    <cellStyle name="Normal 2 5 5 3 2 3 2 4" xfId="18122" xr:uid="{00000000-0005-0000-0000-0000F4560000}"/>
    <cellStyle name="Normal 2 5 5 3 2 3 2 4 2" xfId="43675" xr:uid="{00000000-0005-0000-0000-0000F5560000}"/>
    <cellStyle name="Normal 2 5 5 3 2 3 2 5" xfId="29612" xr:uid="{00000000-0005-0000-0000-0000F6560000}"/>
    <cellStyle name="Normal 2 5 5 3 2 3 3" xfId="4935" xr:uid="{00000000-0005-0000-0000-0000F7560000}"/>
    <cellStyle name="Normal 2 5 5 3 2 3 3 2" xfId="13772" xr:uid="{00000000-0005-0000-0000-0000F8560000}"/>
    <cellStyle name="Normal 2 5 5 3 2 3 3 2 2" xfId="24023" xr:uid="{00000000-0005-0000-0000-0000F9560000}"/>
    <cellStyle name="Normal 2 5 5 3 2 3 3 2 2 2" xfId="49576" xr:uid="{00000000-0005-0000-0000-0000FA560000}"/>
    <cellStyle name="Normal 2 5 5 3 2 3 3 2 3" xfId="39327" xr:uid="{00000000-0005-0000-0000-0000FB560000}"/>
    <cellStyle name="Normal 2 5 5 3 2 3 3 3" xfId="10193" xr:uid="{00000000-0005-0000-0000-0000FC560000}"/>
    <cellStyle name="Normal 2 5 5 3 2 3 3 3 2" xfId="35750" xr:uid="{00000000-0005-0000-0000-0000FD560000}"/>
    <cellStyle name="Normal 2 5 5 3 2 3 3 4" xfId="19016" xr:uid="{00000000-0005-0000-0000-0000FE560000}"/>
    <cellStyle name="Normal 2 5 5 3 2 3 3 4 2" xfId="44569" xr:uid="{00000000-0005-0000-0000-0000FF560000}"/>
    <cellStyle name="Normal 2 5 5 3 2 3 3 5" xfId="30506" xr:uid="{00000000-0005-0000-0000-000000570000}"/>
    <cellStyle name="Normal 2 5 5 3 2 3 4" xfId="2168" xr:uid="{00000000-0005-0000-0000-000001570000}"/>
    <cellStyle name="Normal 2 5 5 3 2 3 4 2" xfId="11533" xr:uid="{00000000-0005-0000-0000-000002570000}"/>
    <cellStyle name="Normal 2 5 5 3 2 3 4 2 2" xfId="37088" xr:uid="{00000000-0005-0000-0000-000003570000}"/>
    <cellStyle name="Normal 2 5 5 3 2 3 4 3" xfId="21537" xr:uid="{00000000-0005-0000-0000-000004570000}"/>
    <cellStyle name="Normal 2 5 5 3 2 3 4 3 2" xfId="47090" xr:uid="{00000000-0005-0000-0000-000005570000}"/>
    <cellStyle name="Normal 2 5 5 3 2 3 4 4" xfId="28020" xr:uid="{00000000-0005-0000-0000-000006570000}"/>
    <cellStyle name="Normal 2 5 5 3 2 3 5" xfId="6390" xr:uid="{00000000-0005-0000-0000-000007570000}"/>
    <cellStyle name="Normal 2 5 5 3 2 3 5 2" xfId="15217" xr:uid="{00000000-0005-0000-0000-000008570000}"/>
    <cellStyle name="Normal 2 5 5 3 2 3 5 2 2" xfId="40772" xr:uid="{00000000-0005-0000-0000-000009570000}"/>
    <cellStyle name="Normal 2 5 5 3 2 3 5 3" xfId="25468" xr:uid="{00000000-0005-0000-0000-00000A570000}"/>
    <cellStyle name="Normal 2 5 5 3 2 3 5 3 2" xfId="51021" xr:uid="{00000000-0005-0000-0000-00000B570000}"/>
    <cellStyle name="Normal 2 5 5 3 2 3 5 4" xfId="31951" xr:uid="{00000000-0005-0000-0000-00000C570000}"/>
    <cellStyle name="Normal 2 5 5 3 2 3 6" xfId="7836" xr:uid="{00000000-0005-0000-0000-00000D570000}"/>
    <cellStyle name="Normal 2 5 5 3 2 3 6 2" xfId="20728" xr:uid="{00000000-0005-0000-0000-00000E570000}"/>
    <cellStyle name="Normal 2 5 5 3 2 3 6 2 2" xfId="46281" xr:uid="{00000000-0005-0000-0000-00000F570000}"/>
    <cellStyle name="Normal 2 5 5 3 2 3 6 3" xfId="33393" xr:uid="{00000000-0005-0000-0000-000010570000}"/>
    <cellStyle name="Normal 2 5 5 3 2 3 7" xfId="16530" xr:uid="{00000000-0005-0000-0000-000011570000}"/>
    <cellStyle name="Normal 2 5 5 3 2 3 7 2" xfId="42083" xr:uid="{00000000-0005-0000-0000-000012570000}"/>
    <cellStyle name="Normal 2 5 5 3 2 3 8" xfId="27211" xr:uid="{00000000-0005-0000-0000-000013570000}"/>
    <cellStyle name="Normal 2 5 5 3 2 4" xfId="3059" xr:uid="{00000000-0005-0000-0000-000014570000}"/>
    <cellStyle name="Normal 2 5 5 3 2 4 2" xfId="5437" xr:uid="{00000000-0005-0000-0000-000015570000}"/>
    <cellStyle name="Normal 2 5 5 3 2 4 2 2" xfId="14274" xr:uid="{00000000-0005-0000-0000-000016570000}"/>
    <cellStyle name="Normal 2 5 5 3 2 4 2 2 2" xfId="24525" xr:uid="{00000000-0005-0000-0000-000017570000}"/>
    <cellStyle name="Normal 2 5 5 3 2 4 2 2 2 2" xfId="50078" xr:uid="{00000000-0005-0000-0000-000018570000}"/>
    <cellStyle name="Normal 2 5 5 3 2 4 2 2 3" xfId="39829" xr:uid="{00000000-0005-0000-0000-000019570000}"/>
    <cellStyle name="Normal 2 5 5 3 2 4 2 3" xfId="10695" xr:uid="{00000000-0005-0000-0000-00001A570000}"/>
    <cellStyle name="Normal 2 5 5 3 2 4 2 3 2" xfId="36252" xr:uid="{00000000-0005-0000-0000-00001B570000}"/>
    <cellStyle name="Normal 2 5 5 3 2 4 2 4" xfId="19518" xr:uid="{00000000-0005-0000-0000-00001C570000}"/>
    <cellStyle name="Normal 2 5 5 3 2 4 2 4 2" xfId="45071" xr:uid="{00000000-0005-0000-0000-00001D570000}"/>
    <cellStyle name="Normal 2 5 5 3 2 4 2 5" xfId="31008" xr:uid="{00000000-0005-0000-0000-00001E570000}"/>
    <cellStyle name="Normal 2 5 5 3 2 4 3" xfId="6892" xr:uid="{00000000-0005-0000-0000-00001F570000}"/>
    <cellStyle name="Normal 2 5 5 3 2 4 3 2" xfId="15719" xr:uid="{00000000-0005-0000-0000-000020570000}"/>
    <cellStyle name="Normal 2 5 5 3 2 4 3 2 2" xfId="41274" xr:uid="{00000000-0005-0000-0000-000021570000}"/>
    <cellStyle name="Normal 2 5 5 3 2 4 3 3" xfId="25970" xr:uid="{00000000-0005-0000-0000-000022570000}"/>
    <cellStyle name="Normal 2 5 5 3 2 4 3 3 2" xfId="51523" xr:uid="{00000000-0005-0000-0000-000023570000}"/>
    <cellStyle name="Normal 2 5 5 3 2 4 3 4" xfId="32453" xr:uid="{00000000-0005-0000-0000-000024570000}"/>
    <cellStyle name="Normal 2 5 5 3 2 4 4" xfId="8338" xr:uid="{00000000-0005-0000-0000-000025570000}"/>
    <cellStyle name="Normal 2 5 5 3 2 4 4 2" xfId="22420" xr:uid="{00000000-0005-0000-0000-000026570000}"/>
    <cellStyle name="Normal 2 5 5 3 2 4 4 2 2" xfId="47973" xr:uid="{00000000-0005-0000-0000-000027570000}"/>
    <cellStyle name="Normal 2 5 5 3 2 4 4 3" xfId="33895" xr:uid="{00000000-0005-0000-0000-000028570000}"/>
    <cellStyle name="Normal 2 5 5 3 2 4 5" xfId="17413" xr:uid="{00000000-0005-0000-0000-000029570000}"/>
    <cellStyle name="Normal 2 5 5 3 2 4 5 2" xfId="42966" xr:uid="{00000000-0005-0000-0000-00002A570000}"/>
    <cellStyle name="Normal 2 5 5 3 2 4 6" xfId="28903" xr:uid="{00000000-0005-0000-0000-00002B570000}"/>
    <cellStyle name="Normal 2 5 5 3 2 5" xfId="4393" xr:uid="{00000000-0005-0000-0000-00002C570000}"/>
    <cellStyle name="Normal 2 5 5 3 2 5 2" xfId="13231" xr:uid="{00000000-0005-0000-0000-00002D570000}"/>
    <cellStyle name="Normal 2 5 5 3 2 5 2 2" xfId="23482" xr:uid="{00000000-0005-0000-0000-00002E570000}"/>
    <cellStyle name="Normal 2 5 5 3 2 5 2 2 2" xfId="49035" xr:uid="{00000000-0005-0000-0000-00002F570000}"/>
    <cellStyle name="Normal 2 5 5 3 2 5 2 3" xfId="38786" xr:uid="{00000000-0005-0000-0000-000030570000}"/>
    <cellStyle name="Normal 2 5 5 3 2 5 3" xfId="9652" xr:uid="{00000000-0005-0000-0000-000031570000}"/>
    <cellStyle name="Normal 2 5 5 3 2 5 3 2" xfId="35209" xr:uid="{00000000-0005-0000-0000-000032570000}"/>
    <cellStyle name="Normal 2 5 5 3 2 5 4" xfId="18475" xr:uid="{00000000-0005-0000-0000-000033570000}"/>
    <cellStyle name="Normal 2 5 5 3 2 5 4 2" xfId="44028" xr:uid="{00000000-0005-0000-0000-000034570000}"/>
    <cellStyle name="Normal 2 5 5 3 2 5 5" xfId="29965" xr:uid="{00000000-0005-0000-0000-000035570000}"/>
    <cellStyle name="Normal 2 5 5 3 2 6" xfId="1665" xr:uid="{00000000-0005-0000-0000-000036570000}"/>
    <cellStyle name="Normal 2 5 5 3 2 6 2" xfId="11042" xr:uid="{00000000-0005-0000-0000-000037570000}"/>
    <cellStyle name="Normal 2 5 5 3 2 6 2 2" xfId="36597" xr:uid="{00000000-0005-0000-0000-000038570000}"/>
    <cellStyle name="Normal 2 5 5 3 2 6 3" xfId="21046" xr:uid="{00000000-0005-0000-0000-000039570000}"/>
    <cellStyle name="Normal 2 5 5 3 2 6 3 2" xfId="46599" xr:uid="{00000000-0005-0000-0000-00003A570000}"/>
    <cellStyle name="Normal 2 5 5 3 2 6 4" xfId="27529" xr:uid="{00000000-0005-0000-0000-00003B570000}"/>
    <cellStyle name="Normal 2 5 5 3 2 7" xfId="5849" xr:uid="{00000000-0005-0000-0000-00003C570000}"/>
    <cellStyle name="Normal 2 5 5 3 2 7 2" xfId="14676" xr:uid="{00000000-0005-0000-0000-00003D570000}"/>
    <cellStyle name="Normal 2 5 5 3 2 7 2 2" xfId="40231" xr:uid="{00000000-0005-0000-0000-00003E570000}"/>
    <cellStyle name="Normal 2 5 5 3 2 7 3" xfId="24927" xr:uid="{00000000-0005-0000-0000-00003F570000}"/>
    <cellStyle name="Normal 2 5 5 3 2 7 3 2" xfId="50480" xr:uid="{00000000-0005-0000-0000-000040570000}"/>
    <cellStyle name="Normal 2 5 5 3 2 7 4" xfId="31410" xr:uid="{00000000-0005-0000-0000-000041570000}"/>
    <cellStyle name="Normal 2 5 5 3 2 8" xfId="7293" xr:uid="{00000000-0005-0000-0000-000042570000}"/>
    <cellStyle name="Normal 2 5 5 3 2 8 2" xfId="20019" xr:uid="{00000000-0005-0000-0000-000043570000}"/>
    <cellStyle name="Normal 2 5 5 3 2 8 2 2" xfId="45572" xr:uid="{00000000-0005-0000-0000-000044570000}"/>
    <cellStyle name="Normal 2 5 5 3 2 8 3" xfId="32850" xr:uid="{00000000-0005-0000-0000-000045570000}"/>
    <cellStyle name="Normal 2 5 5 3 2 9" xfId="16039" xr:uid="{00000000-0005-0000-0000-000046570000}"/>
    <cellStyle name="Normal 2 5 5 3 2 9 2" xfId="41592" xr:uid="{00000000-0005-0000-0000-000047570000}"/>
    <cellStyle name="Normal 2 5 5 3 2_Degree data" xfId="3876" xr:uid="{00000000-0005-0000-0000-000048570000}"/>
    <cellStyle name="Normal 2 5 5 3 3" xfId="368" xr:uid="{00000000-0005-0000-0000-000049570000}"/>
    <cellStyle name="Normal 2 5 5 3 3 2" xfId="2854" xr:uid="{00000000-0005-0000-0000-00004A570000}"/>
    <cellStyle name="Normal 2 5 5 3 3 2 2" xfId="12142" xr:uid="{00000000-0005-0000-0000-00004B570000}"/>
    <cellStyle name="Normal 2 5 5 3 3 2 2 2" xfId="22215" xr:uid="{00000000-0005-0000-0000-00004C570000}"/>
    <cellStyle name="Normal 2 5 5 3 3 2 2 2 2" xfId="47768" xr:uid="{00000000-0005-0000-0000-00004D570000}"/>
    <cellStyle name="Normal 2 5 5 3 3 2 2 3" xfId="37697" xr:uid="{00000000-0005-0000-0000-00004E570000}"/>
    <cellStyle name="Normal 2 5 5 3 3 2 3" xfId="8524" xr:uid="{00000000-0005-0000-0000-00004F570000}"/>
    <cellStyle name="Normal 2 5 5 3 3 2 3 2" xfId="34081" xr:uid="{00000000-0005-0000-0000-000050570000}"/>
    <cellStyle name="Normal 2 5 5 3 3 2 4" xfId="17208" xr:uid="{00000000-0005-0000-0000-000051570000}"/>
    <cellStyle name="Normal 2 5 5 3 3 2 4 2" xfId="42761" xr:uid="{00000000-0005-0000-0000-000052570000}"/>
    <cellStyle name="Normal 2 5 5 3 3 2 5" xfId="28698" xr:uid="{00000000-0005-0000-0000-000053570000}"/>
    <cellStyle name="Normal 2 5 5 3 3 3" xfId="4585" xr:uid="{00000000-0005-0000-0000-000054570000}"/>
    <cellStyle name="Normal 2 5 5 3 3 3 2" xfId="13423" xr:uid="{00000000-0005-0000-0000-000055570000}"/>
    <cellStyle name="Normal 2 5 5 3 3 3 2 2" xfId="23674" xr:uid="{00000000-0005-0000-0000-000056570000}"/>
    <cellStyle name="Normal 2 5 5 3 3 3 2 2 2" xfId="49227" xr:uid="{00000000-0005-0000-0000-000057570000}"/>
    <cellStyle name="Normal 2 5 5 3 3 3 2 3" xfId="38978" xr:uid="{00000000-0005-0000-0000-000058570000}"/>
    <cellStyle name="Normal 2 5 5 3 3 3 3" xfId="9844" xr:uid="{00000000-0005-0000-0000-000059570000}"/>
    <cellStyle name="Normal 2 5 5 3 3 3 3 2" xfId="35401" xr:uid="{00000000-0005-0000-0000-00005A570000}"/>
    <cellStyle name="Normal 2 5 5 3 3 3 4" xfId="18667" xr:uid="{00000000-0005-0000-0000-00005B570000}"/>
    <cellStyle name="Normal 2 5 5 3 3 3 4 2" xfId="44220" xr:uid="{00000000-0005-0000-0000-00005C570000}"/>
    <cellStyle name="Normal 2 5 5 3 3 3 5" xfId="30157" xr:uid="{00000000-0005-0000-0000-00005D570000}"/>
    <cellStyle name="Normal 2 5 5 3 3 4" xfId="1963" xr:uid="{00000000-0005-0000-0000-00005E570000}"/>
    <cellStyle name="Normal 2 5 5 3 3 4 2" xfId="11328" xr:uid="{00000000-0005-0000-0000-00005F570000}"/>
    <cellStyle name="Normal 2 5 5 3 3 4 2 2" xfId="36883" xr:uid="{00000000-0005-0000-0000-000060570000}"/>
    <cellStyle name="Normal 2 5 5 3 3 4 3" xfId="21332" xr:uid="{00000000-0005-0000-0000-000061570000}"/>
    <cellStyle name="Normal 2 5 5 3 3 4 3 2" xfId="46885" xr:uid="{00000000-0005-0000-0000-000062570000}"/>
    <cellStyle name="Normal 2 5 5 3 3 4 4" xfId="27815" xr:uid="{00000000-0005-0000-0000-000063570000}"/>
    <cellStyle name="Normal 2 5 5 3 3 5" xfId="6041" xr:uid="{00000000-0005-0000-0000-000064570000}"/>
    <cellStyle name="Normal 2 5 5 3 3 5 2" xfId="14868" xr:uid="{00000000-0005-0000-0000-000065570000}"/>
    <cellStyle name="Normal 2 5 5 3 3 5 2 2" xfId="40423" xr:uid="{00000000-0005-0000-0000-000066570000}"/>
    <cellStyle name="Normal 2 5 5 3 3 5 3" xfId="25119" xr:uid="{00000000-0005-0000-0000-000067570000}"/>
    <cellStyle name="Normal 2 5 5 3 3 5 3 2" xfId="50672" xr:uid="{00000000-0005-0000-0000-000068570000}"/>
    <cellStyle name="Normal 2 5 5 3 3 5 4" xfId="31602" xr:uid="{00000000-0005-0000-0000-000069570000}"/>
    <cellStyle name="Normal 2 5 5 3 3 6" xfId="7485" xr:uid="{00000000-0005-0000-0000-00006A570000}"/>
    <cellStyle name="Normal 2 5 5 3 3 6 2" xfId="19814" xr:uid="{00000000-0005-0000-0000-00006B570000}"/>
    <cellStyle name="Normal 2 5 5 3 3 6 2 2" xfId="45367" xr:uid="{00000000-0005-0000-0000-00006C570000}"/>
    <cellStyle name="Normal 2 5 5 3 3 6 3" xfId="33042" xr:uid="{00000000-0005-0000-0000-00006D570000}"/>
    <cellStyle name="Normal 2 5 5 3 3 7" xfId="16325" xr:uid="{00000000-0005-0000-0000-00006E570000}"/>
    <cellStyle name="Normal 2 5 5 3 3 7 2" xfId="41878" xr:uid="{00000000-0005-0000-0000-00006F570000}"/>
    <cellStyle name="Normal 2 5 5 3 3 8" xfId="26297" xr:uid="{00000000-0005-0000-0000-000070570000}"/>
    <cellStyle name="Normal 2 5 5 3 4" xfId="770" xr:uid="{00000000-0005-0000-0000-000071570000}"/>
    <cellStyle name="Normal 2 5 5 3 4 2" xfId="3256" xr:uid="{00000000-0005-0000-0000-000072570000}"/>
    <cellStyle name="Normal 2 5 5 3 4 2 2" xfId="12398" xr:uid="{00000000-0005-0000-0000-000073570000}"/>
    <cellStyle name="Normal 2 5 5 3 4 2 2 2" xfId="22617" xr:uid="{00000000-0005-0000-0000-000074570000}"/>
    <cellStyle name="Normal 2 5 5 3 4 2 2 2 2" xfId="48170" xr:uid="{00000000-0005-0000-0000-000075570000}"/>
    <cellStyle name="Normal 2 5 5 3 4 2 2 3" xfId="37953" xr:uid="{00000000-0005-0000-0000-000076570000}"/>
    <cellStyle name="Normal 2 5 5 3 4 2 3" xfId="8820" xr:uid="{00000000-0005-0000-0000-000077570000}"/>
    <cellStyle name="Normal 2 5 5 3 4 2 3 2" xfId="34377" xr:uid="{00000000-0005-0000-0000-000078570000}"/>
    <cellStyle name="Normal 2 5 5 3 4 2 4" xfId="17610" xr:uid="{00000000-0005-0000-0000-000079570000}"/>
    <cellStyle name="Normal 2 5 5 3 4 2 4 2" xfId="43163" xr:uid="{00000000-0005-0000-0000-00007A570000}"/>
    <cellStyle name="Normal 2 5 5 3 4 2 5" xfId="29100" xr:uid="{00000000-0005-0000-0000-00007B570000}"/>
    <cellStyle name="Normal 2 5 5 3 4 3" xfId="4934" xr:uid="{00000000-0005-0000-0000-00007C570000}"/>
    <cellStyle name="Normal 2 5 5 3 4 3 2" xfId="13771" xr:uid="{00000000-0005-0000-0000-00007D570000}"/>
    <cellStyle name="Normal 2 5 5 3 4 3 2 2" xfId="24022" xr:uid="{00000000-0005-0000-0000-00007E570000}"/>
    <cellStyle name="Normal 2 5 5 3 4 3 2 2 2" xfId="49575" xr:uid="{00000000-0005-0000-0000-00007F570000}"/>
    <cellStyle name="Normal 2 5 5 3 4 3 2 3" xfId="39326" xr:uid="{00000000-0005-0000-0000-000080570000}"/>
    <cellStyle name="Normal 2 5 5 3 4 3 3" xfId="10192" xr:uid="{00000000-0005-0000-0000-000081570000}"/>
    <cellStyle name="Normal 2 5 5 3 4 3 3 2" xfId="35749" xr:uid="{00000000-0005-0000-0000-000082570000}"/>
    <cellStyle name="Normal 2 5 5 3 4 3 4" xfId="19015" xr:uid="{00000000-0005-0000-0000-000083570000}"/>
    <cellStyle name="Normal 2 5 5 3 4 3 4 2" xfId="44568" xr:uid="{00000000-0005-0000-0000-000084570000}"/>
    <cellStyle name="Normal 2 5 5 3 4 3 5" xfId="30505" xr:uid="{00000000-0005-0000-0000-000085570000}"/>
    <cellStyle name="Normal 2 5 5 3 4 4" xfId="2365" xr:uid="{00000000-0005-0000-0000-000086570000}"/>
    <cellStyle name="Normal 2 5 5 3 4 4 2" xfId="11730" xr:uid="{00000000-0005-0000-0000-000087570000}"/>
    <cellStyle name="Normal 2 5 5 3 4 4 2 2" xfId="37285" xr:uid="{00000000-0005-0000-0000-000088570000}"/>
    <cellStyle name="Normal 2 5 5 3 4 4 3" xfId="21734" xr:uid="{00000000-0005-0000-0000-000089570000}"/>
    <cellStyle name="Normal 2 5 5 3 4 4 3 2" xfId="47287" xr:uid="{00000000-0005-0000-0000-00008A570000}"/>
    <cellStyle name="Normal 2 5 5 3 4 4 4" xfId="28217" xr:uid="{00000000-0005-0000-0000-00008B570000}"/>
    <cellStyle name="Normal 2 5 5 3 4 5" xfId="6389" xr:uid="{00000000-0005-0000-0000-00008C570000}"/>
    <cellStyle name="Normal 2 5 5 3 4 5 2" xfId="15216" xr:uid="{00000000-0005-0000-0000-00008D570000}"/>
    <cellStyle name="Normal 2 5 5 3 4 5 2 2" xfId="40771" xr:uid="{00000000-0005-0000-0000-00008E570000}"/>
    <cellStyle name="Normal 2 5 5 3 4 5 3" xfId="25467" xr:uid="{00000000-0005-0000-0000-00008F570000}"/>
    <cellStyle name="Normal 2 5 5 3 4 5 3 2" xfId="51020" xr:uid="{00000000-0005-0000-0000-000090570000}"/>
    <cellStyle name="Normal 2 5 5 3 4 5 4" xfId="31950" xr:uid="{00000000-0005-0000-0000-000091570000}"/>
    <cellStyle name="Normal 2 5 5 3 4 6" xfId="7835" xr:uid="{00000000-0005-0000-0000-000092570000}"/>
    <cellStyle name="Normal 2 5 5 3 4 6 2" xfId="20216" xr:uid="{00000000-0005-0000-0000-000093570000}"/>
    <cellStyle name="Normal 2 5 5 3 4 6 2 2" xfId="45769" xr:uid="{00000000-0005-0000-0000-000094570000}"/>
    <cellStyle name="Normal 2 5 5 3 4 6 3" xfId="33392" xr:uid="{00000000-0005-0000-0000-000095570000}"/>
    <cellStyle name="Normal 2 5 5 3 4 7" xfId="16727" xr:uid="{00000000-0005-0000-0000-000096570000}"/>
    <cellStyle name="Normal 2 5 5 3 4 7 2" xfId="42280" xr:uid="{00000000-0005-0000-0000-000097570000}"/>
    <cellStyle name="Normal 2 5 5 3 4 8" xfId="26699" xr:uid="{00000000-0005-0000-0000-000098570000}"/>
    <cellStyle name="Normal 2 5 5 3 5" xfId="1140" xr:uid="{00000000-0005-0000-0000-000099570000}"/>
    <cellStyle name="Normal 2 5 5 3 5 2" xfId="3569" xr:uid="{00000000-0005-0000-0000-00009A570000}"/>
    <cellStyle name="Normal 2 5 5 3 5 2 2" xfId="12705" xr:uid="{00000000-0005-0000-0000-00009B570000}"/>
    <cellStyle name="Normal 2 5 5 3 5 2 2 2" xfId="22924" xr:uid="{00000000-0005-0000-0000-00009C570000}"/>
    <cellStyle name="Normal 2 5 5 3 5 2 2 2 2" xfId="48477" xr:uid="{00000000-0005-0000-0000-00009D570000}"/>
    <cellStyle name="Normal 2 5 5 3 5 2 2 3" xfId="38260" xr:uid="{00000000-0005-0000-0000-00009E570000}"/>
    <cellStyle name="Normal 2 5 5 3 5 2 3" xfId="9126" xr:uid="{00000000-0005-0000-0000-00009F570000}"/>
    <cellStyle name="Normal 2 5 5 3 5 2 3 2" xfId="34683" xr:uid="{00000000-0005-0000-0000-0000A0570000}"/>
    <cellStyle name="Normal 2 5 5 3 5 2 4" xfId="17917" xr:uid="{00000000-0005-0000-0000-0000A1570000}"/>
    <cellStyle name="Normal 2 5 5 3 5 2 4 2" xfId="43470" xr:uid="{00000000-0005-0000-0000-0000A2570000}"/>
    <cellStyle name="Normal 2 5 5 3 5 2 5" xfId="29407" xr:uid="{00000000-0005-0000-0000-0000A3570000}"/>
    <cellStyle name="Normal 2 5 5 3 5 3" xfId="5232" xr:uid="{00000000-0005-0000-0000-0000A4570000}"/>
    <cellStyle name="Normal 2 5 5 3 5 3 2" xfId="14069" xr:uid="{00000000-0005-0000-0000-0000A5570000}"/>
    <cellStyle name="Normal 2 5 5 3 5 3 2 2" xfId="24320" xr:uid="{00000000-0005-0000-0000-0000A6570000}"/>
    <cellStyle name="Normal 2 5 5 3 5 3 2 2 2" xfId="49873" xr:uid="{00000000-0005-0000-0000-0000A7570000}"/>
    <cellStyle name="Normal 2 5 5 3 5 3 2 3" xfId="39624" xr:uid="{00000000-0005-0000-0000-0000A8570000}"/>
    <cellStyle name="Normal 2 5 5 3 5 3 3" xfId="10490" xr:uid="{00000000-0005-0000-0000-0000A9570000}"/>
    <cellStyle name="Normal 2 5 5 3 5 3 3 2" xfId="36047" xr:uid="{00000000-0005-0000-0000-0000AA570000}"/>
    <cellStyle name="Normal 2 5 5 3 5 3 4" xfId="19313" xr:uid="{00000000-0005-0000-0000-0000AB570000}"/>
    <cellStyle name="Normal 2 5 5 3 5 3 4 2" xfId="44866" xr:uid="{00000000-0005-0000-0000-0000AC570000}"/>
    <cellStyle name="Normal 2 5 5 3 5 3 5" xfId="30803" xr:uid="{00000000-0005-0000-0000-0000AD570000}"/>
    <cellStyle name="Normal 2 5 5 3 5 4" xfId="1848" xr:uid="{00000000-0005-0000-0000-0000AE570000}"/>
    <cellStyle name="Normal 2 5 5 3 5 4 2" xfId="11216" xr:uid="{00000000-0005-0000-0000-0000AF570000}"/>
    <cellStyle name="Normal 2 5 5 3 5 4 2 2" xfId="36771" xr:uid="{00000000-0005-0000-0000-0000B0570000}"/>
    <cellStyle name="Normal 2 5 5 3 5 4 3" xfId="21220" xr:uid="{00000000-0005-0000-0000-0000B1570000}"/>
    <cellStyle name="Normal 2 5 5 3 5 4 3 2" xfId="46773" xr:uid="{00000000-0005-0000-0000-0000B2570000}"/>
    <cellStyle name="Normal 2 5 5 3 5 4 4" xfId="27703" xr:uid="{00000000-0005-0000-0000-0000B3570000}"/>
    <cellStyle name="Normal 2 5 5 3 5 5" xfId="6687" xr:uid="{00000000-0005-0000-0000-0000B4570000}"/>
    <cellStyle name="Normal 2 5 5 3 5 5 2" xfId="15514" xr:uid="{00000000-0005-0000-0000-0000B5570000}"/>
    <cellStyle name="Normal 2 5 5 3 5 5 2 2" xfId="41069" xr:uid="{00000000-0005-0000-0000-0000B6570000}"/>
    <cellStyle name="Normal 2 5 5 3 5 5 3" xfId="25765" xr:uid="{00000000-0005-0000-0000-0000B7570000}"/>
    <cellStyle name="Normal 2 5 5 3 5 5 3 2" xfId="51318" xr:uid="{00000000-0005-0000-0000-0000B8570000}"/>
    <cellStyle name="Normal 2 5 5 3 5 5 4" xfId="32248" xr:uid="{00000000-0005-0000-0000-0000B9570000}"/>
    <cellStyle name="Normal 2 5 5 3 5 6" xfId="8133" xr:uid="{00000000-0005-0000-0000-0000BA570000}"/>
    <cellStyle name="Normal 2 5 5 3 5 6 2" xfId="20523" xr:uid="{00000000-0005-0000-0000-0000BB570000}"/>
    <cellStyle name="Normal 2 5 5 3 5 6 2 2" xfId="46076" xr:uid="{00000000-0005-0000-0000-0000BC570000}"/>
    <cellStyle name="Normal 2 5 5 3 5 6 3" xfId="33690" xr:uid="{00000000-0005-0000-0000-0000BD570000}"/>
    <cellStyle name="Normal 2 5 5 3 5 7" xfId="16213" xr:uid="{00000000-0005-0000-0000-0000BE570000}"/>
    <cellStyle name="Normal 2 5 5 3 5 7 2" xfId="41766" xr:uid="{00000000-0005-0000-0000-0000BF570000}"/>
    <cellStyle name="Normal 2 5 5 3 5 8" xfId="27006" xr:uid="{00000000-0005-0000-0000-0000C0570000}"/>
    <cellStyle name="Normal 2 5 5 3 6" xfId="2742" xr:uid="{00000000-0005-0000-0000-0000C1570000}"/>
    <cellStyle name="Normal 2 5 5 3 6 2" xfId="12059" xr:uid="{00000000-0005-0000-0000-0000C2570000}"/>
    <cellStyle name="Normal 2 5 5 3 6 2 2" xfId="22103" xr:uid="{00000000-0005-0000-0000-0000C3570000}"/>
    <cellStyle name="Normal 2 5 5 3 6 2 2 2" xfId="47656" xr:uid="{00000000-0005-0000-0000-0000C4570000}"/>
    <cellStyle name="Normal 2 5 5 3 6 2 3" xfId="37614" xr:uid="{00000000-0005-0000-0000-0000C5570000}"/>
    <cellStyle name="Normal 2 5 5 3 6 3" xfId="8544" xr:uid="{00000000-0005-0000-0000-0000C6570000}"/>
    <cellStyle name="Normal 2 5 5 3 6 3 2" xfId="34101" xr:uid="{00000000-0005-0000-0000-0000C7570000}"/>
    <cellStyle name="Normal 2 5 5 3 6 4" xfId="17096" xr:uid="{00000000-0005-0000-0000-0000C8570000}"/>
    <cellStyle name="Normal 2 5 5 3 6 4 2" xfId="42649" xr:uid="{00000000-0005-0000-0000-0000C9570000}"/>
    <cellStyle name="Normal 2 5 5 3 6 5" xfId="28586" xr:uid="{00000000-0005-0000-0000-0000CA570000}"/>
    <cellStyle name="Normal 2 5 5 3 7" xfId="4188" xr:uid="{00000000-0005-0000-0000-0000CB570000}"/>
    <cellStyle name="Normal 2 5 5 3 7 2" xfId="13026" xr:uid="{00000000-0005-0000-0000-0000CC570000}"/>
    <cellStyle name="Normal 2 5 5 3 7 2 2" xfId="23277" xr:uid="{00000000-0005-0000-0000-0000CD570000}"/>
    <cellStyle name="Normal 2 5 5 3 7 2 2 2" xfId="48830" xr:uid="{00000000-0005-0000-0000-0000CE570000}"/>
    <cellStyle name="Normal 2 5 5 3 7 2 3" xfId="38581" xr:uid="{00000000-0005-0000-0000-0000CF570000}"/>
    <cellStyle name="Normal 2 5 5 3 7 3" xfId="9447" xr:uid="{00000000-0005-0000-0000-0000D0570000}"/>
    <cellStyle name="Normal 2 5 5 3 7 3 2" xfId="35004" xr:uid="{00000000-0005-0000-0000-0000D1570000}"/>
    <cellStyle name="Normal 2 5 5 3 7 4" xfId="18270" xr:uid="{00000000-0005-0000-0000-0000D2570000}"/>
    <cellStyle name="Normal 2 5 5 3 7 4 2" xfId="43823" xr:uid="{00000000-0005-0000-0000-0000D3570000}"/>
    <cellStyle name="Normal 2 5 5 3 7 5" xfId="29760" xr:uid="{00000000-0005-0000-0000-0000D4570000}"/>
    <cellStyle name="Normal 2 5 5 3 8" xfId="1460" xr:uid="{00000000-0005-0000-0000-0000D5570000}"/>
    <cellStyle name="Normal 2 5 5 3 8 2" xfId="10837" xr:uid="{00000000-0005-0000-0000-0000D6570000}"/>
    <cellStyle name="Normal 2 5 5 3 8 2 2" xfId="36392" xr:uid="{00000000-0005-0000-0000-0000D7570000}"/>
    <cellStyle name="Normal 2 5 5 3 8 3" xfId="20841" xr:uid="{00000000-0005-0000-0000-0000D8570000}"/>
    <cellStyle name="Normal 2 5 5 3 8 3 2" xfId="46394" xr:uid="{00000000-0005-0000-0000-0000D9570000}"/>
    <cellStyle name="Normal 2 5 5 3 8 4" xfId="27324" xr:uid="{00000000-0005-0000-0000-0000DA570000}"/>
    <cellStyle name="Normal 2 5 5 3 9" xfId="5644" xr:uid="{00000000-0005-0000-0000-0000DB570000}"/>
    <cellStyle name="Normal 2 5 5 3 9 2" xfId="14471" xr:uid="{00000000-0005-0000-0000-0000DC570000}"/>
    <cellStyle name="Normal 2 5 5 3 9 2 2" xfId="40026" xr:uid="{00000000-0005-0000-0000-0000DD570000}"/>
    <cellStyle name="Normal 2 5 5 3 9 3" xfId="24722" xr:uid="{00000000-0005-0000-0000-0000DE570000}"/>
    <cellStyle name="Normal 2 5 5 3 9 3 2" xfId="50275" xr:uid="{00000000-0005-0000-0000-0000DF570000}"/>
    <cellStyle name="Normal 2 5 5 3 9 4" xfId="31205" xr:uid="{00000000-0005-0000-0000-0000E0570000}"/>
    <cellStyle name="Normal 2 5 5 3_Degree data" xfId="3906" xr:uid="{00000000-0005-0000-0000-0000E1570000}"/>
    <cellStyle name="Normal 2 5 5 4" xfId="468" xr:uid="{00000000-0005-0000-0000-0000E2570000}"/>
    <cellStyle name="Normal 2 5 5 4 10" xfId="26397" xr:uid="{00000000-0005-0000-0000-0000E3570000}"/>
    <cellStyle name="Normal 2 5 5 4 2" xfId="772" xr:uid="{00000000-0005-0000-0000-0000E4570000}"/>
    <cellStyle name="Normal 2 5 5 4 2 2" xfId="3258" xr:uid="{00000000-0005-0000-0000-0000E5570000}"/>
    <cellStyle name="Normal 2 5 5 4 2 2 2" xfId="12400" xr:uid="{00000000-0005-0000-0000-0000E6570000}"/>
    <cellStyle name="Normal 2 5 5 4 2 2 2 2" xfId="22619" xr:uid="{00000000-0005-0000-0000-0000E7570000}"/>
    <cellStyle name="Normal 2 5 5 4 2 2 2 2 2" xfId="48172" xr:uid="{00000000-0005-0000-0000-0000E8570000}"/>
    <cellStyle name="Normal 2 5 5 4 2 2 2 3" xfId="37955" xr:uid="{00000000-0005-0000-0000-0000E9570000}"/>
    <cellStyle name="Normal 2 5 5 4 2 2 3" xfId="8822" xr:uid="{00000000-0005-0000-0000-0000EA570000}"/>
    <cellStyle name="Normal 2 5 5 4 2 2 3 2" xfId="34379" xr:uid="{00000000-0005-0000-0000-0000EB570000}"/>
    <cellStyle name="Normal 2 5 5 4 2 2 4" xfId="17612" xr:uid="{00000000-0005-0000-0000-0000EC570000}"/>
    <cellStyle name="Normal 2 5 5 4 2 2 4 2" xfId="43165" xr:uid="{00000000-0005-0000-0000-0000ED570000}"/>
    <cellStyle name="Normal 2 5 5 4 2 2 5" xfId="29102" xr:uid="{00000000-0005-0000-0000-0000EE570000}"/>
    <cellStyle name="Normal 2 5 5 4 2 3" xfId="4587" xr:uid="{00000000-0005-0000-0000-0000EF570000}"/>
    <cellStyle name="Normal 2 5 5 4 2 3 2" xfId="13425" xr:uid="{00000000-0005-0000-0000-0000F0570000}"/>
    <cellStyle name="Normal 2 5 5 4 2 3 2 2" xfId="23676" xr:uid="{00000000-0005-0000-0000-0000F1570000}"/>
    <cellStyle name="Normal 2 5 5 4 2 3 2 2 2" xfId="49229" xr:uid="{00000000-0005-0000-0000-0000F2570000}"/>
    <cellStyle name="Normal 2 5 5 4 2 3 2 3" xfId="38980" xr:uid="{00000000-0005-0000-0000-0000F3570000}"/>
    <cellStyle name="Normal 2 5 5 4 2 3 3" xfId="9846" xr:uid="{00000000-0005-0000-0000-0000F4570000}"/>
    <cellStyle name="Normal 2 5 5 4 2 3 3 2" xfId="35403" xr:uid="{00000000-0005-0000-0000-0000F5570000}"/>
    <cellStyle name="Normal 2 5 5 4 2 3 4" xfId="18669" xr:uid="{00000000-0005-0000-0000-0000F6570000}"/>
    <cellStyle name="Normal 2 5 5 4 2 3 4 2" xfId="44222" xr:uid="{00000000-0005-0000-0000-0000F7570000}"/>
    <cellStyle name="Normal 2 5 5 4 2 3 5" xfId="30159" xr:uid="{00000000-0005-0000-0000-0000F8570000}"/>
    <cellStyle name="Normal 2 5 5 4 2 4" xfId="2367" xr:uid="{00000000-0005-0000-0000-0000F9570000}"/>
    <cellStyle name="Normal 2 5 5 4 2 4 2" xfId="11732" xr:uid="{00000000-0005-0000-0000-0000FA570000}"/>
    <cellStyle name="Normal 2 5 5 4 2 4 2 2" xfId="37287" xr:uid="{00000000-0005-0000-0000-0000FB570000}"/>
    <cellStyle name="Normal 2 5 5 4 2 4 3" xfId="21736" xr:uid="{00000000-0005-0000-0000-0000FC570000}"/>
    <cellStyle name="Normal 2 5 5 4 2 4 3 2" xfId="47289" xr:uid="{00000000-0005-0000-0000-0000FD570000}"/>
    <cellStyle name="Normal 2 5 5 4 2 4 4" xfId="28219" xr:uid="{00000000-0005-0000-0000-0000FE570000}"/>
    <cellStyle name="Normal 2 5 5 4 2 5" xfId="6043" xr:uid="{00000000-0005-0000-0000-0000FF570000}"/>
    <cellStyle name="Normal 2 5 5 4 2 5 2" xfId="14870" xr:uid="{00000000-0005-0000-0000-000000580000}"/>
    <cellStyle name="Normal 2 5 5 4 2 5 2 2" xfId="40425" xr:uid="{00000000-0005-0000-0000-000001580000}"/>
    <cellStyle name="Normal 2 5 5 4 2 5 3" xfId="25121" xr:uid="{00000000-0005-0000-0000-000002580000}"/>
    <cellStyle name="Normal 2 5 5 4 2 5 3 2" xfId="50674" xr:uid="{00000000-0005-0000-0000-000003580000}"/>
    <cellStyle name="Normal 2 5 5 4 2 5 4" xfId="31604" xr:uid="{00000000-0005-0000-0000-000004580000}"/>
    <cellStyle name="Normal 2 5 5 4 2 6" xfId="7487" xr:uid="{00000000-0005-0000-0000-000005580000}"/>
    <cellStyle name="Normal 2 5 5 4 2 6 2" xfId="20218" xr:uid="{00000000-0005-0000-0000-000006580000}"/>
    <cellStyle name="Normal 2 5 5 4 2 6 2 2" xfId="45771" xr:uid="{00000000-0005-0000-0000-000007580000}"/>
    <cellStyle name="Normal 2 5 5 4 2 6 3" xfId="33044" xr:uid="{00000000-0005-0000-0000-000008580000}"/>
    <cellStyle name="Normal 2 5 5 4 2 7" xfId="16729" xr:uid="{00000000-0005-0000-0000-000009580000}"/>
    <cellStyle name="Normal 2 5 5 4 2 7 2" xfId="42282" xr:uid="{00000000-0005-0000-0000-00000A580000}"/>
    <cellStyle name="Normal 2 5 5 4 2 8" xfId="26701" xr:uid="{00000000-0005-0000-0000-00000B580000}"/>
    <cellStyle name="Normal 2 5 5 4 3" xfId="1240" xr:uid="{00000000-0005-0000-0000-00000C580000}"/>
    <cellStyle name="Normal 2 5 5 4 3 2" xfId="3669" xr:uid="{00000000-0005-0000-0000-00000D580000}"/>
    <cellStyle name="Normal 2 5 5 4 3 2 2" xfId="12805" xr:uid="{00000000-0005-0000-0000-00000E580000}"/>
    <cellStyle name="Normal 2 5 5 4 3 2 2 2" xfId="23024" xr:uid="{00000000-0005-0000-0000-00000F580000}"/>
    <cellStyle name="Normal 2 5 5 4 3 2 2 2 2" xfId="48577" xr:uid="{00000000-0005-0000-0000-000010580000}"/>
    <cellStyle name="Normal 2 5 5 4 3 2 2 3" xfId="38360" xr:uid="{00000000-0005-0000-0000-000011580000}"/>
    <cellStyle name="Normal 2 5 5 4 3 2 3" xfId="9226" xr:uid="{00000000-0005-0000-0000-000012580000}"/>
    <cellStyle name="Normal 2 5 5 4 3 2 3 2" xfId="34783" xr:uid="{00000000-0005-0000-0000-000013580000}"/>
    <cellStyle name="Normal 2 5 5 4 3 2 4" xfId="18017" xr:uid="{00000000-0005-0000-0000-000014580000}"/>
    <cellStyle name="Normal 2 5 5 4 3 2 4 2" xfId="43570" xr:uid="{00000000-0005-0000-0000-000015580000}"/>
    <cellStyle name="Normal 2 5 5 4 3 2 5" xfId="29507" xr:uid="{00000000-0005-0000-0000-000016580000}"/>
    <cellStyle name="Normal 2 5 5 4 3 3" xfId="4936" xr:uid="{00000000-0005-0000-0000-000017580000}"/>
    <cellStyle name="Normal 2 5 5 4 3 3 2" xfId="13773" xr:uid="{00000000-0005-0000-0000-000018580000}"/>
    <cellStyle name="Normal 2 5 5 4 3 3 2 2" xfId="24024" xr:uid="{00000000-0005-0000-0000-000019580000}"/>
    <cellStyle name="Normal 2 5 5 4 3 3 2 2 2" xfId="49577" xr:uid="{00000000-0005-0000-0000-00001A580000}"/>
    <cellStyle name="Normal 2 5 5 4 3 3 2 3" xfId="39328" xr:uid="{00000000-0005-0000-0000-00001B580000}"/>
    <cellStyle name="Normal 2 5 5 4 3 3 3" xfId="10194" xr:uid="{00000000-0005-0000-0000-00001C580000}"/>
    <cellStyle name="Normal 2 5 5 4 3 3 3 2" xfId="35751" xr:uid="{00000000-0005-0000-0000-00001D580000}"/>
    <cellStyle name="Normal 2 5 5 4 3 3 4" xfId="19017" xr:uid="{00000000-0005-0000-0000-00001E580000}"/>
    <cellStyle name="Normal 2 5 5 4 3 3 4 2" xfId="44570" xr:uid="{00000000-0005-0000-0000-00001F580000}"/>
    <cellStyle name="Normal 2 5 5 4 3 3 5" xfId="30507" xr:uid="{00000000-0005-0000-0000-000020580000}"/>
    <cellStyle name="Normal 2 5 5 4 3 4" xfId="2063" xr:uid="{00000000-0005-0000-0000-000021580000}"/>
    <cellStyle name="Normal 2 5 5 4 3 4 2" xfId="11428" xr:uid="{00000000-0005-0000-0000-000022580000}"/>
    <cellStyle name="Normal 2 5 5 4 3 4 2 2" xfId="36983" xr:uid="{00000000-0005-0000-0000-000023580000}"/>
    <cellStyle name="Normal 2 5 5 4 3 4 3" xfId="21432" xr:uid="{00000000-0005-0000-0000-000024580000}"/>
    <cellStyle name="Normal 2 5 5 4 3 4 3 2" xfId="46985" xr:uid="{00000000-0005-0000-0000-000025580000}"/>
    <cellStyle name="Normal 2 5 5 4 3 4 4" xfId="27915" xr:uid="{00000000-0005-0000-0000-000026580000}"/>
    <cellStyle name="Normal 2 5 5 4 3 5" xfId="6391" xr:uid="{00000000-0005-0000-0000-000027580000}"/>
    <cellStyle name="Normal 2 5 5 4 3 5 2" xfId="15218" xr:uid="{00000000-0005-0000-0000-000028580000}"/>
    <cellStyle name="Normal 2 5 5 4 3 5 2 2" xfId="40773" xr:uid="{00000000-0005-0000-0000-000029580000}"/>
    <cellStyle name="Normal 2 5 5 4 3 5 3" xfId="25469" xr:uid="{00000000-0005-0000-0000-00002A580000}"/>
    <cellStyle name="Normal 2 5 5 4 3 5 3 2" xfId="51022" xr:uid="{00000000-0005-0000-0000-00002B580000}"/>
    <cellStyle name="Normal 2 5 5 4 3 5 4" xfId="31952" xr:uid="{00000000-0005-0000-0000-00002C580000}"/>
    <cellStyle name="Normal 2 5 5 4 3 6" xfId="7837" xr:uid="{00000000-0005-0000-0000-00002D580000}"/>
    <cellStyle name="Normal 2 5 5 4 3 6 2" xfId="20623" xr:uid="{00000000-0005-0000-0000-00002E580000}"/>
    <cellStyle name="Normal 2 5 5 4 3 6 2 2" xfId="46176" xr:uid="{00000000-0005-0000-0000-00002F580000}"/>
    <cellStyle name="Normal 2 5 5 4 3 6 3" xfId="33394" xr:uid="{00000000-0005-0000-0000-000030580000}"/>
    <cellStyle name="Normal 2 5 5 4 3 7" xfId="16425" xr:uid="{00000000-0005-0000-0000-000031580000}"/>
    <cellStyle name="Normal 2 5 5 4 3 7 2" xfId="41978" xr:uid="{00000000-0005-0000-0000-000032580000}"/>
    <cellStyle name="Normal 2 5 5 4 3 8" xfId="27106" xr:uid="{00000000-0005-0000-0000-000033580000}"/>
    <cellStyle name="Normal 2 5 5 4 4" xfId="2954" xr:uid="{00000000-0005-0000-0000-000034580000}"/>
    <cellStyle name="Normal 2 5 5 4 4 2" xfId="5332" xr:uid="{00000000-0005-0000-0000-000035580000}"/>
    <cellStyle name="Normal 2 5 5 4 4 2 2" xfId="14169" xr:uid="{00000000-0005-0000-0000-000036580000}"/>
    <cellStyle name="Normal 2 5 5 4 4 2 2 2" xfId="24420" xr:uid="{00000000-0005-0000-0000-000037580000}"/>
    <cellStyle name="Normal 2 5 5 4 4 2 2 2 2" xfId="49973" xr:uid="{00000000-0005-0000-0000-000038580000}"/>
    <cellStyle name="Normal 2 5 5 4 4 2 2 3" xfId="39724" xr:uid="{00000000-0005-0000-0000-000039580000}"/>
    <cellStyle name="Normal 2 5 5 4 4 2 3" xfId="10590" xr:uid="{00000000-0005-0000-0000-00003A580000}"/>
    <cellStyle name="Normal 2 5 5 4 4 2 3 2" xfId="36147" xr:uid="{00000000-0005-0000-0000-00003B580000}"/>
    <cellStyle name="Normal 2 5 5 4 4 2 4" xfId="19413" xr:uid="{00000000-0005-0000-0000-00003C580000}"/>
    <cellStyle name="Normal 2 5 5 4 4 2 4 2" xfId="44966" xr:uid="{00000000-0005-0000-0000-00003D580000}"/>
    <cellStyle name="Normal 2 5 5 4 4 2 5" xfId="30903" xr:uid="{00000000-0005-0000-0000-00003E580000}"/>
    <cellStyle name="Normal 2 5 5 4 4 3" xfId="6787" xr:uid="{00000000-0005-0000-0000-00003F580000}"/>
    <cellStyle name="Normal 2 5 5 4 4 3 2" xfId="15614" xr:uid="{00000000-0005-0000-0000-000040580000}"/>
    <cellStyle name="Normal 2 5 5 4 4 3 2 2" xfId="41169" xr:uid="{00000000-0005-0000-0000-000041580000}"/>
    <cellStyle name="Normal 2 5 5 4 4 3 3" xfId="25865" xr:uid="{00000000-0005-0000-0000-000042580000}"/>
    <cellStyle name="Normal 2 5 5 4 4 3 3 2" xfId="51418" xr:uid="{00000000-0005-0000-0000-000043580000}"/>
    <cellStyle name="Normal 2 5 5 4 4 3 4" xfId="32348" xr:uid="{00000000-0005-0000-0000-000044580000}"/>
    <cellStyle name="Normal 2 5 5 4 4 4" xfId="8233" xr:uid="{00000000-0005-0000-0000-000045580000}"/>
    <cellStyle name="Normal 2 5 5 4 4 4 2" xfId="22315" xr:uid="{00000000-0005-0000-0000-000046580000}"/>
    <cellStyle name="Normal 2 5 5 4 4 4 2 2" xfId="47868" xr:uid="{00000000-0005-0000-0000-000047580000}"/>
    <cellStyle name="Normal 2 5 5 4 4 4 3" xfId="33790" xr:uid="{00000000-0005-0000-0000-000048580000}"/>
    <cellStyle name="Normal 2 5 5 4 4 5" xfId="17308" xr:uid="{00000000-0005-0000-0000-000049580000}"/>
    <cellStyle name="Normal 2 5 5 4 4 5 2" xfId="42861" xr:uid="{00000000-0005-0000-0000-00004A580000}"/>
    <cellStyle name="Normal 2 5 5 4 4 6" xfId="28798" xr:uid="{00000000-0005-0000-0000-00004B580000}"/>
    <cellStyle name="Normal 2 5 5 4 5" xfId="4288" xr:uid="{00000000-0005-0000-0000-00004C580000}"/>
    <cellStyle name="Normal 2 5 5 4 5 2" xfId="13126" xr:uid="{00000000-0005-0000-0000-00004D580000}"/>
    <cellStyle name="Normal 2 5 5 4 5 2 2" xfId="23377" xr:uid="{00000000-0005-0000-0000-00004E580000}"/>
    <cellStyle name="Normal 2 5 5 4 5 2 2 2" xfId="48930" xr:uid="{00000000-0005-0000-0000-00004F580000}"/>
    <cellStyle name="Normal 2 5 5 4 5 2 3" xfId="38681" xr:uid="{00000000-0005-0000-0000-000050580000}"/>
    <cellStyle name="Normal 2 5 5 4 5 3" xfId="9547" xr:uid="{00000000-0005-0000-0000-000051580000}"/>
    <cellStyle name="Normal 2 5 5 4 5 3 2" xfId="35104" xr:uid="{00000000-0005-0000-0000-000052580000}"/>
    <cellStyle name="Normal 2 5 5 4 5 4" xfId="18370" xr:uid="{00000000-0005-0000-0000-000053580000}"/>
    <cellStyle name="Normal 2 5 5 4 5 4 2" xfId="43923" xr:uid="{00000000-0005-0000-0000-000054580000}"/>
    <cellStyle name="Normal 2 5 5 4 5 5" xfId="29860" xr:uid="{00000000-0005-0000-0000-000055580000}"/>
    <cellStyle name="Normal 2 5 5 4 6" xfId="1560" xr:uid="{00000000-0005-0000-0000-000056580000}"/>
    <cellStyle name="Normal 2 5 5 4 6 2" xfId="10937" xr:uid="{00000000-0005-0000-0000-000057580000}"/>
    <cellStyle name="Normal 2 5 5 4 6 2 2" xfId="36492" xr:uid="{00000000-0005-0000-0000-000058580000}"/>
    <cellStyle name="Normal 2 5 5 4 6 3" xfId="20941" xr:uid="{00000000-0005-0000-0000-000059580000}"/>
    <cellStyle name="Normal 2 5 5 4 6 3 2" xfId="46494" xr:uid="{00000000-0005-0000-0000-00005A580000}"/>
    <cellStyle name="Normal 2 5 5 4 6 4" xfId="27424" xr:uid="{00000000-0005-0000-0000-00005B580000}"/>
    <cellStyle name="Normal 2 5 5 4 7" xfId="5744" xr:uid="{00000000-0005-0000-0000-00005C580000}"/>
    <cellStyle name="Normal 2 5 5 4 7 2" xfId="14571" xr:uid="{00000000-0005-0000-0000-00005D580000}"/>
    <cellStyle name="Normal 2 5 5 4 7 2 2" xfId="40126" xr:uid="{00000000-0005-0000-0000-00005E580000}"/>
    <cellStyle name="Normal 2 5 5 4 7 3" xfId="24822" xr:uid="{00000000-0005-0000-0000-00005F580000}"/>
    <cellStyle name="Normal 2 5 5 4 7 3 2" xfId="50375" xr:uid="{00000000-0005-0000-0000-000060580000}"/>
    <cellStyle name="Normal 2 5 5 4 7 4" xfId="31305" xr:uid="{00000000-0005-0000-0000-000061580000}"/>
    <cellStyle name="Normal 2 5 5 4 8" xfId="7188" xr:uid="{00000000-0005-0000-0000-000062580000}"/>
    <cellStyle name="Normal 2 5 5 4 8 2" xfId="19914" xr:uid="{00000000-0005-0000-0000-000063580000}"/>
    <cellStyle name="Normal 2 5 5 4 8 2 2" xfId="45467" xr:uid="{00000000-0005-0000-0000-000064580000}"/>
    <cellStyle name="Normal 2 5 5 4 8 3" xfId="32745" xr:uid="{00000000-0005-0000-0000-000065580000}"/>
    <cellStyle name="Normal 2 5 5 4 9" xfId="15934" xr:uid="{00000000-0005-0000-0000-000066580000}"/>
    <cellStyle name="Normal 2 5 5 4 9 2" xfId="41487" xr:uid="{00000000-0005-0000-0000-000067580000}"/>
    <cellStyle name="Normal 2 5 5 4_Degree data" xfId="3855" xr:uid="{00000000-0005-0000-0000-000068580000}"/>
    <cellStyle name="Normal 2 5 5 5" xfId="309" xr:uid="{00000000-0005-0000-0000-000069580000}"/>
    <cellStyle name="Normal 2 5 5 5 2" xfId="2795" xr:uid="{00000000-0005-0000-0000-00006A580000}"/>
    <cellStyle name="Normal 2 5 5 5 2 2" xfId="12099" xr:uid="{00000000-0005-0000-0000-00006B580000}"/>
    <cellStyle name="Normal 2 5 5 5 2 2 2" xfId="22156" xr:uid="{00000000-0005-0000-0000-00006C580000}"/>
    <cellStyle name="Normal 2 5 5 5 2 2 2 2" xfId="47709" xr:uid="{00000000-0005-0000-0000-00006D580000}"/>
    <cellStyle name="Normal 2 5 5 5 2 2 3" xfId="37654" xr:uid="{00000000-0005-0000-0000-00006E580000}"/>
    <cellStyle name="Normal 2 5 5 5 2 3" xfId="8396" xr:uid="{00000000-0005-0000-0000-00006F580000}"/>
    <cellStyle name="Normal 2 5 5 5 2 3 2" xfId="33953" xr:uid="{00000000-0005-0000-0000-000070580000}"/>
    <cellStyle name="Normal 2 5 5 5 2 4" xfId="17149" xr:uid="{00000000-0005-0000-0000-000071580000}"/>
    <cellStyle name="Normal 2 5 5 5 2 4 2" xfId="42702" xr:uid="{00000000-0005-0000-0000-000072580000}"/>
    <cellStyle name="Normal 2 5 5 5 2 5" xfId="28639" xr:uid="{00000000-0005-0000-0000-000073580000}"/>
    <cellStyle name="Normal 2 5 5 5 3" xfId="4582" xr:uid="{00000000-0005-0000-0000-000074580000}"/>
    <cellStyle name="Normal 2 5 5 5 3 2" xfId="13420" xr:uid="{00000000-0005-0000-0000-000075580000}"/>
    <cellStyle name="Normal 2 5 5 5 3 2 2" xfId="23671" xr:uid="{00000000-0005-0000-0000-000076580000}"/>
    <cellStyle name="Normal 2 5 5 5 3 2 2 2" xfId="49224" xr:uid="{00000000-0005-0000-0000-000077580000}"/>
    <cellStyle name="Normal 2 5 5 5 3 2 3" xfId="38975" xr:uid="{00000000-0005-0000-0000-000078580000}"/>
    <cellStyle name="Normal 2 5 5 5 3 3" xfId="9841" xr:uid="{00000000-0005-0000-0000-000079580000}"/>
    <cellStyle name="Normal 2 5 5 5 3 3 2" xfId="35398" xr:uid="{00000000-0005-0000-0000-00007A580000}"/>
    <cellStyle name="Normal 2 5 5 5 3 4" xfId="18664" xr:uid="{00000000-0005-0000-0000-00007B580000}"/>
    <cellStyle name="Normal 2 5 5 5 3 4 2" xfId="44217" xr:uid="{00000000-0005-0000-0000-00007C580000}"/>
    <cellStyle name="Normal 2 5 5 5 3 5" xfId="30154" xr:uid="{00000000-0005-0000-0000-00007D580000}"/>
    <cellStyle name="Normal 2 5 5 5 4" xfId="1904" xr:uid="{00000000-0005-0000-0000-00007E580000}"/>
    <cellStyle name="Normal 2 5 5 5 4 2" xfId="11269" xr:uid="{00000000-0005-0000-0000-00007F580000}"/>
    <cellStyle name="Normal 2 5 5 5 4 2 2" xfId="36824" xr:uid="{00000000-0005-0000-0000-000080580000}"/>
    <cellStyle name="Normal 2 5 5 5 4 3" xfId="21273" xr:uid="{00000000-0005-0000-0000-000081580000}"/>
    <cellStyle name="Normal 2 5 5 5 4 3 2" xfId="46826" xr:uid="{00000000-0005-0000-0000-000082580000}"/>
    <cellStyle name="Normal 2 5 5 5 4 4" xfId="27756" xr:uid="{00000000-0005-0000-0000-000083580000}"/>
    <cellStyle name="Normal 2 5 5 5 5" xfId="6038" xr:uid="{00000000-0005-0000-0000-000084580000}"/>
    <cellStyle name="Normal 2 5 5 5 5 2" xfId="14865" xr:uid="{00000000-0005-0000-0000-000085580000}"/>
    <cellStyle name="Normal 2 5 5 5 5 2 2" xfId="40420" xr:uid="{00000000-0005-0000-0000-000086580000}"/>
    <cellStyle name="Normal 2 5 5 5 5 3" xfId="25116" xr:uid="{00000000-0005-0000-0000-000087580000}"/>
    <cellStyle name="Normal 2 5 5 5 5 3 2" xfId="50669" xr:uid="{00000000-0005-0000-0000-000088580000}"/>
    <cellStyle name="Normal 2 5 5 5 5 4" xfId="31599" xr:uid="{00000000-0005-0000-0000-000089580000}"/>
    <cellStyle name="Normal 2 5 5 5 6" xfId="7482" xr:uid="{00000000-0005-0000-0000-00008A580000}"/>
    <cellStyle name="Normal 2 5 5 5 6 2" xfId="19755" xr:uid="{00000000-0005-0000-0000-00008B580000}"/>
    <cellStyle name="Normal 2 5 5 5 6 2 2" xfId="45308" xr:uid="{00000000-0005-0000-0000-00008C580000}"/>
    <cellStyle name="Normal 2 5 5 5 6 3" xfId="33039" xr:uid="{00000000-0005-0000-0000-00008D580000}"/>
    <cellStyle name="Normal 2 5 5 5 7" xfId="16266" xr:uid="{00000000-0005-0000-0000-00008E580000}"/>
    <cellStyle name="Normal 2 5 5 5 7 2" xfId="41819" xr:uid="{00000000-0005-0000-0000-00008F580000}"/>
    <cellStyle name="Normal 2 5 5 5 8" xfId="26238" xr:uid="{00000000-0005-0000-0000-000090580000}"/>
    <cellStyle name="Normal 2 5 5 6" xfId="767" xr:uid="{00000000-0005-0000-0000-000091580000}"/>
    <cellStyle name="Normal 2 5 5 6 2" xfId="3253" xr:uid="{00000000-0005-0000-0000-000092580000}"/>
    <cellStyle name="Normal 2 5 5 6 2 2" xfId="12395" xr:uid="{00000000-0005-0000-0000-000093580000}"/>
    <cellStyle name="Normal 2 5 5 6 2 2 2" xfId="22614" xr:uid="{00000000-0005-0000-0000-000094580000}"/>
    <cellStyle name="Normal 2 5 5 6 2 2 2 2" xfId="48167" xr:uid="{00000000-0005-0000-0000-000095580000}"/>
    <cellStyle name="Normal 2 5 5 6 2 2 3" xfId="37950" xr:uid="{00000000-0005-0000-0000-000096580000}"/>
    <cellStyle name="Normal 2 5 5 6 2 3" xfId="8817" xr:uid="{00000000-0005-0000-0000-000097580000}"/>
    <cellStyle name="Normal 2 5 5 6 2 3 2" xfId="34374" xr:uid="{00000000-0005-0000-0000-000098580000}"/>
    <cellStyle name="Normal 2 5 5 6 2 4" xfId="17607" xr:uid="{00000000-0005-0000-0000-000099580000}"/>
    <cellStyle name="Normal 2 5 5 6 2 4 2" xfId="43160" xr:uid="{00000000-0005-0000-0000-00009A580000}"/>
    <cellStyle name="Normal 2 5 5 6 2 5" xfId="29097" xr:uid="{00000000-0005-0000-0000-00009B580000}"/>
    <cellStyle name="Normal 2 5 5 6 3" xfId="4931" xr:uid="{00000000-0005-0000-0000-00009C580000}"/>
    <cellStyle name="Normal 2 5 5 6 3 2" xfId="13768" xr:uid="{00000000-0005-0000-0000-00009D580000}"/>
    <cellStyle name="Normal 2 5 5 6 3 2 2" xfId="24019" xr:uid="{00000000-0005-0000-0000-00009E580000}"/>
    <cellStyle name="Normal 2 5 5 6 3 2 2 2" xfId="49572" xr:uid="{00000000-0005-0000-0000-00009F580000}"/>
    <cellStyle name="Normal 2 5 5 6 3 2 3" xfId="39323" xr:uid="{00000000-0005-0000-0000-0000A0580000}"/>
    <cellStyle name="Normal 2 5 5 6 3 3" xfId="10189" xr:uid="{00000000-0005-0000-0000-0000A1580000}"/>
    <cellStyle name="Normal 2 5 5 6 3 3 2" xfId="35746" xr:uid="{00000000-0005-0000-0000-0000A2580000}"/>
    <cellStyle name="Normal 2 5 5 6 3 4" xfId="19012" xr:uid="{00000000-0005-0000-0000-0000A3580000}"/>
    <cellStyle name="Normal 2 5 5 6 3 4 2" xfId="44565" xr:uid="{00000000-0005-0000-0000-0000A4580000}"/>
    <cellStyle name="Normal 2 5 5 6 3 5" xfId="30502" xr:uid="{00000000-0005-0000-0000-0000A5580000}"/>
    <cellStyle name="Normal 2 5 5 6 4" xfId="2362" xr:uid="{00000000-0005-0000-0000-0000A6580000}"/>
    <cellStyle name="Normal 2 5 5 6 4 2" xfId="11727" xr:uid="{00000000-0005-0000-0000-0000A7580000}"/>
    <cellStyle name="Normal 2 5 5 6 4 2 2" xfId="37282" xr:uid="{00000000-0005-0000-0000-0000A8580000}"/>
    <cellStyle name="Normal 2 5 5 6 4 3" xfId="21731" xr:uid="{00000000-0005-0000-0000-0000A9580000}"/>
    <cellStyle name="Normal 2 5 5 6 4 3 2" xfId="47284" xr:uid="{00000000-0005-0000-0000-0000AA580000}"/>
    <cellStyle name="Normal 2 5 5 6 4 4" xfId="28214" xr:uid="{00000000-0005-0000-0000-0000AB580000}"/>
    <cellStyle name="Normal 2 5 5 6 5" xfId="6386" xr:uid="{00000000-0005-0000-0000-0000AC580000}"/>
    <cellStyle name="Normal 2 5 5 6 5 2" xfId="15213" xr:uid="{00000000-0005-0000-0000-0000AD580000}"/>
    <cellStyle name="Normal 2 5 5 6 5 2 2" xfId="40768" xr:uid="{00000000-0005-0000-0000-0000AE580000}"/>
    <cellStyle name="Normal 2 5 5 6 5 3" xfId="25464" xr:uid="{00000000-0005-0000-0000-0000AF580000}"/>
    <cellStyle name="Normal 2 5 5 6 5 3 2" xfId="51017" xr:uid="{00000000-0005-0000-0000-0000B0580000}"/>
    <cellStyle name="Normal 2 5 5 6 5 4" xfId="31947" xr:uid="{00000000-0005-0000-0000-0000B1580000}"/>
    <cellStyle name="Normal 2 5 5 6 6" xfId="7832" xr:uid="{00000000-0005-0000-0000-0000B2580000}"/>
    <cellStyle name="Normal 2 5 5 6 6 2" xfId="20213" xr:uid="{00000000-0005-0000-0000-0000B3580000}"/>
    <cellStyle name="Normal 2 5 5 6 6 2 2" xfId="45766" xr:uid="{00000000-0005-0000-0000-0000B4580000}"/>
    <cellStyle name="Normal 2 5 5 6 6 3" xfId="33389" xr:uid="{00000000-0005-0000-0000-0000B5580000}"/>
    <cellStyle name="Normal 2 5 5 6 7" xfId="16724" xr:uid="{00000000-0005-0000-0000-0000B6580000}"/>
    <cellStyle name="Normal 2 5 5 6 7 2" xfId="42277" xr:uid="{00000000-0005-0000-0000-0000B7580000}"/>
    <cellStyle name="Normal 2 5 5 6 8" xfId="26696" xr:uid="{00000000-0005-0000-0000-0000B8580000}"/>
    <cellStyle name="Normal 2 5 5 7" xfId="1081" xr:uid="{00000000-0005-0000-0000-0000B9580000}"/>
    <cellStyle name="Normal 2 5 5 7 2" xfId="3510" xr:uid="{00000000-0005-0000-0000-0000BA580000}"/>
    <cellStyle name="Normal 2 5 5 7 2 2" xfId="12646" xr:uid="{00000000-0005-0000-0000-0000BB580000}"/>
    <cellStyle name="Normal 2 5 5 7 2 2 2" xfId="22865" xr:uid="{00000000-0005-0000-0000-0000BC580000}"/>
    <cellStyle name="Normal 2 5 5 7 2 2 2 2" xfId="48418" xr:uid="{00000000-0005-0000-0000-0000BD580000}"/>
    <cellStyle name="Normal 2 5 5 7 2 2 3" xfId="38201" xr:uid="{00000000-0005-0000-0000-0000BE580000}"/>
    <cellStyle name="Normal 2 5 5 7 2 3" xfId="9068" xr:uid="{00000000-0005-0000-0000-0000BF580000}"/>
    <cellStyle name="Normal 2 5 5 7 2 3 2" xfId="34625" xr:uid="{00000000-0005-0000-0000-0000C0580000}"/>
    <cellStyle name="Normal 2 5 5 7 2 4" xfId="17858" xr:uid="{00000000-0005-0000-0000-0000C1580000}"/>
    <cellStyle name="Normal 2 5 5 7 2 4 2" xfId="43411" xr:uid="{00000000-0005-0000-0000-0000C2580000}"/>
    <cellStyle name="Normal 2 5 5 7 2 5" xfId="29348" xr:uid="{00000000-0005-0000-0000-0000C3580000}"/>
    <cellStyle name="Normal 2 5 5 7 3" xfId="5173" xr:uid="{00000000-0005-0000-0000-0000C4580000}"/>
    <cellStyle name="Normal 2 5 5 7 3 2" xfId="14010" xr:uid="{00000000-0005-0000-0000-0000C5580000}"/>
    <cellStyle name="Normal 2 5 5 7 3 2 2" xfId="24261" xr:uid="{00000000-0005-0000-0000-0000C6580000}"/>
    <cellStyle name="Normal 2 5 5 7 3 2 2 2" xfId="49814" xr:uid="{00000000-0005-0000-0000-0000C7580000}"/>
    <cellStyle name="Normal 2 5 5 7 3 2 3" xfId="39565" xr:uid="{00000000-0005-0000-0000-0000C8580000}"/>
    <cellStyle name="Normal 2 5 5 7 3 3" xfId="10431" xr:uid="{00000000-0005-0000-0000-0000C9580000}"/>
    <cellStyle name="Normal 2 5 5 7 3 3 2" xfId="35988" xr:uid="{00000000-0005-0000-0000-0000CA580000}"/>
    <cellStyle name="Normal 2 5 5 7 3 4" xfId="19254" xr:uid="{00000000-0005-0000-0000-0000CB580000}"/>
    <cellStyle name="Normal 2 5 5 7 3 4 2" xfId="44807" xr:uid="{00000000-0005-0000-0000-0000CC580000}"/>
    <cellStyle name="Normal 2 5 5 7 3 5" xfId="30744" xr:uid="{00000000-0005-0000-0000-0000CD580000}"/>
    <cellStyle name="Normal 2 5 5 7 4" xfId="1739" xr:uid="{00000000-0005-0000-0000-0000CE580000}"/>
    <cellStyle name="Normal 2 5 5 7 4 2" xfId="11110" xr:uid="{00000000-0005-0000-0000-0000CF580000}"/>
    <cellStyle name="Normal 2 5 5 7 4 2 2" xfId="36665" xr:uid="{00000000-0005-0000-0000-0000D0580000}"/>
    <cellStyle name="Normal 2 5 5 7 4 3" xfId="21114" xr:uid="{00000000-0005-0000-0000-0000D1580000}"/>
    <cellStyle name="Normal 2 5 5 7 4 3 2" xfId="46667" xr:uid="{00000000-0005-0000-0000-0000D2580000}"/>
    <cellStyle name="Normal 2 5 5 7 4 4" xfId="27597" xr:uid="{00000000-0005-0000-0000-0000D3580000}"/>
    <cellStyle name="Normal 2 5 5 7 5" xfId="6628" xr:uid="{00000000-0005-0000-0000-0000D4580000}"/>
    <cellStyle name="Normal 2 5 5 7 5 2" xfId="15455" xr:uid="{00000000-0005-0000-0000-0000D5580000}"/>
    <cellStyle name="Normal 2 5 5 7 5 2 2" xfId="41010" xr:uid="{00000000-0005-0000-0000-0000D6580000}"/>
    <cellStyle name="Normal 2 5 5 7 5 3" xfId="25706" xr:uid="{00000000-0005-0000-0000-0000D7580000}"/>
    <cellStyle name="Normal 2 5 5 7 5 3 2" xfId="51259" xr:uid="{00000000-0005-0000-0000-0000D8580000}"/>
    <cellStyle name="Normal 2 5 5 7 5 4" xfId="32189" xr:uid="{00000000-0005-0000-0000-0000D9580000}"/>
    <cellStyle name="Normal 2 5 5 7 6" xfId="8074" xr:uid="{00000000-0005-0000-0000-0000DA580000}"/>
    <cellStyle name="Normal 2 5 5 7 6 2" xfId="20464" xr:uid="{00000000-0005-0000-0000-0000DB580000}"/>
    <cellStyle name="Normal 2 5 5 7 6 2 2" xfId="46017" xr:uid="{00000000-0005-0000-0000-0000DC580000}"/>
    <cellStyle name="Normal 2 5 5 7 6 3" xfId="33631" xr:uid="{00000000-0005-0000-0000-0000DD580000}"/>
    <cellStyle name="Normal 2 5 5 7 7" xfId="16107" xr:uid="{00000000-0005-0000-0000-0000DE580000}"/>
    <cellStyle name="Normal 2 5 5 7 7 2" xfId="41660" xr:uid="{00000000-0005-0000-0000-0000DF580000}"/>
    <cellStyle name="Normal 2 5 5 7 8" xfId="26947" xr:uid="{00000000-0005-0000-0000-0000E0580000}"/>
    <cellStyle name="Normal 2 5 5 8" xfId="2637" xr:uid="{00000000-0005-0000-0000-0000E1580000}"/>
    <cellStyle name="Normal 2 5 5 8 2" xfId="5585" xr:uid="{00000000-0005-0000-0000-0000E2580000}"/>
    <cellStyle name="Normal 2 5 5 8 2 2" xfId="14412" xr:uid="{00000000-0005-0000-0000-0000E3580000}"/>
    <cellStyle name="Normal 2 5 5 8 2 2 2" xfId="39967" xr:uid="{00000000-0005-0000-0000-0000E4580000}"/>
    <cellStyle name="Normal 2 5 5 8 2 3" xfId="24663" xr:uid="{00000000-0005-0000-0000-0000E5580000}"/>
    <cellStyle name="Normal 2 5 5 8 2 3 2" xfId="50216" xr:uid="{00000000-0005-0000-0000-0000E6580000}"/>
    <cellStyle name="Normal 2 5 5 8 2 4" xfId="31146" xr:uid="{00000000-0005-0000-0000-0000E7580000}"/>
    <cellStyle name="Normal 2 5 5 8 3" xfId="7029" xr:uid="{00000000-0005-0000-0000-0000E8580000}"/>
    <cellStyle name="Normal 2 5 5 8 3 2" xfId="21998" xr:uid="{00000000-0005-0000-0000-0000E9580000}"/>
    <cellStyle name="Normal 2 5 5 8 3 2 2" xfId="47551" xr:uid="{00000000-0005-0000-0000-0000EA580000}"/>
    <cellStyle name="Normal 2 5 5 8 3 3" xfId="32586" xr:uid="{00000000-0005-0000-0000-0000EB580000}"/>
    <cellStyle name="Normal 2 5 5 8 4" xfId="16991" xr:uid="{00000000-0005-0000-0000-0000EC580000}"/>
    <cellStyle name="Normal 2 5 5 8 4 2" xfId="42544" xr:uid="{00000000-0005-0000-0000-0000ED580000}"/>
    <cellStyle name="Normal 2 5 5 8 5" xfId="28481" xr:uid="{00000000-0005-0000-0000-0000EE580000}"/>
    <cellStyle name="Normal 2 5 5 9" xfId="4127" xr:uid="{00000000-0005-0000-0000-0000EF580000}"/>
    <cellStyle name="Normal 2 5 5 9 2" xfId="12965" xr:uid="{00000000-0005-0000-0000-0000F0580000}"/>
    <cellStyle name="Normal 2 5 5 9 2 2" xfId="23216" xr:uid="{00000000-0005-0000-0000-0000F1580000}"/>
    <cellStyle name="Normal 2 5 5 9 2 2 2" xfId="48769" xr:uid="{00000000-0005-0000-0000-0000F2580000}"/>
    <cellStyle name="Normal 2 5 5 9 2 3" xfId="38520" xr:uid="{00000000-0005-0000-0000-0000F3580000}"/>
    <cellStyle name="Normal 2 5 5 9 3" xfId="9386" xr:uid="{00000000-0005-0000-0000-0000F4580000}"/>
    <cellStyle name="Normal 2 5 5 9 3 2" xfId="34943" xr:uid="{00000000-0005-0000-0000-0000F5580000}"/>
    <cellStyle name="Normal 2 5 5 9 4" xfId="18209" xr:uid="{00000000-0005-0000-0000-0000F6580000}"/>
    <cellStyle name="Normal 2 5 5 9 4 2" xfId="43762" xr:uid="{00000000-0005-0000-0000-0000F7580000}"/>
    <cellStyle name="Normal 2 5 5 9 5" xfId="29699" xr:uid="{00000000-0005-0000-0000-0000F8580000}"/>
    <cellStyle name="Normal 2 5 5_Degree data" xfId="3863" xr:uid="{00000000-0005-0000-0000-0000F9580000}"/>
    <cellStyle name="Normal 2 5 6" xfId="174" xr:uid="{00000000-0005-0000-0000-0000FA580000}"/>
    <cellStyle name="Normal 2 5 6 10" xfId="7122" xr:uid="{00000000-0005-0000-0000-0000FB580000}"/>
    <cellStyle name="Normal 2 5 6 10 2" xfId="19631" xr:uid="{00000000-0005-0000-0000-0000FC580000}"/>
    <cellStyle name="Normal 2 5 6 10 2 2" xfId="45184" xr:uid="{00000000-0005-0000-0000-0000FD580000}"/>
    <cellStyle name="Normal 2 5 6 10 3" xfId="32679" xr:uid="{00000000-0005-0000-0000-0000FE580000}"/>
    <cellStyle name="Normal 2 5 6 11" xfId="15868" xr:uid="{00000000-0005-0000-0000-0000FF580000}"/>
    <cellStyle name="Normal 2 5 6 11 2" xfId="41421" xr:uid="{00000000-0005-0000-0000-000000590000}"/>
    <cellStyle name="Normal 2 5 6 12" xfId="26114" xr:uid="{00000000-0005-0000-0000-000001590000}"/>
    <cellStyle name="Normal 2 5 6 2" xfId="502" xr:uid="{00000000-0005-0000-0000-000002590000}"/>
    <cellStyle name="Normal 2 5 6 2 10" xfId="26431" xr:uid="{00000000-0005-0000-0000-000003590000}"/>
    <cellStyle name="Normal 2 5 6 2 2" xfId="774" xr:uid="{00000000-0005-0000-0000-000004590000}"/>
    <cellStyle name="Normal 2 5 6 2 2 2" xfId="3260" xr:uid="{00000000-0005-0000-0000-000005590000}"/>
    <cellStyle name="Normal 2 5 6 2 2 2 2" xfId="12402" xr:uid="{00000000-0005-0000-0000-000006590000}"/>
    <cellStyle name="Normal 2 5 6 2 2 2 2 2" xfId="22621" xr:uid="{00000000-0005-0000-0000-000007590000}"/>
    <cellStyle name="Normal 2 5 6 2 2 2 2 2 2" xfId="48174" xr:uid="{00000000-0005-0000-0000-000008590000}"/>
    <cellStyle name="Normal 2 5 6 2 2 2 2 3" xfId="37957" xr:uid="{00000000-0005-0000-0000-000009590000}"/>
    <cellStyle name="Normal 2 5 6 2 2 2 3" xfId="8824" xr:uid="{00000000-0005-0000-0000-00000A590000}"/>
    <cellStyle name="Normal 2 5 6 2 2 2 3 2" xfId="34381" xr:uid="{00000000-0005-0000-0000-00000B590000}"/>
    <cellStyle name="Normal 2 5 6 2 2 2 4" xfId="17614" xr:uid="{00000000-0005-0000-0000-00000C590000}"/>
    <cellStyle name="Normal 2 5 6 2 2 2 4 2" xfId="43167" xr:uid="{00000000-0005-0000-0000-00000D590000}"/>
    <cellStyle name="Normal 2 5 6 2 2 2 5" xfId="29104" xr:uid="{00000000-0005-0000-0000-00000E590000}"/>
    <cellStyle name="Normal 2 5 6 2 2 3" xfId="4589" xr:uid="{00000000-0005-0000-0000-00000F590000}"/>
    <cellStyle name="Normal 2 5 6 2 2 3 2" xfId="13427" xr:uid="{00000000-0005-0000-0000-000010590000}"/>
    <cellStyle name="Normal 2 5 6 2 2 3 2 2" xfId="23678" xr:uid="{00000000-0005-0000-0000-000011590000}"/>
    <cellStyle name="Normal 2 5 6 2 2 3 2 2 2" xfId="49231" xr:uid="{00000000-0005-0000-0000-000012590000}"/>
    <cellStyle name="Normal 2 5 6 2 2 3 2 3" xfId="38982" xr:uid="{00000000-0005-0000-0000-000013590000}"/>
    <cellStyle name="Normal 2 5 6 2 2 3 3" xfId="9848" xr:uid="{00000000-0005-0000-0000-000014590000}"/>
    <cellStyle name="Normal 2 5 6 2 2 3 3 2" xfId="35405" xr:uid="{00000000-0005-0000-0000-000015590000}"/>
    <cellStyle name="Normal 2 5 6 2 2 3 4" xfId="18671" xr:uid="{00000000-0005-0000-0000-000016590000}"/>
    <cellStyle name="Normal 2 5 6 2 2 3 4 2" xfId="44224" xr:uid="{00000000-0005-0000-0000-000017590000}"/>
    <cellStyle name="Normal 2 5 6 2 2 3 5" xfId="30161" xr:uid="{00000000-0005-0000-0000-000018590000}"/>
    <cellStyle name="Normal 2 5 6 2 2 4" xfId="2369" xr:uid="{00000000-0005-0000-0000-000019590000}"/>
    <cellStyle name="Normal 2 5 6 2 2 4 2" xfId="11734" xr:uid="{00000000-0005-0000-0000-00001A590000}"/>
    <cellStyle name="Normal 2 5 6 2 2 4 2 2" xfId="37289" xr:uid="{00000000-0005-0000-0000-00001B590000}"/>
    <cellStyle name="Normal 2 5 6 2 2 4 3" xfId="21738" xr:uid="{00000000-0005-0000-0000-00001C590000}"/>
    <cellStyle name="Normal 2 5 6 2 2 4 3 2" xfId="47291" xr:uid="{00000000-0005-0000-0000-00001D590000}"/>
    <cellStyle name="Normal 2 5 6 2 2 4 4" xfId="28221" xr:uid="{00000000-0005-0000-0000-00001E590000}"/>
    <cellStyle name="Normal 2 5 6 2 2 5" xfId="6045" xr:uid="{00000000-0005-0000-0000-00001F590000}"/>
    <cellStyle name="Normal 2 5 6 2 2 5 2" xfId="14872" xr:uid="{00000000-0005-0000-0000-000020590000}"/>
    <cellStyle name="Normal 2 5 6 2 2 5 2 2" xfId="40427" xr:uid="{00000000-0005-0000-0000-000021590000}"/>
    <cellStyle name="Normal 2 5 6 2 2 5 3" xfId="25123" xr:uid="{00000000-0005-0000-0000-000022590000}"/>
    <cellStyle name="Normal 2 5 6 2 2 5 3 2" xfId="50676" xr:uid="{00000000-0005-0000-0000-000023590000}"/>
    <cellStyle name="Normal 2 5 6 2 2 5 4" xfId="31606" xr:uid="{00000000-0005-0000-0000-000024590000}"/>
    <cellStyle name="Normal 2 5 6 2 2 6" xfId="7489" xr:uid="{00000000-0005-0000-0000-000025590000}"/>
    <cellStyle name="Normal 2 5 6 2 2 6 2" xfId="20220" xr:uid="{00000000-0005-0000-0000-000026590000}"/>
    <cellStyle name="Normal 2 5 6 2 2 6 2 2" xfId="45773" xr:uid="{00000000-0005-0000-0000-000027590000}"/>
    <cellStyle name="Normal 2 5 6 2 2 6 3" xfId="33046" xr:uid="{00000000-0005-0000-0000-000028590000}"/>
    <cellStyle name="Normal 2 5 6 2 2 7" xfId="16731" xr:uid="{00000000-0005-0000-0000-000029590000}"/>
    <cellStyle name="Normal 2 5 6 2 2 7 2" xfId="42284" xr:uid="{00000000-0005-0000-0000-00002A590000}"/>
    <cellStyle name="Normal 2 5 6 2 2 8" xfId="26703" xr:uid="{00000000-0005-0000-0000-00002B590000}"/>
    <cellStyle name="Normal 2 5 6 2 3" xfId="1274" xr:uid="{00000000-0005-0000-0000-00002C590000}"/>
    <cellStyle name="Normal 2 5 6 2 3 2" xfId="3703" xr:uid="{00000000-0005-0000-0000-00002D590000}"/>
    <cellStyle name="Normal 2 5 6 2 3 2 2" xfId="12839" xr:uid="{00000000-0005-0000-0000-00002E590000}"/>
    <cellStyle name="Normal 2 5 6 2 3 2 2 2" xfId="23058" xr:uid="{00000000-0005-0000-0000-00002F590000}"/>
    <cellStyle name="Normal 2 5 6 2 3 2 2 2 2" xfId="48611" xr:uid="{00000000-0005-0000-0000-000030590000}"/>
    <cellStyle name="Normal 2 5 6 2 3 2 2 3" xfId="38394" xr:uid="{00000000-0005-0000-0000-000031590000}"/>
    <cellStyle name="Normal 2 5 6 2 3 2 3" xfId="9260" xr:uid="{00000000-0005-0000-0000-000032590000}"/>
    <cellStyle name="Normal 2 5 6 2 3 2 3 2" xfId="34817" xr:uid="{00000000-0005-0000-0000-000033590000}"/>
    <cellStyle name="Normal 2 5 6 2 3 2 4" xfId="18051" xr:uid="{00000000-0005-0000-0000-000034590000}"/>
    <cellStyle name="Normal 2 5 6 2 3 2 4 2" xfId="43604" xr:uid="{00000000-0005-0000-0000-000035590000}"/>
    <cellStyle name="Normal 2 5 6 2 3 2 5" xfId="29541" xr:uid="{00000000-0005-0000-0000-000036590000}"/>
    <cellStyle name="Normal 2 5 6 2 3 3" xfId="4938" xr:uid="{00000000-0005-0000-0000-000037590000}"/>
    <cellStyle name="Normal 2 5 6 2 3 3 2" xfId="13775" xr:uid="{00000000-0005-0000-0000-000038590000}"/>
    <cellStyle name="Normal 2 5 6 2 3 3 2 2" xfId="24026" xr:uid="{00000000-0005-0000-0000-000039590000}"/>
    <cellStyle name="Normal 2 5 6 2 3 3 2 2 2" xfId="49579" xr:uid="{00000000-0005-0000-0000-00003A590000}"/>
    <cellStyle name="Normal 2 5 6 2 3 3 2 3" xfId="39330" xr:uid="{00000000-0005-0000-0000-00003B590000}"/>
    <cellStyle name="Normal 2 5 6 2 3 3 3" xfId="10196" xr:uid="{00000000-0005-0000-0000-00003C590000}"/>
    <cellStyle name="Normal 2 5 6 2 3 3 3 2" xfId="35753" xr:uid="{00000000-0005-0000-0000-00003D590000}"/>
    <cellStyle name="Normal 2 5 6 2 3 3 4" xfId="19019" xr:uid="{00000000-0005-0000-0000-00003E590000}"/>
    <cellStyle name="Normal 2 5 6 2 3 3 4 2" xfId="44572" xr:uid="{00000000-0005-0000-0000-00003F590000}"/>
    <cellStyle name="Normal 2 5 6 2 3 3 5" xfId="30509" xr:uid="{00000000-0005-0000-0000-000040590000}"/>
    <cellStyle name="Normal 2 5 6 2 3 4" xfId="2097" xr:uid="{00000000-0005-0000-0000-000041590000}"/>
    <cellStyle name="Normal 2 5 6 2 3 4 2" xfId="11462" xr:uid="{00000000-0005-0000-0000-000042590000}"/>
    <cellStyle name="Normal 2 5 6 2 3 4 2 2" xfId="37017" xr:uid="{00000000-0005-0000-0000-000043590000}"/>
    <cellStyle name="Normal 2 5 6 2 3 4 3" xfId="21466" xr:uid="{00000000-0005-0000-0000-000044590000}"/>
    <cellStyle name="Normal 2 5 6 2 3 4 3 2" xfId="47019" xr:uid="{00000000-0005-0000-0000-000045590000}"/>
    <cellStyle name="Normal 2 5 6 2 3 4 4" xfId="27949" xr:uid="{00000000-0005-0000-0000-000046590000}"/>
    <cellStyle name="Normal 2 5 6 2 3 5" xfId="6393" xr:uid="{00000000-0005-0000-0000-000047590000}"/>
    <cellStyle name="Normal 2 5 6 2 3 5 2" xfId="15220" xr:uid="{00000000-0005-0000-0000-000048590000}"/>
    <cellStyle name="Normal 2 5 6 2 3 5 2 2" xfId="40775" xr:uid="{00000000-0005-0000-0000-000049590000}"/>
    <cellStyle name="Normal 2 5 6 2 3 5 3" xfId="25471" xr:uid="{00000000-0005-0000-0000-00004A590000}"/>
    <cellStyle name="Normal 2 5 6 2 3 5 3 2" xfId="51024" xr:uid="{00000000-0005-0000-0000-00004B590000}"/>
    <cellStyle name="Normal 2 5 6 2 3 5 4" xfId="31954" xr:uid="{00000000-0005-0000-0000-00004C590000}"/>
    <cellStyle name="Normal 2 5 6 2 3 6" xfId="7839" xr:uid="{00000000-0005-0000-0000-00004D590000}"/>
    <cellStyle name="Normal 2 5 6 2 3 6 2" xfId="20657" xr:uid="{00000000-0005-0000-0000-00004E590000}"/>
    <cellStyle name="Normal 2 5 6 2 3 6 2 2" xfId="46210" xr:uid="{00000000-0005-0000-0000-00004F590000}"/>
    <cellStyle name="Normal 2 5 6 2 3 6 3" xfId="33396" xr:uid="{00000000-0005-0000-0000-000050590000}"/>
    <cellStyle name="Normal 2 5 6 2 3 7" xfId="16459" xr:uid="{00000000-0005-0000-0000-000051590000}"/>
    <cellStyle name="Normal 2 5 6 2 3 7 2" xfId="42012" xr:uid="{00000000-0005-0000-0000-000052590000}"/>
    <cellStyle name="Normal 2 5 6 2 3 8" xfId="27140" xr:uid="{00000000-0005-0000-0000-000053590000}"/>
    <cellStyle name="Normal 2 5 6 2 4" xfId="2988" xr:uid="{00000000-0005-0000-0000-000054590000}"/>
    <cellStyle name="Normal 2 5 6 2 4 2" xfId="5366" xr:uid="{00000000-0005-0000-0000-000055590000}"/>
    <cellStyle name="Normal 2 5 6 2 4 2 2" xfId="14203" xr:uid="{00000000-0005-0000-0000-000056590000}"/>
    <cellStyle name="Normal 2 5 6 2 4 2 2 2" xfId="24454" xr:uid="{00000000-0005-0000-0000-000057590000}"/>
    <cellStyle name="Normal 2 5 6 2 4 2 2 2 2" xfId="50007" xr:uid="{00000000-0005-0000-0000-000058590000}"/>
    <cellStyle name="Normal 2 5 6 2 4 2 2 3" xfId="39758" xr:uid="{00000000-0005-0000-0000-000059590000}"/>
    <cellStyle name="Normal 2 5 6 2 4 2 3" xfId="10624" xr:uid="{00000000-0005-0000-0000-00005A590000}"/>
    <cellStyle name="Normal 2 5 6 2 4 2 3 2" xfId="36181" xr:uid="{00000000-0005-0000-0000-00005B590000}"/>
    <cellStyle name="Normal 2 5 6 2 4 2 4" xfId="19447" xr:uid="{00000000-0005-0000-0000-00005C590000}"/>
    <cellStyle name="Normal 2 5 6 2 4 2 4 2" xfId="45000" xr:uid="{00000000-0005-0000-0000-00005D590000}"/>
    <cellStyle name="Normal 2 5 6 2 4 2 5" xfId="30937" xr:uid="{00000000-0005-0000-0000-00005E590000}"/>
    <cellStyle name="Normal 2 5 6 2 4 3" xfId="6821" xr:uid="{00000000-0005-0000-0000-00005F590000}"/>
    <cellStyle name="Normal 2 5 6 2 4 3 2" xfId="15648" xr:uid="{00000000-0005-0000-0000-000060590000}"/>
    <cellStyle name="Normal 2 5 6 2 4 3 2 2" xfId="41203" xr:uid="{00000000-0005-0000-0000-000061590000}"/>
    <cellStyle name="Normal 2 5 6 2 4 3 3" xfId="25899" xr:uid="{00000000-0005-0000-0000-000062590000}"/>
    <cellStyle name="Normal 2 5 6 2 4 3 3 2" xfId="51452" xr:uid="{00000000-0005-0000-0000-000063590000}"/>
    <cellStyle name="Normal 2 5 6 2 4 3 4" xfId="32382" xr:uid="{00000000-0005-0000-0000-000064590000}"/>
    <cellStyle name="Normal 2 5 6 2 4 4" xfId="8267" xr:uid="{00000000-0005-0000-0000-000065590000}"/>
    <cellStyle name="Normal 2 5 6 2 4 4 2" xfId="22349" xr:uid="{00000000-0005-0000-0000-000066590000}"/>
    <cellStyle name="Normal 2 5 6 2 4 4 2 2" xfId="47902" xr:uid="{00000000-0005-0000-0000-000067590000}"/>
    <cellStyle name="Normal 2 5 6 2 4 4 3" xfId="33824" xr:uid="{00000000-0005-0000-0000-000068590000}"/>
    <cellStyle name="Normal 2 5 6 2 4 5" xfId="17342" xr:uid="{00000000-0005-0000-0000-000069590000}"/>
    <cellStyle name="Normal 2 5 6 2 4 5 2" xfId="42895" xr:uid="{00000000-0005-0000-0000-00006A590000}"/>
    <cellStyle name="Normal 2 5 6 2 4 6" xfId="28832" xr:uid="{00000000-0005-0000-0000-00006B590000}"/>
    <cellStyle name="Normal 2 5 6 2 5" xfId="4322" xr:uid="{00000000-0005-0000-0000-00006C590000}"/>
    <cellStyle name="Normal 2 5 6 2 5 2" xfId="13160" xr:uid="{00000000-0005-0000-0000-00006D590000}"/>
    <cellStyle name="Normal 2 5 6 2 5 2 2" xfId="23411" xr:uid="{00000000-0005-0000-0000-00006E590000}"/>
    <cellStyle name="Normal 2 5 6 2 5 2 2 2" xfId="48964" xr:uid="{00000000-0005-0000-0000-00006F590000}"/>
    <cellStyle name="Normal 2 5 6 2 5 2 3" xfId="38715" xr:uid="{00000000-0005-0000-0000-000070590000}"/>
    <cellStyle name="Normal 2 5 6 2 5 3" xfId="9581" xr:uid="{00000000-0005-0000-0000-000071590000}"/>
    <cellStyle name="Normal 2 5 6 2 5 3 2" xfId="35138" xr:uid="{00000000-0005-0000-0000-000072590000}"/>
    <cellStyle name="Normal 2 5 6 2 5 4" xfId="18404" xr:uid="{00000000-0005-0000-0000-000073590000}"/>
    <cellStyle name="Normal 2 5 6 2 5 4 2" xfId="43957" xr:uid="{00000000-0005-0000-0000-000074590000}"/>
    <cellStyle name="Normal 2 5 6 2 5 5" xfId="29894" xr:uid="{00000000-0005-0000-0000-000075590000}"/>
    <cellStyle name="Normal 2 5 6 2 6" xfId="1594" xr:uid="{00000000-0005-0000-0000-000076590000}"/>
    <cellStyle name="Normal 2 5 6 2 6 2" xfId="10971" xr:uid="{00000000-0005-0000-0000-000077590000}"/>
    <cellStyle name="Normal 2 5 6 2 6 2 2" xfId="36526" xr:uid="{00000000-0005-0000-0000-000078590000}"/>
    <cellStyle name="Normal 2 5 6 2 6 3" xfId="20975" xr:uid="{00000000-0005-0000-0000-000079590000}"/>
    <cellStyle name="Normal 2 5 6 2 6 3 2" xfId="46528" xr:uid="{00000000-0005-0000-0000-00007A590000}"/>
    <cellStyle name="Normal 2 5 6 2 6 4" xfId="27458" xr:uid="{00000000-0005-0000-0000-00007B590000}"/>
    <cellStyle name="Normal 2 5 6 2 7" xfId="5778" xr:uid="{00000000-0005-0000-0000-00007C590000}"/>
    <cellStyle name="Normal 2 5 6 2 7 2" xfId="14605" xr:uid="{00000000-0005-0000-0000-00007D590000}"/>
    <cellStyle name="Normal 2 5 6 2 7 2 2" xfId="40160" xr:uid="{00000000-0005-0000-0000-00007E590000}"/>
    <cellStyle name="Normal 2 5 6 2 7 3" xfId="24856" xr:uid="{00000000-0005-0000-0000-00007F590000}"/>
    <cellStyle name="Normal 2 5 6 2 7 3 2" xfId="50409" xr:uid="{00000000-0005-0000-0000-000080590000}"/>
    <cellStyle name="Normal 2 5 6 2 7 4" xfId="31339" xr:uid="{00000000-0005-0000-0000-000081590000}"/>
    <cellStyle name="Normal 2 5 6 2 8" xfId="7222" xr:uid="{00000000-0005-0000-0000-000082590000}"/>
    <cellStyle name="Normal 2 5 6 2 8 2" xfId="19948" xr:uid="{00000000-0005-0000-0000-000083590000}"/>
    <cellStyle name="Normal 2 5 6 2 8 2 2" xfId="45501" xr:uid="{00000000-0005-0000-0000-000084590000}"/>
    <cellStyle name="Normal 2 5 6 2 8 3" xfId="32779" xr:uid="{00000000-0005-0000-0000-000085590000}"/>
    <cellStyle name="Normal 2 5 6 2 9" xfId="15968" xr:uid="{00000000-0005-0000-0000-000086590000}"/>
    <cellStyle name="Normal 2 5 6 2 9 2" xfId="41521" xr:uid="{00000000-0005-0000-0000-000087590000}"/>
    <cellStyle name="Normal 2 5 6 2_Degree data" xfId="3465" xr:uid="{00000000-0005-0000-0000-000088590000}"/>
    <cellStyle name="Normal 2 5 6 3" xfId="402" xr:uid="{00000000-0005-0000-0000-000089590000}"/>
    <cellStyle name="Normal 2 5 6 3 2" xfId="2888" xr:uid="{00000000-0005-0000-0000-00008A590000}"/>
    <cellStyle name="Normal 2 5 6 3 2 2" xfId="12176" xr:uid="{00000000-0005-0000-0000-00008B590000}"/>
    <cellStyle name="Normal 2 5 6 3 2 2 2" xfId="22249" xr:uid="{00000000-0005-0000-0000-00008C590000}"/>
    <cellStyle name="Normal 2 5 6 3 2 2 2 2" xfId="47802" xr:uid="{00000000-0005-0000-0000-00008D590000}"/>
    <cellStyle name="Normal 2 5 6 3 2 2 3" xfId="37731" xr:uid="{00000000-0005-0000-0000-00008E590000}"/>
    <cellStyle name="Normal 2 5 6 3 2 3" xfId="8515" xr:uid="{00000000-0005-0000-0000-00008F590000}"/>
    <cellStyle name="Normal 2 5 6 3 2 3 2" xfId="34072" xr:uid="{00000000-0005-0000-0000-000090590000}"/>
    <cellStyle name="Normal 2 5 6 3 2 4" xfId="17242" xr:uid="{00000000-0005-0000-0000-000091590000}"/>
    <cellStyle name="Normal 2 5 6 3 2 4 2" xfId="42795" xr:uid="{00000000-0005-0000-0000-000092590000}"/>
    <cellStyle name="Normal 2 5 6 3 2 5" xfId="28732" xr:uid="{00000000-0005-0000-0000-000093590000}"/>
    <cellStyle name="Normal 2 5 6 3 3" xfId="4588" xr:uid="{00000000-0005-0000-0000-000094590000}"/>
    <cellStyle name="Normal 2 5 6 3 3 2" xfId="13426" xr:uid="{00000000-0005-0000-0000-000095590000}"/>
    <cellStyle name="Normal 2 5 6 3 3 2 2" xfId="23677" xr:uid="{00000000-0005-0000-0000-000096590000}"/>
    <cellStyle name="Normal 2 5 6 3 3 2 2 2" xfId="49230" xr:uid="{00000000-0005-0000-0000-000097590000}"/>
    <cellStyle name="Normal 2 5 6 3 3 2 3" xfId="38981" xr:uid="{00000000-0005-0000-0000-000098590000}"/>
    <cellStyle name="Normal 2 5 6 3 3 3" xfId="9847" xr:uid="{00000000-0005-0000-0000-000099590000}"/>
    <cellStyle name="Normal 2 5 6 3 3 3 2" xfId="35404" xr:uid="{00000000-0005-0000-0000-00009A590000}"/>
    <cellStyle name="Normal 2 5 6 3 3 4" xfId="18670" xr:uid="{00000000-0005-0000-0000-00009B590000}"/>
    <cellStyle name="Normal 2 5 6 3 3 4 2" xfId="44223" xr:uid="{00000000-0005-0000-0000-00009C590000}"/>
    <cellStyle name="Normal 2 5 6 3 3 5" xfId="30160" xr:uid="{00000000-0005-0000-0000-00009D590000}"/>
    <cellStyle name="Normal 2 5 6 3 4" xfId="1997" xr:uid="{00000000-0005-0000-0000-00009E590000}"/>
    <cellStyle name="Normal 2 5 6 3 4 2" xfId="11362" xr:uid="{00000000-0005-0000-0000-00009F590000}"/>
    <cellStyle name="Normal 2 5 6 3 4 2 2" xfId="36917" xr:uid="{00000000-0005-0000-0000-0000A0590000}"/>
    <cellStyle name="Normal 2 5 6 3 4 3" xfId="21366" xr:uid="{00000000-0005-0000-0000-0000A1590000}"/>
    <cellStyle name="Normal 2 5 6 3 4 3 2" xfId="46919" xr:uid="{00000000-0005-0000-0000-0000A2590000}"/>
    <cellStyle name="Normal 2 5 6 3 4 4" xfId="27849" xr:uid="{00000000-0005-0000-0000-0000A3590000}"/>
    <cellStyle name="Normal 2 5 6 3 5" xfId="6044" xr:uid="{00000000-0005-0000-0000-0000A4590000}"/>
    <cellStyle name="Normal 2 5 6 3 5 2" xfId="14871" xr:uid="{00000000-0005-0000-0000-0000A5590000}"/>
    <cellStyle name="Normal 2 5 6 3 5 2 2" xfId="40426" xr:uid="{00000000-0005-0000-0000-0000A6590000}"/>
    <cellStyle name="Normal 2 5 6 3 5 3" xfId="25122" xr:uid="{00000000-0005-0000-0000-0000A7590000}"/>
    <cellStyle name="Normal 2 5 6 3 5 3 2" xfId="50675" xr:uid="{00000000-0005-0000-0000-0000A8590000}"/>
    <cellStyle name="Normal 2 5 6 3 5 4" xfId="31605" xr:uid="{00000000-0005-0000-0000-0000A9590000}"/>
    <cellStyle name="Normal 2 5 6 3 6" xfId="7488" xr:uid="{00000000-0005-0000-0000-0000AA590000}"/>
    <cellStyle name="Normal 2 5 6 3 6 2" xfId="19848" xr:uid="{00000000-0005-0000-0000-0000AB590000}"/>
    <cellStyle name="Normal 2 5 6 3 6 2 2" xfId="45401" xr:uid="{00000000-0005-0000-0000-0000AC590000}"/>
    <cellStyle name="Normal 2 5 6 3 6 3" xfId="33045" xr:uid="{00000000-0005-0000-0000-0000AD590000}"/>
    <cellStyle name="Normal 2 5 6 3 7" xfId="16359" xr:uid="{00000000-0005-0000-0000-0000AE590000}"/>
    <cellStyle name="Normal 2 5 6 3 7 2" xfId="41912" xr:uid="{00000000-0005-0000-0000-0000AF590000}"/>
    <cellStyle name="Normal 2 5 6 3 8" xfId="26331" xr:uid="{00000000-0005-0000-0000-0000B0590000}"/>
    <cellStyle name="Normal 2 5 6 4" xfId="773" xr:uid="{00000000-0005-0000-0000-0000B1590000}"/>
    <cellStyle name="Normal 2 5 6 4 2" xfId="3259" xr:uid="{00000000-0005-0000-0000-0000B2590000}"/>
    <cellStyle name="Normal 2 5 6 4 2 2" xfId="12401" xr:uid="{00000000-0005-0000-0000-0000B3590000}"/>
    <cellStyle name="Normal 2 5 6 4 2 2 2" xfId="22620" xr:uid="{00000000-0005-0000-0000-0000B4590000}"/>
    <cellStyle name="Normal 2 5 6 4 2 2 2 2" xfId="48173" xr:uid="{00000000-0005-0000-0000-0000B5590000}"/>
    <cellStyle name="Normal 2 5 6 4 2 2 3" xfId="37956" xr:uid="{00000000-0005-0000-0000-0000B6590000}"/>
    <cellStyle name="Normal 2 5 6 4 2 3" xfId="8823" xr:uid="{00000000-0005-0000-0000-0000B7590000}"/>
    <cellStyle name="Normal 2 5 6 4 2 3 2" xfId="34380" xr:uid="{00000000-0005-0000-0000-0000B8590000}"/>
    <cellStyle name="Normal 2 5 6 4 2 4" xfId="17613" xr:uid="{00000000-0005-0000-0000-0000B9590000}"/>
    <cellStyle name="Normal 2 5 6 4 2 4 2" xfId="43166" xr:uid="{00000000-0005-0000-0000-0000BA590000}"/>
    <cellStyle name="Normal 2 5 6 4 2 5" xfId="29103" xr:uid="{00000000-0005-0000-0000-0000BB590000}"/>
    <cellStyle name="Normal 2 5 6 4 3" xfId="4937" xr:uid="{00000000-0005-0000-0000-0000BC590000}"/>
    <cellStyle name="Normal 2 5 6 4 3 2" xfId="13774" xr:uid="{00000000-0005-0000-0000-0000BD590000}"/>
    <cellStyle name="Normal 2 5 6 4 3 2 2" xfId="24025" xr:uid="{00000000-0005-0000-0000-0000BE590000}"/>
    <cellStyle name="Normal 2 5 6 4 3 2 2 2" xfId="49578" xr:uid="{00000000-0005-0000-0000-0000BF590000}"/>
    <cellStyle name="Normal 2 5 6 4 3 2 3" xfId="39329" xr:uid="{00000000-0005-0000-0000-0000C0590000}"/>
    <cellStyle name="Normal 2 5 6 4 3 3" xfId="10195" xr:uid="{00000000-0005-0000-0000-0000C1590000}"/>
    <cellStyle name="Normal 2 5 6 4 3 3 2" xfId="35752" xr:uid="{00000000-0005-0000-0000-0000C2590000}"/>
    <cellStyle name="Normal 2 5 6 4 3 4" xfId="19018" xr:uid="{00000000-0005-0000-0000-0000C3590000}"/>
    <cellStyle name="Normal 2 5 6 4 3 4 2" xfId="44571" xr:uid="{00000000-0005-0000-0000-0000C4590000}"/>
    <cellStyle name="Normal 2 5 6 4 3 5" xfId="30508" xr:uid="{00000000-0005-0000-0000-0000C5590000}"/>
    <cellStyle name="Normal 2 5 6 4 4" xfId="2368" xr:uid="{00000000-0005-0000-0000-0000C6590000}"/>
    <cellStyle name="Normal 2 5 6 4 4 2" xfId="11733" xr:uid="{00000000-0005-0000-0000-0000C7590000}"/>
    <cellStyle name="Normal 2 5 6 4 4 2 2" xfId="37288" xr:uid="{00000000-0005-0000-0000-0000C8590000}"/>
    <cellStyle name="Normal 2 5 6 4 4 3" xfId="21737" xr:uid="{00000000-0005-0000-0000-0000C9590000}"/>
    <cellStyle name="Normal 2 5 6 4 4 3 2" xfId="47290" xr:uid="{00000000-0005-0000-0000-0000CA590000}"/>
    <cellStyle name="Normal 2 5 6 4 4 4" xfId="28220" xr:uid="{00000000-0005-0000-0000-0000CB590000}"/>
    <cellStyle name="Normal 2 5 6 4 5" xfId="6392" xr:uid="{00000000-0005-0000-0000-0000CC590000}"/>
    <cellStyle name="Normal 2 5 6 4 5 2" xfId="15219" xr:uid="{00000000-0005-0000-0000-0000CD590000}"/>
    <cellStyle name="Normal 2 5 6 4 5 2 2" xfId="40774" xr:uid="{00000000-0005-0000-0000-0000CE590000}"/>
    <cellStyle name="Normal 2 5 6 4 5 3" xfId="25470" xr:uid="{00000000-0005-0000-0000-0000CF590000}"/>
    <cellStyle name="Normal 2 5 6 4 5 3 2" xfId="51023" xr:uid="{00000000-0005-0000-0000-0000D0590000}"/>
    <cellStyle name="Normal 2 5 6 4 5 4" xfId="31953" xr:uid="{00000000-0005-0000-0000-0000D1590000}"/>
    <cellStyle name="Normal 2 5 6 4 6" xfId="7838" xr:uid="{00000000-0005-0000-0000-0000D2590000}"/>
    <cellStyle name="Normal 2 5 6 4 6 2" xfId="20219" xr:uid="{00000000-0005-0000-0000-0000D3590000}"/>
    <cellStyle name="Normal 2 5 6 4 6 2 2" xfId="45772" xr:uid="{00000000-0005-0000-0000-0000D4590000}"/>
    <cellStyle name="Normal 2 5 6 4 6 3" xfId="33395" xr:uid="{00000000-0005-0000-0000-0000D5590000}"/>
    <cellStyle name="Normal 2 5 6 4 7" xfId="16730" xr:uid="{00000000-0005-0000-0000-0000D6590000}"/>
    <cellStyle name="Normal 2 5 6 4 7 2" xfId="42283" xr:uid="{00000000-0005-0000-0000-0000D7590000}"/>
    <cellStyle name="Normal 2 5 6 4 8" xfId="26702" xr:uid="{00000000-0005-0000-0000-0000D8590000}"/>
    <cellStyle name="Normal 2 5 6 5" xfId="1174" xr:uid="{00000000-0005-0000-0000-0000D9590000}"/>
    <cellStyle name="Normal 2 5 6 5 2" xfId="3603" xr:uid="{00000000-0005-0000-0000-0000DA590000}"/>
    <cellStyle name="Normal 2 5 6 5 2 2" xfId="12739" xr:uid="{00000000-0005-0000-0000-0000DB590000}"/>
    <cellStyle name="Normal 2 5 6 5 2 2 2" xfId="22958" xr:uid="{00000000-0005-0000-0000-0000DC590000}"/>
    <cellStyle name="Normal 2 5 6 5 2 2 2 2" xfId="48511" xr:uid="{00000000-0005-0000-0000-0000DD590000}"/>
    <cellStyle name="Normal 2 5 6 5 2 2 3" xfId="38294" xr:uid="{00000000-0005-0000-0000-0000DE590000}"/>
    <cellStyle name="Normal 2 5 6 5 2 3" xfId="9160" xr:uid="{00000000-0005-0000-0000-0000DF590000}"/>
    <cellStyle name="Normal 2 5 6 5 2 3 2" xfId="34717" xr:uid="{00000000-0005-0000-0000-0000E0590000}"/>
    <cellStyle name="Normal 2 5 6 5 2 4" xfId="17951" xr:uid="{00000000-0005-0000-0000-0000E1590000}"/>
    <cellStyle name="Normal 2 5 6 5 2 4 2" xfId="43504" xr:uid="{00000000-0005-0000-0000-0000E2590000}"/>
    <cellStyle name="Normal 2 5 6 5 2 5" xfId="29441" xr:uid="{00000000-0005-0000-0000-0000E3590000}"/>
    <cellStyle name="Normal 2 5 6 5 3" xfId="5266" xr:uid="{00000000-0005-0000-0000-0000E4590000}"/>
    <cellStyle name="Normal 2 5 6 5 3 2" xfId="14103" xr:uid="{00000000-0005-0000-0000-0000E5590000}"/>
    <cellStyle name="Normal 2 5 6 5 3 2 2" xfId="24354" xr:uid="{00000000-0005-0000-0000-0000E6590000}"/>
    <cellStyle name="Normal 2 5 6 5 3 2 2 2" xfId="49907" xr:uid="{00000000-0005-0000-0000-0000E7590000}"/>
    <cellStyle name="Normal 2 5 6 5 3 2 3" xfId="39658" xr:uid="{00000000-0005-0000-0000-0000E8590000}"/>
    <cellStyle name="Normal 2 5 6 5 3 3" xfId="10524" xr:uid="{00000000-0005-0000-0000-0000E9590000}"/>
    <cellStyle name="Normal 2 5 6 5 3 3 2" xfId="36081" xr:uid="{00000000-0005-0000-0000-0000EA590000}"/>
    <cellStyle name="Normal 2 5 6 5 3 4" xfId="19347" xr:uid="{00000000-0005-0000-0000-0000EB590000}"/>
    <cellStyle name="Normal 2 5 6 5 3 4 2" xfId="44900" xr:uid="{00000000-0005-0000-0000-0000EC590000}"/>
    <cellStyle name="Normal 2 5 6 5 3 5" xfId="30837" xr:uid="{00000000-0005-0000-0000-0000ED590000}"/>
    <cellStyle name="Normal 2 5 6 5 4" xfId="1776" xr:uid="{00000000-0005-0000-0000-0000EE590000}"/>
    <cellStyle name="Normal 2 5 6 5 4 2" xfId="11145" xr:uid="{00000000-0005-0000-0000-0000EF590000}"/>
    <cellStyle name="Normal 2 5 6 5 4 2 2" xfId="36700" xr:uid="{00000000-0005-0000-0000-0000F0590000}"/>
    <cellStyle name="Normal 2 5 6 5 4 3" xfId="21149" xr:uid="{00000000-0005-0000-0000-0000F1590000}"/>
    <cellStyle name="Normal 2 5 6 5 4 3 2" xfId="46702" xr:uid="{00000000-0005-0000-0000-0000F2590000}"/>
    <cellStyle name="Normal 2 5 6 5 4 4" xfId="27632" xr:uid="{00000000-0005-0000-0000-0000F3590000}"/>
    <cellStyle name="Normal 2 5 6 5 5" xfId="6721" xr:uid="{00000000-0005-0000-0000-0000F4590000}"/>
    <cellStyle name="Normal 2 5 6 5 5 2" xfId="15548" xr:uid="{00000000-0005-0000-0000-0000F5590000}"/>
    <cellStyle name="Normal 2 5 6 5 5 2 2" xfId="41103" xr:uid="{00000000-0005-0000-0000-0000F6590000}"/>
    <cellStyle name="Normal 2 5 6 5 5 3" xfId="25799" xr:uid="{00000000-0005-0000-0000-0000F7590000}"/>
    <cellStyle name="Normal 2 5 6 5 5 3 2" xfId="51352" xr:uid="{00000000-0005-0000-0000-0000F8590000}"/>
    <cellStyle name="Normal 2 5 6 5 5 4" xfId="32282" xr:uid="{00000000-0005-0000-0000-0000F9590000}"/>
    <cellStyle name="Normal 2 5 6 5 6" xfId="8167" xr:uid="{00000000-0005-0000-0000-0000FA590000}"/>
    <cellStyle name="Normal 2 5 6 5 6 2" xfId="20557" xr:uid="{00000000-0005-0000-0000-0000FB590000}"/>
    <cellStyle name="Normal 2 5 6 5 6 2 2" xfId="46110" xr:uid="{00000000-0005-0000-0000-0000FC590000}"/>
    <cellStyle name="Normal 2 5 6 5 6 3" xfId="33724" xr:uid="{00000000-0005-0000-0000-0000FD590000}"/>
    <cellStyle name="Normal 2 5 6 5 7" xfId="16142" xr:uid="{00000000-0005-0000-0000-0000FE590000}"/>
    <cellStyle name="Normal 2 5 6 5 7 2" xfId="41695" xr:uid="{00000000-0005-0000-0000-0000FF590000}"/>
    <cellStyle name="Normal 2 5 6 5 8" xfId="27040" xr:uid="{00000000-0005-0000-0000-0000005A0000}"/>
    <cellStyle name="Normal 2 5 6 6" xfId="2671" xr:uid="{00000000-0005-0000-0000-0000015A0000}"/>
    <cellStyle name="Normal 2 5 6 6 2" xfId="11988" xr:uid="{00000000-0005-0000-0000-0000025A0000}"/>
    <cellStyle name="Normal 2 5 6 6 2 2" xfId="22032" xr:uid="{00000000-0005-0000-0000-0000035A0000}"/>
    <cellStyle name="Normal 2 5 6 6 2 2 2" xfId="47585" xr:uid="{00000000-0005-0000-0000-0000045A0000}"/>
    <cellStyle name="Normal 2 5 6 6 2 3" xfId="37543" xr:uid="{00000000-0005-0000-0000-0000055A0000}"/>
    <cellStyle name="Normal 2 5 6 6 3" xfId="8404" xr:uid="{00000000-0005-0000-0000-0000065A0000}"/>
    <cellStyle name="Normal 2 5 6 6 3 2" xfId="33961" xr:uid="{00000000-0005-0000-0000-0000075A0000}"/>
    <cellStyle name="Normal 2 5 6 6 4" xfId="17025" xr:uid="{00000000-0005-0000-0000-0000085A0000}"/>
    <cellStyle name="Normal 2 5 6 6 4 2" xfId="42578" xr:uid="{00000000-0005-0000-0000-0000095A0000}"/>
    <cellStyle name="Normal 2 5 6 6 5" xfId="28515" xr:uid="{00000000-0005-0000-0000-00000A5A0000}"/>
    <cellStyle name="Normal 2 5 6 7" xfId="4222" xr:uid="{00000000-0005-0000-0000-00000B5A0000}"/>
    <cellStyle name="Normal 2 5 6 7 2" xfId="13060" xr:uid="{00000000-0005-0000-0000-00000C5A0000}"/>
    <cellStyle name="Normal 2 5 6 7 2 2" xfId="23311" xr:uid="{00000000-0005-0000-0000-00000D5A0000}"/>
    <cellStyle name="Normal 2 5 6 7 2 2 2" xfId="48864" xr:uid="{00000000-0005-0000-0000-00000E5A0000}"/>
    <cellStyle name="Normal 2 5 6 7 2 3" xfId="38615" xr:uid="{00000000-0005-0000-0000-00000F5A0000}"/>
    <cellStyle name="Normal 2 5 6 7 3" xfId="9481" xr:uid="{00000000-0005-0000-0000-0000105A0000}"/>
    <cellStyle name="Normal 2 5 6 7 3 2" xfId="35038" xr:uid="{00000000-0005-0000-0000-0000115A0000}"/>
    <cellStyle name="Normal 2 5 6 7 4" xfId="18304" xr:uid="{00000000-0005-0000-0000-0000125A0000}"/>
    <cellStyle name="Normal 2 5 6 7 4 2" xfId="43857" xr:uid="{00000000-0005-0000-0000-0000135A0000}"/>
    <cellStyle name="Normal 2 5 6 7 5" xfId="29794" xr:uid="{00000000-0005-0000-0000-0000145A0000}"/>
    <cellStyle name="Normal 2 5 6 8" xfId="1494" xr:uid="{00000000-0005-0000-0000-0000155A0000}"/>
    <cellStyle name="Normal 2 5 6 8 2" xfId="10871" xr:uid="{00000000-0005-0000-0000-0000165A0000}"/>
    <cellStyle name="Normal 2 5 6 8 2 2" xfId="36426" xr:uid="{00000000-0005-0000-0000-0000175A0000}"/>
    <cellStyle name="Normal 2 5 6 8 3" xfId="20875" xr:uid="{00000000-0005-0000-0000-0000185A0000}"/>
    <cellStyle name="Normal 2 5 6 8 3 2" xfId="46428" xr:uid="{00000000-0005-0000-0000-0000195A0000}"/>
    <cellStyle name="Normal 2 5 6 8 4" xfId="27358" xr:uid="{00000000-0005-0000-0000-00001A5A0000}"/>
    <cellStyle name="Normal 2 5 6 9" xfId="5678" xr:uid="{00000000-0005-0000-0000-00001B5A0000}"/>
    <cellStyle name="Normal 2 5 6 9 2" xfId="14505" xr:uid="{00000000-0005-0000-0000-00001C5A0000}"/>
    <cellStyle name="Normal 2 5 6 9 2 2" xfId="40060" xr:uid="{00000000-0005-0000-0000-00001D5A0000}"/>
    <cellStyle name="Normal 2 5 6 9 3" xfId="24756" xr:uid="{00000000-0005-0000-0000-00001E5A0000}"/>
    <cellStyle name="Normal 2 5 6 9 3 2" xfId="50309" xr:uid="{00000000-0005-0000-0000-00001F5A0000}"/>
    <cellStyle name="Normal 2 5 6 9 4" xfId="31239" xr:uid="{00000000-0005-0000-0000-0000205A0000}"/>
    <cellStyle name="Normal 2 5 6_Degree data" xfId="3885" xr:uid="{00000000-0005-0000-0000-0000215A0000}"/>
    <cellStyle name="Normal 2 5 7" xfId="227" xr:uid="{00000000-0005-0000-0000-0000225A0000}"/>
    <cellStyle name="Normal 2 5 7 10" xfId="7065" xr:uid="{00000000-0005-0000-0000-0000235A0000}"/>
    <cellStyle name="Normal 2 5 7 10 2" xfId="19679" xr:uid="{00000000-0005-0000-0000-0000245A0000}"/>
    <cellStyle name="Normal 2 5 7 10 2 2" xfId="45232" xr:uid="{00000000-0005-0000-0000-0000255A0000}"/>
    <cellStyle name="Normal 2 5 7 10 3" xfId="32622" xr:uid="{00000000-0005-0000-0000-0000265A0000}"/>
    <cellStyle name="Normal 2 5 7 11" xfId="15811" xr:uid="{00000000-0005-0000-0000-0000275A0000}"/>
    <cellStyle name="Normal 2 5 7 11 2" xfId="41364" xr:uid="{00000000-0005-0000-0000-0000285A0000}"/>
    <cellStyle name="Normal 2 5 7 12" xfId="26162" xr:uid="{00000000-0005-0000-0000-0000295A0000}"/>
    <cellStyle name="Normal 2 5 7 2" xfId="550" xr:uid="{00000000-0005-0000-0000-00002A5A0000}"/>
    <cellStyle name="Normal 2 5 7 2 10" xfId="26479" xr:uid="{00000000-0005-0000-0000-00002B5A0000}"/>
    <cellStyle name="Normal 2 5 7 2 2" xfId="776" xr:uid="{00000000-0005-0000-0000-00002C5A0000}"/>
    <cellStyle name="Normal 2 5 7 2 2 2" xfId="3262" xr:uid="{00000000-0005-0000-0000-00002D5A0000}"/>
    <cellStyle name="Normal 2 5 7 2 2 2 2" xfId="12404" xr:uid="{00000000-0005-0000-0000-00002E5A0000}"/>
    <cellStyle name="Normal 2 5 7 2 2 2 2 2" xfId="22623" xr:uid="{00000000-0005-0000-0000-00002F5A0000}"/>
    <cellStyle name="Normal 2 5 7 2 2 2 2 2 2" xfId="48176" xr:uid="{00000000-0005-0000-0000-0000305A0000}"/>
    <cellStyle name="Normal 2 5 7 2 2 2 2 3" xfId="37959" xr:uid="{00000000-0005-0000-0000-0000315A0000}"/>
    <cellStyle name="Normal 2 5 7 2 2 2 3" xfId="8826" xr:uid="{00000000-0005-0000-0000-0000325A0000}"/>
    <cellStyle name="Normal 2 5 7 2 2 2 3 2" xfId="34383" xr:uid="{00000000-0005-0000-0000-0000335A0000}"/>
    <cellStyle name="Normal 2 5 7 2 2 2 4" xfId="17616" xr:uid="{00000000-0005-0000-0000-0000345A0000}"/>
    <cellStyle name="Normal 2 5 7 2 2 2 4 2" xfId="43169" xr:uid="{00000000-0005-0000-0000-0000355A0000}"/>
    <cellStyle name="Normal 2 5 7 2 2 2 5" xfId="29106" xr:uid="{00000000-0005-0000-0000-0000365A0000}"/>
    <cellStyle name="Normal 2 5 7 2 2 3" xfId="4591" xr:uid="{00000000-0005-0000-0000-0000375A0000}"/>
    <cellStyle name="Normal 2 5 7 2 2 3 2" xfId="13429" xr:uid="{00000000-0005-0000-0000-0000385A0000}"/>
    <cellStyle name="Normal 2 5 7 2 2 3 2 2" xfId="23680" xr:uid="{00000000-0005-0000-0000-0000395A0000}"/>
    <cellStyle name="Normal 2 5 7 2 2 3 2 2 2" xfId="49233" xr:uid="{00000000-0005-0000-0000-00003A5A0000}"/>
    <cellStyle name="Normal 2 5 7 2 2 3 2 3" xfId="38984" xr:uid="{00000000-0005-0000-0000-00003B5A0000}"/>
    <cellStyle name="Normal 2 5 7 2 2 3 3" xfId="9850" xr:uid="{00000000-0005-0000-0000-00003C5A0000}"/>
    <cellStyle name="Normal 2 5 7 2 2 3 3 2" xfId="35407" xr:uid="{00000000-0005-0000-0000-00003D5A0000}"/>
    <cellStyle name="Normal 2 5 7 2 2 3 4" xfId="18673" xr:uid="{00000000-0005-0000-0000-00003E5A0000}"/>
    <cellStyle name="Normal 2 5 7 2 2 3 4 2" xfId="44226" xr:uid="{00000000-0005-0000-0000-00003F5A0000}"/>
    <cellStyle name="Normal 2 5 7 2 2 3 5" xfId="30163" xr:uid="{00000000-0005-0000-0000-0000405A0000}"/>
    <cellStyle name="Normal 2 5 7 2 2 4" xfId="2371" xr:uid="{00000000-0005-0000-0000-0000415A0000}"/>
    <cellStyle name="Normal 2 5 7 2 2 4 2" xfId="11736" xr:uid="{00000000-0005-0000-0000-0000425A0000}"/>
    <cellStyle name="Normal 2 5 7 2 2 4 2 2" xfId="37291" xr:uid="{00000000-0005-0000-0000-0000435A0000}"/>
    <cellStyle name="Normal 2 5 7 2 2 4 3" xfId="21740" xr:uid="{00000000-0005-0000-0000-0000445A0000}"/>
    <cellStyle name="Normal 2 5 7 2 2 4 3 2" xfId="47293" xr:uid="{00000000-0005-0000-0000-0000455A0000}"/>
    <cellStyle name="Normal 2 5 7 2 2 4 4" xfId="28223" xr:uid="{00000000-0005-0000-0000-0000465A0000}"/>
    <cellStyle name="Normal 2 5 7 2 2 5" xfId="6047" xr:uid="{00000000-0005-0000-0000-0000475A0000}"/>
    <cellStyle name="Normal 2 5 7 2 2 5 2" xfId="14874" xr:uid="{00000000-0005-0000-0000-0000485A0000}"/>
    <cellStyle name="Normal 2 5 7 2 2 5 2 2" xfId="40429" xr:uid="{00000000-0005-0000-0000-0000495A0000}"/>
    <cellStyle name="Normal 2 5 7 2 2 5 3" xfId="25125" xr:uid="{00000000-0005-0000-0000-00004A5A0000}"/>
    <cellStyle name="Normal 2 5 7 2 2 5 3 2" xfId="50678" xr:uid="{00000000-0005-0000-0000-00004B5A0000}"/>
    <cellStyle name="Normal 2 5 7 2 2 5 4" xfId="31608" xr:uid="{00000000-0005-0000-0000-00004C5A0000}"/>
    <cellStyle name="Normal 2 5 7 2 2 6" xfId="7491" xr:uid="{00000000-0005-0000-0000-00004D5A0000}"/>
    <cellStyle name="Normal 2 5 7 2 2 6 2" xfId="20222" xr:uid="{00000000-0005-0000-0000-00004E5A0000}"/>
    <cellStyle name="Normal 2 5 7 2 2 6 2 2" xfId="45775" xr:uid="{00000000-0005-0000-0000-00004F5A0000}"/>
    <cellStyle name="Normal 2 5 7 2 2 6 3" xfId="33048" xr:uid="{00000000-0005-0000-0000-0000505A0000}"/>
    <cellStyle name="Normal 2 5 7 2 2 7" xfId="16733" xr:uid="{00000000-0005-0000-0000-0000515A0000}"/>
    <cellStyle name="Normal 2 5 7 2 2 7 2" xfId="42286" xr:uid="{00000000-0005-0000-0000-0000525A0000}"/>
    <cellStyle name="Normal 2 5 7 2 2 8" xfId="26705" xr:uid="{00000000-0005-0000-0000-0000535A0000}"/>
    <cellStyle name="Normal 2 5 7 2 3" xfId="1322" xr:uid="{00000000-0005-0000-0000-0000545A0000}"/>
    <cellStyle name="Normal 2 5 7 2 3 2" xfId="3751" xr:uid="{00000000-0005-0000-0000-0000555A0000}"/>
    <cellStyle name="Normal 2 5 7 2 3 2 2" xfId="12887" xr:uid="{00000000-0005-0000-0000-0000565A0000}"/>
    <cellStyle name="Normal 2 5 7 2 3 2 2 2" xfId="23106" xr:uid="{00000000-0005-0000-0000-0000575A0000}"/>
    <cellStyle name="Normal 2 5 7 2 3 2 2 2 2" xfId="48659" xr:uid="{00000000-0005-0000-0000-0000585A0000}"/>
    <cellStyle name="Normal 2 5 7 2 3 2 2 3" xfId="38442" xr:uid="{00000000-0005-0000-0000-0000595A0000}"/>
    <cellStyle name="Normal 2 5 7 2 3 2 3" xfId="9308" xr:uid="{00000000-0005-0000-0000-00005A5A0000}"/>
    <cellStyle name="Normal 2 5 7 2 3 2 3 2" xfId="34865" xr:uid="{00000000-0005-0000-0000-00005B5A0000}"/>
    <cellStyle name="Normal 2 5 7 2 3 2 4" xfId="18099" xr:uid="{00000000-0005-0000-0000-00005C5A0000}"/>
    <cellStyle name="Normal 2 5 7 2 3 2 4 2" xfId="43652" xr:uid="{00000000-0005-0000-0000-00005D5A0000}"/>
    <cellStyle name="Normal 2 5 7 2 3 2 5" xfId="29589" xr:uid="{00000000-0005-0000-0000-00005E5A0000}"/>
    <cellStyle name="Normal 2 5 7 2 3 3" xfId="4940" xr:uid="{00000000-0005-0000-0000-00005F5A0000}"/>
    <cellStyle name="Normal 2 5 7 2 3 3 2" xfId="13777" xr:uid="{00000000-0005-0000-0000-0000605A0000}"/>
    <cellStyle name="Normal 2 5 7 2 3 3 2 2" xfId="24028" xr:uid="{00000000-0005-0000-0000-0000615A0000}"/>
    <cellStyle name="Normal 2 5 7 2 3 3 2 2 2" xfId="49581" xr:uid="{00000000-0005-0000-0000-0000625A0000}"/>
    <cellStyle name="Normal 2 5 7 2 3 3 2 3" xfId="39332" xr:uid="{00000000-0005-0000-0000-0000635A0000}"/>
    <cellStyle name="Normal 2 5 7 2 3 3 3" xfId="10198" xr:uid="{00000000-0005-0000-0000-0000645A0000}"/>
    <cellStyle name="Normal 2 5 7 2 3 3 3 2" xfId="35755" xr:uid="{00000000-0005-0000-0000-0000655A0000}"/>
    <cellStyle name="Normal 2 5 7 2 3 3 4" xfId="19021" xr:uid="{00000000-0005-0000-0000-0000665A0000}"/>
    <cellStyle name="Normal 2 5 7 2 3 3 4 2" xfId="44574" xr:uid="{00000000-0005-0000-0000-0000675A0000}"/>
    <cellStyle name="Normal 2 5 7 2 3 3 5" xfId="30511" xr:uid="{00000000-0005-0000-0000-0000685A0000}"/>
    <cellStyle name="Normal 2 5 7 2 3 4" xfId="2145" xr:uid="{00000000-0005-0000-0000-0000695A0000}"/>
    <cellStyle name="Normal 2 5 7 2 3 4 2" xfId="11510" xr:uid="{00000000-0005-0000-0000-00006A5A0000}"/>
    <cellStyle name="Normal 2 5 7 2 3 4 2 2" xfId="37065" xr:uid="{00000000-0005-0000-0000-00006B5A0000}"/>
    <cellStyle name="Normal 2 5 7 2 3 4 3" xfId="21514" xr:uid="{00000000-0005-0000-0000-00006C5A0000}"/>
    <cellStyle name="Normal 2 5 7 2 3 4 3 2" xfId="47067" xr:uid="{00000000-0005-0000-0000-00006D5A0000}"/>
    <cellStyle name="Normal 2 5 7 2 3 4 4" xfId="27997" xr:uid="{00000000-0005-0000-0000-00006E5A0000}"/>
    <cellStyle name="Normal 2 5 7 2 3 5" xfId="6395" xr:uid="{00000000-0005-0000-0000-00006F5A0000}"/>
    <cellStyle name="Normal 2 5 7 2 3 5 2" xfId="15222" xr:uid="{00000000-0005-0000-0000-0000705A0000}"/>
    <cellStyle name="Normal 2 5 7 2 3 5 2 2" xfId="40777" xr:uid="{00000000-0005-0000-0000-0000715A0000}"/>
    <cellStyle name="Normal 2 5 7 2 3 5 3" xfId="25473" xr:uid="{00000000-0005-0000-0000-0000725A0000}"/>
    <cellStyle name="Normal 2 5 7 2 3 5 3 2" xfId="51026" xr:uid="{00000000-0005-0000-0000-0000735A0000}"/>
    <cellStyle name="Normal 2 5 7 2 3 5 4" xfId="31956" xr:uid="{00000000-0005-0000-0000-0000745A0000}"/>
    <cellStyle name="Normal 2 5 7 2 3 6" xfId="7841" xr:uid="{00000000-0005-0000-0000-0000755A0000}"/>
    <cellStyle name="Normal 2 5 7 2 3 6 2" xfId="20705" xr:uid="{00000000-0005-0000-0000-0000765A0000}"/>
    <cellStyle name="Normal 2 5 7 2 3 6 2 2" xfId="46258" xr:uid="{00000000-0005-0000-0000-0000775A0000}"/>
    <cellStyle name="Normal 2 5 7 2 3 6 3" xfId="33398" xr:uid="{00000000-0005-0000-0000-0000785A0000}"/>
    <cellStyle name="Normal 2 5 7 2 3 7" xfId="16507" xr:uid="{00000000-0005-0000-0000-0000795A0000}"/>
    <cellStyle name="Normal 2 5 7 2 3 7 2" xfId="42060" xr:uid="{00000000-0005-0000-0000-00007A5A0000}"/>
    <cellStyle name="Normal 2 5 7 2 3 8" xfId="27188" xr:uid="{00000000-0005-0000-0000-00007B5A0000}"/>
    <cellStyle name="Normal 2 5 7 2 4" xfId="3036" xr:uid="{00000000-0005-0000-0000-00007C5A0000}"/>
    <cellStyle name="Normal 2 5 7 2 4 2" xfId="5414" xr:uid="{00000000-0005-0000-0000-00007D5A0000}"/>
    <cellStyle name="Normal 2 5 7 2 4 2 2" xfId="14251" xr:uid="{00000000-0005-0000-0000-00007E5A0000}"/>
    <cellStyle name="Normal 2 5 7 2 4 2 2 2" xfId="24502" xr:uid="{00000000-0005-0000-0000-00007F5A0000}"/>
    <cellStyle name="Normal 2 5 7 2 4 2 2 2 2" xfId="50055" xr:uid="{00000000-0005-0000-0000-0000805A0000}"/>
    <cellStyle name="Normal 2 5 7 2 4 2 2 3" xfId="39806" xr:uid="{00000000-0005-0000-0000-0000815A0000}"/>
    <cellStyle name="Normal 2 5 7 2 4 2 3" xfId="10672" xr:uid="{00000000-0005-0000-0000-0000825A0000}"/>
    <cellStyle name="Normal 2 5 7 2 4 2 3 2" xfId="36229" xr:uid="{00000000-0005-0000-0000-0000835A0000}"/>
    <cellStyle name="Normal 2 5 7 2 4 2 4" xfId="19495" xr:uid="{00000000-0005-0000-0000-0000845A0000}"/>
    <cellStyle name="Normal 2 5 7 2 4 2 4 2" xfId="45048" xr:uid="{00000000-0005-0000-0000-0000855A0000}"/>
    <cellStyle name="Normal 2 5 7 2 4 2 5" xfId="30985" xr:uid="{00000000-0005-0000-0000-0000865A0000}"/>
    <cellStyle name="Normal 2 5 7 2 4 3" xfId="6869" xr:uid="{00000000-0005-0000-0000-0000875A0000}"/>
    <cellStyle name="Normal 2 5 7 2 4 3 2" xfId="15696" xr:uid="{00000000-0005-0000-0000-0000885A0000}"/>
    <cellStyle name="Normal 2 5 7 2 4 3 2 2" xfId="41251" xr:uid="{00000000-0005-0000-0000-0000895A0000}"/>
    <cellStyle name="Normal 2 5 7 2 4 3 3" xfId="25947" xr:uid="{00000000-0005-0000-0000-00008A5A0000}"/>
    <cellStyle name="Normal 2 5 7 2 4 3 3 2" xfId="51500" xr:uid="{00000000-0005-0000-0000-00008B5A0000}"/>
    <cellStyle name="Normal 2 5 7 2 4 3 4" xfId="32430" xr:uid="{00000000-0005-0000-0000-00008C5A0000}"/>
    <cellStyle name="Normal 2 5 7 2 4 4" xfId="8315" xr:uid="{00000000-0005-0000-0000-00008D5A0000}"/>
    <cellStyle name="Normal 2 5 7 2 4 4 2" xfId="22397" xr:uid="{00000000-0005-0000-0000-00008E5A0000}"/>
    <cellStyle name="Normal 2 5 7 2 4 4 2 2" xfId="47950" xr:uid="{00000000-0005-0000-0000-00008F5A0000}"/>
    <cellStyle name="Normal 2 5 7 2 4 4 3" xfId="33872" xr:uid="{00000000-0005-0000-0000-0000905A0000}"/>
    <cellStyle name="Normal 2 5 7 2 4 5" xfId="17390" xr:uid="{00000000-0005-0000-0000-0000915A0000}"/>
    <cellStyle name="Normal 2 5 7 2 4 5 2" xfId="42943" xr:uid="{00000000-0005-0000-0000-0000925A0000}"/>
    <cellStyle name="Normal 2 5 7 2 4 6" xfId="28880" xr:uid="{00000000-0005-0000-0000-0000935A0000}"/>
    <cellStyle name="Normal 2 5 7 2 5" xfId="4370" xr:uid="{00000000-0005-0000-0000-0000945A0000}"/>
    <cellStyle name="Normal 2 5 7 2 5 2" xfId="13208" xr:uid="{00000000-0005-0000-0000-0000955A0000}"/>
    <cellStyle name="Normal 2 5 7 2 5 2 2" xfId="23459" xr:uid="{00000000-0005-0000-0000-0000965A0000}"/>
    <cellStyle name="Normal 2 5 7 2 5 2 2 2" xfId="49012" xr:uid="{00000000-0005-0000-0000-0000975A0000}"/>
    <cellStyle name="Normal 2 5 7 2 5 2 3" xfId="38763" xr:uid="{00000000-0005-0000-0000-0000985A0000}"/>
    <cellStyle name="Normal 2 5 7 2 5 3" xfId="9629" xr:uid="{00000000-0005-0000-0000-0000995A0000}"/>
    <cellStyle name="Normal 2 5 7 2 5 3 2" xfId="35186" xr:uid="{00000000-0005-0000-0000-00009A5A0000}"/>
    <cellStyle name="Normal 2 5 7 2 5 4" xfId="18452" xr:uid="{00000000-0005-0000-0000-00009B5A0000}"/>
    <cellStyle name="Normal 2 5 7 2 5 4 2" xfId="44005" xr:uid="{00000000-0005-0000-0000-00009C5A0000}"/>
    <cellStyle name="Normal 2 5 7 2 5 5" xfId="29942" xr:uid="{00000000-0005-0000-0000-00009D5A0000}"/>
    <cellStyle name="Normal 2 5 7 2 6" xfId="1642" xr:uid="{00000000-0005-0000-0000-00009E5A0000}"/>
    <cellStyle name="Normal 2 5 7 2 6 2" xfId="11019" xr:uid="{00000000-0005-0000-0000-00009F5A0000}"/>
    <cellStyle name="Normal 2 5 7 2 6 2 2" xfId="36574" xr:uid="{00000000-0005-0000-0000-0000A05A0000}"/>
    <cellStyle name="Normal 2 5 7 2 6 3" xfId="21023" xr:uid="{00000000-0005-0000-0000-0000A15A0000}"/>
    <cellStyle name="Normal 2 5 7 2 6 3 2" xfId="46576" xr:uid="{00000000-0005-0000-0000-0000A25A0000}"/>
    <cellStyle name="Normal 2 5 7 2 6 4" xfId="27506" xr:uid="{00000000-0005-0000-0000-0000A35A0000}"/>
    <cellStyle name="Normal 2 5 7 2 7" xfId="5826" xr:uid="{00000000-0005-0000-0000-0000A45A0000}"/>
    <cellStyle name="Normal 2 5 7 2 7 2" xfId="14653" xr:uid="{00000000-0005-0000-0000-0000A55A0000}"/>
    <cellStyle name="Normal 2 5 7 2 7 2 2" xfId="40208" xr:uid="{00000000-0005-0000-0000-0000A65A0000}"/>
    <cellStyle name="Normal 2 5 7 2 7 3" xfId="24904" xr:uid="{00000000-0005-0000-0000-0000A75A0000}"/>
    <cellStyle name="Normal 2 5 7 2 7 3 2" xfId="50457" xr:uid="{00000000-0005-0000-0000-0000A85A0000}"/>
    <cellStyle name="Normal 2 5 7 2 7 4" xfId="31387" xr:uid="{00000000-0005-0000-0000-0000A95A0000}"/>
    <cellStyle name="Normal 2 5 7 2 8" xfId="7270" xr:uid="{00000000-0005-0000-0000-0000AA5A0000}"/>
    <cellStyle name="Normal 2 5 7 2 8 2" xfId="19996" xr:uid="{00000000-0005-0000-0000-0000AB5A0000}"/>
    <cellStyle name="Normal 2 5 7 2 8 2 2" xfId="45549" xr:uid="{00000000-0005-0000-0000-0000AC5A0000}"/>
    <cellStyle name="Normal 2 5 7 2 8 3" xfId="32827" xr:uid="{00000000-0005-0000-0000-0000AD5A0000}"/>
    <cellStyle name="Normal 2 5 7 2 9" xfId="16016" xr:uid="{00000000-0005-0000-0000-0000AE5A0000}"/>
    <cellStyle name="Normal 2 5 7 2 9 2" xfId="41569" xr:uid="{00000000-0005-0000-0000-0000AF5A0000}"/>
    <cellStyle name="Normal 2 5 7 2_Degree data" xfId="3917" xr:uid="{00000000-0005-0000-0000-0000B05A0000}"/>
    <cellStyle name="Normal 2 5 7 3" xfId="345" xr:uid="{00000000-0005-0000-0000-0000B15A0000}"/>
    <cellStyle name="Normal 2 5 7 3 2" xfId="2831" xr:uid="{00000000-0005-0000-0000-0000B25A0000}"/>
    <cellStyle name="Normal 2 5 7 3 2 2" xfId="12119" xr:uid="{00000000-0005-0000-0000-0000B35A0000}"/>
    <cellStyle name="Normal 2 5 7 3 2 2 2" xfId="22192" xr:uid="{00000000-0005-0000-0000-0000B45A0000}"/>
    <cellStyle name="Normal 2 5 7 3 2 2 2 2" xfId="47745" xr:uid="{00000000-0005-0000-0000-0000B55A0000}"/>
    <cellStyle name="Normal 2 5 7 3 2 2 3" xfId="37674" xr:uid="{00000000-0005-0000-0000-0000B65A0000}"/>
    <cellStyle name="Normal 2 5 7 3 2 3" xfId="8409" xr:uid="{00000000-0005-0000-0000-0000B75A0000}"/>
    <cellStyle name="Normal 2 5 7 3 2 3 2" xfId="33966" xr:uid="{00000000-0005-0000-0000-0000B85A0000}"/>
    <cellStyle name="Normal 2 5 7 3 2 4" xfId="17185" xr:uid="{00000000-0005-0000-0000-0000B95A0000}"/>
    <cellStyle name="Normal 2 5 7 3 2 4 2" xfId="42738" xr:uid="{00000000-0005-0000-0000-0000BA5A0000}"/>
    <cellStyle name="Normal 2 5 7 3 2 5" xfId="28675" xr:uid="{00000000-0005-0000-0000-0000BB5A0000}"/>
    <cellStyle name="Normal 2 5 7 3 3" xfId="4590" xr:uid="{00000000-0005-0000-0000-0000BC5A0000}"/>
    <cellStyle name="Normal 2 5 7 3 3 2" xfId="13428" xr:uid="{00000000-0005-0000-0000-0000BD5A0000}"/>
    <cellStyle name="Normal 2 5 7 3 3 2 2" xfId="23679" xr:uid="{00000000-0005-0000-0000-0000BE5A0000}"/>
    <cellStyle name="Normal 2 5 7 3 3 2 2 2" xfId="49232" xr:uid="{00000000-0005-0000-0000-0000BF5A0000}"/>
    <cellStyle name="Normal 2 5 7 3 3 2 3" xfId="38983" xr:uid="{00000000-0005-0000-0000-0000C05A0000}"/>
    <cellStyle name="Normal 2 5 7 3 3 3" xfId="9849" xr:uid="{00000000-0005-0000-0000-0000C15A0000}"/>
    <cellStyle name="Normal 2 5 7 3 3 3 2" xfId="35406" xr:uid="{00000000-0005-0000-0000-0000C25A0000}"/>
    <cellStyle name="Normal 2 5 7 3 3 4" xfId="18672" xr:uid="{00000000-0005-0000-0000-0000C35A0000}"/>
    <cellStyle name="Normal 2 5 7 3 3 4 2" xfId="44225" xr:uid="{00000000-0005-0000-0000-0000C45A0000}"/>
    <cellStyle name="Normal 2 5 7 3 3 5" xfId="30162" xr:uid="{00000000-0005-0000-0000-0000C55A0000}"/>
    <cellStyle name="Normal 2 5 7 3 4" xfId="1940" xr:uid="{00000000-0005-0000-0000-0000C65A0000}"/>
    <cellStyle name="Normal 2 5 7 3 4 2" xfId="11305" xr:uid="{00000000-0005-0000-0000-0000C75A0000}"/>
    <cellStyle name="Normal 2 5 7 3 4 2 2" xfId="36860" xr:uid="{00000000-0005-0000-0000-0000C85A0000}"/>
    <cellStyle name="Normal 2 5 7 3 4 3" xfId="21309" xr:uid="{00000000-0005-0000-0000-0000C95A0000}"/>
    <cellStyle name="Normal 2 5 7 3 4 3 2" xfId="46862" xr:uid="{00000000-0005-0000-0000-0000CA5A0000}"/>
    <cellStyle name="Normal 2 5 7 3 4 4" xfId="27792" xr:uid="{00000000-0005-0000-0000-0000CB5A0000}"/>
    <cellStyle name="Normal 2 5 7 3 5" xfId="6046" xr:uid="{00000000-0005-0000-0000-0000CC5A0000}"/>
    <cellStyle name="Normal 2 5 7 3 5 2" xfId="14873" xr:uid="{00000000-0005-0000-0000-0000CD5A0000}"/>
    <cellStyle name="Normal 2 5 7 3 5 2 2" xfId="40428" xr:uid="{00000000-0005-0000-0000-0000CE5A0000}"/>
    <cellStyle name="Normal 2 5 7 3 5 3" xfId="25124" xr:uid="{00000000-0005-0000-0000-0000CF5A0000}"/>
    <cellStyle name="Normal 2 5 7 3 5 3 2" xfId="50677" xr:uid="{00000000-0005-0000-0000-0000D05A0000}"/>
    <cellStyle name="Normal 2 5 7 3 5 4" xfId="31607" xr:uid="{00000000-0005-0000-0000-0000D15A0000}"/>
    <cellStyle name="Normal 2 5 7 3 6" xfId="7490" xr:uid="{00000000-0005-0000-0000-0000D25A0000}"/>
    <cellStyle name="Normal 2 5 7 3 6 2" xfId="19791" xr:uid="{00000000-0005-0000-0000-0000D35A0000}"/>
    <cellStyle name="Normal 2 5 7 3 6 2 2" xfId="45344" xr:uid="{00000000-0005-0000-0000-0000D45A0000}"/>
    <cellStyle name="Normal 2 5 7 3 6 3" xfId="33047" xr:uid="{00000000-0005-0000-0000-0000D55A0000}"/>
    <cellStyle name="Normal 2 5 7 3 7" xfId="16302" xr:uid="{00000000-0005-0000-0000-0000D65A0000}"/>
    <cellStyle name="Normal 2 5 7 3 7 2" xfId="41855" xr:uid="{00000000-0005-0000-0000-0000D75A0000}"/>
    <cellStyle name="Normal 2 5 7 3 8" xfId="26274" xr:uid="{00000000-0005-0000-0000-0000D85A0000}"/>
    <cellStyle name="Normal 2 5 7 4" xfId="775" xr:uid="{00000000-0005-0000-0000-0000D95A0000}"/>
    <cellStyle name="Normal 2 5 7 4 2" xfId="3261" xr:uid="{00000000-0005-0000-0000-0000DA5A0000}"/>
    <cellStyle name="Normal 2 5 7 4 2 2" xfId="12403" xr:uid="{00000000-0005-0000-0000-0000DB5A0000}"/>
    <cellStyle name="Normal 2 5 7 4 2 2 2" xfId="22622" xr:uid="{00000000-0005-0000-0000-0000DC5A0000}"/>
    <cellStyle name="Normal 2 5 7 4 2 2 2 2" xfId="48175" xr:uid="{00000000-0005-0000-0000-0000DD5A0000}"/>
    <cellStyle name="Normal 2 5 7 4 2 2 3" xfId="37958" xr:uid="{00000000-0005-0000-0000-0000DE5A0000}"/>
    <cellStyle name="Normal 2 5 7 4 2 3" xfId="8825" xr:uid="{00000000-0005-0000-0000-0000DF5A0000}"/>
    <cellStyle name="Normal 2 5 7 4 2 3 2" xfId="34382" xr:uid="{00000000-0005-0000-0000-0000E05A0000}"/>
    <cellStyle name="Normal 2 5 7 4 2 4" xfId="17615" xr:uid="{00000000-0005-0000-0000-0000E15A0000}"/>
    <cellStyle name="Normal 2 5 7 4 2 4 2" xfId="43168" xr:uid="{00000000-0005-0000-0000-0000E25A0000}"/>
    <cellStyle name="Normal 2 5 7 4 2 5" xfId="29105" xr:uid="{00000000-0005-0000-0000-0000E35A0000}"/>
    <cellStyle name="Normal 2 5 7 4 3" xfId="4939" xr:uid="{00000000-0005-0000-0000-0000E45A0000}"/>
    <cellStyle name="Normal 2 5 7 4 3 2" xfId="13776" xr:uid="{00000000-0005-0000-0000-0000E55A0000}"/>
    <cellStyle name="Normal 2 5 7 4 3 2 2" xfId="24027" xr:uid="{00000000-0005-0000-0000-0000E65A0000}"/>
    <cellStyle name="Normal 2 5 7 4 3 2 2 2" xfId="49580" xr:uid="{00000000-0005-0000-0000-0000E75A0000}"/>
    <cellStyle name="Normal 2 5 7 4 3 2 3" xfId="39331" xr:uid="{00000000-0005-0000-0000-0000E85A0000}"/>
    <cellStyle name="Normal 2 5 7 4 3 3" xfId="10197" xr:uid="{00000000-0005-0000-0000-0000E95A0000}"/>
    <cellStyle name="Normal 2 5 7 4 3 3 2" xfId="35754" xr:uid="{00000000-0005-0000-0000-0000EA5A0000}"/>
    <cellStyle name="Normal 2 5 7 4 3 4" xfId="19020" xr:uid="{00000000-0005-0000-0000-0000EB5A0000}"/>
    <cellStyle name="Normal 2 5 7 4 3 4 2" xfId="44573" xr:uid="{00000000-0005-0000-0000-0000EC5A0000}"/>
    <cellStyle name="Normal 2 5 7 4 3 5" xfId="30510" xr:uid="{00000000-0005-0000-0000-0000ED5A0000}"/>
    <cellStyle name="Normal 2 5 7 4 4" xfId="2370" xr:uid="{00000000-0005-0000-0000-0000EE5A0000}"/>
    <cellStyle name="Normal 2 5 7 4 4 2" xfId="11735" xr:uid="{00000000-0005-0000-0000-0000EF5A0000}"/>
    <cellStyle name="Normal 2 5 7 4 4 2 2" xfId="37290" xr:uid="{00000000-0005-0000-0000-0000F05A0000}"/>
    <cellStyle name="Normal 2 5 7 4 4 3" xfId="21739" xr:uid="{00000000-0005-0000-0000-0000F15A0000}"/>
    <cellStyle name="Normal 2 5 7 4 4 3 2" xfId="47292" xr:uid="{00000000-0005-0000-0000-0000F25A0000}"/>
    <cellStyle name="Normal 2 5 7 4 4 4" xfId="28222" xr:uid="{00000000-0005-0000-0000-0000F35A0000}"/>
    <cellStyle name="Normal 2 5 7 4 5" xfId="6394" xr:uid="{00000000-0005-0000-0000-0000F45A0000}"/>
    <cellStyle name="Normal 2 5 7 4 5 2" xfId="15221" xr:uid="{00000000-0005-0000-0000-0000F55A0000}"/>
    <cellStyle name="Normal 2 5 7 4 5 2 2" xfId="40776" xr:uid="{00000000-0005-0000-0000-0000F65A0000}"/>
    <cellStyle name="Normal 2 5 7 4 5 3" xfId="25472" xr:uid="{00000000-0005-0000-0000-0000F75A0000}"/>
    <cellStyle name="Normal 2 5 7 4 5 3 2" xfId="51025" xr:uid="{00000000-0005-0000-0000-0000F85A0000}"/>
    <cellStyle name="Normal 2 5 7 4 5 4" xfId="31955" xr:uid="{00000000-0005-0000-0000-0000F95A0000}"/>
    <cellStyle name="Normal 2 5 7 4 6" xfId="7840" xr:uid="{00000000-0005-0000-0000-0000FA5A0000}"/>
    <cellStyle name="Normal 2 5 7 4 6 2" xfId="20221" xr:uid="{00000000-0005-0000-0000-0000FB5A0000}"/>
    <cellStyle name="Normal 2 5 7 4 6 2 2" xfId="45774" xr:uid="{00000000-0005-0000-0000-0000FC5A0000}"/>
    <cellStyle name="Normal 2 5 7 4 6 3" xfId="33397" xr:uid="{00000000-0005-0000-0000-0000FD5A0000}"/>
    <cellStyle name="Normal 2 5 7 4 7" xfId="16732" xr:uid="{00000000-0005-0000-0000-0000FE5A0000}"/>
    <cellStyle name="Normal 2 5 7 4 7 2" xfId="42285" xr:uid="{00000000-0005-0000-0000-0000FF5A0000}"/>
    <cellStyle name="Normal 2 5 7 4 8" xfId="26704" xr:uid="{00000000-0005-0000-0000-0000005B0000}"/>
    <cellStyle name="Normal 2 5 7 5" xfId="1117" xr:uid="{00000000-0005-0000-0000-0000015B0000}"/>
    <cellStyle name="Normal 2 5 7 5 2" xfId="3546" xr:uid="{00000000-0005-0000-0000-0000025B0000}"/>
    <cellStyle name="Normal 2 5 7 5 2 2" xfId="12682" xr:uid="{00000000-0005-0000-0000-0000035B0000}"/>
    <cellStyle name="Normal 2 5 7 5 2 2 2" xfId="22901" xr:uid="{00000000-0005-0000-0000-0000045B0000}"/>
    <cellStyle name="Normal 2 5 7 5 2 2 2 2" xfId="48454" xr:uid="{00000000-0005-0000-0000-0000055B0000}"/>
    <cellStyle name="Normal 2 5 7 5 2 2 3" xfId="38237" xr:uid="{00000000-0005-0000-0000-0000065B0000}"/>
    <cellStyle name="Normal 2 5 7 5 2 3" xfId="9103" xr:uid="{00000000-0005-0000-0000-0000075B0000}"/>
    <cellStyle name="Normal 2 5 7 5 2 3 2" xfId="34660" xr:uid="{00000000-0005-0000-0000-0000085B0000}"/>
    <cellStyle name="Normal 2 5 7 5 2 4" xfId="17894" xr:uid="{00000000-0005-0000-0000-0000095B0000}"/>
    <cellStyle name="Normal 2 5 7 5 2 4 2" xfId="43447" xr:uid="{00000000-0005-0000-0000-00000A5B0000}"/>
    <cellStyle name="Normal 2 5 7 5 2 5" xfId="29384" xr:uid="{00000000-0005-0000-0000-00000B5B0000}"/>
    <cellStyle name="Normal 2 5 7 5 3" xfId="5209" xr:uid="{00000000-0005-0000-0000-00000C5B0000}"/>
    <cellStyle name="Normal 2 5 7 5 3 2" xfId="14046" xr:uid="{00000000-0005-0000-0000-00000D5B0000}"/>
    <cellStyle name="Normal 2 5 7 5 3 2 2" xfId="24297" xr:uid="{00000000-0005-0000-0000-00000E5B0000}"/>
    <cellStyle name="Normal 2 5 7 5 3 2 2 2" xfId="49850" xr:uid="{00000000-0005-0000-0000-00000F5B0000}"/>
    <cellStyle name="Normal 2 5 7 5 3 2 3" xfId="39601" xr:uid="{00000000-0005-0000-0000-0000105B0000}"/>
    <cellStyle name="Normal 2 5 7 5 3 3" xfId="10467" xr:uid="{00000000-0005-0000-0000-0000115B0000}"/>
    <cellStyle name="Normal 2 5 7 5 3 3 2" xfId="36024" xr:uid="{00000000-0005-0000-0000-0000125B0000}"/>
    <cellStyle name="Normal 2 5 7 5 3 4" xfId="19290" xr:uid="{00000000-0005-0000-0000-0000135B0000}"/>
    <cellStyle name="Normal 2 5 7 5 3 4 2" xfId="44843" xr:uid="{00000000-0005-0000-0000-0000145B0000}"/>
    <cellStyle name="Normal 2 5 7 5 3 5" xfId="30780" xr:uid="{00000000-0005-0000-0000-0000155B0000}"/>
    <cellStyle name="Normal 2 5 7 5 4" xfId="1825" xr:uid="{00000000-0005-0000-0000-0000165B0000}"/>
    <cellStyle name="Normal 2 5 7 5 4 2" xfId="11193" xr:uid="{00000000-0005-0000-0000-0000175B0000}"/>
    <cellStyle name="Normal 2 5 7 5 4 2 2" xfId="36748" xr:uid="{00000000-0005-0000-0000-0000185B0000}"/>
    <cellStyle name="Normal 2 5 7 5 4 3" xfId="21197" xr:uid="{00000000-0005-0000-0000-0000195B0000}"/>
    <cellStyle name="Normal 2 5 7 5 4 3 2" xfId="46750" xr:uid="{00000000-0005-0000-0000-00001A5B0000}"/>
    <cellStyle name="Normal 2 5 7 5 4 4" xfId="27680" xr:uid="{00000000-0005-0000-0000-00001B5B0000}"/>
    <cellStyle name="Normal 2 5 7 5 5" xfId="6664" xr:uid="{00000000-0005-0000-0000-00001C5B0000}"/>
    <cellStyle name="Normal 2 5 7 5 5 2" xfId="15491" xr:uid="{00000000-0005-0000-0000-00001D5B0000}"/>
    <cellStyle name="Normal 2 5 7 5 5 2 2" xfId="41046" xr:uid="{00000000-0005-0000-0000-00001E5B0000}"/>
    <cellStyle name="Normal 2 5 7 5 5 3" xfId="25742" xr:uid="{00000000-0005-0000-0000-00001F5B0000}"/>
    <cellStyle name="Normal 2 5 7 5 5 3 2" xfId="51295" xr:uid="{00000000-0005-0000-0000-0000205B0000}"/>
    <cellStyle name="Normal 2 5 7 5 5 4" xfId="32225" xr:uid="{00000000-0005-0000-0000-0000215B0000}"/>
    <cellStyle name="Normal 2 5 7 5 6" xfId="8110" xr:uid="{00000000-0005-0000-0000-0000225B0000}"/>
    <cellStyle name="Normal 2 5 7 5 6 2" xfId="20500" xr:uid="{00000000-0005-0000-0000-0000235B0000}"/>
    <cellStyle name="Normal 2 5 7 5 6 2 2" xfId="46053" xr:uid="{00000000-0005-0000-0000-0000245B0000}"/>
    <cellStyle name="Normal 2 5 7 5 6 3" xfId="33667" xr:uid="{00000000-0005-0000-0000-0000255B0000}"/>
    <cellStyle name="Normal 2 5 7 5 7" xfId="16190" xr:uid="{00000000-0005-0000-0000-0000265B0000}"/>
    <cellStyle name="Normal 2 5 7 5 7 2" xfId="41743" xr:uid="{00000000-0005-0000-0000-0000275B0000}"/>
    <cellStyle name="Normal 2 5 7 5 8" xfId="26983" xr:uid="{00000000-0005-0000-0000-0000285B0000}"/>
    <cellStyle name="Normal 2 5 7 6" xfId="2719" xr:uid="{00000000-0005-0000-0000-0000295B0000}"/>
    <cellStyle name="Normal 2 5 7 6 2" xfId="12036" xr:uid="{00000000-0005-0000-0000-00002A5B0000}"/>
    <cellStyle name="Normal 2 5 7 6 2 2" xfId="22080" xr:uid="{00000000-0005-0000-0000-00002B5B0000}"/>
    <cellStyle name="Normal 2 5 7 6 2 2 2" xfId="47633" xr:uid="{00000000-0005-0000-0000-00002C5B0000}"/>
    <cellStyle name="Normal 2 5 7 6 2 3" xfId="37591" xr:uid="{00000000-0005-0000-0000-00002D5B0000}"/>
    <cellStyle name="Normal 2 5 7 6 3" xfId="8548" xr:uid="{00000000-0005-0000-0000-00002E5B0000}"/>
    <cellStyle name="Normal 2 5 7 6 3 2" xfId="34105" xr:uid="{00000000-0005-0000-0000-00002F5B0000}"/>
    <cellStyle name="Normal 2 5 7 6 4" xfId="17073" xr:uid="{00000000-0005-0000-0000-0000305B0000}"/>
    <cellStyle name="Normal 2 5 7 6 4 2" xfId="42626" xr:uid="{00000000-0005-0000-0000-0000315B0000}"/>
    <cellStyle name="Normal 2 5 7 6 5" xfId="28563" xr:uid="{00000000-0005-0000-0000-0000325B0000}"/>
    <cellStyle name="Normal 2 5 7 7" xfId="4165" xr:uid="{00000000-0005-0000-0000-0000335B0000}"/>
    <cellStyle name="Normal 2 5 7 7 2" xfId="13003" xr:uid="{00000000-0005-0000-0000-0000345B0000}"/>
    <cellStyle name="Normal 2 5 7 7 2 2" xfId="23254" xr:uid="{00000000-0005-0000-0000-0000355B0000}"/>
    <cellStyle name="Normal 2 5 7 7 2 2 2" xfId="48807" xr:uid="{00000000-0005-0000-0000-0000365B0000}"/>
    <cellStyle name="Normal 2 5 7 7 2 3" xfId="38558" xr:uid="{00000000-0005-0000-0000-0000375B0000}"/>
    <cellStyle name="Normal 2 5 7 7 3" xfId="9424" xr:uid="{00000000-0005-0000-0000-0000385B0000}"/>
    <cellStyle name="Normal 2 5 7 7 3 2" xfId="34981" xr:uid="{00000000-0005-0000-0000-0000395B0000}"/>
    <cellStyle name="Normal 2 5 7 7 4" xfId="18247" xr:uid="{00000000-0005-0000-0000-00003A5B0000}"/>
    <cellStyle name="Normal 2 5 7 7 4 2" xfId="43800" xr:uid="{00000000-0005-0000-0000-00003B5B0000}"/>
    <cellStyle name="Normal 2 5 7 7 5" xfId="29737" xr:uid="{00000000-0005-0000-0000-00003C5B0000}"/>
    <cellStyle name="Normal 2 5 7 8" xfId="1437" xr:uid="{00000000-0005-0000-0000-00003D5B0000}"/>
    <cellStyle name="Normal 2 5 7 8 2" xfId="10814" xr:uid="{00000000-0005-0000-0000-00003E5B0000}"/>
    <cellStyle name="Normal 2 5 7 8 2 2" xfId="36369" xr:uid="{00000000-0005-0000-0000-00003F5B0000}"/>
    <cellStyle name="Normal 2 5 7 8 3" xfId="20818" xr:uid="{00000000-0005-0000-0000-0000405B0000}"/>
    <cellStyle name="Normal 2 5 7 8 3 2" xfId="46371" xr:uid="{00000000-0005-0000-0000-0000415B0000}"/>
    <cellStyle name="Normal 2 5 7 8 4" xfId="27301" xr:uid="{00000000-0005-0000-0000-0000425B0000}"/>
    <cellStyle name="Normal 2 5 7 9" xfId="5621" xr:uid="{00000000-0005-0000-0000-0000435B0000}"/>
    <cellStyle name="Normal 2 5 7 9 2" xfId="14448" xr:uid="{00000000-0005-0000-0000-0000445B0000}"/>
    <cellStyle name="Normal 2 5 7 9 2 2" xfId="40003" xr:uid="{00000000-0005-0000-0000-0000455B0000}"/>
    <cellStyle name="Normal 2 5 7 9 3" xfId="24699" xr:uid="{00000000-0005-0000-0000-0000465B0000}"/>
    <cellStyle name="Normal 2 5 7 9 3 2" xfId="50252" xr:uid="{00000000-0005-0000-0000-0000475B0000}"/>
    <cellStyle name="Normal 2 5 7 9 4" xfId="31182" xr:uid="{00000000-0005-0000-0000-0000485B0000}"/>
    <cellStyle name="Normal 2 5 7_Degree data" xfId="3874" xr:uid="{00000000-0005-0000-0000-0000495B0000}"/>
    <cellStyle name="Normal 2 5 8" xfId="284" xr:uid="{00000000-0005-0000-0000-00004A5B0000}"/>
    <cellStyle name="Normal 2 5 8 10" xfId="16072" xr:uid="{00000000-0005-0000-0000-00004B5B0000}"/>
    <cellStyle name="Normal 2 5 8 10 2" xfId="41625" xr:uid="{00000000-0005-0000-0000-00004C5B0000}"/>
    <cellStyle name="Normal 2 5 8 11" xfId="26218" xr:uid="{00000000-0005-0000-0000-00004D5B0000}"/>
    <cellStyle name="Normal 2 5 8 2" xfId="606" xr:uid="{00000000-0005-0000-0000-00004E5B0000}"/>
    <cellStyle name="Normal 2 5 8 2 2" xfId="3092" xr:uid="{00000000-0005-0000-0000-00004F5B0000}"/>
    <cellStyle name="Normal 2 5 8 2 2 2" xfId="12235" xr:uid="{00000000-0005-0000-0000-0000505B0000}"/>
    <cellStyle name="Normal 2 5 8 2 2 2 2" xfId="22453" xr:uid="{00000000-0005-0000-0000-0000515B0000}"/>
    <cellStyle name="Normal 2 5 8 2 2 2 2 2" xfId="48006" xr:uid="{00000000-0005-0000-0000-0000525B0000}"/>
    <cellStyle name="Normal 2 5 8 2 2 2 3" xfId="37790" xr:uid="{00000000-0005-0000-0000-0000535B0000}"/>
    <cellStyle name="Normal 2 5 8 2 2 3" xfId="8657" xr:uid="{00000000-0005-0000-0000-0000545B0000}"/>
    <cellStyle name="Normal 2 5 8 2 2 3 2" xfId="34214" xr:uid="{00000000-0005-0000-0000-0000555B0000}"/>
    <cellStyle name="Normal 2 5 8 2 2 4" xfId="17446" xr:uid="{00000000-0005-0000-0000-0000565B0000}"/>
    <cellStyle name="Normal 2 5 8 2 2 4 2" xfId="42999" xr:uid="{00000000-0005-0000-0000-0000575B0000}"/>
    <cellStyle name="Normal 2 5 8 2 2 5" xfId="28936" xr:uid="{00000000-0005-0000-0000-0000585B0000}"/>
    <cellStyle name="Normal 2 5 8 2 3" xfId="4592" xr:uid="{00000000-0005-0000-0000-0000595B0000}"/>
    <cellStyle name="Normal 2 5 8 2 3 2" xfId="13430" xr:uid="{00000000-0005-0000-0000-00005A5B0000}"/>
    <cellStyle name="Normal 2 5 8 2 3 2 2" xfId="23681" xr:uid="{00000000-0005-0000-0000-00005B5B0000}"/>
    <cellStyle name="Normal 2 5 8 2 3 2 2 2" xfId="49234" xr:uid="{00000000-0005-0000-0000-00005C5B0000}"/>
    <cellStyle name="Normal 2 5 8 2 3 2 3" xfId="38985" xr:uid="{00000000-0005-0000-0000-00005D5B0000}"/>
    <cellStyle name="Normal 2 5 8 2 3 3" xfId="9851" xr:uid="{00000000-0005-0000-0000-00005E5B0000}"/>
    <cellStyle name="Normal 2 5 8 2 3 3 2" xfId="35408" xr:uid="{00000000-0005-0000-0000-00005F5B0000}"/>
    <cellStyle name="Normal 2 5 8 2 3 4" xfId="18674" xr:uid="{00000000-0005-0000-0000-0000605B0000}"/>
    <cellStyle name="Normal 2 5 8 2 3 4 2" xfId="44227" xr:uid="{00000000-0005-0000-0000-0000615B0000}"/>
    <cellStyle name="Normal 2 5 8 2 3 5" xfId="30164" xr:uid="{00000000-0005-0000-0000-0000625B0000}"/>
    <cellStyle name="Normal 2 5 8 2 4" xfId="2201" xr:uid="{00000000-0005-0000-0000-0000635B0000}"/>
    <cellStyle name="Normal 2 5 8 2 4 2" xfId="11566" xr:uid="{00000000-0005-0000-0000-0000645B0000}"/>
    <cellStyle name="Normal 2 5 8 2 4 2 2" xfId="37121" xr:uid="{00000000-0005-0000-0000-0000655B0000}"/>
    <cellStyle name="Normal 2 5 8 2 4 3" xfId="21570" xr:uid="{00000000-0005-0000-0000-0000665B0000}"/>
    <cellStyle name="Normal 2 5 8 2 4 3 2" xfId="47123" xr:uid="{00000000-0005-0000-0000-0000675B0000}"/>
    <cellStyle name="Normal 2 5 8 2 4 4" xfId="28053" xr:uid="{00000000-0005-0000-0000-0000685B0000}"/>
    <cellStyle name="Normal 2 5 8 2 5" xfId="6048" xr:uid="{00000000-0005-0000-0000-0000695B0000}"/>
    <cellStyle name="Normal 2 5 8 2 5 2" xfId="14875" xr:uid="{00000000-0005-0000-0000-00006A5B0000}"/>
    <cellStyle name="Normal 2 5 8 2 5 2 2" xfId="40430" xr:uid="{00000000-0005-0000-0000-00006B5B0000}"/>
    <cellStyle name="Normal 2 5 8 2 5 3" xfId="25126" xr:uid="{00000000-0005-0000-0000-00006C5B0000}"/>
    <cellStyle name="Normal 2 5 8 2 5 3 2" xfId="50679" xr:uid="{00000000-0005-0000-0000-00006D5B0000}"/>
    <cellStyle name="Normal 2 5 8 2 5 4" xfId="31609" xr:uid="{00000000-0005-0000-0000-00006E5B0000}"/>
    <cellStyle name="Normal 2 5 8 2 6" xfId="7492" xr:uid="{00000000-0005-0000-0000-00006F5B0000}"/>
    <cellStyle name="Normal 2 5 8 2 6 2" xfId="20052" xr:uid="{00000000-0005-0000-0000-0000705B0000}"/>
    <cellStyle name="Normal 2 5 8 2 6 2 2" xfId="45605" xr:uid="{00000000-0005-0000-0000-0000715B0000}"/>
    <cellStyle name="Normal 2 5 8 2 6 3" xfId="33049" xr:uid="{00000000-0005-0000-0000-0000725B0000}"/>
    <cellStyle name="Normal 2 5 8 2 7" xfId="16563" xr:uid="{00000000-0005-0000-0000-0000735B0000}"/>
    <cellStyle name="Normal 2 5 8 2 7 2" xfId="42116" xr:uid="{00000000-0005-0000-0000-0000745B0000}"/>
    <cellStyle name="Normal 2 5 8 2 8" xfId="26535" xr:uid="{00000000-0005-0000-0000-0000755B0000}"/>
    <cellStyle name="Normal 2 5 8 3" xfId="777" xr:uid="{00000000-0005-0000-0000-0000765B0000}"/>
    <cellStyle name="Normal 2 5 8 3 2" xfId="3263" xr:uid="{00000000-0005-0000-0000-0000775B0000}"/>
    <cellStyle name="Normal 2 5 8 3 2 2" xfId="12405" xr:uid="{00000000-0005-0000-0000-0000785B0000}"/>
    <cellStyle name="Normal 2 5 8 3 2 2 2" xfId="22624" xr:uid="{00000000-0005-0000-0000-0000795B0000}"/>
    <cellStyle name="Normal 2 5 8 3 2 2 2 2" xfId="48177" xr:uid="{00000000-0005-0000-0000-00007A5B0000}"/>
    <cellStyle name="Normal 2 5 8 3 2 2 3" xfId="37960" xr:uid="{00000000-0005-0000-0000-00007B5B0000}"/>
    <cellStyle name="Normal 2 5 8 3 2 3" xfId="8827" xr:uid="{00000000-0005-0000-0000-00007C5B0000}"/>
    <cellStyle name="Normal 2 5 8 3 2 3 2" xfId="34384" xr:uid="{00000000-0005-0000-0000-00007D5B0000}"/>
    <cellStyle name="Normal 2 5 8 3 2 4" xfId="17617" xr:uid="{00000000-0005-0000-0000-00007E5B0000}"/>
    <cellStyle name="Normal 2 5 8 3 2 4 2" xfId="43170" xr:uid="{00000000-0005-0000-0000-00007F5B0000}"/>
    <cellStyle name="Normal 2 5 8 3 2 5" xfId="29107" xr:uid="{00000000-0005-0000-0000-0000805B0000}"/>
    <cellStyle name="Normal 2 5 8 3 3" xfId="4941" xr:uid="{00000000-0005-0000-0000-0000815B0000}"/>
    <cellStyle name="Normal 2 5 8 3 3 2" xfId="13778" xr:uid="{00000000-0005-0000-0000-0000825B0000}"/>
    <cellStyle name="Normal 2 5 8 3 3 2 2" xfId="24029" xr:uid="{00000000-0005-0000-0000-0000835B0000}"/>
    <cellStyle name="Normal 2 5 8 3 3 2 2 2" xfId="49582" xr:uid="{00000000-0005-0000-0000-0000845B0000}"/>
    <cellStyle name="Normal 2 5 8 3 3 2 3" xfId="39333" xr:uid="{00000000-0005-0000-0000-0000855B0000}"/>
    <cellStyle name="Normal 2 5 8 3 3 3" xfId="10199" xr:uid="{00000000-0005-0000-0000-0000865B0000}"/>
    <cellStyle name="Normal 2 5 8 3 3 3 2" xfId="35756" xr:uid="{00000000-0005-0000-0000-0000875B0000}"/>
    <cellStyle name="Normal 2 5 8 3 3 4" xfId="19022" xr:uid="{00000000-0005-0000-0000-0000885B0000}"/>
    <cellStyle name="Normal 2 5 8 3 3 4 2" xfId="44575" xr:uid="{00000000-0005-0000-0000-0000895B0000}"/>
    <cellStyle name="Normal 2 5 8 3 3 5" xfId="30512" xr:uid="{00000000-0005-0000-0000-00008A5B0000}"/>
    <cellStyle name="Normal 2 5 8 3 4" xfId="2372" xr:uid="{00000000-0005-0000-0000-00008B5B0000}"/>
    <cellStyle name="Normal 2 5 8 3 4 2" xfId="11737" xr:uid="{00000000-0005-0000-0000-00008C5B0000}"/>
    <cellStyle name="Normal 2 5 8 3 4 2 2" xfId="37292" xr:uid="{00000000-0005-0000-0000-00008D5B0000}"/>
    <cellStyle name="Normal 2 5 8 3 4 3" xfId="21741" xr:uid="{00000000-0005-0000-0000-00008E5B0000}"/>
    <cellStyle name="Normal 2 5 8 3 4 3 2" xfId="47294" xr:uid="{00000000-0005-0000-0000-00008F5B0000}"/>
    <cellStyle name="Normal 2 5 8 3 4 4" xfId="28224" xr:uid="{00000000-0005-0000-0000-0000905B0000}"/>
    <cellStyle name="Normal 2 5 8 3 5" xfId="6396" xr:uid="{00000000-0005-0000-0000-0000915B0000}"/>
    <cellStyle name="Normal 2 5 8 3 5 2" xfId="15223" xr:uid="{00000000-0005-0000-0000-0000925B0000}"/>
    <cellStyle name="Normal 2 5 8 3 5 2 2" xfId="40778" xr:uid="{00000000-0005-0000-0000-0000935B0000}"/>
    <cellStyle name="Normal 2 5 8 3 5 3" xfId="25474" xr:uid="{00000000-0005-0000-0000-0000945B0000}"/>
    <cellStyle name="Normal 2 5 8 3 5 3 2" xfId="51027" xr:uid="{00000000-0005-0000-0000-0000955B0000}"/>
    <cellStyle name="Normal 2 5 8 3 5 4" xfId="31957" xr:uid="{00000000-0005-0000-0000-0000965B0000}"/>
    <cellStyle name="Normal 2 5 8 3 6" xfId="7842" xr:uid="{00000000-0005-0000-0000-0000975B0000}"/>
    <cellStyle name="Normal 2 5 8 3 6 2" xfId="20223" xr:uid="{00000000-0005-0000-0000-0000985B0000}"/>
    <cellStyle name="Normal 2 5 8 3 6 2 2" xfId="45776" xr:uid="{00000000-0005-0000-0000-0000995B0000}"/>
    <cellStyle name="Normal 2 5 8 3 6 3" xfId="33399" xr:uid="{00000000-0005-0000-0000-00009A5B0000}"/>
    <cellStyle name="Normal 2 5 8 3 7" xfId="16734" xr:uid="{00000000-0005-0000-0000-00009B5B0000}"/>
    <cellStyle name="Normal 2 5 8 3 7 2" xfId="42287" xr:uid="{00000000-0005-0000-0000-00009C5B0000}"/>
    <cellStyle name="Normal 2 5 8 3 8" xfId="26706" xr:uid="{00000000-0005-0000-0000-00009D5B0000}"/>
    <cellStyle name="Normal 2 5 8 4" xfId="1378" xr:uid="{00000000-0005-0000-0000-00009E5B0000}"/>
    <cellStyle name="Normal 2 5 8 4 2" xfId="3807" xr:uid="{00000000-0005-0000-0000-00009F5B0000}"/>
    <cellStyle name="Normal 2 5 8 4 2 2" xfId="12943" xr:uid="{00000000-0005-0000-0000-0000A05B0000}"/>
    <cellStyle name="Normal 2 5 8 4 2 2 2" xfId="23162" xr:uid="{00000000-0005-0000-0000-0000A15B0000}"/>
    <cellStyle name="Normal 2 5 8 4 2 2 2 2" xfId="48715" xr:uid="{00000000-0005-0000-0000-0000A25B0000}"/>
    <cellStyle name="Normal 2 5 8 4 2 2 3" xfId="38498" xr:uid="{00000000-0005-0000-0000-0000A35B0000}"/>
    <cellStyle name="Normal 2 5 8 4 2 3" xfId="9364" xr:uid="{00000000-0005-0000-0000-0000A45B0000}"/>
    <cellStyle name="Normal 2 5 8 4 2 3 2" xfId="34921" xr:uid="{00000000-0005-0000-0000-0000A55B0000}"/>
    <cellStyle name="Normal 2 5 8 4 2 4" xfId="18155" xr:uid="{00000000-0005-0000-0000-0000A65B0000}"/>
    <cellStyle name="Normal 2 5 8 4 2 4 2" xfId="43708" xr:uid="{00000000-0005-0000-0000-0000A75B0000}"/>
    <cellStyle name="Normal 2 5 8 4 2 5" xfId="29645" xr:uid="{00000000-0005-0000-0000-0000A85B0000}"/>
    <cellStyle name="Normal 2 5 8 4 3" xfId="5470" xr:uid="{00000000-0005-0000-0000-0000A95B0000}"/>
    <cellStyle name="Normal 2 5 8 4 3 2" xfId="14307" xr:uid="{00000000-0005-0000-0000-0000AA5B0000}"/>
    <cellStyle name="Normal 2 5 8 4 3 2 2" xfId="24558" xr:uid="{00000000-0005-0000-0000-0000AB5B0000}"/>
    <cellStyle name="Normal 2 5 8 4 3 2 2 2" xfId="50111" xr:uid="{00000000-0005-0000-0000-0000AC5B0000}"/>
    <cellStyle name="Normal 2 5 8 4 3 2 3" xfId="39862" xr:uid="{00000000-0005-0000-0000-0000AD5B0000}"/>
    <cellStyle name="Normal 2 5 8 4 3 3" xfId="10728" xr:uid="{00000000-0005-0000-0000-0000AE5B0000}"/>
    <cellStyle name="Normal 2 5 8 4 3 3 2" xfId="36285" xr:uid="{00000000-0005-0000-0000-0000AF5B0000}"/>
    <cellStyle name="Normal 2 5 8 4 3 4" xfId="19551" xr:uid="{00000000-0005-0000-0000-0000B05B0000}"/>
    <cellStyle name="Normal 2 5 8 4 3 4 2" xfId="45104" xr:uid="{00000000-0005-0000-0000-0000B15B0000}"/>
    <cellStyle name="Normal 2 5 8 4 3 5" xfId="31041" xr:uid="{00000000-0005-0000-0000-0000B25B0000}"/>
    <cellStyle name="Normal 2 5 8 4 4" xfId="1881" xr:uid="{00000000-0005-0000-0000-0000B35B0000}"/>
    <cellStyle name="Normal 2 5 8 4 4 2" xfId="11249" xr:uid="{00000000-0005-0000-0000-0000B45B0000}"/>
    <cellStyle name="Normal 2 5 8 4 4 2 2" xfId="36804" xr:uid="{00000000-0005-0000-0000-0000B55B0000}"/>
    <cellStyle name="Normal 2 5 8 4 4 3" xfId="21253" xr:uid="{00000000-0005-0000-0000-0000B65B0000}"/>
    <cellStyle name="Normal 2 5 8 4 4 3 2" xfId="46806" xr:uid="{00000000-0005-0000-0000-0000B75B0000}"/>
    <cellStyle name="Normal 2 5 8 4 4 4" xfId="27736" xr:uid="{00000000-0005-0000-0000-0000B85B0000}"/>
    <cellStyle name="Normal 2 5 8 4 5" xfId="6925" xr:uid="{00000000-0005-0000-0000-0000B95B0000}"/>
    <cellStyle name="Normal 2 5 8 4 5 2" xfId="15752" xr:uid="{00000000-0005-0000-0000-0000BA5B0000}"/>
    <cellStyle name="Normal 2 5 8 4 5 2 2" xfId="41307" xr:uid="{00000000-0005-0000-0000-0000BB5B0000}"/>
    <cellStyle name="Normal 2 5 8 4 5 3" xfId="26003" xr:uid="{00000000-0005-0000-0000-0000BC5B0000}"/>
    <cellStyle name="Normal 2 5 8 4 5 3 2" xfId="51556" xr:uid="{00000000-0005-0000-0000-0000BD5B0000}"/>
    <cellStyle name="Normal 2 5 8 4 5 4" xfId="32486" xr:uid="{00000000-0005-0000-0000-0000BE5B0000}"/>
    <cellStyle name="Normal 2 5 8 4 6" xfId="8371" xr:uid="{00000000-0005-0000-0000-0000BF5B0000}"/>
    <cellStyle name="Normal 2 5 8 4 6 2" xfId="20761" xr:uid="{00000000-0005-0000-0000-0000C05B0000}"/>
    <cellStyle name="Normal 2 5 8 4 6 2 2" xfId="46314" xr:uid="{00000000-0005-0000-0000-0000C15B0000}"/>
    <cellStyle name="Normal 2 5 8 4 6 3" xfId="33928" xr:uid="{00000000-0005-0000-0000-0000C25B0000}"/>
    <cellStyle name="Normal 2 5 8 4 7" xfId="16246" xr:uid="{00000000-0005-0000-0000-0000C35B0000}"/>
    <cellStyle name="Normal 2 5 8 4 7 2" xfId="41799" xr:uid="{00000000-0005-0000-0000-0000C45B0000}"/>
    <cellStyle name="Normal 2 5 8 4 8" xfId="27244" xr:uid="{00000000-0005-0000-0000-0000C55B0000}"/>
    <cellStyle name="Normal 2 5 8 5" xfId="2775" xr:uid="{00000000-0005-0000-0000-0000C65B0000}"/>
    <cellStyle name="Normal 2 5 8 5 2" xfId="12092" xr:uid="{00000000-0005-0000-0000-0000C75B0000}"/>
    <cellStyle name="Normal 2 5 8 5 2 2" xfId="22136" xr:uid="{00000000-0005-0000-0000-0000C85B0000}"/>
    <cellStyle name="Normal 2 5 8 5 2 2 2" xfId="47689" xr:uid="{00000000-0005-0000-0000-0000C95B0000}"/>
    <cellStyle name="Normal 2 5 8 5 2 3" xfId="37647" xr:uid="{00000000-0005-0000-0000-0000CA5B0000}"/>
    <cellStyle name="Normal 2 5 8 5 3" xfId="8619" xr:uid="{00000000-0005-0000-0000-0000CB5B0000}"/>
    <cellStyle name="Normal 2 5 8 5 3 2" xfId="34176" xr:uid="{00000000-0005-0000-0000-0000CC5B0000}"/>
    <cellStyle name="Normal 2 5 8 5 4" xfId="17129" xr:uid="{00000000-0005-0000-0000-0000CD5B0000}"/>
    <cellStyle name="Normal 2 5 8 5 4 2" xfId="42682" xr:uid="{00000000-0005-0000-0000-0000CE5B0000}"/>
    <cellStyle name="Normal 2 5 8 5 5" xfId="28619" xr:uid="{00000000-0005-0000-0000-0000CF5B0000}"/>
    <cellStyle name="Normal 2 5 8 6" xfId="4426" xr:uid="{00000000-0005-0000-0000-0000D05B0000}"/>
    <cellStyle name="Normal 2 5 8 6 2" xfId="13264" xr:uid="{00000000-0005-0000-0000-0000D15B0000}"/>
    <cellStyle name="Normal 2 5 8 6 2 2" xfId="23515" xr:uid="{00000000-0005-0000-0000-0000D25B0000}"/>
    <cellStyle name="Normal 2 5 8 6 2 2 2" xfId="49068" xr:uid="{00000000-0005-0000-0000-0000D35B0000}"/>
    <cellStyle name="Normal 2 5 8 6 2 3" xfId="38819" xr:uid="{00000000-0005-0000-0000-0000D45B0000}"/>
    <cellStyle name="Normal 2 5 8 6 3" xfId="9685" xr:uid="{00000000-0005-0000-0000-0000D55B0000}"/>
    <cellStyle name="Normal 2 5 8 6 3 2" xfId="35242" xr:uid="{00000000-0005-0000-0000-0000D65B0000}"/>
    <cellStyle name="Normal 2 5 8 6 4" xfId="18508" xr:uid="{00000000-0005-0000-0000-0000D75B0000}"/>
    <cellStyle name="Normal 2 5 8 6 4 2" xfId="44061" xr:uid="{00000000-0005-0000-0000-0000D85B0000}"/>
    <cellStyle name="Normal 2 5 8 6 5" xfId="29998" xr:uid="{00000000-0005-0000-0000-0000D95B0000}"/>
    <cellStyle name="Normal 2 5 8 7" xfId="1698" xr:uid="{00000000-0005-0000-0000-0000DA5B0000}"/>
    <cellStyle name="Normal 2 5 8 7 2" xfId="11075" xr:uid="{00000000-0005-0000-0000-0000DB5B0000}"/>
    <cellStyle name="Normal 2 5 8 7 2 2" xfId="36630" xr:uid="{00000000-0005-0000-0000-0000DC5B0000}"/>
    <cellStyle name="Normal 2 5 8 7 3" xfId="21079" xr:uid="{00000000-0005-0000-0000-0000DD5B0000}"/>
    <cellStyle name="Normal 2 5 8 7 3 2" xfId="46632" xr:uid="{00000000-0005-0000-0000-0000DE5B0000}"/>
    <cellStyle name="Normal 2 5 8 7 4" xfId="27562" xr:uid="{00000000-0005-0000-0000-0000DF5B0000}"/>
    <cellStyle name="Normal 2 5 8 8" xfId="5882" xr:uid="{00000000-0005-0000-0000-0000E05B0000}"/>
    <cellStyle name="Normal 2 5 8 8 2" xfId="14709" xr:uid="{00000000-0005-0000-0000-0000E15B0000}"/>
    <cellStyle name="Normal 2 5 8 8 2 2" xfId="40264" xr:uid="{00000000-0005-0000-0000-0000E25B0000}"/>
    <cellStyle name="Normal 2 5 8 8 3" xfId="24960" xr:uid="{00000000-0005-0000-0000-0000E35B0000}"/>
    <cellStyle name="Normal 2 5 8 8 3 2" xfId="50513" xr:uid="{00000000-0005-0000-0000-0000E45B0000}"/>
    <cellStyle name="Normal 2 5 8 8 4" xfId="31443" xr:uid="{00000000-0005-0000-0000-0000E55B0000}"/>
    <cellStyle name="Normal 2 5 8 9" xfId="7326" xr:uid="{00000000-0005-0000-0000-0000E65B0000}"/>
    <cellStyle name="Normal 2 5 8 9 2" xfId="19735" xr:uid="{00000000-0005-0000-0000-0000E75B0000}"/>
    <cellStyle name="Normal 2 5 8 9 2 2" xfId="45288" xr:uid="{00000000-0005-0000-0000-0000E85B0000}"/>
    <cellStyle name="Normal 2 5 8 9 3" xfId="32883" xr:uid="{00000000-0005-0000-0000-0000E95B0000}"/>
    <cellStyle name="Normal 2 5 8_Degree data" xfId="3460" xr:uid="{00000000-0005-0000-0000-0000EA5B0000}"/>
    <cellStyle name="Normal 2 5 9" xfId="445" xr:uid="{00000000-0005-0000-0000-0000EB5B0000}"/>
    <cellStyle name="Normal 2 5 9 10" xfId="26374" xr:uid="{00000000-0005-0000-0000-0000EC5B0000}"/>
    <cellStyle name="Normal 2 5 9 2" xfId="778" xr:uid="{00000000-0005-0000-0000-0000ED5B0000}"/>
    <cellStyle name="Normal 2 5 9 2 2" xfId="3264" xr:uid="{00000000-0005-0000-0000-0000EE5B0000}"/>
    <cellStyle name="Normal 2 5 9 2 2 2" xfId="12406" xr:uid="{00000000-0005-0000-0000-0000EF5B0000}"/>
    <cellStyle name="Normal 2 5 9 2 2 2 2" xfId="22625" xr:uid="{00000000-0005-0000-0000-0000F05B0000}"/>
    <cellStyle name="Normal 2 5 9 2 2 2 2 2" xfId="48178" xr:uid="{00000000-0005-0000-0000-0000F15B0000}"/>
    <cellStyle name="Normal 2 5 9 2 2 2 3" xfId="37961" xr:uid="{00000000-0005-0000-0000-0000F25B0000}"/>
    <cellStyle name="Normal 2 5 9 2 2 3" xfId="8828" xr:uid="{00000000-0005-0000-0000-0000F35B0000}"/>
    <cellStyle name="Normal 2 5 9 2 2 3 2" xfId="34385" xr:uid="{00000000-0005-0000-0000-0000F45B0000}"/>
    <cellStyle name="Normal 2 5 9 2 2 4" xfId="17618" xr:uid="{00000000-0005-0000-0000-0000F55B0000}"/>
    <cellStyle name="Normal 2 5 9 2 2 4 2" xfId="43171" xr:uid="{00000000-0005-0000-0000-0000F65B0000}"/>
    <cellStyle name="Normal 2 5 9 2 2 5" xfId="29108" xr:uid="{00000000-0005-0000-0000-0000F75B0000}"/>
    <cellStyle name="Normal 2 5 9 2 3" xfId="4593" xr:uid="{00000000-0005-0000-0000-0000F85B0000}"/>
    <cellStyle name="Normal 2 5 9 2 3 2" xfId="13431" xr:uid="{00000000-0005-0000-0000-0000F95B0000}"/>
    <cellStyle name="Normal 2 5 9 2 3 2 2" xfId="23682" xr:uid="{00000000-0005-0000-0000-0000FA5B0000}"/>
    <cellStyle name="Normal 2 5 9 2 3 2 2 2" xfId="49235" xr:uid="{00000000-0005-0000-0000-0000FB5B0000}"/>
    <cellStyle name="Normal 2 5 9 2 3 2 3" xfId="38986" xr:uid="{00000000-0005-0000-0000-0000FC5B0000}"/>
    <cellStyle name="Normal 2 5 9 2 3 3" xfId="9852" xr:uid="{00000000-0005-0000-0000-0000FD5B0000}"/>
    <cellStyle name="Normal 2 5 9 2 3 3 2" xfId="35409" xr:uid="{00000000-0005-0000-0000-0000FE5B0000}"/>
    <cellStyle name="Normal 2 5 9 2 3 4" xfId="18675" xr:uid="{00000000-0005-0000-0000-0000FF5B0000}"/>
    <cellStyle name="Normal 2 5 9 2 3 4 2" xfId="44228" xr:uid="{00000000-0005-0000-0000-0000005C0000}"/>
    <cellStyle name="Normal 2 5 9 2 3 5" xfId="30165" xr:uid="{00000000-0005-0000-0000-0000015C0000}"/>
    <cellStyle name="Normal 2 5 9 2 4" xfId="2373" xr:uid="{00000000-0005-0000-0000-0000025C0000}"/>
    <cellStyle name="Normal 2 5 9 2 4 2" xfId="11738" xr:uid="{00000000-0005-0000-0000-0000035C0000}"/>
    <cellStyle name="Normal 2 5 9 2 4 2 2" xfId="37293" xr:uid="{00000000-0005-0000-0000-0000045C0000}"/>
    <cellStyle name="Normal 2 5 9 2 4 3" xfId="21742" xr:uid="{00000000-0005-0000-0000-0000055C0000}"/>
    <cellStyle name="Normal 2 5 9 2 4 3 2" xfId="47295" xr:uid="{00000000-0005-0000-0000-0000065C0000}"/>
    <cellStyle name="Normal 2 5 9 2 4 4" xfId="28225" xr:uid="{00000000-0005-0000-0000-0000075C0000}"/>
    <cellStyle name="Normal 2 5 9 2 5" xfId="6049" xr:uid="{00000000-0005-0000-0000-0000085C0000}"/>
    <cellStyle name="Normal 2 5 9 2 5 2" xfId="14876" xr:uid="{00000000-0005-0000-0000-0000095C0000}"/>
    <cellStyle name="Normal 2 5 9 2 5 2 2" xfId="40431" xr:uid="{00000000-0005-0000-0000-00000A5C0000}"/>
    <cellStyle name="Normal 2 5 9 2 5 3" xfId="25127" xr:uid="{00000000-0005-0000-0000-00000B5C0000}"/>
    <cellStyle name="Normal 2 5 9 2 5 3 2" xfId="50680" xr:uid="{00000000-0005-0000-0000-00000C5C0000}"/>
    <cellStyle name="Normal 2 5 9 2 5 4" xfId="31610" xr:uid="{00000000-0005-0000-0000-00000D5C0000}"/>
    <cellStyle name="Normal 2 5 9 2 6" xfId="7493" xr:uid="{00000000-0005-0000-0000-00000E5C0000}"/>
    <cellStyle name="Normal 2 5 9 2 6 2" xfId="20224" xr:uid="{00000000-0005-0000-0000-00000F5C0000}"/>
    <cellStyle name="Normal 2 5 9 2 6 2 2" xfId="45777" xr:uid="{00000000-0005-0000-0000-0000105C0000}"/>
    <cellStyle name="Normal 2 5 9 2 6 3" xfId="33050" xr:uid="{00000000-0005-0000-0000-0000115C0000}"/>
    <cellStyle name="Normal 2 5 9 2 7" xfId="16735" xr:uid="{00000000-0005-0000-0000-0000125C0000}"/>
    <cellStyle name="Normal 2 5 9 2 7 2" xfId="42288" xr:uid="{00000000-0005-0000-0000-0000135C0000}"/>
    <cellStyle name="Normal 2 5 9 2 8" xfId="26707" xr:uid="{00000000-0005-0000-0000-0000145C0000}"/>
    <cellStyle name="Normal 2 5 9 3" xfId="1217" xr:uid="{00000000-0005-0000-0000-0000155C0000}"/>
    <cellStyle name="Normal 2 5 9 3 2" xfId="3646" xr:uid="{00000000-0005-0000-0000-0000165C0000}"/>
    <cellStyle name="Normal 2 5 9 3 2 2" xfId="12782" xr:uid="{00000000-0005-0000-0000-0000175C0000}"/>
    <cellStyle name="Normal 2 5 9 3 2 2 2" xfId="23001" xr:uid="{00000000-0005-0000-0000-0000185C0000}"/>
    <cellStyle name="Normal 2 5 9 3 2 2 2 2" xfId="48554" xr:uid="{00000000-0005-0000-0000-0000195C0000}"/>
    <cellStyle name="Normal 2 5 9 3 2 2 3" xfId="38337" xr:uid="{00000000-0005-0000-0000-00001A5C0000}"/>
    <cellStyle name="Normal 2 5 9 3 2 3" xfId="9203" xr:uid="{00000000-0005-0000-0000-00001B5C0000}"/>
    <cellStyle name="Normal 2 5 9 3 2 3 2" xfId="34760" xr:uid="{00000000-0005-0000-0000-00001C5C0000}"/>
    <cellStyle name="Normal 2 5 9 3 2 4" xfId="17994" xr:uid="{00000000-0005-0000-0000-00001D5C0000}"/>
    <cellStyle name="Normal 2 5 9 3 2 4 2" xfId="43547" xr:uid="{00000000-0005-0000-0000-00001E5C0000}"/>
    <cellStyle name="Normal 2 5 9 3 2 5" xfId="29484" xr:uid="{00000000-0005-0000-0000-00001F5C0000}"/>
    <cellStyle name="Normal 2 5 9 3 3" xfId="4942" xr:uid="{00000000-0005-0000-0000-0000205C0000}"/>
    <cellStyle name="Normal 2 5 9 3 3 2" xfId="13779" xr:uid="{00000000-0005-0000-0000-0000215C0000}"/>
    <cellStyle name="Normal 2 5 9 3 3 2 2" xfId="24030" xr:uid="{00000000-0005-0000-0000-0000225C0000}"/>
    <cellStyle name="Normal 2 5 9 3 3 2 2 2" xfId="49583" xr:uid="{00000000-0005-0000-0000-0000235C0000}"/>
    <cellStyle name="Normal 2 5 9 3 3 2 3" xfId="39334" xr:uid="{00000000-0005-0000-0000-0000245C0000}"/>
    <cellStyle name="Normal 2 5 9 3 3 3" xfId="10200" xr:uid="{00000000-0005-0000-0000-0000255C0000}"/>
    <cellStyle name="Normal 2 5 9 3 3 3 2" xfId="35757" xr:uid="{00000000-0005-0000-0000-0000265C0000}"/>
    <cellStyle name="Normal 2 5 9 3 3 4" xfId="19023" xr:uid="{00000000-0005-0000-0000-0000275C0000}"/>
    <cellStyle name="Normal 2 5 9 3 3 4 2" xfId="44576" xr:uid="{00000000-0005-0000-0000-0000285C0000}"/>
    <cellStyle name="Normal 2 5 9 3 3 5" xfId="30513" xr:uid="{00000000-0005-0000-0000-0000295C0000}"/>
    <cellStyle name="Normal 2 5 9 3 4" xfId="2040" xr:uid="{00000000-0005-0000-0000-00002A5C0000}"/>
    <cellStyle name="Normal 2 5 9 3 4 2" xfId="11405" xr:uid="{00000000-0005-0000-0000-00002B5C0000}"/>
    <cellStyle name="Normal 2 5 9 3 4 2 2" xfId="36960" xr:uid="{00000000-0005-0000-0000-00002C5C0000}"/>
    <cellStyle name="Normal 2 5 9 3 4 3" xfId="21409" xr:uid="{00000000-0005-0000-0000-00002D5C0000}"/>
    <cellStyle name="Normal 2 5 9 3 4 3 2" xfId="46962" xr:uid="{00000000-0005-0000-0000-00002E5C0000}"/>
    <cellStyle name="Normal 2 5 9 3 4 4" xfId="27892" xr:uid="{00000000-0005-0000-0000-00002F5C0000}"/>
    <cellStyle name="Normal 2 5 9 3 5" xfId="6397" xr:uid="{00000000-0005-0000-0000-0000305C0000}"/>
    <cellStyle name="Normal 2 5 9 3 5 2" xfId="15224" xr:uid="{00000000-0005-0000-0000-0000315C0000}"/>
    <cellStyle name="Normal 2 5 9 3 5 2 2" xfId="40779" xr:uid="{00000000-0005-0000-0000-0000325C0000}"/>
    <cellStyle name="Normal 2 5 9 3 5 3" xfId="25475" xr:uid="{00000000-0005-0000-0000-0000335C0000}"/>
    <cellStyle name="Normal 2 5 9 3 5 3 2" xfId="51028" xr:uid="{00000000-0005-0000-0000-0000345C0000}"/>
    <cellStyle name="Normal 2 5 9 3 5 4" xfId="31958" xr:uid="{00000000-0005-0000-0000-0000355C0000}"/>
    <cellStyle name="Normal 2 5 9 3 6" xfId="7843" xr:uid="{00000000-0005-0000-0000-0000365C0000}"/>
    <cellStyle name="Normal 2 5 9 3 6 2" xfId="20600" xr:uid="{00000000-0005-0000-0000-0000375C0000}"/>
    <cellStyle name="Normal 2 5 9 3 6 2 2" xfId="46153" xr:uid="{00000000-0005-0000-0000-0000385C0000}"/>
    <cellStyle name="Normal 2 5 9 3 6 3" xfId="33400" xr:uid="{00000000-0005-0000-0000-0000395C0000}"/>
    <cellStyle name="Normal 2 5 9 3 7" xfId="16402" xr:uid="{00000000-0005-0000-0000-00003A5C0000}"/>
    <cellStyle name="Normal 2 5 9 3 7 2" xfId="41955" xr:uid="{00000000-0005-0000-0000-00003B5C0000}"/>
    <cellStyle name="Normal 2 5 9 3 8" xfId="27083" xr:uid="{00000000-0005-0000-0000-00003C5C0000}"/>
    <cellStyle name="Normal 2 5 9 4" xfId="2931" xr:uid="{00000000-0005-0000-0000-00003D5C0000}"/>
    <cellStyle name="Normal 2 5 9 4 2" xfId="5309" xr:uid="{00000000-0005-0000-0000-00003E5C0000}"/>
    <cellStyle name="Normal 2 5 9 4 2 2" xfId="14146" xr:uid="{00000000-0005-0000-0000-00003F5C0000}"/>
    <cellStyle name="Normal 2 5 9 4 2 2 2" xfId="24397" xr:uid="{00000000-0005-0000-0000-0000405C0000}"/>
    <cellStyle name="Normal 2 5 9 4 2 2 2 2" xfId="49950" xr:uid="{00000000-0005-0000-0000-0000415C0000}"/>
    <cellStyle name="Normal 2 5 9 4 2 2 3" xfId="39701" xr:uid="{00000000-0005-0000-0000-0000425C0000}"/>
    <cellStyle name="Normal 2 5 9 4 2 3" xfId="10567" xr:uid="{00000000-0005-0000-0000-0000435C0000}"/>
    <cellStyle name="Normal 2 5 9 4 2 3 2" xfId="36124" xr:uid="{00000000-0005-0000-0000-0000445C0000}"/>
    <cellStyle name="Normal 2 5 9 4 2 4" xfId="19390" xr:uid="{00000000-0005-0000-0000-0000455C0000}"/>
    <cellStyle name="Normal 2 5 9 4 2 4 2" xfId="44943" xr:uid="{00000000-0005-0000-0000-0000465C0000}"/>
    <cellStyle name="Normal 2 5 9 4 2 5" xfId="30880" xr:uid="{00000000-0005-0000-0000-0000475C0000}"/>
    <cellStyle name="Normal 2 5 9 4 3" xfId="6764" xr:uid="{00000000-0005-0000-0000-0000485C0000}"/>
    <cellStyle name="Normal 2 5 9 4 3 2" xfId="15591" xr:uid="{00000000-0005-0000-0000-0000495C0000}"/>
    <cellStyle name="Normal 2 5 9 4 3 2 2" xfId="41146" xr:uid="{00000000-0005-0000-0000-00004A5C0000}"/>
    <cellStyle name="Normal 2 5 9 4 3 3" xfId="25842" xr:uid="{00000000-0005-0000-0000-00004B5C0000}"/>
    <cellStyle name="Normal 2 5 9 4 3 3 2" xfId="51395" xr:uid="{00000000-0005-0000-0000-00004C5C0000}"/>
    <cellStyle name="Normal 2 5 9 4 3 4" xfId="32325" xr:uid="{00000000-0005-0000-0000-00004D5C0000}"/>
    <cellStyle name="Normal 2 5 9 4 4" xfId="8210" xr:uid="{00000000-0005-0000-0000-00004E5C0000}"/>
    <cellStyle name="Normal 2 5 9 4 4 2" xfId="22292" xr:uid="{00000000-0005-0000-0000-00004F5C0000}"/>
    <cellStyle name="Normal 2 5 9 4 4 2 2" xfId="47845" xr:uid="{00000000-0005-0000-0000-0000505C0000}"/>
    <cellStyle name="Normal 2 5 9 4 4 3" xfId="33767" xr:uid="{00000000-0005-0000-0000-0000515C0000}"/>
    <cellStyle name="Normal 2 5 9 4 5" xfId="17285" xr:uid="{00000000-0005-0000-0000-0000525C0000}"/>
    <cellStyle name="Normal 2 5 9 4 5 2" xfId="42838" xr:uid="{00000000-0005-0000-0000-0000535C0000}"/>
    <cellStyle name="Normal 2 5 9 4 6" xfId="28775" xr:uid="{00000000-0005-0000-0000-0000545C0000}"/>
    <cellStyle name="Normal 2 5 9 5" xfId="4265" xr:uid="{00000000-0005-0000-0000-0000555C0000}"/>
    <cellStyle name="Normal 2 5 9 5 2" xfId="13103" xr:uid="{00000000-0005-0000-0000-0000565C0000}"/>
    <cellStyle name="Normal 2 5 9 5 2 2" xfId="23354" xr:uid="{00000000-0005-0000-0000-0000575C0000}"/>
    <cellStyle name="Normal 2 5 9 5 2 2 2" xfId="48907" xr:uid="{00000000-0005-0000-0000-0000585C0000}"/>
    <cellStyle name="Normal 2 5 9 5 2 3" xfId="38658" xr:uid="{00000000-0005-0000-0000-0000595C0000}"/>
    <cellStyle name="Normal 2 5 9 5 3" xfId="9524" xr:uid="{00000000-0005-0000-0000-00005A5C0000}"/>
    <cellStyle name="Normal 2 5 9 5 3 2" xfId="35081" xr:uid="{00000000-0005-0000-0000-00005B5C0000}"/>
    <cellStyle name="Normal 2 5 9 5 4" xfId="18347" xr:uid="{00000000-0005-0000-0000-00005C5C0000}"/>
    <cellStyle name="Normal 2 5 9 5 4 2" xfId="43900" xr:uid="{00000000-0005-0000-0000-00005D5C0000}"/>
    <cellStyle name="Normal 2 5 9 5 5" xfId="29837" xr:uid="{00000000-0005-0000-0000-00005E5C0000}"/>
    <cellStyle name="Normal 2 5 9 6" xfId="1537" xr:uid="{00000000-0005-0000-0000-00005F5C0000}"/>
    <cellStyle name="Normal 2 5 9 6 2" xfId="10914" xr:uid="{00000000-0005-0000-0000-0000605C0000}"/>
    <cellStyle name="Normal 2 5 9 6 2 2" xfId="36469" xr:uid="{00000000-0005-0000-0000-0000615C0000}"/>
    <cellStyle name="Normal 2 5 9 6 3" xfId="20918" xr:uid="{00000000-0005-0000-0000-0000625C0000}"/>
    <cellStyle name="Normal 2 5 9 6 3 2" xfId="46471" xr:uid="{00000000-0005-0000-0000-0000635C0000}"/>
    <cellStyle name="Normal 2 5 9 6 4" xfId="27401" xr:uid="{00000000-0005-0000-0000-0000645C0000}"/>
    <cellStyle name="Normal 2 5 9 7" xfId="5721" xr:uid="{00000000-0005-0000-0000-0000655C0000}"/>
    <cellStyle name="Normal 2 5 9 7 2" xfId="14548" xr:uid="{00000000-0005-0000-0000-0000665C0000}"/>
    <cellStyle name="Normal 2 5 9 7 2 2" xfId="40103" xr:uid="{00000000-0005-0000-0000-0000675C0000}"/>
    <cellStyle name="Normal 2 5 9 7 3" xfId="24799" xr:uid="{00000000-0005-0000-0000-0000685C0000}"/>
    <cellStyle name="Normal 2 5 9 7 3 2" xfId="50352" xr:uid="{00000000-0005-0000-0000-0000695C0000}"/>
    <cellStyle name="Normal 2 5 9 7 4" xfId="31282" xr:uid="{00000000-0005-0000-0000-00006A5C0000}"/>
    <cellStyle name="Normal 2 5 9 8" xfId="7165" xr:uid="{00000000-0005-0000-0000-00006B5C0000}"/>
    <cellStyle name="Normal 2 5 9 8 2" xfId="19891" xr:uid="{00000000-0005-0000-0000-00006C5C0000}"/>
    <cellStyle name="Normal 2 5 9 8 2 2" xfId="45444" xr:uid="{00000000-0005-0000-0000-00006D5C0000}"/>
    <cellStyle name="Normal 2 5 9 8 3" xfId="32722" xr:uid="{00000000-0005-0000-0000-00006E5C0000}"/>
    <cellStyle name="Normal 2 5 9 9" xfId="15911" xr:uid="{00000000-0005-0000-0000-00006F5C0000}"/>
    <cellStyle name="Normal 2 5 9 9 2" xfId="41464" xr:uid="{00000000-0005-0000-0000-0000705C0000}"/>
    <cellStyle name="Normal 2 5 9_Degree data" xfId="3825" xr:uid="{00000000-0005-0000-0000-0000715C0000}"/>
    <cellStyle name="Normal 2 5_Degree data" xfId="3924" xr:uid="{00000000-0005-0000-0000-0000725C0000}"/>
    <cellStyle name="Normal 2 6" xfId="288" xr:uid="{00000000-0005-0000-0000-0000735C0000}"/>
    <cellStyle name="Normal 2 6 2" xfId="779" xr:uid="{00000000-0005-0000-0000-0000745C0000}"/>
    <cellStyle name="Normal 2 6 3" xfId="1884" xr:uid="{00000000-0005-0000-0000-0000755C0000}"/>
    <cellStyle name="Normal 2 6_Degree data" xfId="3858" xr:uid="{00000000-0005-0000-0000-0000765C0000}"/>
    <cellStyle name="Normal 2 7" xfId="1021" xr:uid="{00000000-0005-0000-0000-0000775C0000}"/>
    <cellStyle name="Normal 20" xfId="98" xr:uid="{00000000-0005-0000-0000-0000785C0000}"/>
    <cellStyle name="Normal 200" xfId="26031" xr:uid="{00000000-0005-0000-0000-0000795C0000}"/>
    <cellStyle name="Normal 200 2" xfId="26037" xr:uid="{00000000-0005-0000-0000-00007A5C0000}"/>
    <cellStyle name="Normal 200 2 2" xfId="51590" xr:uid="{00000000-0005-0000-0000-00007B5C0000}"/>
    <cellStyle name="Normal 200 3" xfId="51584" xr:uid="{00000000-0005-0000-0000-00007C5C0000}"/>
    <cellStyle name="Normal 201" xfId="26032" xr:uid="{00000000-0005-0000-0000-00007D5C0000}"/>
    <cellStyle name="Normal 201 2" xfId="51585" xr:uid="{00000000-0005-0000-0000-00007E5C0000}"/>
    <cellStyle name="Normal 202" xfId="26033" xr:uid="{00000000-0005-0000-0000-00007F5C0000}"/>
    <cellStyle name="Normal 202 2" xfId="26036" xr:uid="{00000000-0005-0000-0000-0000805C0000}"/>
    <cellStyle name="Normal 202 2 2" xfId="51589" xr:uid="{00000000-0005-0000-0000-0000815C0000}"/>
    <cellStyle name="Normal 202 3" xfId="51586" xr:uid="{00000000-0005-0000-0000-0000825C0000}"/>
    <cellStyle name="Normal 203" xfId="26034" xr:uid="{00000000-0005-0000-0000-0000835C0000}"/>
    <cellStyle name="Normal 203 2" xfId="51587" xr:uid="{00000000-0005-0000-0000-0000845C0000}"/>
    <cellStyle name="Normal 21" xfId="99" xr:uid="{00000000-0005-0000-0000-0000855C0000}"/>
    <cellStyle name="Normal 22" xfId="100" xr:uid="{00000000-0005-0000-0000-0000865C0000}"/>
    <cellStyle name="Normal 23" xfId="101" xr:uid="{00000000-0005-0000-0000-0000875C0000}"/>
    <cellStyle name="Normal 24" xfId="12" xr:uid="{00000000-0005-0000-0000-0000885C0000}"/>
    <cellStyle name="Normal 25" xfId="87" xr:uid="{00000000-0005-0000-0000-0000895C0000}"/>
    <cellStyle name="Normal 26" xfId="88" xr:uid="{00000000-0005-0000-0000-00008A5C0000}"/>
    <cellStyle name="Normal 27" xfId="65" xr:uid="{00000000-0005-0000-0000-00008B5C0000}"/>
    <cellStyle name="Normal 28" xfId="66" xr:uid="{00000000-0005-0000-0000-00008C5C0000}"/>
    <cellStyle name="Normal 29" xfId="67" xr:uid="{00000000-0005-0000-0000-00008D5C0000}"/>
    <cellStyle name="Normal 3" xfId="1" xr:uid="{00000000-0005-0000-0000-00008E5C0000}"/>
    <cellStyle name="Normal 3 2" xfId="35" xr:uid="{00000000-0005-0000-0000-00008F5C0000}"/>
    <cellStyle name="Normal 3 2 2" xfId="291" xr:uid="{00000000-0005-0000-0000-0000905C0000}"/>
    <cellStyle name="Normal 3 2 2 10" xfId="16076" xr:uid="{00000000-0005-0000-0000-0000915C0000}"/>
    <cellStyle name="Normal 3 2 2 10 2" xfId="41629" xr:uid="{00000000-0005-0000-0000-0000925C0000}"/>
    <cellStyle name="Normal 3 2 2 11" xfId="26222" xr:uid="{00000000-0005-0000-0000-0000935C0000}"/>
    <cellStyle name="Normal 3 2 2 2" xfId="610" xr:uid="{00000000-0005-0000-0000-0000945C0000}"/>
    <cellStyle name="Normal 3 2 2 2 2" xfId="3096" xr:uid="{00000000-0005-0000-0000-0000955C0000}"/>
    <cellStyle name="Normal 3 2 2 2 2 2" xfId="12239" xr:uid="{00000000-0005-0000-0000-0000965C0000}"/>
    <cellStyle name="Normal 3 2 2 2 2 2 2" xfId="22457" xr:uid="{00000000-0005-0000-0000-0000975C0000}"/>
    <cellStyle name="Normal 3 2 2 2 2 2 2 2" xfId="48010" xr:uid="{00000000-0005-0000-0000-0000985C0000}"/>
    <cellStyle name="Normal 3 2 2 2 2 2 3" xfId="37794" xr:uid="{00000000-0005-0000-0000-0000995C0000}"/>
    <cellStyle name="Normal 3 2 2 2 2 3" xfId="8661" xr:uid="{00000000-0005-0000-0000-00009A5C0000}"/>
    <cellStyle name="Normal 3 2 2 2 2 3 2" xfId="34218" xr:uid="{00000000-0005-0000-0000-00009B5C0000}"/>
    <cellStyle name="Normal 3 2 2 2 2 4" xfId="17450" xr:uid="{00000000-0005-0000-0000-00009C5C0000}"/>
    <cellStyle name="Normal 3 2 2 2 2 4 2" xfId="43003" xr:uid="{00000000-0005-0000-0000-00009D5C0000}"/>
    <cellStyle name="Normal 3 2 2 2 2 5" xfId="28940" xr:uid="{00000000-0005-0000-0000-00009E5C0000}"/>
    <cellStyle name="Normal 3 2 2 2 3" xfId="4594" xr:uid="{00000000-0005-0000-0000-00009F5C0000}"/>
    <cellStyle name="Normal 3 2 2 2 3 2" xfId="13432" xr:uid="{00000000-0005-0000-0000-0000A05C0000}"/>
    <cellStyle name="Normal 3 2 2 2 3 2 2" xfId="23683" xr:uid="{00000000-0005-0000-0000-0000A15C0000}"/>
    <cellStyle name="Normal 3 2 2 2 3 2 2 2" xfId="49236" xr:uid="{00000000-0005-0000-0000-0000A25C0000}"/>
    <cellStyle name="Normal 3 2 2 2 3 2 3" xfId="38987" xr:uid="{00000000-0005-0000-0000-0000A35C0000}"/>
    <cellStyle name="Normal 3 2 2 2 3 3" xfId="9853" xr:uid="{00000000-0005-0000-0000-0000A45C0000}"/>
    <cellStyle name="Normal 3 2 2 2 3 3 2" xfId="35410" xr:uid="{00000000-0005-0000-0000-0000A55C0000}"/>
    <cellStyle name="Normal 3 2 2 2 3 4" xfId="18676" xr:uid="{00000000-0005-0000-0000-0000A65C0000}"/>
    <cellStyle name="Normal 3 2 2 2 3 4 2" xfId="44229" xr:uid="{00000000-0005-0000-0000-0000A75C0000}"/>
    <cellStyle name="Normal 3 2 2 2 3 5" xfId="30166" xr:uid="{00000000-0005-0000-0000-0000A85C0000}"/>
    <cellStyle name="Normal 3 2 2 2 4" xfId="2205" xr:uid="{00000000-0005-0000-0000-0000A95C0000}"/>
    <cellStyle name="Normal 3 2 2 2 4 2" xfId="11570" xr:uid="{00000000-0005-0000-0000-0000AA5C0000}"/>
    <cellStyle name="Normal 3 2 2 2 4 2 2" xfId="37125" xr:uid="{00000000-0005-0000-0000-0000AB5C0000}"/>
    <cellStyle name="Normal 3 2 2 2 4 3" xfId="21574" xr:uid="{00000000-0005-0000-0000-0000AC5C0000}"/>
    <cellStyle name="Normal 3 2 2 2 4 3 2" xfId="47127" xr:uid="{00000000-0005-0000-0000-0000AD5C0000}"/>
    <cellStyle name="Normal 3 2 2 2 4 4" xfId="28057" xr:uid="{00000000-0005-0000-0000-0000AE5C0000}"/>
    <cellStyle name="Normal 3 2 2 2 5" xfId="6050" xr:uid="{00000000-0005-0000-0000-0000AF5C0000}"/>
    <cellStyle name="Normal 3 2 2 2 5 2" xfId="14877" xr:uid="{00000000-0005-0000-0000-0000B05C0000}"/>
    <cellStyle name="Normal 3 2 2 2 5 2 2" xfId="40432" xr:uid="{00000000-0005-0000-0000-0000B15C0000}"/>
    <cellStyle name="Normal 3 2 2 2 5 3" xfId="25128" xr:uid="{00000000-0005-0000-0000-0000B25C0000}"/>
    <cellStyle name="Normal 3 2 2 2 5 3 2" xfId="50681" xr:uid="{00000000-0005-0000-0000-0000B35C0000}"/>
    <cellStyle name="Normal 3 2 2 2 5 4" xfId="31611" xr:uid="{00000000-0005-0000-0000-0000B45C0000}"/>
    <cellStyle name="Normal 3 2 2 2 6" xfId="7495" xr:uid="{00000000-0005-0000-0000-0000B55C0000}"/>
    <cellStyle name="Normal 3 2 2 2 6 2" xfId="20056" xr:uid="{00000000-0005-0000-0000-0000B65C0000}"/>
    <cellStyle name="Normal 3 2 2 2 6 2 2" xfId="45609" xr:uid="{00000000-0005-0000-0000-0000B75C0000}"/>
    <cellStyle name="Normal 3 2 2 2 6 3" xfId="33052" xr:uid="{00000000-0005-0000-0000-0000B85C0000}"/>
    <cellStyle name="Normal 3 2 2 2 7" xfId="16567" xr:uid="{00000000-0005-0000-0000-0000B95C0000}"/>
    <cellStyle name="Normal 3 2 2 2 7 2" xfId="42120" xr:uid="{00000000-0005-0000-0000-0000BA5C0000}"/>
    <cellStyle name="Normal 3 2 2 2 8" xfId="26539" xr:uid="{00000000-0005-0000-0000-0000BB5C0000}"/>
    <cellStyle name="Normal 3 2 2 3" xfId="780" xr:uid="{00000000-0005-0000-0000-0000BC5C0000}"/>
    <cellStyle name="Normal 3 2 2 3 2" xfId="3265" xr:uid="{00000000-0005-0000-0000-0000BD5C0000}"/>
    <cellStyle name="Normal 3 2 2 3 2 2" xfId="12407" xr:uid="{00000000-0005-0000-0000-0000BE5C0000}"/>
    <cellStyle name="Normal 3 2 2 3 2 2 2" xfId="22626" xr:uid="{00000000-0005-0000-0000-0000BF5C0000}"/>
    <cellStyle name="Normal 3 2 2 3 2 2 2 2" xfId="48179" xr:uid="{00000000-0005-0000-0000-0000C05C0000}"/>
    <cellStyle name="Normal 3 2 2 3 2 2 3" xfId="37962" xr:uid="{00000000-0005-0000-0000-0000C15C0000}"/>
    <cellStyle name="Normal 3 2 2 3 2 3" xfId="8829" xr:uid="{00000000-0005-0000-0000-0000C25C0000}"/>
    <cellStyle name="Normal 3 2 2 3 2 3 2" xfId="34386" xr:uid="{00000000-0005-0000-0000-0000C35C0000}"/>
    <cellStyle name="Normal 3 2 2 3 2 4" xfId="17619" xr:uid="{00000000-0005-0000-0000-0000C45C0000}"/>
    <cellStyle name="Normal 3 2 2 3 2 4 2" xfId="43172" xr:uid="{00000000-0005-0000-0000-0000C55C0000}"/>
    <cellStyle name="Normal 3 2 2 3 2 5" xfId="29109" xr:uid="{00000000-0005-0000-0000-0000C65C0000}"/>
    <cellStyle name="Normal 3 2 2 3 3" xfId="4943" xr:uid="{00000000-0005-0000-0000-0000C75C0000}"/>
    <cellStyle name="Normal 3 2 2 3 3 2" xfId="13780" xr:uid="{00000000-0005-0000-0000-0000C85C0000}"/>
    <cellStyle name="Normal 3 2 2 3 3 2 2" xfId="24031" xr:uid="{00000000-0005-0000-0000-0000C95C0000}"/>
    <cellStyle name="Normal 3 2 2 3 3 2 2 2" xfId="49584" xr:uid="{00000000-0005-0000-0000-0000CA5C0000}"/>
    <cellStyle name="Normal 3 2 2 3 3 2 3" xfId="39335" xr:uid="{00000000-0005-0000-0000-0000CB5C0000}"/>
    <cellStyle name="Normal 3 2 2 3 3 3" xfId="10201" xr:uid="{00000000-0005-0000-0000-0000CC5C0000}"/>
    <cellStyle name="Normal 3 2 2 3 3 3 2" xfId="35758" xr:uid="{00000000-0005-0000-0000-0000CD5C0000}"/>
    <cellStyle name="Normal 3 2 2 3 3 4" xfId="19024" xr:uid="{00000000-0005-0000-0000-0000CE5C0000}"/>
    <cellStyle name="Normal 3 2 2 3 3 4 2" xfId="44577" xr:uid="{00000000-0005-0000-0000-0000CF5C0000}"/>
    <cellStyle name="Normal 3 2 2 3 3 5" xfId="30514" xr:uid="{00000000-0005-0000-0000-0000D05C0000}"/>
    <cellStyle name="Normal 3 2 2 3 4" xfId="2374" xr:uid="{00000000-0005-0000-0000-0000D15C0000}"/>
    <cellStyle name="Normal 3 2 2 3 4 2" xfId="11739" xr:uid="{00000000-0005-0000-0000-0000D25C0000}"/>
    <cellStyle name="Normal 3 2 2 3 4 2 2" xfId="37294" xr:uid="{00000000-0005-0000-0000-0000D35C0000}"/>
    <cellStyle name="Normal 3 2 2 3 4 3" xfId="21743" xr:uid="{00000000-0005-0000-0000-0000D45C0000}"/>
    <cellStyle name="Normal 3 2 2 3 4 3 2" xfId="47296" xr:uid="{00000000-0005-0000-0000-0000D55C0000}"/>
    <cellStyle name="Normal 3 2 2 3 4 4" xfId="28226" xr:uid="{00000000-0005-0000-0000-0000D65C0000}"/>
    <cellStyle name="Normal 3 2 2 3 5" xfId="6398" xr:uid="{00000000-0005-0000-0000-0000D75C0000}"/>
    <cellStyle name="Normal 3 2 2 3 5 2" xfId="15225" xr:uid="{00000000-0005-0000-0000-0000D85C0000}"/>
    <cellStyle name="Normal 3 2 2 3 5 2 2" xfId="40780" xr:uid="{00000000-0005-0000-0000-0000D95C0000}"/>
    <cellStyle name="Normal 3 2 2 3 5 3" xfId="25476" xr:uid="{00000000-0005-0000-0000-0000DA5C0000}"/>
    <cellStyle name="Normal 3 2 2 3 5 3 2" xfId="51029" xr:uid="{00000000-0005-0000-0000-0000DB5C0000}"/>
    <cellStyle name="Normal 3 2 2 3 5 4" xfId="31959" xr:uid="{00000000-0005-0000-0000-0000DC5C0000}"/>
    <cellStyle name="Normal 3 2 2 3 6" xfId="7844" xr:uid="{00000000-0005-0000-0000-0000DD5C0000}"/>
    <cellStyle name="Normal 3 2 2 3 6 2" xfId="20225" xr:uid="{00000000-0005-0000-0000-0000DE5C0000}"/>
    <cellStyle name="Normal 3 2 2 3 6 2 2" xfId="45778" xr:uid="{00000000-0005-0000-0000-0000DF5C0000}"/>
    <cellStyle name="Normal 3 2 2 3 6 3" xfId="33401" xr:uid="{00000000-0005-0000-0000-0000E05C0000}"/>
    <cellStyle name="Normal 3 2 2 3 7" xfId="16736" xr:uid="{00000000-0005-0000-0000-0000E15C0000}"/>
    <cellStyle name="Normal 3 2 2 3 7 2" xfId="42289" xr:uid="{00000000-0005-0000-0000-0000E25C0000}"/>
    <cellStyle name="Normal 3 2 2 3 8" xfId="26708" xr:uid="{00000000-0005-0000-0000-0000E35C0000}"/>
    <cellStyle name="Normal 3 2 2 4" xfId="1382" xr:uid="{00000000-0005-0000-0000-0000E45C0000}"/>
    <cellStyle name="Normal 3 2 2 4 2" xfId="3811" xr:uid="{00000000-0005-0000-0000-0000E55C0000}"/>
    <cellStyle name="Normal 3 2 2 4 2 2" xfId="12947" xr:uid="{00000000-0005-0000-0000-0000E65C0000}"/>
    <cellStyle name="Normal 3 2 2 4 2 2 2" xfId="23166" xr:uid="{00000000-0005-0000-0000-0000E75C0000}"/>
    <cellStyle name="Normal 3 2 2 4 2 2 2 2" xfId="48719" xr:uid="{00000000-0005-0000-0000-0000E85C0000}"/>
    <cellStyle name="Normal 3 2 2 4 2 2 3" xfId="38502" xr:uid="{00000000-0005-0000-0000-0000E95C0000}"/>
    <cellStyle name="Normal 3 2 2 4 2 3" xfId="9368" xr:uid="{00000000-0005-0000-0000-0000EA5C0000}"/>
    <cellStyle name="Normal 3 2 2 4 2 3 2" xfId="34925" xr:uid="{00000000-0005-0000-0000-0000EB5C0000}"/>
    <cellStyle name="Normal 3 2 2 4 2 4" xfId="18159" xr:uid="{00000000-0005-0000-0000-0000EC5C0000}"/>
    <cellStyle name="Normal 3 2 2 4 2 4 2" xfId="43712" xr:uid="{00000000-0005-0000-0000-0000ED5C0000}"/>
    <cellStyle name="Normal 3 2 2 4 2 5" xfId="29649" xr:uid="{00000000-0005-0000-0000-0000EE5C0000}"/>
    <cellStyle name="Normal 3 2 2 4 3" xfId="5474" xr:uid="{00000000-0005-0000-0000-0000EF5C0000}"/>
    <cellStyle name="Normal 3 2 2 4 3 2" xfId="14311" xr:uid="{00000000-0005-0000-0000-0000F05C0000}"/>
    <cellStyle name="Normal 3 2 2 4 3 2 2" xfId="24562" xr:uid="{00000000-0005-0000-0000-0000F15C0000}"/>
    <cellStyle name="Normal 3 2 2 4 3 2 2 2" xfId="50115" xr:uid="{00000000-0005-0000-0000-0000F25C0000}"/>
    <cellStyle name="Normal 3 2 2 4 3 2 3" xfId="39866" xr:uid="{00000000-0005-0000-0000-0000F35C0000}"/>
    <cellStyle name="Normal 3 2 2 4 3 3" xfId="10732" xr:uid="{00000000-0005-0000-0000-0000F45C0000}"/>
    <cellStyle name="Normal 3 2 2 4 3 3 2" xfId="36289" xr:uid="{00000000-0005-0000-0000-0000F55C0000}"/>
    <cellStyle name="Normal 3 2 2 4 3 4" xfId="19555" xr:uid="{00000000-0005-0000-0000-0000F65C0000}"/>
    <cellStyle name="Normal 3 2 2 4 3 4 2" xfId="45108" xr:uid="{00000000-0005-0000-0000-0000F75C0000}"/>
    <cellStyle name="Normal 3 2 2 4 3 5" xfId="31045" xr:uid="{00000000-0005-0000-0000-0000F85C0000}"/>
    <cellStyle name="Normal 3 2 2 4 4" xfId="1886" xr:uid="{00000000-0005-0000-0000-0000F95C0000}"/>
    <cellStyle name="Normal 3 2 2 4 4 2" xfId="11253" xr:uid="{00000000-0005-0000-0000-0000FA5C0000}"/>
    <cellStyle name="Normal 3 2 2 4 4 2 2" xfId="36808" xr:uid="{00000000-0005-0000-0000-0000FB5C0000}"/>
    <cellStyle name="Normal 3 2 2 4 4 3" xfId="21257" xr:uid="{00000000-0005-0000-0000-0000FC5C0000}"/>
    <cellStyle name="Normal 3 2 2 4 4 3 2" xfId="46810" xr:uid="{00000000-0005-0000-0000-0000FD5C0000}"/>
    <cellStyle name="Normal 3 2 2 4 4 4" xfId="27740" xr:uid="{00000000-0005-0000-0000-0000FE5C0000}"/>
    <cellStyle name="Normal 3 2 2 4 5" xfId="6929" xr:uid="{00000000-0005-0000-0000-0000FF5C0000}"/>
    <cellStyle name="Normal 3 2 2 4 5 2" xfId="15756" xr:uid="{00000000-0005-0000-0000-0000005D0000}"/>
    <cellStyle name="Normal 3 2 2 4 5 2 2" xfId="41311" xr:uid="{00000000-0005-0000-0000-0000015D0000}"/>
    <cellStyle name="Normal 3 2 2 4 5 3" xfId="26007" xr:uid="{00000000-0005-0000-0000-0000025D0000}"/>
    <cellStyle name="Normal 3 2 2 4 5 3 2" xfId="51560" xr:uid="{00000000-0005-0000-0000-0000035D0000}"/>
    <cellStyle name="Normal 3 2 2 4 5 4" xfId="32490" xr:uid="{00000000-0005-0000-0000-0000045D0000}"/>
    <cellStyle name="Normal 3 2 2 4 6" xfId="8375" xr:uid="{00000000-0005-0000-0000-0000055D0000}"/>
    <cellStyle name="Normal 3 2 2 4 6 2" xfId="20765" xr:uid="{00000000-0005-0000-0000-0000065D0000}"/>
    <cellStyle name="Normal 3 2 2 4 6 2 2" xfId="46318" xr:uid="{00000000-0005-0000-0000-0000075D0000}"/>
    <cellStyle name="Normal 3 2 2 4 6 3" xfId="33932" xr:uid="{00000000-0005-0000-0000-0000085D0000}"/>
    <cellStyle name="Normal 3 2 2 4 7" xfId="16250" xr:uid="{00000000-0005-0000-0000-0000095D0000}"/>
    <cellStyle name="Normal 3 2 2 4 7 2" xfId="41803" xr:uid="{00000000-0005-0000-0000-00000A5D0000}"/>
    <cellStyle name="Normal 3 2 2 4 8" xfId="27248" xr:uid="{00000000-0005-0000-0000-00000B5D0000}"/>
    <cellStyle name="Normal 3 2 2 5" xfId="2779" xr:uid="{00000000-0005-0000-0000-00000C5D0000}"/>
    <cellStyle name="Normal 3 2 2 5 2" xfId="12096" xr:uid="{00000000-0005-0000-0000-00000D5D0000}"/>
    <cellStyle name="Normal 3 2 2 5 2 2" xfId="22140" xr:uid="{00000000-0005-0000-0000-00000E5D0000}"/>
    <cellStyle name="Normal 3 2 2 5 2 2 2" xfId="47693" xr:uid="{00000000-0005-0000-0000-00000F5D0000}"/>
    <cellStyle name="Normal 3 2 2 5 2 3" xfId="37651" xr:uid="{00000000-0005-0000-0000-0000105D0000}"/>
    <cellStyle name="Normal 3 2 2 5 3" xfId="8402" xr:uid="{00000000-0005-0000-0000-0000115D0000}"/>
    <cellStyle name="Normal 3 2 2 5 3 2" xfId="33959" xr:uid="{00000000-0005-0000-0000-0000125D0000}"/>
    <cellStyle name="Normal 3 2 2 5 4" xfId="17133" xr:uid="{00000000-0005-0000-0000-0000135D0000}"/>
    <cellStyle name="Normal 3 2 2 5 4 2" xfId="42686" xr:uid="{00000000-0005-0000-0000-0000145D0000}"/>
    <cellStyle name="Normal 3 2 2 5 5" xfId="28623" xr:uid="{00000000-0005-0000-0000-0000155D0000}"/>
    <cellStyle name="Normal 3 2 2 6" xfId="4430" xr:uid="{00000000-0005-0000-0000-0000165D0000}"/>
    <cellStyle name="Normal 3 2 2 6 2" xfId="13268" xr:uid="{00000000-0005-0000-0000-0000175D0000}"/>
    <cellStyle name="Normal 3 2 2 6 2 2" xfId="23519" xr:uid="{00000000-0005-0000-0000-0000185D0000}"/>
    <cellStyle name="Normal 3 2 2 6 2 2 2" xfId="49072" xr:uid="{00000000-0005-0000-0000-0000195D0000}"/>
    <cellStyle name="Normal 3 2 2 6 2 3" xfId="38823" xr:uid="{00000000-0005-0000-0000-00001A5D0000}"/>
    <cellStyle name="Normal 3 2 2 6 3" xfId="9689" xr:uid="{00000000-0005-0000-0000-00001B5D0000}"/>
    <cellStyle name="Normal 3 2 2 6 3 2" xfId="35246" xr:uid="{00000000-0005-0000-0000-00001C5D0000}"/>
    <cellStyle name="Normal 3 2 2 6 4" xfId="18512" xr:uid="{00000000-0005-0000-0000-00001D5D0000}"/>
    <cellStyle name="Normal 3 2 2 6 4 2" xfId="44065" xr:uid="{00000000-0005-0000-0000-00001E5D0000}"/>
    <cellStyle name="Normal 3 2 2 6 5" xfId="30002" xr:uid="{00000000-0005-0000-0000-00001F5D0000}"/>
    <cellStyle name="Normal 3 2 2 7" xfId="1702" xr:uid="{00000000-0005-0000-0000-0000205D0000}"/>
    <cellStyle name="Normal 3 2 2 7 2" xfId="11079" xr:uid="{00000000-0005-0000-0000-0000215D0000}"/>
    <cellStyle name="Normal 3 2 2 7 2 2" xfId="36634" xr:uid="{00000000-0005-0000-0000-0000225D0000}"/>
    <cellStyle name="Normal 3 2 2 7 3" xfId="21083" xr:uid="{00000000-0005-0000-0000-0000235D0000}"/>
    <cellStyle name="Normal 3 2 2 7 3 2" xfId="46636" xr:uid="{00000000-0005-0000-0000-0000245D0000}"/>
    <cellStyle name="Normal 3 2 2 7 4" xfId="27566" xr:uid="{00000000-0005-0000-0000-0000255D0000}"/>
    <cellStyle name="Normal 3 2 2 8" xfId="5886" xr:uid="{00000000-0005-0000-0000-0000265D0000}"/>
    <cellStyle name="Normal 3 2 2 8 2" xfId="14713" xr:uid="{00000000-0005-0000-0000-0000275D0000}"/>
    <cellStyle name="Normal 3 2 2 8 2 2" xfId="40268" xr:uid="{00000000-0005-0000-0000-0000285D0000}"/>
    <cellStyle name="Normal 3 2 2 8 3" xfId="24964" xr:uid="{00000000-0005-0000-0000-0000295D0000}"/>
    <cellStyle name="Normal 3 2 2 8 3 2" xfId="50517" xr:uid="{00000000-0005-0000-0000-00002A5D0000}"/>
    <cellStyle name="Normal 3 2 2 8 4" xfId="31447" xr:uid="{00000000-0005-0000-0000-00002B5D0000}"/>
    <cellStyle name="Normal 3 2 2 9" xfId="7330" xr:uid="{00000000-0005-0000-0000-00002C5D0000}"/>
    <cellStyle name="Normal 3 2 2 9 2" xfId="19739" xr:uid="{00000000-0005-0000-0000-00002D5D0000}"/>
    <cellStyle name="Normal 3 2 2 9 2 2" xfId="45292" xr:uid="{00000000-0005-0000-0000-00002E5D0000}"/>
    <cellStyle name="Normal 3 2 2 9 3" xfId="32887" xr:uid="{00000000-0005-0000-0000-00002F5D0000}"/>
    <cellStyle name="Normal 3 2 2_Degree data" xfId="2602" xr:uid="{00000000-0005-0000-0000-0000305D0000}"/>
    <cellStyle name="Normal 3 3" xfId="147" xr:uid="{00000000-0005-0000-0000-0000315D0000}"/>
    <cellStyle name="Normal 30" xfId="68" xr:uid="{00000000-0005-0000-0000-0000325D0000}"/>
    <cellStyle name="Normal 31" xfId="69" xr:uid="{00000000-0005-0000-0000-0000335D0000}"/>
    <cellStyle name="Normal 32" xfId="70" xr:uid="{00000000-0005-0000-0000-0000345D0000}"/>
    <cellStyle name="Normal 33" xfId="71" xr:uid="{00000000-0005-0000-0000-0000355D0000}"/>
    <cellStyle name="Normal 34" xfId="72" xr:uid="{00000000-0005-0000-0000-0000365D0000}"/>
    <cellStyle name="Normal 35" xfId="73" xr:uid="{00000000-0005-0000-0000-0000375D0000}"/>
    <cellStyle name="Normal 36" xfId="74" xr:uid="{00000000-0005-0000-0000-0000385D0000}"/>
    <cellStyle name="Normal 37" xfId="75" xr:uid="{00000000-0005-0000-0000-0000395D0000}"/>
    <cellStyle name="Normal 38" xfId="13" xr:uid="{00000000-0005-0000-0000-00003A5D0000}"/>
    <cellStyle name="Normal 39" xfId="76" xr:uid="{00000000-0005-0000-0000-00003B5D0000}"/>
    <cellStyle name="Normal 4" xfId="20" xr:uid="{00000000-0005-0000-0000-00003C5D0000}"/>
    <cellStyle name="Normal 4 2" xfId="107" xr:uid="{00000000-0005-0000-0000-00003D5D0000}"/>
    <cellStyle name="Normal 4 2 2" xfId="290" xr:uid="{00000000-0005-0000-0000-00003E5D0000}"/>
    <cellStyle name="Normal 4 3" xfId="21" xr:uid="{00000000-0005-0000-0000-00003F5D0000}"/>
    <cellStyle name="Normal 4 4" xfId="285" xr:uid="{00000000-0005-0000-0000-0000405D0000}"/>
    <cellStyle name="Normal 4 4 10" xfId="16073" xr:uid="{00000000-0005-0000-0000-0000415D0000}"/>
    <cellStyle name="Normal 4 4 10 2" xfId="41626" xr:uid="{00000000-0005-0000-0000-0000425D0000}"/>
    <cellStyle name="Normal 4 4 11" xfId="26219" xr:uid="{00000000-0005-0000-0000-0000435D0000}"/>
    <cellStyle name="Normal 4 4 2" xfId="607" xr:uid="{00000000-0005-0000-0000-0000445D0000}"/>
    <cellStyle name="Normal 4 4 2 2" xfId="3093" xr:uid="{00000000-0005-0000-0000-0000455D0000}"/>
    <cellStyle name="Normal 4 4 2 2 2" xfId="12236" xr:uid="{00000000-0005-0000-0000-0000465D0000}"/>
    <cellStyle name="Normal 4 4 2 2 2 2" xfId="22454" xr:uid="{00000000-0005-0000-0000-0000475D0000}"/>
    <cellStyle name="Normal 4 4 2 2 2 2 2" xfId="48007" xr:uid="{00000000-0005-0000-0000-0000485D0000}"/>
    <cellStyle name="Normal 4 4 2 2 2 3" xfId="37791" xr:uid="{00000000-0005-0000-0000-0000495D0000}"/>
    <cellStyle name="Normal 4 4 2 2 3" xfId="8658" xr:uid="{00000000-0005-0000-0000-00004A5D0000}"/>
    <cellStyle name="Normal 4 4 2 2 3 2" xfId="34215" xr:uid="{00000000-0005-0000-0000-00004B5D0000}"/>
    <cellStyle name="Normal 4 4 2 2 4" xfId="17447" xr:uid="{00000000-0005-0000-0000-00004C5D0000}"/>
    <cellStyle name="Normal 4 4 2 2 4 2" xfId="43000" xr:uid="{00000000-0005-0000-0000-00004D5D0000}"/>
    <cellStyle name="Normal 4 4 2 2 5" xfId="28937" xr:uid="{00000000-0005-0000-0000-00004E5D0000}"/>
    <cellStyle name="Normal 4 4 2 3" xfId="4595" xr:uid="{00000000-0005-0000-0000-00004F5D0000}"/>
    <cellStyle name="Normal 4 4 2 3 2" xfId="13433" xr:uid="{00000000-0005-0000-0000-0000505D0000}"/>
    <cellStyle name="Normal 4 4 2 3 2 2" xfId="23684" xr:uid="{00000000-0005-0000-0000-0000515D0000}"/>
    <cellStyle name="Normal 4 4 2 3 2 2 2" xfId="49237" xr:uid="{00000000-0005-0000-0000-0000525D0000}"/>
    <cellStyle name="Normal 4 4 2 3 2 3" xfId="38988" xr:uid="{00000000-0005-0000-0000-0000535D0000}"/>
    <cellStyle name="Normal 4 4 2 3 3" xfId="9854" xr:uid="{00000000-0005-0000-0000-0000545D0000}"/>
    <cellStyle name="Normal 4 4 2 3 3 2" xfId="35411" xr:uid="{00000000-0005-0000-0000-0000555D0000}"/>
    <cellStyle name="Normal 4 4 2 3 4" xfId="18677" xr:uid="{00000000-0005-0000-0000-0000565D0000}"/>
    <cellStyle name="Normal 4 4 2 3 4 2" xfId="44230" xr:uid="{00000000-0005-0000-0000-0000575D0000}"/>
    <cellStyle name="Normal 4 4 2 3 5" xfId="30167" xr:uid="{00000000-0005-0000-0000-0000585D0000}"/>
    <cellStyle name="Normal 4 4 2 4" xfId="2202" xr:uid="{00000000-0005-0000-0000-0000595D0000}"/>
    <cellStyle name="Normal 4 4 2 4 2" xfId="11567" xr:uid="{00000000-0005-0000-0000-00005A5D0000}"/>
    <cellStyle name="Normal 4 4 2 4 2 2" xfId="37122" xr:uid="{00000000-0005-0000-0000-00005B5D0000}"/>
    <cellStyle name="Normal 4 4 2 4 3" xfId="21571" xr:uid="{00000000-0005-0000-0000-00005C5D0000}"/>
    <cellStyle name="Normal 4 4 2 4 3 2" xfId="47124" xr:uid="{00000000-0005-0000-0000-00005D5D0000}"/>
    <cellStyle name="Normal 4 4 2 4 4" xfId="28054" xr:uid="{00000000-0005-0000-0000-00005E5D0000}"/>
    <cellStyle name="Normal 4 4 2 5" xfId="6051" xr:uid="{00000000-0005-0000-0000-00005F5D0000}"/>
    <cellStyle name="Normal 4 4 2 5 2" xfId="14878" xr:uid="{00000000-0005-0000-0000-0000605D0000}"/>
    <cellStyle name="Normal 4 4 2 5 2 2" xfId="40433" xr:uid="{00000000-0005-0000-0000-0000615D0000}"/>
    <cellStyle name="Normal 4 4 2 5 3" xfId="25129" xr:uid="{00000000-0005-0000-0000-0000625D0000}"/>
    <cellStyle name="Normal 4 4 2 5 3 2" xfId="50682" xr:uid="{00000000-0005-0000-0000-0000635D0000}"/>
    <cellStyle name="Normal 4 4 2 5 4" xfId="31612" xr:uid="{00000000-0005-0000-0000-0000645D0000}"/>
    <cellStyle name="Normal 4 4 2 6" xfId="7496" xr:uid="{00000000-0005-0000-0000-0000655D0000}"/>
    <cellStyle name="Normal 4 4 2 6 2" xfId="20053" xr:uid="{00000000-0005-0000-0000-0000665D0000}"/>
    <cellStyle name="Normal 4 4 2 6 2 2" xfId="45606" xr:uid="{00000000-0005-0000-0000-0000675D0000}"/>
    <cellStyle name="Normal 4 4 2 6 3" xfId="33053" xr:uid="{00000000-0005-0000-0000-0000685D0000}"/>
    <cellStyle name="Normal 4 4 2 7" xfId="16564" xr:uid="{00000000-0005-0000-0000-0000695D0000}"/>
    <cellStyle name="Normal 4 4 2 7 2" xfId="42117" xr:uid="{00000000-0005-0000-0000-00006A5D0000}"/>
    <cellStyle name="Normal 4 4 2 8" xfId="26536" xr:uid="{00000000-0005-0000-0000-00006B5D0000}"/>
    <cellStyle name="Normal 4 4 3" xfId="781" xr:uid="{00000000-0005-0000-0000-00006C5D0000}"/>
    <cellStyle name="Normal 4 4 3 2" xfId="3266" xr:uid="{00000000-0005-0000-0000-00006D5D0000}"/>
    <cellStyle name="Normal 4 4 3 2 2" xfId="12408" xr:uid="{00000000-0005-0000-0000-00006E5D0000}"/>
    <cellStyle name="Normal 4 4 3 2 2 2" xfId="22627" xr:uid="{00000000-0005-0000-0000-00006F5D0000}"/>
    <cellStyle name="Normal 4 4 3 2 2 2 2" xfId="48180" xr:uid="{00000000-0005-0000-0000-0000705D0000}"/>
    <cellStyle name="Normal 4 4 3 2 2 3" xfId="37963" xr:uid="{00000000-0005-0000-0000-0000715D0000}"/>
    <cellStyle name="Normal 4 4 3 2 3" xfId="8830" xr:uid="{00000000-0005-0000-0000-0000725D0000}"/>
    <cellStyle name="Normal 4 4 3 2 3 2" xfId="34387" xr:uid="{00000000-0005-0000-0000-0000735D0000}"/>
    <cellStyle name="Normal 4 4 3 2 4" xfId="17620" xr:uid="{00000000-0005-0000-0000-0000745D0000}"/>
    <cellStyle name="Normal 4 4 3 2 4 2" xfId="43173" xr:uid="{00000000-0005-0000-0000-0000755D0000}"/>
    <cellStyle name="Normal 4 4 3 2 5" xfId="29110" xr:uid="{00000000-0005-0000-0000-0000765D0000}"/>
    <cellStyle name="Normal 4 4 3 3" xfId="4944" xr:uid="{00000000-0005-0000-0000-0000775D0000}"/>
    <cellStyle name="Normal 4 4 3 3 2" xfId="13781" xr:uid="{00000000-0005-0000-0000-0000785D0000}"/>
    <cellStyle name="Normal 4 4 3 3 2 2" xfId="24032" xr:uid="{00000000-0005-0000-0000-0000795D0000}"/>
    <cellStyle name="Normal 4 4 3 3 2 2 2" xfId="49585" xr:uid="{00000000-0005-0000-0000-00007A5D0000}"/>
    <cellStyle name="Normal 4 4 3 3 2 3" xfId="39336" xr:uid="{00000000-0005-0000-0000-00007B5D0000}"/>
    <cellStyle name="Normal 4 4 3 3 3" xfId="10202" xr:uid="{00000000-0005-0000-0000-00007C5D0000}"/>
    <cellStyle name="Normal 4 4 3 3 3 2" xfId="35759" xr:uid="{00000000-0005-0000-0000-00007D5D0000}"/>
    <cellStyle name="Normal 4 4 3 3 4" xfId="19025" xr:uid="{00000000-0005-0000-0000-00007E5D0000}"/>
    <cellStyle name="Normal 4 4 3 3 4 2" xfId="44578" xr:uid="{00000000-0005-0000-0000-00007F5D0000}"/>
    <cellStyle name="Normal 4 4 3 3 5" xfId="30515" xr:uid="{00000000-0005-0000-0000-0000805D0000}"/>
    <cellStyle name="Normal 4 4 3 4" xfId="2375" xr:uid="{00000000-0005-0000-0000-0000815D0000}"/>
    <cellStyle name="Normal 4 4 3 4 2" xfId="11740" xr:uid="{00000000-0005-0000-0000-0000825D0000}"/>
    <cellStyle name="Normal 4 4 3 4 2 2" xfId="37295" xr:uid="{00000000-0005-0000-0000-0000835D0000}"/>
    <cellStyle name="Normal 4 4 3 4 3" xfId="21744" xr:uid="{00000000-0005-0000-0000-0000845D0000}"/>
    <cellStyle name="Normal 4 4 3 4 3 2" xfId="47297" xr:uid="{00000000-0005-0000-0000-0000855D0000}"/>
    <cellStyle name="Normal 4 4 3 4 4" xfId="28227" xr:uid="{00000000-0005-0000-0000-0000865D0000}"/>
    <cellStyle name="Normal 4 4 3 5" xfId="6399" xr:uid="{00000000-0005-0000-0000-0000875D0000}"/>
    <cellStyle name="Normal 4 4 3 5 2" xfId="15226" xr:uid="{00000000-0005-0000-0000-0000885D0000}"/>
    <cellStyle name="Normal 4 4 3 5 2 2" xfId="40781" xr:uid="{00000000-0005-0000-0000-0000895D0000}"/>
    <cellStyle name="Normal 4 4 3 5 3" xfId="25477" xr:uid="{00000000-0005-0000-0000-00008A5D0000}"/>
    <cellStyle name="Normal 4 4 3 5 3 2" xfId="51030" xr:uid="{00000000-0005-0000-0000-00008B5D0000}"/>
    <cellStyle name="Normal 4 4 3 5 4" xfId="31960" xr:uid="{00000000-0005-0000-0000-00008C5D0000}"/>
    <cellStyle name="Normal 4 4 3 6" xfId="7845" xr:uid="{00000000-0005-0000-0000-00008D5D0000}"/>
    <cellStyle name="Normal 4 4 3 6 2" xfId="20226" xr:uid="{00000000-0005-0000-0000-00008E5D0000}"/>
    <cellStyle name="Normal 4 4 3 6 2 2" xfId="45779" xr:uid="{00000000-0005-0000-0000-00008F5D0000}"/>
    <cellStyle name="Normal 4 4 3 6 3" xfId="33402" xr:uid="{00000000-0005-0000-0000-0000905D0000}"/>
    <cellStyle name="Normal 4 4 3 7" xfId="16737" xr:uid="{00000000-0005-0000-0000-0000915D0000}"/>
    <cellStyle name="Normal 4 4 3 7 2" xfId="42290" xr:uid="{00000000-0005-0000-0000-0000925D0000}"/>
    <cellStyle name="Normal 4 4 3 8" xfId="26709" xr:uid="{00000000-0005-0000-0000-0000935D0000}"/>
    <cellStyle name="Normal 4 4 4" xfId="1379" xr:uid="{00000000-0005-0000-0000-0000945D0000}"/>
    <cellStyle name="Normal 4 4 4 2" xfId="3808" xr:uid="{00000000-0005-0000-0000-0000955D0000}"/>
    <cellStyle name="Normal 4 4 4 2 2" xfId="12944" xr:uid="{00000000-0005-0000-0000-0000965D0000}"/>
    <cellStyle name="Normal 4 4 4 2 2 2" xfId="23163" xr:uid="{00000000-0005-0000-0000-0000975D0000}"/>
    <cellStyle name="Normal 4 4 4 2 2 2 2" xfId="48716" xr:uid="{00000000-0005-0000-0000-0000985D0000}"/>
    <cellStyle name="Normal 4 4 4 2 2 3" xfId="38499" xr:uid="{00000000-0005-0000-0000-0000995D0000}"/>
    <cellStyle name="Normal 4 4 4 2 3" xfId="9365" xr:uid="{00000000-0005-0000-0000-00009A5D0000}"/>
    <cellStyle name="Normal 4 4 4 2 3 2" xfId="34922" xr:uid="{00000000-0005-0000-0000-00009B5D0000}"/>
    <cellStyle name="Normal 4 4 4 2 4" xfId="18156" xr:uid="{00000000-0005-0000-0000-00009C5D0000}"/>
    <cellStyle name="Normal 4 4 4 2 4 2" xfId="43709" xr:uid="{00000000-0005-0000-0000-00009D5D0000}"/>
    <cellStyle name="Normal 4 4 4 2 5" xfId="29646" xr:uid="{00000000-0005-0000-0000-00009E5D0000}"/>
    <cellStyle name="Normal 4 4 4 3" xfId="5471" xr:uid="{00000000-0005-0000-0000-00009F5D0000}"/>
    <cellStyle name="Normal 4 4 4 3 2" xfId="14308" xr:uid="{00000000-0005-0000-0000-0000A05D0000}"/>
    <cellStyle name="Normal 4 4 4 3 2 2" xfId="24559" xr:uid="{00000000-0005-0000-0000-0000A15D0000}"/>
    <cellStyle name="Normal 4 4 4 3 2 2 2" xfId="50112" xr:uid="{00000000-0005-0000-0000-0000A25D0000}"/>
    <cellStyle name="Normal 4 4 4 3 2 3" xfId="39863" xr:uid="{00000000-0005-0000-0000-0000A35D0000}"/>
    <cellStyle name="Normal 4 4 4 3 3" xfId="10729" xr:uid="{00000000-0005-0000-0000-0000A45D0000}"/>
    <cellStyle name="Normal 4 4 4 3 3 2" xfId="36286" xr:uid="{00000000-0005-0000-0000-0000A55D0000}"/>
    <cellStyle name="Normal 4 4 4 3 4" xfId="19552" xr:uid="{00000000-0005-0000-0000-0000A65D0000}"/>
    <cellStyle name="Normal 4 4 4 3 4 2" xfId="45105" xr:uid="{00000000-0005-0000-0000-0000A75D0000}"/>
    <cellStyle name="Normal 4 4 4 3 5" xfId="31042" xr:uid="{00000000-0005-0000-0000-0000A85D0000}"/>
    <cellStyle name="Normal 4 4 4 4" xfId="1882" xr:uid="{00000000-0005-0000-0000-0000A95D0000}"/>
    <cellStyle name="Normal 4 4 4 4 2" xfId="11250" xr:uid="{00000000-0005-0000-0000-0000AA5D0000}"/>
    <cellStyle name="Normal 4 4 4 4 2 2" xfId="36805" xr:uid="{00000000-0005-0000-0000-0000AB5D0000}"/>
    <cellStyle name="Normal 4 4 4 4 3" xfId="21254" xr:uid="{00000000-0005-0000-0000-0000AC5D0000}"/>
    <cellStyle name="Normal 4 4 4 4 3 2" xfId="46807" xr:uid="{00000000-0005-0000-0000-0000AD5D0000}"/>
    <cellStyle name="Normal 4 4 4 4 4" xfId="27737" xr:uid="{00000000-0005-0000-0000-0000AE5D0000}"/>
    <cellStyle name="Normal 4 4 4 5" xfId="6926" xr:uid="{00000000-0005-0000-0000-0000AF5D0000}"/>
    <cellStyle name="Normal 4 4 4 5 2" xfId="15753" xr:uid="{00000000-0005-0000-0000-0000B05D0000}"/>
    <cellStyle name="Normal 4 4 4 5 2 2" xfId="41308" xr:uid="{00000000-0005-0000-0000-0000B15D0000}"/>
    <cellStyle name="Normal 4 4 4 5 3" xfId="26004" xr:uid="{00000000-0005-0000-0000-0000B25D0000}"/>
    <cellStyle name="Normal 4 4 4 5 3 2" xfId="51557" xr:uid="{00000000-0005-0000-0000-0000B35D0000}"/>
    <cellStyle name="Normal 4 4 4 5 4" xfId="32487" xr:uid="{00000000-0005-0000-0000-0000B45D0000}"/>
    <cellStyle name="Normal 4 4 4 6" xfId="8372" xr:uid="{00000000-0005-0000-0000-0000B55D0000}"/>
    <cellStyle name="Normal 4 4 4 6 2" xfId="20762" xr:uid="{00000000-0005-0000-0000-0000B65D0000}"/>
    <cellStyle name="Normal 4 4 4 6 2 2" xfId="46315" xr:uid="{00000000-0005-0000-0000-0000B75D0000}"/>
    <cellStyle name="Normal 4 4 4 6 3" xfId="33929" xr:uid="{00000000-0005-0000-0000-0000B85D0000}"/>
    <cellStyle name="Normal 4 4 4 7" xfId="16247" xr:uid="{00000000-0005-0000-0000-0000B95D0000}"/>
    <cellStyle name="Normal 4 4 4 7 2" xfId="41800" xr:uid="{00000000-0005-0000-0000-0000BA5D0000}"/>
    <cellStyle name="Normal 4 4 4 8" xfId="27245" xr:uid="{00000000-0005-0000-0000-0000BB5D0000}"/>
    <cellStyle name="Normal 4 4 5" xfId="2776" xr:uid="{00000000-0005-0000-0000-0000BC5D0000}"/>
    <cellStyle name="Normal 4 4 5 2" xfId="12093" xr:uid="{00000000-0005-0000-0000-0000BD5D0000}"/>
    <cellStyle name="Normal 4 4 5 2 2" xfId="22137" xr:uid="{00000000-0005-0000-0000-0000BE5D0000}"/>
    <cellStyle name="Normal 4 4 5 2 2 2" xfId="47690" xr:uid="{00000000-0005-0000-0000-0000BF5D0000}"/>
    <cellStyle name="Normal 4 4 5 2 3" xfId="37648" xr:uid="{00000000-0005-0000-0000-0000C05D0000}"/>
    <cellStyle name="Normal 4 4 5 3" xfId="8535" xr:uid="{00000000-0005-0000-0000-0000C15D0000}"/>
    <cellStyle name="Normal 4 4 5 3 2" xfId="34092" xr:uid="{00000000-0005-0000-0000-0000C25D0000}"/>
    <cellStyle name="Normal 4 4 5 4" xfId="17130" xr:uid="{00000000-0005-0000-0000-0000C35D0000}"/>
    <cellStyle name="Normal 4 4 5 4 2" xfId="42683" xr:uid="{00000000-0005-0000-0000-0000C45D0000}"/>
    <cellStyle name="Normal 4 4 5 5" xfId="28620" xr:uid="{00000000-0005-0000-0000-0000C55D0000}"/>
    <cellStyle name="Normal 4 4 6" xfId="4427" xr:uid="{00000000-0005-0000-0000-0000C65D0000}"/>
    <cellStyle name="Normal 4 4 6 2" xfId="13265" xr:uid="{00000000-0005-0000-0000-0000C75D0000}"/>
    <cellStyle name="Normal 4 4 6 2 2" xfId="23516" xr:uid="{00000000-0005-0000-0000-0000C85D0000}"/>
    <cellStyle name="Normal 4 4 6 2 2 2" xfId="49069" xr:uid="{00000000-0005-0000-0000-0000C95D0000}"/>
    <cellStyle name="Normal 4 4 6 2 3" xfId="38820" xr:uid="{00000000-0005-0000-0000-0000CA5D0000}"/>
    <cellStyle name="Normal 4 4 6 3" xfId="9686" xr:uid="{00000000-0005-0000-0000-0000CB5D0000}"/>
    <cellStyle name="Normal 4 4 6 3 2" xfId="35243" xr:uid="{00000000-0005-0000-0000-0000CC5D0000}"/>
    <cellStyle name="Normal 4 4 6 4" xfId="18509" xr:uid="{00000000-0005-0000-0000-0000CD5D0000}"/>
    <cellStyle name="Normal 4 4 6 4 2" xfId="44062" xr:uid="{00000000-0005-0000-0000-0000CE5D0000}"/>
    <cellStyle name="Normal 4 4 6 5" xfId="29999" xr:uid="{00000000-0005-0000-0000-0000CF5D0000}"/>
    <cellStyle name="Normal 4 4 7" xfId="1699" xr:uid="{00000000-0005-0000-0000-0000D05D0000}"/>
    <cellStyle name="Normal 4 4 7 2" xfId="11076" xr:uid="{00000000-0005-0000-0000-0000D15D0000}"/>
    <cellStyle name="Normal 4 4 7 2 2" xfId="36631" xr:uid="{00000000-0005-0000-0000-0000D25D0000}"/>
    <cellStyle name="Normal 4 4 7 3" xfId="21080" xr:uid="{00000000-0005-0000-0000-0000D35D0000}"/>
    <cellStyle name="Normal 4 4 7 3 2" xfId="46633" xr:uid="{00000000-0005-0000-0000-0000D45D0000}"/>
    <cellStyle name="Normal 4 4 7 4" xfId="27563" xr:uid="{00000000-0005-0000-0000-0000D55D0000}"/>
    <cellStyle name="Normal 4 4 8" xfId="5883" xr:uid="{00000000-0005-0000-0000-0000D65D0000}"/>
    <cellStyle name="Normal 4 4 8 2" xfId="14710" xr:uid="{00000000-0005-0000-0000-0000D75D0000}"/>
    <cellStyle name="Normal 4 4 8 2 2" xfId="40265" xr:uid="{00000000-0005-0000-0000-0000D85D0000}"/>
    <cellStyle name="Normal 4 4 8 3" xfId="24961" xr:uid="{00000000-0005-0000-0000-0000D95D0000}"/>
    <cellStyle name="Normal 4 4 8 3 2" xfId="50514" xr:uid="{00000000-0005-0000-0000-0000DA5D0000}"/>
    <cellStyle name="Normal 4 4 8 4" xfId="31444" xr:uid="{00000000-0005-0000-0000-0000DB5D0000}"/>
    <cellStyle name="Normal 4 4 9" xfId="7327" xr:uid="{00000000-0005-0000-0000-0000DC5D0000}"/>
    <cellStyle name="Normal 4 4 9 2" xfId="19736" xr:uid="{00000000-0005-0000-0000-0000DD5D0000}"/>
    <cellStyle name="Normal 4 4 9 2 2" xfId="45289" xr:uid="{00000000-0005-0000-0000-0000DE5D0000}"/>
    <cellStyle name="Normal 4 4 9 3" xfId="32884" xr:uid="{00000000-0005-0000-0000-0000DF5D0000}"/>
    <cellStyle name="Normal 4 4_Degree data" xfId="3916" xr:uid="{00000000-0005-0000-0000-0000E05D0000}"/>
    <cellStyle name="Normal 40" xfId="77" xr:uid="{00000000-0005-0000-0000-0000E15D0000}"/>
    <cellStyle name="Normal 41" xfId="78" xr:uid="{00000000-0005-0000-0000-0000E25D0000}"/>
    <cellStyle name="Normal 42" xfId="79" xr:uid="{00000000-0005-0000-0000-0000E35D0000}"/>
    <cellStyle name="Normal 43" xfId="80" xr:uid="{00000000-0005-0000-0000-0000E45D0000}"/>
    <cellStyle name="Normal 44" xfId="81" xr:uid="{00000000-0005-0000-0000-0000E55D0000}"/>
    <cellStyle name="Normal 45" xfId="82" xr:uid="{00000000-0005-0000-0000-0000E65D0000}"/>
    <cellStyle name="Normal 46" xfId="83" xr:uid="{00000000-0005-0000-0000-0000E75D0000}"/>
    <cellStyle name="Normal 47" xfId="84" xr:uid="{00000000-0005-0000-0000-0000E85D0000}"/>
    <cellStyle name="Normal 48" xfId="85" xr:uid="{00000000-0005-0000-0000-0000E95D0000}"/>
    <cellStyle name="Normal 49" xfId="89" xr:uid="{00000000-0005-0000-0000-0000EA5D0000}"/>
    <cellStyle name="Normal 5" xfId="2" xr:uid="{00000000-0005-0000-0000-0000EB5D0000}"/>
    <cellStyle name="Normal 5 10" xfId="1039" xr:uid="{00000000-0005-0000-0000-0000EC5D0000}"/>
    <cellStyle name="Normal 5 10 2" xfId="3468" xr:uid="{00000000-0005-0000-0000-0000ED5D0000}"/>
    <cellStyle name="Normal 5 10 2 2" xfId="12604" xr:uid="{00000000-0005-0000-0000-0000EE5D0000}"/>
    <cellStyle name="Normal 5 10 2 2 2" xfId="22823" xr:uid="{00000000-0005-0000-0000-0000EF5D0000}"/>
    <cellStyle name="Normal 5 10 2 2 2 2" xfId="48376" xr:uid="{00000000-0005-0000-0000-0000F05D0000}"/>
    <cellStyle name="Normal 5 10 2 2 3" xfId="38159" xr:uid="{00000000-0005-0000-0000-0000F15D0000}"/>
    <cellStyle name="Normal 5 10 2 3" xfId="9026" xr:uid="{00000000-0005-0000-0000-0000F25D0000}"/>
    <cellStyle name="Normal 5 10 2 3 2" xfId="34583" xr:uid="{00000000-0005-0000-0000-0000F35D0000}"/>
    <cellStyle name="Normal 5 10 2 4" xfId="17816" xr:uid="{00000000-0005-0000-0000-0000F45D0000}"/>
    <cellStyle name="Normal 5 10 2 4 2" xfId="43369" xr:uid="{00000000-0005-0000-0000-0000F55D0000}"/>
    <cellStyle name="Normal 5 10 2 5" xfId="29306" xr:uid="{00000000-0005-0000-0000-0000F65D0000}"/>
    <cellStyle name="Normal 5 10 3" xfId="4945" xr:uid="{00000000-0005-0000-0000-0000F75D0000}"/>
    <cellStyle name="Normal 5 10 3 2" xfId="13782" xr:uid="{00000000-0005-0000-0000-0000F85D0000}"/>
    <cellStyle name="Normal 5 10 3 2 2" xfId="24033" xr:uid="{00000000-0005-0000-0000-0000F95D0000}"/>
    <cellStyle name="Normal 5 10 3 2 2 2" xfId="49586" xr:uid="{00000000-0005-0000-0000-0000FA5D0000}"/>
    <cellStyle name="Normal 5 10 3 2 3" xfId="39337" xr:uid="{00000000-0005-0000-0000-0000FB5D0000}"/>
    <cellStyle name="Normal 5 10 3 3" xfId="10203" xr:uid="{00000000-0005-0000-0000-0000FC5D0000}"/>
    <cellStyle name="Normal 5 10 3 3 2" xfId="35760" xr:uid="{00000000-0005-0000-0000-0000FD5D0000}"/>
    <cellStyle name="Normal 5 10 3 4" xfId="19026" xr:uid="{00000000-0005-0000-0000-0000FE5D0000}"/>
    <cellStyle name="Normal 5 10 3 4 2" xfId="44579" xr:uid="{00000000-0005-0000-0000-0000FF5D0000}"/>
    <cellStyle name="Normal 5 10 3 5" xfId="30516" xr:uid="{00000000-0005-0000-0000-0000005E0000}"/>
    <cellStyle name="Normal 5 10 4" xfId="2575" xr:uid="{00000000-0005-0000-0000-0000015E0000}"/>
    <cellStyle name="Normal 5 10 4 2" xfId="11939" xr:uid="{00000000-0005-0000-0000-0000025E0000}"/>
    <cellStyle name="Normal 5 10 4 2 2" xfId="37494" xr:uid="{00000000-0005-0000-0000-0000035E0000}"/>
    <cellStyle name="Normal 5 10 4 3" xfId="21943" xr:uid="{00000000-0005-0000-0000-0000045E0000}"/>
    <cellStyle name="Normal 5 10 4 3 2" xfId="47496" xr:uid="{00000000-0005-0000-0000-0000055E0000}"/>
    <cellStyle name="Normal 5 10 4 4" xfId="28426" xr:uid="{00000000-0005-0000-0000-0000065E0000}"/>
    <cellStyle name="Normal 5 10 5" xfId="6400" xr:uid="{00000000-0005-0000-0000-0000075E0000}"/>
    <cellStyle name="Normal 5 10 5 2" xfId="15227" xr:uid="{00000000-0005-0000-0000-0000085E0000}"/>
    <cellStyle name="Normal 5 10 5 2 2" xfId="40782" xr:uid="{00000000-0005-0000-0000-0000095E0000}"/>
    <cellStyle name="Normal 5 10 5 3" xfId="25478" xr:uid="{00000000-0005-0000-0000-00000A5E0000}"/>
    <cellStyle name="Normal 5 10 5 3 2" xfId="51031" xr:uid="{00000000-0005-0000-0000-00000B5E0000}"/>
    <cellStyle name="Normal 5 10 5 4" xfId="31961" xr:uid="{00000000-0005-0000-0000-00000C5E0000}"/>
    <cellStyle name="Normal 5 10 6" xfId="7846" xr:uid="{00000000-0005-0000-0000-00000D5E0000}"/>
    <cellStyle name="Normal 5 10 6 2" xfId="20422" xr:uid="{00000000-0005-0000-0000-00000E5E0000}"/>
    <cellStyle name="Normal 5 10 6 2 2" xfId="45975" xr:uid="{00000000-0005-0000-0000-00000F5E0000}"/>
    <cellStyle name="Normal 5 10 6 3" xfId="33403" xr:uid="{00000000-0005-0000-0000-0000105E0000}"/>
    <cellStyle name="Normal 5 10 7" xfId="16936" xr:uid="{00000000-0005-0000-0000-0000115E0000}"/>
    <cellStyle name="Normal 5 10 7 2" xfId="42489" xr:uid="{00000000-0005-0000-0000-0000125E0000}"/>
    <cellStyle name="Normal 5 10 8" xfId="26905" xr:uid="{00000000-0005-0000-0000-0000135E0000}"/>
    <cellStyle name="Normal 5 11" xfId="3888" xr:uid="{00000000-0005-0000-0000-0000145E0000}"/>
    <cellStyle name="Normal 5 11 2" xfId="5131" xr:uid="{00000000-0005-0000-0000-0000155E0000}"/>
    <cellStyle name="Normal 5 11 2 2" xfId="13968" xr:uid="{00000000-0005-0000-0000-0000165E0000}"/>
    <cellStyle name="Normal 5 11 2 2 2" xfId="24219" xr:uid="{00000000-0005-0000-0000-0000175E0000}"/>
    <cellStyle name="Normal 5 11 2 2 2 2" xfId="49772" xr:uid="{00000000-0005-0000-0000-0000185E0000}"/>
    <cellStyle name="Normal 5 11 2 2 3" xfId="39523" xr:uid="{00000000-0005-0000-0000-0000195E0000}"/>
    <cellStyle name="Normal 5 11 2 3" xfId="10389" xr:uid="{00000000-0005-0000-0000-00001A5E0000}"/>
    <cellStyle name="Normal 5 11 2 3 2" xfId="35946" xr:uid="{00000000-0005-0000-0000-00001B5E0000}"/>
    <cellStyle name="Normal 5 11 2 4" xfId="19212" xr:uid="{00000000-0005-0000-0000-00001C5E0000}"/>
    <cellStyle name="Normal 5 11 2 4 2" xfId="44765" xr:uid="{00000000-0005-0000-0000-00001D5E0000}"/>
    <cellStyle name="Normal 5 11 2 5" xfId="30702" xr:uid="{00000000-0005-0000-0000-00001E5E0000}"/>
    <cellStyle name="Normal 5 11 3" xfId="6586" xr:uid="{00000000-0005-0000-0000-00001F5E0000}"/>
    <cellStyle name="Normal 5 11 3 2" xfId="15413" xr:uid="{00000000-0005-0000-0000-0000205E0000}"/>
    <cellStyle name="Normal 5 11 3 2 2" xfId="40968" xr:uid="{00000000-0005-0000-0000-0000215E0000}"/>
    <cellStyle name="Normal 5 11 3 3" xfId="25664" xr:uid="{00000000-0005-0000-0000-0000225E0000}"/>
    <cellStyle name="Normal 5 11 3 3 2" xfId="51217" xr:uid="{00000000-0005-0000-0000-0000235E0000}"/>
    <cellStyle name="Normal 5 11 3 4" xfId="32147" xr:uid="{00000000-0005-0000-0000-0000245E0000}"/>
    <cellStyle name="Normal 5 11 4" xfId="8032" xr:uid="{00000000-0005-0000-0000-0000255E0000}"/>
    <cellStyle name="Normal 5 11 4 2" xfId="23169" xr:uid="{00000000-0005-0000-0000-0000265E0000}"/>
    <cellStyle name="Normal 5 11 4 2 2" xfId="48722" xr:uid="{00000000-0005-0000-0000-0000275E0000}"/>
    <cellStyle name="Normal 5 11 4 3" xfId="33589" xr:uid="{00000000-0005-0000-0000-0000285E0000}"/>
    <cellStyle name="Normal 5 11 5" xfId="18162" xr:uid="{00000000-0005-0000-0000-0000295E0000}"/>
    <cellStyle name="Normal 5 11 5 2" xfId="43715" xr:uid="{00000000-0005-0000-0000-00002A5E0000}"/>
    <cellStyle name="Normal 5 11 6" xfId="29652" xr:uid="{00000000-0005-0000-0000-00002B5E0000}"/>
    <cellStyle name="Normal 5 12" xfId="4084" xr:uid="{00000000-0005-0000-0000-00002C5E0000}"/>
    <cellStyle name="Normal 5 12 2" xfId="5543" xr:uid="{00000000-0005-0000-0000-00002D5E0000}"/>
    <cellStyle name="Normal 5 12 2 2" xfId="14370" xr:uid="{00000000-0005-0000-0000-00002E5E0000}"/>
    <cellStyle name="Normal 5 12 2 2 2" xfId="39925" xr:uid="{00000000-0005-0000-0000-00002F5E0000}"/>
    <cellStyle name="Normal 5 12 2 3" xfId="24621" xr:uid="{00000000-0005-0000-0000-0000305E0000}"/>
    <cellStyle name="Normal 5 12 2 3 2" xfId="50174" xr:uid="{00000000-0005-0000-0000-0000315E0000}"/>
    <cellStyle name="Normal 5 12 2 4" xfId="31104" xr:uid="{00000000-0005-0000-0000-0000325E0000}"/>
    <cellStyle name="Normal 5 12 3" xfId="6987" xr:uid="{00000000-0005-0000-0000-0000335E0000}"/>
    <cellStyle name="Normal 5 12 3 2" xfId="23173" xr:uid="{00000000-0005-0000-0000-0000345E0000}"/>
    <cellStyle name="Normal 5 12 3 2 2" xfId="48726" xr:uid="{00000000-0005-0000-0000-0000355E0000}"/>
    <cellStyle name="Normal 5 12 3 3" xfId="32544" xr:uid="{00000000-0005-0000-0000-0000365E0000}"/>
    <cellStyle name="Normal 5 12 4" xfId="18166" xr:uid="{00000000-0005-0000-0000-0000375E0000}"/>
    <cellStyle name="Normal 5 12 4 2" xfId="43719" xr:uid="{00000000-0005-0000-0000-0000385E0000}"/>
    <cellStyle name="Normal 5 12 5" xfId="29656" xr:uid="{00000000-0005-0000-0000-0000395E0000}"/>
    <cellStyle name="Normal 5 13" xfId="1391" xr:uid="{00000000-0005-0000-0000-00003A5E0000}"/>
    <cellStyle name="Normal 5 13 2" xfId="10768" xr:uid="{00000000-0005-0000-0000-00003B5E0000}"/>
    <cellStyle name="Normal 5 13 2 2" xfId="36323" xr:uid="{00000000-0005-0000-0000-00003C5E0000}"/>
    <cellStyle name="Normal 5 13 3" xfId="20772" xr:uid="{00000000-0005-0000-0000-00003D5E0000}"/>
    <cellStyle name="Normal 5 13 3 2" xfId="46325" xr:uid="{00000000-0005-0000-0000-00003E5E0000}"/>
    <cellStyle name="Normal 5 13 4" xfId="27255" xr:uid="{00000000-0005-0000-0000-00003F5E0000}"/>
    <cellStyle name="Normal 5 14" xfId="5499" xr:uid="{00000000-0005-0000-0000-0000405E0000}"/>
    <cellStyle name="Normal 5 14 2" xfId="14326" xr:uid="{00000000-0005-0000-0000-0000415E0000}"/>
    <cellStyle name="Normal 5 14 2 2" xfId="39881" xr:uid="{00000000-0005-0000-0000-0000425E0000}"/>
    <cellStyle name="Normal 5 14 3" xfId="24577" xr:uid="{00000000-0005-0000-0000-0000435E0000}"/>
    <cellStyle name="Normal 5 14 3 2" xfId="50130" xr:uid="{00000000-0005-0000-0000-0000445E0000}"/>
    <cellStyle name="Normal 5 14 4" xfId="31060" xr:uid="{00000000-0005-0000-0000-0000455E0000}"/>
    <cellStyle name="Normal 5 15" xfId="6937" xr:uid="{00000000-0005-0000-0000-0000465E0000}"/>
    <cellStyle name="Normal 5 15 2" xfId="32495" xr:uid="{00000000-0005-0000-0000-0000475E0000}"/>
    <cellStyle name="Normal 5 16" xfId="15765" xr:uid="{00000000-0005-0000-0000-0000485E0000}"/>
    <cellStyle name="Normal 5 16 2" xfId="41318" xr:uid="{00000000-0005-0000-0000-0000495E0000}"/>
    <cellStyle name="Normal 5 2" xfId="105" xr:uid="{00000000-0005-0000-0000-00004A5E0000}"/>
    <cellStyle name="Normal 5 2 10" xfId="5503" xr:uid="{00000000-0005-0000-0000-00004B5E0000}"/>
    <cellStyle name="Normal 5 2 10 2" xfId="14330" xr:uid="{00000000-0005-0000-0000-00004C5E0000}"/>
    <cellStyle name="Normal 5 2 10 2 2" xfId="39885" xr:uid="{00000000-0005-0000-0000-00004D5E0000}"/>
    <cellStyle name="Normal 5 2 10 3" xfId="24581" xr:uid="{00000000-0005-0000-0000-00004E5E0000}"/>
    <cellStyle name="Normal 5 2 10 3 2" xfId="50134" xr:uid="{00000000-0005-0000-0000-00004F5E0000}"/>
    <cellStyle name="Normal 5 2 10 4" xfId="31064" xr:uid="{00000000-0005-0000-0000-0000505E0000}"/>
    <cellStyle name="Normal 5 2 11" xfId="6942" xr:uid="{00000000-0005-0000-0000-0000515E0000}"/>
    <cellStyle name="Normal 5 2 11 2" xfId="19580" xr:uid="{00000000-0005-0000-0000-0000525E0000}"/>
    <cellStyle name="Normal 5 2 11 2 2" xfId="45133" xr:uid="{00000000-0005-0000-0000-0000535E0000}"/>
    <cellStyle name="Normal 5 2 11 3" xfId="32500" xr:uid="{00000000-0005-0000-0000-0000545E0000}"/>
    <cellStyle name="Normal 5 2 12" xfId="26063" xr:uid="{00000000-0005-0000-0000-0000555E0000}"/>
    <cellStyle name="Normal 5 2 2" xfId="118" xr:uid="{00000000-0005-0000-0000-0000565E0000}"/>
    <cellStyle name="Normal 5 2 2 10" xfId="5534" xr:uid="{00000000-0005-0000-0000-0000575E0000}"/>
    <cellStyle name="Normal 5 2 2 10 2" xfId="14361" xr:uid="{00000000-0005-0000-0000-0000585E0000}"/>
    <cellStyle name="Normal 5 2 2 10 2 2" xfId="39916" xr:uid="{00000000-0005-0000-0000-0000595E0000}"/>
    <cellStyle name="Normal 5 2 2 10 3" xfId="24612" xr:uid="{00000000-0005-0000-0000-00005A5E0000}"/>
    <cellStyle name="Normal 5 2 2 10 3 2" xfId="50165" xr:uid="{00000000-0005-0000-0000-00005B5E0000}"/>
    <cellStyle name="Normal 5 2 2 10 4" xfId="31095" xr:uid="{00000000-0005-0000-0000-00005C5E0000}"/>
    <cellStyle name="Normal 5 2 2 11" xfId="6978" xr:uid="{00000000-0005-0000-0000-00005D5E0000}"/>
    <cellStyle name="Normal 5 2 2 11 2" xfId="32535" xr:uid="{00000000-0005-0000-0000-00005E5E0000}"/>
    <cellStyle name="Normal 5 2 2 12" xfId="15799" xr:uid="{00000000-0005-0000-0000-00005F5E0000}"/>
    <cellStyle name="Normal 5 2 2 12 2" xfId="41352" xr:uid="{00000000-0005-0000-0000-0000605E0000}"/>
    <cellStyle name="Normal 5 2 2 2" xfId="160" xr:uid="{00000000-0005-0000-0000-0000615E0000}"/>
    <cellStyle name="Normal 5 2 2 2 10" xfId="5492" xr:uid="{00000000-0005-0000-0000-0000625E0000}"/>
    <cellStyle name="Normal 5 2 2 2 11" xfId="10748" xr:uid="{00000000-0005-0000-0000-0000635E0000}"/>
    <cellStyle name="Normal 5 2 2 2 11 2" xfId="19619" xr:uid="{00000000-0005-0000-0000-0000645E0000}"/>
    <cellStyle name="Normal 5 2 2 2 11 2 2" xfId="45172" xr:uid="{00000000-0005-0000-0000-0000655E0000}"/>
    <cellStyle name="Normal 5 2 2 2 11 3" xfId="36304" xr:uid="{00000000-0005-0000-0000-0000665E0000}"/>
    <cellStyle name="Normal 5 2 2 2 12" xfId="26102" xr:uid="{00000000-0005-0000-0000-0000675E0000}"/>
    <cellStyle name="Normal 5 2 2 2 2" xfId="272" xr:uid="{00000000-0005-0000-0000-0000685E0000}"/>
    <cellStyle name="Normal 5 2 2 2 2 10" xfId="7110" xr:uid="{00000000-0005-0000-0000-0000695E0000}"/>
    <cellStyle name="Normal 5 2 2 2 2 10 2" xfId="19723" xr:uid="{00000000-0005-0000-0000-00006A5E0000}"/>
    <cellStyle name="Normal 5 2 2 2 2 10 2 2" xfId="45276" xr:uid="{00000000-0005-0000-0000-00006B5E0000}"/>
    <cellStyle name="Normal 5 2 2 2 2 10 3" xfId="32667" xr:uid="{00000000-0005-0000-0000-00006C5E0000}"/>
    <cellStyle name="Normal 5 2 2 2 2 11" xfId="15856" xr:uid="{00000000-0005-0000-0000-00006D5E0000}"/>
    <cellStyle name="Normal 5 2 2 2 2 11 2" xfId="41409" xr:uid="{00000000-0005-0000-0000-00006E5E0000}"/>
    <cellStyle name="Normal 5 2 2 2 2 12" xfId="26206" xr:uid="{00000000-0005-0000-0000-00006F5E0000}"/>
    <cellStyle name="Normal 5 2 2 2 2 2" xfId="594" xr:uid="{00000000-0005-0000-0000-0000705E0000}"/>
    <cellStyle name="Normal 5 2 2 2 2 2 10" xfId="26523" xr:uid="{00000000-0005-0000-0000-0000715E0000}"/>
    <cellStyle name="Normal 5 2 2 2 2 2 2" xfId="785" xr:uid="{00000000-0005-0000-0000-0000725E0000}"/>
    <cellStyle name="Normal 5 2 2 2 2 2 2 2" xfId="3270" xr:uid="{00000000-0005-0000-0000-0000735E0000}"/>
    <cellStyle name="Normal 5 2 2 2 2 2 2 2 2" xfId="12412" xr:uid="{00000000-0005-0000-0000-0000745E0000}"/>
    <cellStyle name="Normal 5 2 2 2 2 2 2 2 2 2" xfId="22631" xr:uid="{00000000-0005-0000-0000-0000755E0000}"/>
    <cellStyle name="Normal 5 2 2 2 2 2 2 2 2 2 2" xfId="48184" xr:uid="{00000000-0005-0000-0000-0000765E0000}"/>
    <cellStyle name="Normal 5 2 2 2 2 2 2 2 2 3" xfId="37967" xr:uid="{00000000-0005-0000-0000-0000775E0000}"/>
    <cellStyle name="Normal 5 2 2 2 2 2 2 2 3" xfId="8834" xr:uid="{00000000-0005-0000-0000-0000785E0000}"/>
    <cellStyle name="Normal 5 2 2 2 2 2 2 2 3 2" xfId="34391" xr:uid="{00000000-0005-0000-0000-0000795E0000}"/>
    <cellStyle name="Normal 5 2 2 2 2 2 2 2 4" xfId="17624" xr:uid="{00000000-0005-0000-0000-00007A5E0000}"/>
    <cellStyle name="Normal 5 2 2 2 2 2 2 2 4 2" xfId="43177" xr:uid="{00000000-0005-0000-0000-00007B5E0000}"/>
    <cellStyle name="Normal 5 2 2 2 2 2 2 2 5" xfId="29114" xr:uid="{00000000-0005-0000-0000-00007C5E0000}"/>
    <cellStyle name="Normal 5 2 2 2 2 2 2 3" xfId="4599" xr:uid="{00000000-0005-0000-0000-00007D5E0000}"/>
    <cellStyle name="Normal 5 2 2 2 2 2 2 3 2" xfId="13437" xr:uid="{00000000-0005-0000-0000-00007E5E0000}"/>
    <cellStyle name="Normal 5 2 2 2 2 2 2 3 2 2" xfId="23688" xr:uid="{00000000-0005-0000-0000-00007F5E0000}"/>
    <cellStyle name="Normal 5 2 2 2 2 2 2 3 2 2 2" xfId="49241" xr:uid="{00000000-0005-0000-0000-0000805E0000}"/>
    <cellStyle name="Normal 5 2 2 2 2 2 2 3 2 3" xfId="38992" xr:uid="{00000000-0005-0000-0000-0000815E0000}"/>
    <cellStyle name="Normal 5 2 2 2 2 2 2 3 3" xfId="9858" xr:uid="{00000000-0005-0000-0000-0000825E0000}"/>
    <cellStyle name="Normal 5 2 2 2 2 2 2 3 3 2" xfId="35415" xr:uid="{00000000-0005-0000-0000-0000835E0000}"/>
    <cellStyle name="Normal 5 2 2 2 2 2 2 3 4" xfId="18681" xr:uid="{00000000-0005-0000-0000-0000845E0000}"/>
    <cellStyle name="Normal 5 2 2 2 2 2 2 3 4 2" xfId="44234" xr:uid="{00000000-0005-0000-0000-0000855E0000}"/>
    <cellStyle name="Normal 5 2 2 2 2 2 2 3 5" xfId="30171" xr:uid="{00000000-0005-0000-0000-0000865E0000}"/>
    <cellStyle name="Normal 5 2 2 2 2 2 2 4" xfId="2379" xr:uid="{00000000-0005-0000-0000-0000875E0000}"/>
    <cellStyle name="Normal 5 2 2 2 2 2 2 4 2" xfId="11744" xr:uid="{00000000-0005-0000-0000-0000885E0000}"/>
    <cellStyle name="Normal 5 2 2 2 2 2 2 4 2 2" xfId="37299" xr:uid="{00000000-0005-0000-0000-0000895E0000}"/>
    <cellStyle name="Normal 5 2 2 2 2 2 2 4 3" xfId="21748" xr:uid="{00000000-0005-0000-0000-00008A5E0000}"/>
    <cellStyle name="Normal 5 2 2 2 2 2 2 4 3 2" xfId="47301" xr:uid="{00000000-0005-0000-0000-00008B5E0000}"/>
    <cellStyle name="Normal 5 2 2 2 2 2 2 4 4" xfId="28231" xr:uid="{00000000-0005-0000-0000-00008C5E0000}"/>
    <cellStyle name="Normal 5 2 2 2 2 2 2 5" xfId="6055" xr:uid="{00000000-0005-0000-0000-00008D5E0000}"/>
    <cellStyle name="Normal 5 2 2 2 2 2 2 5 2" xfId="14882" xr:uid="{00000000-0005-0000-0000-00008E5E0000}"/>
    <cellStyle name="Normal 5 2 2 2 2 2 2 5 2 2" xfId="40437" xr:uid="{00000000-0005-0000-0000-00008F5E0000}"/>
    <cellStyle name="Normal 5 2 2 2 2 2 2 5 3" xfId="25133" xr:uid="{00000000-0005-0000-0000-0000905E0000}"/>
    <cellStyle name="Normal 5 2 2 2 2 2 2 5 3 2" xfId="50686" xr:uid="{00000000-0005-0000-0000-0000915E0000}"/>
    <cellStyle name="Normal 5 2 2 2 2 2 2 5 4" xfId="31616" xr:uid="{00000000-0005-0000-0000-0000925E0000}"/>
    <cellStyle name="Normal 5 2 2 2 2 2 2 6" xfId="7500" xr:uid="{00000000-0005-0000-0000-0000935E0000}"/>
    <cellStyle name="Normal 5 2 2 2 2 2 2 6 2" xfId="20230" xr:uid="{00000000-0005-0000-0000-0000945E0000}"/>
    <cellStyle name="Normal 5 2 2 2 2 2 2 6 2 2" xfId="45783" xr:uid="{00000000-0005-0000-0000-0000955E0000}"/>
    <cellStyle name="Normal 5 2 2 2 2 2 2 6 3" xfId="33057" xr:uid="{00000000-0005-0000-0000-0000965E0000}"/>
    <cellStyle name="Normal 5 2 2 2 2 2 2 7" xfId="16741" xr:uid="{00000000-0005-0000-0000-0000975E0000}"/>
    <cellStyle name="Normal 5 2 2 2 2 2 2 7 2" xfId="42294" xr:uid="{00000000-0005-0000-0000-0000985E0000}"/>
    <cellStyle name="Normal 5 2 2 2 2 2 2 8" xfId="26713" xr:uid="{00000000-0005-0000-0000-0000995E0000}"/>
    <cellStyle name="Normal 5 2 2 2 2 2 3" xfId="1366" xr:uid="{00000000-0005-0000-0000-00009A5E0000}"/>
    <cellStyle name="Normal 5 2 2 2 2 2 3 2" xfId="3795" xr:uid="{00000000-0005-0000-0000-00009B5E0000}"/>
    <cellStyle name="Normal 5 2 2 2 2 2 3 2 2" xfId="12931" xr:uid="{00000000-0005-0000-0000-00009C5E0000}"/>
    <cellStyle name="Normal 5 2 2 2 2 2 3 2 2 2" xfId="23150" xr:uid="{00000000-0005-0000-0000-00009D5E0000}"/>
    <cellStyle name="Normal 5 2 2 2 2 2 3 2 2 2 2" xfId="48703" xr:uid="{00000000-0005-0000-0000-00009E5E0000}"/>
    <cellStyle name="Normal 5 2 2 2 2 2 3 2 2 3" xfId="38486" xr:uid="{00000000-0005-0000-0000-00009F5E0000}"/>
    <cellStyle name="Normal 5 2 2 2 2 2 3 2 3" xfId="9352" xr:uid="{00000000-0005-0000-0000-0000A05E0000}"/>
    <cellStyle name="Normal 5 2 2 2 2 2 3 2 3 2" xfId="34909" xr:uid="{00000000-0005-0000-0000-0000A15E0000}"/>
    <cellStyle name="Normal 5 2 2 2 2 2 3 2 4" xfId="18143" xr:uid="{00000000-0005-0000-0000-0000A25E0000}"/>
    <cellStyle name="Normal 5 2 2 2 2 2 3 2 4 2" xfId="43696" xr:uid="{00000000-0005-0000-0000-0000A35E0000}"/>
    <cellStyle name="Normal 5 2 2 2 2 2 3 2 5" xfId="29633" xr:uid="{00000000-0005-0000-0000-0000A45E0000}"/>
    <cellStyle name="Normal 5 2 2 2 2 2 3 3" xfId="4948" xr:uid="{00000000-0005-0000-0000-0000A55E0000}"/>
    <cellStyle name="Normal 5 2 2 2 2 2 3 3 2" xfId="13785" xr:uid="{00000000-0005-0000-0000-0000A65E0000}"/>
    <cellStyle name="Normal 5 2 2 2 2 2 3 3 2 2" xfId="24036" xr:uid="{00000000-0005-0000-0000-0000A75E0000}"/>
    <cellStyle name="Normal 5 2 2 2 2 2 3 3 2 2 2" xfId="49589" xr:uid="{00000000-0005-0000-0000-0000A85E0000}"/>
    <cellStyle name="Normal 5 2 2 2 2 2 3 3 2 3" xfId="39340" xr:uid="{00000000-0005-0000-0000-0000A95E0000}"/>
    <cellStyle name="Normal 5 2 2 2 2 2 3 3 3" xfId="10206" xr:uid="{00000000-0005-0000-0000-0000AA5E0000}"/>
    <cellStyle name="Normal 5 2 2 2 2 2 3 3 3 2" xfId="35763" xr:uid="{00000000-0005-0000-0000-0000AB5E0000}"/>
    <cellStyle name="Normal 5 2 2 2 2 2 3 3 4" xfId="19029" xr:uid="{00000000-0005-0000-0000-0000AC5E0000}"/>
    <cellStyle name="Normal 5 2 2 2 2 2 3 3 4 2" xfId="44582" xr:uid="{00000000-0005-0000-0000-0000AD5E0000}"/>
    <cellStyle name="Normal 5 2 2 2 2 2 3 3 5" xfId="30519" xr:uid="{00000000-0005-0000-0000-0000AE5E0000}"/>
    <cellStyle name="Normal 5 2 2 2 2 2 3 4" xfId="2189" xr:uid="{00000000-0005-0000-0000-0000AF5E0000}"/>
    <cellStyle name="Normal 5 2 2 2 2 2 3 4 2" xfId="11554" xr:uid="{00000000-0005-0000-0000-0000B05E0000}"/>
    <cellStyle name="Normal 5 2 2 2 2 2 3 4 2 2" xfId="37109" xr:uid="{00000000-0005-0000-0000-0000B15E0000}"/>
    <cellStyle name="Normal 5 2 2 2 2 2 3 4 3" xfId="21558" xr:uid="{00000000-0005-0000-0000-0000B25E0000}"/>
    <cellStyle name="Normal 5 2 2 2 2 2 3 4 3 2" xfId="47111" xr:uid="{00000000-0005-0000-0000-0000B35E0000}"/>
    <cellStyle name="Normal 5 2 2 2 2 2 3 4 4" xfId="28041" xr:uid="{00000000-0005-0000-0000-0000B45E0000}"/>
    <cellStyle name="Normal 5 2 2 2 2 2 3 5" xfId="6403" xr:uid="{00000000-0005-0000-0000-0000B55E0000}"/>
    <cellStyle name="Normal 5 2 2 2 2 2 3 5 2" xfId="15230" xr:uid="{00000000-0005-0000-0000-0000B65E0000}"/>
    <cellStyle name="Normal 5 2 2 2 2 2 3 5 2 2" xfId="40785" xr:uid="{00000000-0005-0000-0000-0000B75E0000}"/>
    <cellStyle name="Normal 5 2 2 2 2 2 3 5 3" xfId="25481" xr:uid="{00000000-0005-0000-0000-0000B85E0000}"/>
    <cellStyle name="Normal 5 2 2 2 2 2 3 5 3 2" xfId="51034" xr:uid="{00000000-0005-0000-0000-0000B95E0000}"/>
    <cellStyle name="Normal 5 2 2 2 2 2 3 5 4" xfId="31964" xr:uid="{00000000-0005-0000-0000-0000BA5E0000}"/>
    <cellStyle name="Normal 5 2 2 2 2 2 3 6" xfId="7849" xr:uid="{00000000-0005-0000-0000-0000BB5E0000}"/>
    <cellStyle name="Normal 5 2 2 2 2 2 3 6 2" xfId="20749" xr:uid="{00000000-0005-0000-0000-0000BC5E0000}"/>
    <cellStyle name="Normal 5 2 2 2 2 2 3 6 2 2" xfId="46302" xr:uid="{00000000-0005-0000-0000-0000BD5E0000}"/>
    <cellStyle name="Normal 5 2 2 2 2 2 3 6 3" xfId="33406" xr:uid="{00000000-0005-0000-0000-0000BE5E0000}"/>
    <cellStyle name="Normal 5 2 2 2 2 2 3 7" xfId="16551" xr:uid="{00000000-0005-0000-0000-0000BF5E0000}"/>
    <cellStyle name="Normal 5 2 2 2 2 2 3 7 2" xfId="42104" xr:uid="{00000000-0005-0000-0000-0000C05E0000}"/>
    <cellStyle name="Normal 5 2 2 2 2 2 3 8" xfId="27232" xr:uid="{00000000-0005-0000-0000-0000C15E0000}"/>
    <cellStyle name="Normal 5 2 2 2 2 2 4" xfId="3080" xr:uid="{00000000-0005-0000-0000-0000C25E0000}"/>
    <cellStyle name="Normal 5 2 2 2 2 2 4 2" xfId="5458" xr:uid="{00000000-0005-0000-0000-0000C35E0000}"/>
    <cellStyle name="Normal 5 2 2 2 2 2 4 2 2" xfId="14295" xr:uid="{00000000-0005-0000-0000-0000C45E0000}"/>
    <cellStyle name="Normal 5 2 2 2 2 2 4 2 2 2" xfId="24546" xr:uid="{00000000-0005-0000-0000-0000C55E0000}"/>
    <cellStyle name="Normal 5 2 2 2 2 2 4 2 2 2 2" xfId="50099" xr:uid="{00000000-0005-0000-0000-0000C65E0000}"/>
    <cellStyle name="Normal 5 2 2 2 2 2 4 2 2 3" xfId="39850" xr:uid="{00000000-0005-0000-0000-0000C75E0000}"/>
    <cellStyle name="Normal 5 2 2 2 2 2 4 2 3" xfId="10716" xr:uid="{00000000-0005-0000-0000-0000C85E0000}"/>
    <cellStyle name="Normal 5 2 2 2 2 2 4 2 3 2" xfId="36273" xr:uid="{00000000-0005-0000-0000-0000C95E0000}"/>
    <cellStyle name="Normal 5 2 2 2 2 2 4 2 4" xfId="19539" xr:uid="{00000000-0005-0000-0000-0000CA5E0000}"/>
    <cellStyle name="Normal 5 2 2 2 2 2 4 2 4 2" xfId="45092" xr:uid="{00000000-0005-0000-0000-0000CB5E0000}"/>
    <cellStyle name="Normal 5 2 2 2 2 2 4 2 5" xfId="31029" xr:uid="{00000000-0005-0000-0000-0000CC5E0000}"/>
    <cellStyle name="Normal 5 2 2 2 2 2 4 3" xfId="6913" xr:uid="{00000000-0005-0000-0000-0000CD5E0000}"/>
    <cellStyle name="Normal 5 2 2 2 2 2 4 3 2" xfId="15740" xr:uid="{00000000-0005-0000-0000-0000CE5E0000}"/>
    <cellStyle name="Normal 5 2 2 2 2 2 4 3 2 2" xfId="41295" xr:uid="{00000000-0005-0000-0000-0000CF5E0000}"/>
    <cellStyle name="Normal 5 2 2 2 2 2 4 3 3" xfId="25991" xr:uid="{00000000-0005-0000-0000-0000D05E0000}"/>
    <cellStyle name="Normal 5 2 2 2 2 2 4 3 3 2" xfId="51544" xr:uid="{00000000-0005-0000-0000-0000D15E0000}"/>
    <cellStyle name="Normal 5 2 2 2 2 2 4 3 4" xfId="32474" xr:uid="{00000000-0005-0000-0000-0000D25E0000}"/>
    <cellStyle name="Normal 5 2 2 2 2 2 4 4" xfId="8359" xr:uid="{00000000-0005-0000-0000-0000D35E0000}"/>
    <cellStyle name="Normal 5 2 2 2 2 2 4 4 2" xfId="22441" xr:uid="{00000000-0005-0000-0000-0000D45E0000}"/>
    <cellStyle name="Normal 5 2 2 2 2 2 4 4 2 2" xfId="47994" xr:uid="{00000000-0005-0000-0000-0000D55E0000}"/>
    <cellStyle name="Normal 5 2 2 2 2 2 4 4 3" xfId="33916" xr:uid="{00000000-0005-0000-0000-0000D65E0000}"/>
    <cellStyle name="Normal 5 2 2 2 2 2 4 5" xfId="17434" xr:uid="{00000000-0005-0000-0000-0000D75E0000}"/>
    <cellStyle name="Normal 5 2 2 2 2 2 4 5 2" xfId="42987" xr:uid="{00000000-0005-0000-0000-0000D85E0000}"/>
    <cellStyle name="Normal 5 2 2 2 2 2 4 6" xfId="28924" xr:uid="{00000000-0005-0000-0000-0000D95E0000}"/>
    <cellStyle name="Normal 5 2 2 2 2 2 5" xfId="4414" xr:uid="{00000000-0005-0000-0000-0000DA5E0000}"/>
    <cellStyle name="Normal 5 2 2 2 2 2 5 2" xfId="13252" xr:uid="{00000000-0005-0000-0000-0000DB5E0000}"/>
    <cellStyle name="Normal 5 2 2 2 2 2 5 2 2" xfId="23503" xr:uid="{00000000-0005-0000-0000-0000DC5E0000}"/>
    <cellStyle name="Normal 5 2 2 2 2 2 5 2 2 2" xfId="49056" xr:uid="{00000000-0005-0000-0000-0000DD5E0000}"/>
    <cellStyle name="Normal 5 2 2 2 2 2 5 2 3" xfId="38807" xr:uid="{00000000-0005-0000-0000-0000DE5E0000}"/>
    <cellStyle name="Normal 5 2 2 2 2 2 5 3" xfId="9673" xr:uid="{00000000-0005-0000-0000-0000DF5E0000}"/>
    <cellStyle name="Normal 5 2 2 2 2 2 5 3 2" xfId="35230" xr:uid="{00000000-0005-0000-0000-0000E05E0000}"/>
    <cellStyle name="Normal 5 2 2 2 2 2 5 4" xfId="18496" xr:uid="{00000000-0005-0000-0000-0000E15E0000}"/>
    <cellStyle name="Normal 5 2 2 2 2 2 5 4 2" xfId="44049" xr:uid="{00000000-0005-0000-0000-0000E25E0000}"/>
    <cellStyle name="Normal 5 2 2 2 2 2 5 5" xfId="29986" xr:uid="{00000000-0005-0000-0000-0000E35E0000}"/>
    <cellStyle name="Normal 5 2 2 2 2 2 6" xfId="1686" xr:uid="{00000000-0005-0000-0000-0000E45E0000}"/>
    <cellStyle name="Normal 5 2 2 2 2 2 6 2" xfId="11063" xr:uid="{00000000-0005-0000-0000-0000E55E0000}"/>
    <cellStyle name="Normal 5 2 2 2 2 2 6 2 2" xfId="36618" xr:uid="{00000000-0005-0000-0000-0000E65E0000}"/>
    <cellStyle name="Normal 5 2 2 2 2 2 6 3" xfId="21067" xr:uid="{00000000-0005-0000-0000-0000E75E0000}"/>
    <cellStyle name="Normal 5 2 2 2 2 2 6 3 2" xfId="46620" xr:uid="{00000000-0005-0000-0000-0000E85E0000}"/>
    <cellStyle name="Normal 5 2 2 2 2 2 6 4" xfId="27550" xr:uid="{00000000-0005-0000-0000-0000E95E0000}"/>
    <cellStyle name="Normal 5 2 2 2 2 2 7" xfId="5870" xr:uid="{00000000-0005-0000-0000-0000EA5E0000}"/>
    <cellStyle name="Normal 5 2 2 2 2 2 7 2" xfId="14697" xr:uid="{00000000-0005-0000-0000-0000EB5E0000}"/>
    <cellStyle name="Normal 5 2 2 2 2 2 7 2 2" xfId="40252" xr:uid="{00000000-0005-0000-0000-0000EC5E0000}"/>
    <cellStyle name="Normal 5 2 2 2 2 2 7 3" xfId="24948" xr:uid="{00000000-0005-0000-0000-0000ED5E0000}"/>
    <cellStyle name="Normal 5 2 2 2 2 2 7 3 2" xfId="50501" xr:uid="{00000000-0005-0000-0000-0000EE5E0000}"/>
    <cellStyle name="Normal 5 2 2 2 2 2 7 4" xfId="31431" xr:uid="{00000000-0005-0000-0000-0000EF5E0000}"/>
    <cellStyle name="Normal 5 2 2 2 2 2 8" xfId="7314" xr:uid="{00000000-0005-0000-0000-0000F05E0000}"/>
    <cellStyle name="Normal 5 2 2 2 2 2 8 2" xfId="20040" xr:uid="{00000000-0005-0000-0000-0000F15E0000}"/>
    <cellStyle name="Normal 5 2 2 2 2 2 8 2 2" xfId="45593" xr:uid="{00000000-0005-0000-0000-0000F25E0000}"/>
    <cellStyle name="Normal 5 2 2 2 2 2 8 3" xfId="32871" xr:uid="{00000000-0005-0000-0000-0000F35E0000}"/>
    <cellStyle name="Normal 5 2 2 2 2 2 9" xfId="16060" xr:uid="{00000000-0005-0000-0000-0000F45E0000}"/>
    <cellStyle name="Normal 5 2 2 2 2 2 9 2" xfId="41613" xr:uid="{00000000-0005-0000-0000-0000F55E0000}"/>
    <cellStyle name="Normal 5 2 2 2 2 2_Degree data" xfId="3835" xr:uid="{00000000-0005-0000-0000-0000F65E0000}"/>
    <cellStyle name="Normal 5 2 2 2 2 3" xfId="390" xr:uid="{00000000-0005-0000-0000-0000F75E0000}"/>
    <cellStyle name="Normal 5 2 2 2 2 3 2" xfId="2876" xr:uid="{00000000-0005-0000-0000-0000F85E0000}"/>
    <cellStyle name="Normal 5 2 2 2 2 3 2 2" xfId="12164" xr:uid="{00000000-0005-0000-0000-0000F95E0000}"/>
    <cellStyle name="Normal 5 2 2 2 2 3 2 2 2" xfId="22237" xr:uid="{00000000-0005-0000-0000-0000FA5E0000}"/>
    <cellStyle name="Normal 5 2 2 2 2 3 2 2 2 2" xfId="47790" xr:uid="{00000000-0005-0000-0000-0000FB5E0000}"/>
    <cellStyle name="Normal 5 2 2 2 2 3 2 2 3" xfId="37719" xr:uid="{00000000-0005-0000-0000-0000FC5E0000}"/>
    <cellStyle name="Normal 5 2 2 2 2 3 2 3" xfId="8616" xr:uid="{00000000-0005-0000-0000-0000FD5E0000}"/>
    <cellStyle name="Normal 5 2 2 2 2 3 2 3 2" xfId="34173" xr:uid="{00000000-0005-0000-0000-0000FE5E0000}"/>
    <cellStyle name="Normal 5 2 2 2 2 3 2 4" xfId="17230" xr:uid="{00000000-0005-0000-0000-0000FF5E0000}"/>
    <cellStyle name="Normal 5 2 2 2 2 3 2 4 2" xfId="42783" xr:uid="{00000000-0005-0000-0000-0000005F0000}"/>
    <cellStyle name="Normal 5 2 2 2 2 3 2 5" xfId="28720" xr:uid="{00000000-0005-0000-0000-0000015F0000}"/>
    <cellStyle name="Normal 5 2 2 2 2 3 3" xfId="4598" xr:uid="{00000000-0005-0000-0000-0000025F0000}"/>
    <cellStyle name="Normal 5 2 2 2 2 3 3 2" xfId="13436" xr:uid="{00000000-0005-0000-0000-0000035F0000}"/>
    <cellStyle name="Normal 5 2 2 2 2 3 3 2 2" xfId="23687" xr:uid="{00000000-0005-0000-0000-0000045F0000}"/>
    <cellStyle name="Normal 5 2 2 2 2 3 3 2 2 2" xfId="49240" xr:uid="{00000000-0005-0000-0000-0000055F0000}"/>
    <cellStyle name="Normal 5 2 2 2 2 3 3 2 3" xfId="38991" xr:uid="{00000000-0005-0000-0000-0000065F0000}"/>
    <cellStyle name="Normal 5 2 2 2 2 3 3 3" xfId="9857" xr:uid="{00000000-0005-0000-0000-0000075F0000}"/>
    <cellStyle name="Normal 5 2 2 2 2 3 3 3 2" xfId="35414" xr:uid="{00000000-0005-0000-0000-0000085F0000}"/>
    <cellStyle name="Normal 5 2 2 2 2 3 3 4" xfId="18680" xr:uid="{00000000-0005-0000-0000-0000095F0000}"/>
    <cellStyle name="Normal 5 2 2 2 2 3 3 4 2" xfId="44233" xr:uid="{00000000-0005-0000-0000-00000A5F0000}"/>
    <cellStyle name="Normal 5 2 2 2 2 3 3 5" xfId="30170" xr:uid="{00000000-0005-0000-0000-00000B5F0000}"/>
    <cellStyle name="Normal 5 2 2 2 2 3 4" xfId="1985" xr:uid="{00000000-0005-0000-0000-00000C5F0000}"/>
    <cellStyle name="Normal 5 2 2 2 2 3 4 2" xfId="11350" xr:uid="{00000000-0005-0000-0000-00000D5F0000}"/>
    <cellStyle name="Normal 5 2 2 2 2 3 4 2 2" xfId="36905" xr:uid="{00000000-0005-0000-0000-00000E5F0000}"/>
    <cellStyle name="Normal 5 2 2 2 2 3 4 3" xfId="21354" xr:uid="{00000000-0005-0000-0000-00000F5F0000}"/>
    <cellStyle name="Normal 5 2 2 2 2 3 4 3 2" xfId="46907" xr:uid="{00000000-0005-0000-0000-0000105F0000}"/>
    <cellStyle name="Normal 5 2 2 2 2 3 4 4" xfId="27837" xr:uid="{00000000-0005-0000-0000-0000115F0000}"/>
    <cellStyle name="Normal 5 2 2 2 2 3 5" xfId="6054" xr:uid="{00000000-0005-0000-0000-0000125F0000}"/>
    <cellStyle name="Normal 5 2 2 2 2 3 5 2" xfId="14881" xr:uid="{00000000-0005-0000-0000-0000135F0000}"/>
    <cellStyle name="Normal 5 2 2 2 2 3 5 2 2" xfId="40436" xr:uid="{00000000-0005-0000-0000-0000145F0000}"/>
    <cellStyle name="Normal 5 2 2 2 2 3 5 3" xfId="25132" xr:uid="{00000000-0005-0000-0000-0000155F0000}"/>
    <cellStyle name="Normal 5 2 2 2 2 3 5 3 2" xfId="50685" xr:uid="{00000000-0005-0000-0000-0000165F0000}"/>
    <cellStyle name="Normal 5 2 2 2 2 3 5 4" xfId="31615" xr:uid="{00000000-0005-0000-0000-0000175F0000}"/>
    <cellStyle name="Normal 5 2 2 2 2 3 6" xfId="7499" xr:uid="{00000000-0005-0000-0000-0000185F0000}"/>
    <cellStyle name="Normal 5 2 2 2 2 3 6 2" xfId="19836" xr:uid="{00000000-0005-0000-0000-0000195F0000}"/>
    <cellStyle name="Normal 5 2 2 2 2 3 6 2 2" xfId="45389" xr:uid="{00000000-0005-0000-0000-00001A5F0000}"/>
    <cellStyle name="Normal 5 2 2 2 2 3 6 3" xfId="33056" xr:uid="{00000000-0005-0000-0000-00001B5F0000}"/>
    <cellStyle name="Normal 5 2 2 2 2 3 7" xfId="16347" xr:uid="{00000000-0005-0000-0000-00001C5F0000}"/>
    <cellStyle name="Normal 5 2 2 2 2 3 7 2" xfId="41900" xr:uid="{00000000-0005-0000-0000-00001D5F0000}"/>
    <cellStyle name="Normal 5 2 2 2 2 3 8" xfId="26319" xr:uid="{00000000-0005-0000-0000-00001E5F0000}"/>
    <cellStyle name="Normal 5 2 2 2 2 4" xfId="784" xr:uid="{00000000-0005-0000-0000-00001F5F0000}"/>
    <cellStyle name="Normal 5 2 2 2 2 4 2" xfId="3269" xr:uid="{00000000-0005-0000-0000-0000205F0000}"/>
    <cellStyle name="Normal 5 2 2 2 2 4 2 2" xfId="12411" xr:uid="{00000000-0005-0000-0000-0000215F0000}"/>
    <cellStyle name="Normal 5 2 2 2 2 4 2 2 2" xfId="22630" xr:uid="{00000000-0005-0000-0000-0000225F0000}"/>
    <cellStyle name="Normal 5 2 2 2 2 4 2 2 2 2" xfId="48183" xr:uid="{00000000-0005-0000-0000-0000235F0000}"/>
    <cellStyle name="Normal 5 2 2 2 2 4 2 2 3" xfId="37966" xr:uid="{00000000-0005-0000-0000-0000245F0000}"/>
    <cellStyle name="Normal 5 2 2 2 2 4 2 3" xfId="8833" xr:uid="{00000000-0005-0000-0000-0000255F0000}"/>
    <cellStyle name="Normal 5 2 2 2 2 4 2 3 2" xfId="34390" xr:uid="{00000000-0005-0000-0000-0000265F0000}"/>
    <cellStyle name="Normal 5 2 2 2 2 4 2 4" xfId="17623" xr:uid="{00000000-0005-0000-0000-0000275F0000}"/>
    <cellStyle name="Normal 5 2 2 2 2 4 2 4 2" xfId="43176" xr:uid="{00000000-0005-0000-0000-0000285F0000}"/>
    <cellStyle name="Normal 5 2 2 2 2 4 2 5" xfId="29113" xr:uid="{00000000-0005-0000-0000-0000295F0000}"/>
    <cellStyle name="Normal 5 2 2 2 2 4 3" xfId="4947" xr:uid="{00000000-0005-0000-0000-00002A5F0000}"/>
    <cellStyle name="Normal 5 2 2 2 2 4 3 2" xfId="13784" xr:uid="{00000000-0005-0000-0000-00002B5F0000}"/>
    <cellStyle name="Normal 5 2 2 2 2 4 3 2 2" xfId="24035" xr:uid="{00000000-0005-0000-0000-00002C5F0000}"/>
    <cellStyle name="Normal 5 2 2 2 2 4 3 2 2 2" xfId="49588" xr:uid="{00000000-0005-0000-0000-00002D5F0000}"/>
    <cellStyle name="Normal 5 2 2 2 2 4 3 2 3" xfId="39339" xr:uid="{00000000-0005-0000-0000-00002E5F0000}"/>
    <cellStyle name="Normal 5 2 2 2 2 4 3 3" xfId="10205" xr:uid="{00000000-0005-0000-0000-00002F5F0000}"/>
    <cellStyle name="Normal 5 2 2 2 2 4 3 3 2" xfId="35762" xr:uid="{00000000-0005-0000-0000-0000305F0000}"/>
    <cellStyle name="Normal 5 2 2 2 2 4 3 4" xfId="19028" xr:uid="{00000000-0005-0000-0000-0000315F0000}"/>
    <cellStyle name="Normal 5 2 2 2 2 4 3 4 2" xfId="44581" xr:uid="{00000000-0005-0000-0000-0000325F0000}"/>
    <cellStyle name="Normal 5 2 2 2 2 4 3 5" xfId="30518" xr:uid="{00000000-0005-0000-0000-0000335F0000}"/>
    <cellStyle name="Normal 5 2 2 2 2 4 4" xfId="2378" xr:uid="{00000000-0005-0000-0000-0000345F0000}"/>
    <cellStyle name="Normal 5 2 2 2 2 4 4 2" xfId="11743" xr:uid="{00000000-0005-0000-0000-0000355F0000}"/>
    <cellStyle name="Normal 5 2 2 2 2 4 4 2 2" xfId="37298" xr:uid="{00000000-0005-0000-0000-0000365F0000}"/>
    <cellStyle name="Normal 5 2 2 2 2 4 4 3" xfId="21747" xr:uid="{00000000-0005-0000-0000-0000375F0000}"/>
    <cellStyle name="Normal 5 2 2 2 2 4 4 3 2" xfId="47300" xr:uid="{00000000-0005-0000-0000-0000385F0000}"/>
    <cellStyle name="Normal 5 2 2 2 2 4 4 4" xfId="28230" xr:uid="{00000000-0005-0000-0000-0000395F0000}"/>
    <cellStyle name="Normal 5 2 2 2 2 4 5" xfId="6402" xr:uid="{00000000-0005-0000-0000-00003A5F0000}"/>
    <cellStyle name="Normal 5 2 2 2 2 4 5 2" xfId="15229" xr:uid="{00000000-0005-0000-0000-00003B5F0000}"/>
    <cellStyle name="Normal 5 2 2 2 2 4 5 2 2" xfId="40784" xr:uid="{00000000-0005-0000-0000-00003C5F0000}"/>
    <cellStyle name="Normal 5 2 2 2 2 4 5 3" xfId="25480" xr:uid="{00000000-0005-0000-0000-00003D5F0000}"/>
    <cellStyle name="Normal 5 2 2 2 2 4 5 3 2" xfId="51033" xr:uid="{00000000-0005-0000-0000-00003E5F0000}"/>
    <cellStyle name="Normal 5 2 2 2 2 4 5 4" xfId="31963" xr:uid="{00000000-0005-0000-0000-00003F5F0000}"/>
    <cellStyle name="Normal 5 2 2 2 2 4 6" xfId="7848" xr:uid="{00000000-0005-0000-0000-0000405F0000}"/>
    <cellStyle name="Normal 5 2 2 2 2 4 6 2" xfId="20229" xr:uid="{00000000-0005-0000-0000-0000415F0000}"/>
    <cellStyle name="Normal 5 2 2 2 2 4 6 2 2" xfId="45782" xr:uid="{00000000-0005-0000-0000-0000425F0000}"/>
    <cellStyle name="Normal 5 2 2 2 2 4 6 3" xfId="33405" xr:uid="{00000000-0005-0000-0000-0000435F0000}"/>
    <cellStyle name="Normal 5 2 2 2 2 4 7" xfId="16740" xr:uid="{00000000-0005-0000-0000-0000445F0000}"/>
    <cellStyle name="Normal 5 2 2 2 2 4 7 2" xfId="42293" xr:uid="{00000000-0005-0000-0000-0000455F0000}"/>
    <cellStyle name="Normal 5 2 2 2 2 4 8" xfId="26712" xr:uid="{00000000-0005-0000-0000-0000465F0000}"/>
    <cellStyle name="Normal 5 2 2 2 2 5" xfId="1162" xr:uid="{00000000-0005-0000-0000-0000475F0000}"/>
    <cellStyle name="Normal 5 2 2 2 2 5 2" xfId="3591" xr:uid="{00000000-0005-0000-0000-0000485F0000}"/>
    <cellStyle name="Normal 5 2 2 2 2 5 2 2" xfId="12727" xr:uid="{00000000-0005-0000-0000-0000495F0000}"/>
    <cellStyle name="Normal 5 2 2 2 2 5 2 2 2" xfId="22946" xr:uid="{00000000-0005-0000-0000-00004A5F0000}"/>
    <cellStyle name="Normal 5 2 2 2 2 5 2 2 2 2" xfId="48499" xr:uid="{00000000-0005-0000-0000-00004B5F0000}"/>
    <cellStyle name="Normal 5 2 2 2 2 5 2 2 3" xfId="38282" xr:uid="{00000000-0005-0000-0000-00004C5F0000}"/>
    <cellStyle name="Normal 5 2 2 2 2 5 2 3" xfId="9148" xr:uid="{00000000-0005-0000-0000-00004D5F0000}"/>
    <cellStyle name="Normal 5 2 2 2 2 5 2 3 2" xfId="34705" xr:uid="{00000000-0005-0000-0000-00004E5F0000}"/>
    <cellStyle name="Normal 5 2 2 2 2 5 2 4" xfId="17939" xr:uid="{00000000-0005-0000-0000-00004F5F0000}"/>
    <cellStyle name="Normal 5 2 2 2 2 5 2 4 2" xfId="43492" xr:uid="{00000000-0005-0000-0000-0000505F0000}"/>
    <cellStyle name="Normal 5 2 2 2 2 5 2 5" xfId="29429" xr:uid="{00000000-0005-0000-0000-0000515F0000}"/>
    <cellStyle name="Normal 5 2 2 2 2 5 3" xfId="5254" xr:uid="{00000000-0005-0000-0000-0000525F0000}"/>
    <cellStyle name="Normal 5 2 2 2 2 5 3 2" xfId="14091" xr:uid="{00000000-0005-0000-0000-0000535F0000}"/>
    <cellStyle name="Normal 5 2 2 2 2 5 3 2 2" xfId="24342" xr:uid="{00000000-0005-0000-0000-0000545F0000}"/>
    <cellStyle name="Normal 5 2 2 2 2 5 3 2 2 2" xfId="49895" xr:uid="{00000000-0005-0000-0000-0000555F0000}"/>
    <cellStyle name="Normal 5 2 2 2 2 5 3 2 3" xfId="39646" xr:uid="{00000000-0005-0000-0000-0000565F0000}"/>
    <cellStyle name="Normal 5 2 2 2 2 5 3 3" xfId="10512" xr:uid="{00000000-0005-0000-0000-0000575F0000}"/>
    <cellStyle name="Normal 5 2 2 2 2 5 3 3 2" xfId="36069" xr:uid="{00000000-0005-0000-0000-0000585F0000}"/>
    <cellStyle name="Normal 5 2 2 2 2 5 3 4" xfId="19335" xr:uid="{00000000-0005-0000-0000-0000595F0000}"/>
    <cellStyle name="Normal 5 2 2 2 2 5 3 4 2" xfId="44888" xr:uid="{00000000-0005-0000-0000-00005A5F0000}"/>
    <cellStyle name="Normal 5 2 2 2 2 5 3 5" xfId="30825" xr:uid="{00000000-0005-0000-0000-00005B5F0000}"/>
    <cellStyle name="Normal 5 2 2 2 2 5 4" xfId="1869" xr:uid="{00000000-0005-0000-0000-00005C5F0000}"/>
    <cellStyle name="Normal 5 2 2 2 2 5 4 2" xfId="11237" xr:uid="{00000000-0005-0000-0000-00005D5F0000}"/>
    <cellStyle name="Normal 5 2 2 2 2 5 4 2 2" xfId="36792" xr:uid="{00000000-0005-0000-0000-00005E5F0000}"/>
    <cellStyle name="Normal 5 2 2 2 2 5 4 3" xfId="21241" xr:uid="{00000000-0005-0000-0000-00005F5F0000}"/>
    <cellStyle name="Normal 5 2 2 2 2 5 4 3 2" xfId="46794" xr:uid="{00000000-0005-0000-0000-0000605F0000}"/>
    <cellStyle name="Normal 5 2 2 2 2 5 4 4" xfId="27724" xr:uid="{00000000-0005-0000-0000-0000615F0000}"/>
    <cellStyle name="Normal 5 2 2 2 2 5 5" xfId="6709" xr:uid="{00000000-0005-0000-0000-0000625F0000}"/>
    <cellStyle name="Normal 5 2 2 2 2 5 5 2" xfId="15536" xr:uid="{00000000-0005-0000-0000-0000635F0000}"/>
    <cellStyle name="Normal 5 2 2 2 2 5 5 2 2" xfId="41091" xr:uid="{00000000-0005-0000-0000-0000645F0000}"/>
    <cellStyle name="Normal 5 2 2 2 2 5 5 3" xfId="25787" xr:uid="{00000000-0005-0000-0000-0000655F0000}"/>
    <cellStyle name="Normal 5 2 2 2 2 5 5 3 2" xfId="51340" xr:uid="{00000000-0005-0000-0000-0000665F0000}"/>
    <cellStyle name="Normal 5 2 2 2 2 5 5 4" xfId="32270" xr:uid="{00000000-0005-0000-0000-0000675F0000}"/>
    <cellStyle name="Normal 5 2 2 2 2 5 6" xfId="8155" xr:uid="{00000000-0005-0000-0000-0000685F0000}"/>
    <cellStyle name="Normal 5 2 2 2 2 5 6 2" xfId="20545" xr:uid="{00000000-0005-0000-0000-0000695F0000}"/>
    <cellStyle name="Normal 5 2 2 2 2 5 6 2 2" xfId="46098" xr:uid="{00000000-0005-0000-0000-00006A5F0000}"/>
    <cellStyle name="Normal 5 2 2 2 2 5 6 3" xfId="33712" xr:uid="{00000000-0005-0000-0000-00006B5F0000}"/>
    <cellStyle name="Normal 5 2 2 2 2 5 7" xfId="16234" xr:uid="{00000000-0005-0000-0000-00006C5F0000}"/>
    <cellStyle name="Normal 5 2 2 2 2 5 7 2" xfId="41787" xr:uid="{00000000-0005-0000-0000-00006D5F0000}"/>
    <cellStyle name="Normal 5 2 2 2 2 5 8" xfId="27028" xr:uid="{00000000-0005-0000-0000-00006E5F0000}"/>
    <cellStyle name="Normal 5 2 2 2 2 6" xfId="2763" xr:uid="{00000000-0005-0000-0000-00006F5F0000}"/>
    <cellStyle name="Normal 5 2 2 2 2 6 2" xfId="12080" xr:uid="{00000000-0005-0000-0000-0000705F0000}"/>
    <cellStyle name="Normal 5 2 2 2 2 6 2 2" xfId="22124" xr:uid="{00000000-0005-0000-0000-0000715F0000}"/>
    <cellStyle name="Normal 5 2 2 2 2 6 2 2 2" xfId="47677" xr:uid="{00000000-0005-0000-0000-0000725F0000}"/>
    <cellStyle name="Normal 5 2 2 2 2 6 2 3" xfId="37635" xr:uid="{00000000-0005-0000-0000-0000735F0000}"/>
    <cellStyle name="Normal 5 2 2 2 2 6 3" xfId="8441" xr:uid="{00000000-0005-0000-0000-0000745F0000}"/>
    <cellStyle name="Normal 5 2 2 2 2 6 3 2" xfId="33998" xr:uid="{00000000-0005-0000-0000-0000755F0000}"/>
    <cellStyle name="Normal 5 2 2 2 2 6 4" xfId="17117" xr:uid="{00000000-0005-0000-0000-0000765F0000}"/>
    <cellStyle name="Normal 5 2 2 2 2 6 4 2" xfId="42670" xr:uid="{00000000-0005-0000-0000-0000775F0000}"/>
    <cellStyle name="Normal 5 2 2 2 2 6 5" xfId="28607" xr:uid="{00000000-0005-0000-0000-0000785F0000}"/>
    <cellStyle name="Normal 5 2 2 2 2 7" xfId="4210" xr:uid="{00000000-0005-0000-0000-0000795F0000}"/>
    <cellStyle name="Normal 5 2 2 2 2 7 2" xfId="13048" xr:uid="{00000000-0005-0000-0000-00007A5F0000}"/>
    <cellStyle name="Normal 5 2 2 2 2 7 2 2" xfId="23299" xr:uid="{00000000-0005-0000-0000-00007B5F0000}"/>
    <cellStyle name="Normal 5 2 2 2 2 7 2 2 2" xfId="48852" xr:uid="{00000000-0005-0000-0000-00007C5F0000}"/>
    <cellStyle name="Normal 5 2 2 2 2 7 2 3" xfId="38603" xr:uid="{00000000-0005-0000-0000-00007D5F0000}"/>
    <cellStyle name="Normal 5 2 2 2 2 7 3" xfId="9469" xr:uid="{00000000-0005-0000-0000-00007E5F0000}"/>
    <cellStyle name="Normal 5 2 2 2 2 7 3 2" xfId="35026" xr:uid="{00000000-0005-0000-0000-00007F5F0000}"/>
    <cellStyle name="Normal 5 2 2 2 2 7 4" xfId="18292" xr:uid="{00000000-0005-0000-0000-0000805F0000}"/>
    <cellStyle name="Normal 5 2 2 2 2 7 4 2" xfId="43845" xr:uid="{00000000-0005-0000-0000-0000815F0000}"/>
    <cellStyle name="Normal 5 2 2 2 2 7 5" xfId="29782" xr:uid="{00000000-0005-0000-0000-0000825F0000}"/>
    <cellStyle name="Normal 5 2 2 2 2 8" xfId="1482" xr:uid="{00000000-0005-0000-0000-0000835F0000}"/>
    <cellStyle name="Normal 5 2 2 2 2 8 2" xfId="10859" xr:uid="{00000000-0005-0000-0000-0000845F0000}"/>
    <cellStyle name="Normal 5 2 2 2 2 8 2 2" xfId="36414" xr:uid="{00000000-0005-0000-0000-0000855F0000}"/>
    <cellStyle name="Normal 5 2 2 2 2 8 3" xfId="20863" xr:uid="{00000000-0005-0000-0000-0000865F0000}"/>
    <cellStyle name="Normal 5 2 2 2 2 8 3 2" xfId="46416" xr:uid="{00000000-0005-0000-0000-0000875F0000}"/>
    <cellStyle name="Normal 5 2 2 2 2 8 4" xfId="27346" xr:uid="{00000000-0005-0000-0000-0000885F0000}"/>
    <cellStyle name="Normal 5 2 2 2 2 9" xfId="5666" xr:uid="{00000000-0005-0000-0000-0000895F0000}"/>
    <cellStyle name="Normal 5 2 2 2 2 9 2" xfId="14493" xr:uid="{00000000-0005-0000-0000-00008A5F0000}"/>
    <cellStyle name="Normal 5 2 2 2 2 9 2 2" xfId="40048" xr:uid="{00000000-0005-0000-0000-00008B5F0000}"/>
    <cellStyle name="Normal 5 2 2 2 2 9 3" xfId="24744" xr:uid="{00000000-0005-0000-0000-00008C5F0000}"/>
    <cellStyle name="Normal 5 2 2 2 2 9 3 2" xfId="50297" xr:uid="{00000000-0005-0000-0000-00008D5F0000}"/>
    <cellStyle name="Normal 5 2 2 2 2 9 4" xfId="31227" xr:uid="{00000000-0005-0000-0000-00008E5F0000}"/>
    <cellStyle name="Normal 5 2 2 2 2_Degree data" xfId="3822" xr:uid="{00000000-0005-0000-0000-00008F5F0000}"/>
    <cellStyle name="Normal 5 2 2 2 3" xfId="215" xr:uid="{00000000-0005-0000-0000-0000905F0000}"/>
    <cellStyle name="Normal 5 2 2 2 4" xfId="490" xr:uid="{00000000-0005-0000-0000-0000915F0000}"/>
    <cellStyle name="Normal 5 2 2 2 4 10" xfId="26419" xr:uid="{00000000-0005-0000-0000-0000925F0000}"/>
    <cellStyle name="Normal 5 2 2 2 4 2" xfId="786" xr:uid="{00000000-0005-0000-0000-0000935F0000}"/>
    <cellStyle name="Normal 5 2 2 2 4 2 2" xfId="3271" xr:uid="{00000000-0005-0000-0000-0000945F0000}"/>
    <cellStyle name="Normal 5 2 2 2 4 2 2 2" xfId="12413" xr:uid="{00000000-0005-0000-0000-0000955F0000}"/>
    <cellStyle name="Normal 5 2 2 2 4 2 2 2 2" xfId="22632" xr:uid="{00000000-0005-0000-0000-0000965F0000}"/>
    <cellStyle name="Normal 5 2 2 2 4 2 2 2 2 2" xfId="48185" xr:uid="{00000000-0005-0000-0000-0000975F0000}"/>
    <cellStyle name="Normal 5 2 2 2 4 2 2 2 3" xfId="37968" xr:uid="{00000000-0005-0000-0000-0000985F0000}"/>
    <cellStyle name="Normal 5 2 2 2 4 2 2 3" xfId="8835" xr:uid="{00000000-0005-0000-0000-0000995F0000}"/>
    <cellStyle name="Normal 5 2 2 2 4 2 2 3 2" xfId="34392" xr:uid="{00000000-0005-0000-0000-00009A5F0000}"/>
    <cellStyle name="Normal 5 2 2 2 4 2 2 4" xfId="17625" xr:uid="{00000000-0005-0000-0000-00009B5F0000}"/>
    <cellStyle name="Normal 5 2 2 2 4 2 2 4 2" xfId="43178" xr:uid="{00000000-0005-0000-0000-00009C5F0000}"/>
    <cellStyle name="Normal 5 2 2 2 4 2 2 5" xfId="29115" xr:uid="{00000000-0005-0000-0000-00009D5F0000}"/>
    <cellStyle name="Normal 5 2 2 2 4 2 3" xfId="4600" xr:uid="{00000000-0005-0000-0000-00009E5F0000}"/>
    <cellStyle name="Normal 5 2 2 2 4 2 3 2" xfId="13438" xr:uid="{00000000-0005-0000-0000-00009F5F0000}"/>
    <cellStyle name="Normal 5 2 2 2 4 2 3 2 2" xfId="23689" xr:uid="{00000000-0005-0000-0000-0000A05F0000}"/>
    <cellStyle name="Normal 5 2 2 2 4 2 3 2 2 2" xfId="49242" xr:uid="{00000000-0005-0000-0000-0000A15F0000}"/>
    <cellStyle name="Normal 5 2 2 2 4 2 3 2 3" xfId="38993" xr:uid="{00000000-0005-0000-0000-0000A25F0000}"/>
    <cellStyle name="Normal 5 2 2 2 4 2 3 3" xfId="9859" xr:uid="{00000000-0005-0000-0000-0000A35F0000}"/>
    <cellStyle name="Normal 5 2 2 2 4 2 3 3 2" xfId="35416" xr:uid="{00000000-0005-0000-0000-0000A45F0000}"/>
    <cellStyle name="Normal 5 2 2 2 4 2 3 4" xfId="18682" xr:uid="{00000000-0005-0000-0000-0000A55F0000}"/>
    <cellStyle name="Normal 5 2 2 2 4 2 3 4 2" xfId="44235" xr:uid="{00000000-0005-0000-0000-0000A65F0000}"/>
    <cellStyle name="Normal 5 2 2 2 4 2 3 5" xfId="30172" xr:uid="{00000000-0005-0000-0000-0000A75F0000}"/>
    <cellStyle name="Normal 5 2 2 2 4 2 4" xfId="2380" xr:uid="{00000000-0005-0000-0000-0000A85F0000}"/>
    <cellStyle name="Normal 5 2 2 2 4 2 4 2" xfId="11745" xr:uid="{00000000-0005-0000-0000-0000A95F0000}"/>
    <cellStyle name="Normal 5 2 2 2 4 2 4 2 2" xfId="37300" xr:uid="{00000000-0005-0000-0000-0000AA5F0000}"/>
    <cellStyle name="Normal 5 2 2 2 4 2 4 3" xfId="21749" xr:uid="{00000000-0005-0000-0000-0000AB5F0000}"/>
    <cellStyle name="Normal 5 2 2 2 4 2 4 3 2" xfId="47302" xr:uid="{00000000-0005-0000-0000-0000AC5F0000}"/>
    <cellStyle name="Normal 5 2 2 2 4 2 4 4" xfId="28232" xr:uid="{00000000-0005-0000-0000-0000AD5F0000}"/>
    <cellStyle name="Normal 5 2 2 2 4 2 5" xfId="6056" xr:uid="{00000000-0005-0000-0000-0000AE5F0000}"/>
    <cellStyle name="Normal 5 2 2 2 4 2 5 2" xfId="14883" xr:uid="{00000000-0005-0000-0000-0000AF5F0000}"/>
    <cellStyle name="Normal 5 2 2 2 4 2 5 2 2" xfId="40438" xr:uid="{00000000-0005-0000-0000-0000B05F0000}"/>
    <cellStyle name="Normal 5 2 2 2 4 2 5 3" xfId="25134" xr:uid="{00000000-0005-0000-0000-0000B15F0000}"/>
    <cellStyle name="Normal 5 2 2 2 4 2 5 3 2" xfId="50687" xr:uid="{00000000-0005-0000-0000-0000B25F0000}"/>
    <cellStyle name="Normal 5 2 2 2 4 2 5 4" xfId="31617" xr:uid="{00000000-0005-0000-0000-0000B35F0000}"/>
    <cellStyle name="Normal 5 2 2 2 4 2 6" xfId="7501" xr:uid="{00000000-0005-0000-0000-0000B45F0000}"/>
    <cellStyle name="Normal 5 2 2 2 4 2 6 2" xfId="20231" xr:uid="{00000000-0005-0000-0000-0000B55F0000}"/>
    <cellStyle name="Normal 5 2 2 2 4 2 6 2 2" xfId="45784" xr:uid="{00000000-0005-0000-0000-0000B65F0000}"/>
    <cellStyle name="Normal 5 2 2 2 4 2 6 3" xfId="33058" xr:uid="{00000000-0005-0000-0000-0000B75F0000}"/>
    <cellStyle name="Normal 5 2 2 2 4 2 7" xfId="16742" xr:uid="{00000000-0005-0000-0000-0000B85F0000}"/>
    <cellStyle name="Normal 5 2 2 2 4 2 7 2" xfId="42295" xr:uid="{00000000-0005-0000-0000-0000B95F0000}"/>
    <cellStyle name="Normal 5 2 2 2 4 2 8" xfId="26714" xr:uid="{00000000-0005-0000-0000-0000BA5F0000}"/>
    <cellStyle name="Normal 5 2 2 2 4 3" xfId="1262" xr:uid="{00000000-0005-0000-0000-0000BB5F0000}"/>
    <cellStyle name="Normal 5 2 2 2 4 3 2" xfId="3691" xr:uid="{00000000-0005-0000-0000-0000BC5F0000}"/>
    <cellStyle name="Normal 5 2 2 2 4 3 2 2" xfId="12827" xr:uid="{00000000-0005-0000-0000-0000BD5F0000}"/>
    <cellStyle name="Normal 5 2 2 2 4 3 2 2 2" xfId="23046" xr:uid="{00000000-0005-0000-0000-0000BE5F0000}"/>
    <cellStyle name="Normal 5 2 2 2 4 3 2 2 2 2" xfId="48599" xr:uid="{00000000-0005-0000-0000-0000BF5F0000}"/>
    <cellStyle name="Normal 5 2 2 2 4 3 2 2 3" xfId="38382" xr:uid="{00000000-0005-0000-0000-0000C05F0000}"/>
    <cellStyle name="Normal 5 2 2 2 4 3 2 3" xfId="9248" xr:uid="{00000000-0005-0000-0000-0000C15F0000}"/>
    <cellStyle name="Normal 5 2 2 2 4 3 2 3 2" xfId="34805" xr:uid="{00000000-0005-0000-0000-0000C25F0000}"/>
    <cellStyle name="Normal 5 2 2 2 4 3 2 4" xfId="18039" xr:uid="{00000000-0005-0000-0000-0000C35F0000}"/>
    <cellStyle name="Normal 5 2 2 2 4 3 2 4 2" xfId="43592" xr:uid="{00000000-0005-0000-0000-0000C45F0000}"/>
    <cellStyle name="Normal 5 2 2 2 4 3 2 5" xfId="29529" xr:uid="{00000000-0005-0000-0000-0000C55F0000}"/>
    <cellStyle name="Normal 5 2 2 2 4 3 3" xfId="4949" xr:uid="{00000000-0005-0000-0000-0000C65F0000}"/>
    <cellStyle name="Normal 5 2 2 2 4 3 3 2" xfId="13786" xr:uid="{00000000-0005-0000-0000-0000C75F0000}"/>
    <cellStyle name="Normal 5 2 2 2 4 3 3 2 2" xfId="24037" xr:uid="{00000000-0005-0000-0000-0000C85F0000}"/>
    <cellStyle name="Normal 5 2 2 2 4 3 3 2 2 2" xfId="49590" xr:uid="{00000000-0005-0000-0000-0000C95F0000}"/>
    <cellStyle name="Normal 5 2 2 2 4 3 3 2 3" xfId="39341" xr:uid="{00000000-0005-0000-0000-0000CA5F0000}"/>
    <cellStyle name="Normal 5 2 2 2 4 3 3 3" xfId="10207" xr:uid="{00000000-0005-0000-0000-0000CB5F0000}"/>
    <cellStyle name="Normal 5 2 2 2 4 3 3 3 2" xfId="35764" xr:uid="{00000000-0005-0000-0000-0000CC5F0000}"/>
    <cellStyle name="Normal 5 2 2 2 4 3 3 4" xfId="19030" xr:uid="{00000000-0005-0000-0000-0000CD5F0000}"/>
    <cellStyle name="Normal 5 2 2 2 4 3 3 4 2" xfId="44583" xr:uid="{00000000-0005-0000-0000-0000CE5F0000}"/>
    <cellStyle name="Normal 5 2 2 2 4 3 3 5" xfId="30520" xr:uid="{00000000-0005-0000-0000-0000CF5F0000}"/>
    <cellStyle name="Normal 5 2 2 2 4 3 4" xfId="2085" xr:uid="{00000000-0005-0000-0000-0000D05F0000}"/>
    <cellStyle name="Normal 5 2 2 2 4 3 4 2" xfId="11450" xr:uid="{00000000-0005-0000-0000-0000D15F0000}"/>
    <cellStyle name="Normal 5 2 2 2 4 3 4 2 2" xfId="37005" xr:uid="{00000000-0005-0000-0000-0000D25F0000}"/>
    <cellStyle name="Normal 5 2 2 2 4 3 4 3" xfId="21454" xr:uid="{00000000-0005-0000-0000-0000D35F0000}"/>
    <cellStyle name="Normal 5 2 2 2 4 3 4 3 2" xfId="47007" xr:uid="{00000000-0005-0000-0000-0000D45F0000}"/>
    <cellStyle name="Normal 5 2 2 2 4 3 4 4" xfId="27937" xr:uid="{00000000-0005-0000-0000-0000D55F0000}"/>
    <cellStyle name="Normal 5 2 2 2 4 3 5" xfId="6404" xr:uid="{00000000-0005-0000-0000-0000D65F0000}"/>
    <cellStyle name="Normal 5 2 2 2 4 3 5 2" xfId="15231" xr:uid="{00000000-0005-0000-0000-0000D75F0000}"/>
    <cellStyle name="Normal 5 2 2 2 4 3 5 2 2" xfId="40786" xr:uid="{00000000-0005-0000-0000-0000D85F0000}"/>
    <cellStyle name="Normal 5 2 2 2 4 3 5 3" xfId="25482" xr:uid="{00000000-0005-0000-0000-0000D95F0000}"/>
    <cellStyle name="Normal 5 2 2 2 4 3 5 3 2" xfId="51035" xr:uid="{00000000-0005-0000-0000-0000DA5F0000}"/>
    <cellStyle name="Normal 5 2 2 2 4 3 5 4" xfId="31965" xr:uid="{00000000-0005-0000-0000-0000DB5F0000}"/>
    <cellStyle name="Normal 5 2 2 2 4 3 6" xfId="7850" xr:uid="{00000000-0005-0000-0000-0000DC5F0000}"/>
    <cellStyle name="Normal 5 2 2 2 4 3 6 2" xfId="20645" xr:uid="{00000000-0005-0000-0000-0000DD5F0000}"/>
    <cellStyle name="Normal 5 2 2 2 4 3 6 2 2" xfId="46198" xr:uid="{00000000-0005-0000-0000-0000DE5F0000}"/>
    <cellStyle name="Normal 5 2 2 2 4 3 6 3" xfId="33407" xr:uid="{00000000-0005-0000-0000-0000DF5F0000}"/>
    <cellStyle name="Normal 5 2 2 2 4 3 7" xfId="16447" xr:uid="{00000000-0005-0000-0000-0000E05F0000}"/>
    <cellStyle name="Normal 5 2 2 2 4 3 7 2" xfId="42000" xr:uid="{00000000-0005-0000-0000-0000E15F0000}"/>
    <cellStyle name="Normal 5 2 2 2 4 3 8" xfId="27128" xr:uid="{00000000-0005-0000-0000-0000E25F0000}"/>
    <cellStyle name="Normal 5 2 2 2 4 4" xfId="2976" xr:uid="{00000000-0005-0000-0000-0000E35F0000}"/>
    <cellStyle name="Normal 5 2 2 2 4 4 2" xfId="5354" xr:uid="{00000000-0005-0000-0000-0000E45F0000}"/>
    <cellStyle name="Normal 5 2 2 2 4 4 2 2" xfId="14191" xr:uid="{00000000-0005-0000-0000-0000E55F0000}"/>
    <cellStyle name="Normal 5 2 2 2 4 4 2 2 2" xfId="24442" xr:uid="{00000000-0005-0000-0000-0000E65F0000}"/>
    <cellStyle name="Normal 5 2 2 2 4 4 2 2 2 2" xfId="49995" xr:uid="{00000000-0005-0000-0000-0000E75F0000}"/>
    <cellStyle name="Normal 5 2 2 2 4 4 2 2 3" xfId="39746" xr:uid="{00000000-0005-0000-0000-0000E85F0000}"/>
    <cellStyle name="Normal 5 2 2 2 4 4 2 3" xfId="10612" xr:uid="{00000000-0005-0000-0000-0000E95F0000}"/>
    <cellStyle name="Normal 5 2 2 2 4 4 2 3 2" xfId="36169" xr:uid="{00000000-0005-0000-0000-0000EA5F0000}"/>
    <cellStyle name="Normal 5 2 2 2 4 4 2 4" xfId="19435" xr:uid="{00000000-0005-0000-0000-0000EB5F0000}"/>
    <cellStyle name="Normal 5 2 2 2 4 4 2 4 2" xfId="44988" xr:uid="{00000000-0005-0000-0000-0000EC5F0000}"/>
    <cellStyle name="Normal 5 2 2 2 4 4 2 5" xfId="30925" xr:uid="{00000000-0005-0000-0000-0000ED5F0000}"/>
    <cellStyle name="Normal 5 2 2 2 4 4 3" xfId="6809" xr:uid="{00000000-0005-0000-0000-0000EE5F0000}"/>
    <cellStyle name="Normal 5 2 2 2 4 4 3 2" xfId="15636" xr:uid="{00000000-0005-0000-0000-0000EF5F0000}"/>
    <cellStyle name="Normal 5 2 2 2 4 4 3 2 2" xfId="41191" xr:uid="{00000000-0005-0000-0000-0000F05F0000}"/>
    <cellStyle name="Normal 5 2 2 2 4 4 3 3" xfId="25887" xr:uid="{00000000-0005-0000-0000-0000F15F0000}"/>
    <cellStyle name="Normal 5 2 2 2 4 4 3 3 2" xfId="51440" xr:uid="{00000000-0005-0000-0000-0000F25F0000}"/>
    <cellStyle name="Normal 5 2 2 2 4 4 3 4" xfId="32370" xr:uid="{00000000-0005-0000-0000-0000F35F0000}"/>
    <cellStyle name="Normal 5 2 2 2 4 4 4" xfId="8255" xr:uid="{00000000-0005-0000-0000-0000F45F0000}"/>
    <cellStyle name="Normal 5 2 2 2 4 4 4 2" xfId="22337" xr:uid="{00000000-0005-0000-0000-0000F55F0000}"/>
    <cellStyle name="Normal 5 2 2 2 4 4 4 2 2" xfId="47890" xr:uid="{00000000-0005-0000-0000-0000F65F0000}"/>
    <cellStyle name="Normal 5 2 2 2 4 4 4 3" xfId="33812" xr:uid="{00000000-0005-0000-0000-0000F75F0000}"/>
    <cellStyle name="Normal 5 2 2 2 4 4 5" xfId="17330" xr:uid="{00000000-0005-0000-0000-0000F85F0000}"/>
    <cellStyle name="Normal 5 2 2 2 4 4 5 2" xfId="42883" xr:uid="{00000000-0005-0000-0000-0000F95F0000}"/>
    <cellStyle name="Normal 5 2 2 2 4 4 6" xfId="28820" xr:uid="{00000000-0005-0000-0000-0000FA5F0000}"/>
    <cellStyle name="Normal 5 2 2 2 4 5" xfId="4310" xr:uid="{00000000-0005-0000-0000-0000FB5F0000}"/>
    <cellStyle name="Normal 5 2 2 2 4 5 2" xfId="13148" xr:uid="{00000000-0005-0000-0000-0000FC5F0000}"/>
    <cellStyle name="Normal 5 2 2 2 4 5 2 2" xfId="23399" xr:uid="{00000000-0005-0000-0000-0000FD5F0000}"/>
    <cellStyle name="Normal 5 2 2 2 4 5 2 2 2" xfId="48952" xr:uid="{00000000-0005-0000-0000-0000FE5F0000}"/>
    <cellStyle name="Normal 5 2 2 2 4 5 2 3" xfId="38703" xr:uid="{00000000-0005-0000-0000-0000FF5F0000}"/>
    <cellStyle name="Normal 5 2 2 2 4 5 3" xfId="9569" xr:uid="{00000000-0005-0000-0000-000000600000}"/>
    <cellStyle name="Normal 5 2 2 2 4 5 3 2" xfId="35126" xr:uid="{00000000-0005-0000-0000-000001600000}"/>
    <cellStyle name="Normal 5 2 2 2 4 5 4" xfId="18392" xr:uid="{00000000-0005-0000-0000-000002600000}"/>
    <cellStyle name="Normal 5 2 2 2 4 5 4 2" xfId="43945" xr:uid="{00000000-0005-0000-0000-000003600000}"/>
    <cellStyle name="Normal 5 2 2 2 4 5 5" xfId="29882" xr:uid="{00000000-0005-0000-0000-000004600000}"/>
    <cellStyle name="Normal 5 2 2 2 4 6" xfId="1582" xr:uid="{00000000-0005-0000-0000-000005600000}"/>
    <cellStyle name="Normal 5 2 2 2 4 6 2" xfId="10959" xr:uid="{00000000-0005-0000-0000-000006600000}"/>
    <cellStyle name="Normal 5 2 2 2 4 6 2 2" xfId="36514" xr:uid="{00000000-0005-0000-0000-000007600000}"/>
    <cellStyle name="Normal 5 2 2 2 4 6 3" xfId="20963" xr:uid="{00000000-0005-0000-0000-000008600000}"/>
    <cellStyle name="Normal 5 2 2 2 4 6 3 2" xfId="46516" xr:uid="{00000000-0005-0000-0000-000009600000}"/>
    <cellStyle name="Normal 5 2 2 2 4 6 4" xfId="27446" xr:uid="{00000000-0005-0000-0000-00000A600000}"/>
    <cellStyle name="Normal 5 2 2 2 4 7" xfId="5766" xr:uid="{00000000-0005-0000-0000-00000B600000}"/>
    <cellStyle name="Normal 5 2 2 2 4 7 2" xfId="14593" xr:uid="{00000000-0005-0000-0000-00000C600000}"/>
    <cellStyle name="Normal 5 2 2 2 4 7 2 2" xfId="40148" xr:uid="{00000000-0005-0000-0000-00000D600000}"/>
    <cellStyle name="Normal 5 2 2 2 4 7 3" xfId="24844" xr:uid="{00000000-0005-0000-0000-00000E600000}"/>
    <cellStyle name="Normal 5 2 2 2 4 7 3 2" xfId="50397" xr:uid="{00000000-0005-0000-0000-00000F600000}"/>
    <cellStyle name="Normal 5 2 2 2 4 7 4" xfId="31327" xr:uid="{00000000-0005-0000-0000-000010600000}"/>
    <cellStyle name="Normal 5 2 2 2 4 8" xfId="7210" xr:uid="{00000000-0005-0000-0000-000011600000}"/>
    <cellStyle name="Normal 5 2 2 2 4 8 2" xfId="19936" xr:uid="{00000000-0005-0000-0000-000012600000}"/>
    <cellStyle name="Normal 5 2 2 2 4 8 2 2" xfId="45489" xr:uid="{00000000-0005-0000-0000-000013600000}"/>
    <cellStyle name="Normal 5 2 2 2 4 8 3" xfId="32767" xr:uid="{00000000-0005-0000-0000-000014600000}"/>
    <cellStyle name="Normal 5 2 2 2 4 9" xfId="15956" xr:uid="{00000000-0005-0000-0000-000015600000}"/>
    <cellStyle name="Normal 5 2 2 2 4 9 2" xfId="41509" xr:uid="{00000000-0005-0000-0000-000016600000}"/>
    <cellStyle name="Normal 5 2 2 2 4_Degree data" xfId="3850" xr:uid="{00000000-0005-0000-0000-000017600000}"/>
    <cellStyle name="Normal 5 2 2 2 5" xfId="1762" xr:uid="{00000000-0005-0000-0000-000018600000}"/>
    <cellStyle name="Normal 5 2 2 2 5 2" xfId="11133" xr:uid="{00000000-0005-0000-0000-000019600000}"/>
    <cellStyle name="Normal 5 2 2 2 5 2 2" xfId="21137" xr:uid="{00000000-0005-0000-0000-00001A600000}"/>
    <cellStyle name="Normal 5 2 2 2 5 2 2 2" xfId="46690" xr:uid="{00000000-0005-0000-0000-00001B600000}"/>
    <cellStyle name="Normal 5 2 2 2 5 2 3" xfId="36688" xr:uid="{00000000-0005-0000-0000-00001C600000}"/>
    <cellStyle name="Normal 5 2 2 2 5 3" xfId="8595" xr:uid="{00000000-0005-0000-0000-00001D600000}"/>
    <cellStyle name="Normal 5 2 2 2 5 3 2" xfId="34152" xr:uid="{00000000-0005-0000-0000-00001E600000}"/>
    <cellStyle name="Normal 5 2 2 2 5 4" xfId="16130" xr:uid="{00000000-0005-0000-0000-00001F600000}"/>
    <cellStyle name="Normal 5 2 2 2 5 4 2" xfId="41683" xr:uid="{00000000-0005-0000-0000-000020600000}"/>
    <cellStyle name="Normal 5 2 2 2 5 5" xfId="27620" xr:uid="{00000000-0005-0000-0000-000021600000}"/>
    <cellStyle name="Normal 5 2 2 2 6" xfId="2659" xr:uid="{00000000-0005-0000-0000-000022600000}"/>
    <cellStyle name="Normal 5 2 2 2 6 2" xfId="11977" xr:uid="{00000000-0005-0000-0000-000023600000}"/>
    <cellStyle name="Normal 5 2 2 2 6 2 2" xfId="22020" xr:uid="{00000000-0005-0000-0000-000024600000}"/>
    <cellStyle name="Normal 5 2 2 2 6 2 2 2" xfId="47573" xr:uid="{00000000-0005-0000-0000-000025600000}"/>
    <cellStyle name="Normal 5 2 2 2 6 2 3" xfId="37532" xr:uid="{00000000-0005-0000-0000-000026600000}"/>
    <cellStyle name="Normal 5 2 2 2 6 3" xfId="8500" xr:uid="{00000000-0005-0000-0000-000027600000}"/>
    <cellStyle name="Normal 5 2 2 2 6 3 2" xfId="34057" xr:uid="{00000000-0005-0000-0000-000028600000}"/>
    <cellStyle name="Normal 5 2 2 2 6 4" xfId="17013" xr:uid="{00000000-0005-0000-0000-000029600000}"/>
    <cellStyle name="Normal 5 2 2 2 6 4 2" xfId="42566" xr:uid="{00000000-0005-0000-0000-00002A600000}"/>
    <cellStyle name="Normal 5 2 2 2 6 5" xfId="28503" xr:uid="{00000000-0005-0000-0000-00002B600000}"/>
    <cellStyle name="Normal 5 2 2 2 7" xfId="1386" xr:uid="{00000000-0005-0000-0000-00002C600000}"/>
    <cellStyle name="Normal 5 2 2 2 8" xfId="5493" xr:uid="{00000000-0005-0000-0000-00002D600000}"/>
    <cellStyle name="Normal 5 2 2 2 9" xfId="5491" xr:uid="{00000000-0005-0000-0000-00002E600000}"/>
    <cellStyle name="Normal 5 2 2 3" xfId="207" xr:uid="{00000000-0005-0000-0000-00002F600000}"/>
    <cellStyle name="Normal 5 2 2 3 10" xfId="7153" xr:uid="{00000000-0005-0000-0000-000030600000}"/>
    <cellStyle name="Normal 5 2 2 3 10 2" xfId="19662" xr:uid="{00000000-0005-0000-0000-000031600000}"/>
    <cellStyle name="Normal 5 2 2 3 10 2 2" xfId="45215" xr:uid="{00000000-0005-0000-0000-000032600000}"/>
    <cellStyle name="Normal 5 2 2 3 10 3" xfId="32710" xr:uid="{00000000-0005-0000-0000-000033600000}"/>
    <cellStyle name="Normal 5 2 2 3 11" xfId="15899" xr:uid="{00000000-0005-0000-0000-000034600000}"/>
    <cellStyle name="Normal 5 2 2 3 11 2" xfId="41452" xr:uid="{00000000-0005-0000-0000-000035600000}"/>
    <cellStyle name="Normal 5 2 2 3 12" xfId="26145" xr:uid="{00000000-0005-0000-0000-000036600000}"/>
    <cellStyle name="Normal 5 2 2 3 2" xfId="533" xr:uid="{00000000-0005-0000-0000-000037600000}"/>
    <cellStyle name="Normal 5 2 2 3 2 10" xfId="26462" xr:uid="{00000000-0005-0000-0000-000038600000}"/>
    <cellStyle name="Normal 5 2 2 3 2 2" xfId="788" xr:uid="{00000000-0005-0000-0000-000039600000}"/>
    <cellStyle name="Normal 5 2 2 3 2 2 2" xfId="3273" xr:uid="{00000000-0005-0000-0000-00003A600000}"/>
    <cellStyle name="Normal 5 2 2 3 2 2 2 2" xfId="12415" xr:uid="{00000000-0005-0000-0000-00003B600000}"/>
    <cellStyle name="Normal 5 2 2 3 2 2 2 2 2" xfId="22634" xr:uid="{00000000-0005-0000-0000-00003C600000}"/>
    <cellStyle name="Normal 5 2 2 3 2 2 2 2 2 2" xfId="48187" xr:uid="{00000000-0005-0000-0000-00003D600000}"/>
    <cellStyle name="Normal 5 2 2 3 2 2 2 2 3" xfId="37970" xr:uid="{00000000-0005-0000-0000-00003E600000}"/>
    <cellStyle name="Normal 5 2 2 3 2 2 2 3" xfId="8837" xr:uid="{00000000-0005-0000-0000-00003F600000}"/>
    <cellStyle name="Normal 5 2 2 3 2 2 2 3 2" xfId="34394" xr:uid="{00000000-0005-0000-0000-000040600000}"/>
    <cellStyle name="Normal 5 2 2 3 2 2 2 4" xfId="17627" xr:uid="{00000000-0005-0000-0000-000041600000}"/>
    <cellStyle name="Normal 5 2 2 3 2 2 2 4 2" xfId="43180" xr:uid="{00000000-0005-0000-0000-000042600000}"/>
    <cellStyle name="Normal 5 2 2 3 2 2 2 5" xfId="29117" xr:uid="{00000000-0005-0000-0000-000043600000}"/>
    <cellStyle name="Normal 5 2 2 3 2 2 3" xfId="4602" xr:uid="{00000000-0005-0000-0000-000044600000}"/>
    <cellStyle name="Normal 5 2 2 3 2 2 3 2" xfId="13440" xr:uid="{00000000-0005-0000-0000-000045600000}"/>
    <cellStyle name="Normal 5 2 2 3 2 2 3 2 2" xfId="23691" xr:uid="{00000000-0005-0000-0000-000046600000}"/>
    <cellStyle name="Normal 5 2 2 3 2 2 3 2 2 2" xfId="49244" xr:uid="{00000000-0005-0000-0000-000047600000}"/>
    <cellStyle name="Normal 5 2 2 3 2 2 3 2 3" xfId="38995" xr:uid="{00000000-0005-0000-0000-000048600000}"/>
    <cellStyle name="Normal 5 2 2 3 2 2 3 3" xfId="9861" xr:uid="{00000000-0005-0000-0000-000049600000}"/>
    <cellStyle name="Normal 5 2 2 3 2 2 3 3 2" xfId="35418" xr:uid="{00000000-0005-0000-0000-00004A600000}"/>
    <cellStyle name="Normal 5 2 2 3 2 2 3 4" xfId="18684" xr:uid="{00000000-0005-0000-0000-00004B600000}"/>
    <cellStyle name="Normal 5 2 2 3 2 2 3 4 2" xfId="44237" xr:uid="{00000000-0005-0000-0000-00004C600000}"/>
    <cellStyle name="Normal 5 2 2 3 2 2 3 5" xfId="30174" xr:uid="{00000000-0005-0000-0000-00004D600000}"/>
    <cellStyle name="Normal 5 2 2 3 2 2 4" xfId="2382" xr:uid="{00000000-0005-0000-0000-00004E600000}"/>
    <cellStyle name="Normal 5 2 2 3 2 2 4 2" xfId="11747" xr:uid="{00000000-0005-0000-0000-00004F600000}"/>
    <cellStyle name="Normal 5 2 2 3 2 2 4 2 2" xfId="37302" xr:uid="{00000000-0005-0000-0000-000050600000}"/>
    <cellStyle name="Normal 5 2 2 3 2 2 4 3" xfId="21751" xr:uid="{00000000-0005-0000-0000-000051600000}"/>
    <cellStyle name="Normal 5 2 2 3 2 2 4 3 2" xfId="47304" xr:uid="{00000000-0005-0000-0000-000052600000}"/>
    <cellStyle name="Normal 5 2 2 3 2 2 4 4" xfId="28234" xr:uid="{00000000-0005-0000-0000-000053600000}"/>
    <cellStyle name="Normal 5 2 2 3 2 2 5" xfId="6058" xr:uid="{00000000-0005-0000-0000-000054600000}"/>
    <cellStyle name="Normal 5 2 2 3 2 2 5 2" xfId="14885" xr:uid="{00000000-0005-0000-0000-000055600000}"/>
    <cellStyle name="Normal 5 2 2 3 2 2 5 2 2" xfId="40440" xr:uid="{00000000-0005-0000-0000-000056600000}"/>
    <cellStyle name="Normal 5 2 2 3 2 2 5 3" xfId="25136" xr:uid="{00000000-0005-0000-0000-000057600000}"/>
    <cellStyle name="Normal 5 2 2 3 2 2 5 3 2" xfId="50689" xr:uid="{00000000-0005-0000-0000-000058600000}"/>
    <cellStyle name="Normal 5 2 2 3 2 2 5 4" xfId="31619" xr:uid="{00000000-0005-0000-0000-000059600000}"/>
    <cellStyle name="Normal 5 2 2 3 2 2 6" xfId="7503" xr:uid="{00000000-0005-0000-0000-00005A600000}"/>
    <cellStyle name="Normal 5 2 2 3 2 2 6 2" xfId="20233" xr:uid="{00000000-0005-0000-0000-00005B600000}"/>
    <cellStyle name="Normal 5 2 2 3 2 2 6 2 2" xfId="45786" xr:uid="{00000000-0005-0000-0000-00005C600000}"/>
    <cellStyle name="Normal 5 2 2 3 2 2 6 3" xfId="33060" xr:uid="{00000000-0005-0000-0000-00005D600000}"/>
    <cellStyle name="Normal 5 2 2 3 2 2 7" xfId="16744" xr:uid="{00000000-0005-0000-0000-00005E600000}"/>
    <cellStyle name="Normal 5 2 2 3 2 2 7 2" xfId="42297" xr:uid="{00000000-0005-0000-0000-00005F600000}"/>
    <cellStyle name="Normal 5 2 2 3 2 2 8" xfId="26716" xr:uid="{00000000-0005-0000-0000-000060600000}"/>
    <cellStyle name="Normal 5 2 2 3 2 3" xfId="1305" xr:uid="{00000000-0005-0000-0000-000061600000}"/>
    <cellStyle name="Normal 5 2 2 3 2 3 2" xfId="3734" xr:uid="{00000000-0005-0000-0000-000062600000}"/>
    <cellStyle name="Normal 5 2 2 3 2 3 2 2" xfId="12870" xr:uid="{00000000-0005-0000-0000-000063600000}"/>
    <cellStyle name="Normal 5 2 2 3 2 3 2 2 2" xfId="23089" xr:uid="{00000000-0005-0000-0000-000064600000}"/>
    <cellStyle name="Normal 5 2 2 3 2 3 2 2 2 2" xfId="48642" xr:uid="{00000000-0005-0000-0000-000065600000}"/>
    <cellStyle name="Normal 5 2 2 3 2 3 2 2 3" xfId="38425" xr:uid="{00000000-0005-0000-0000-000066600000}"/>
    <cellStyle name="Normal 5 2 2 3 2 3 2 3" xfId="9291" xr:uid="{00000000-0005-0000-0000-000067600000}"/>
    <cellStyle name="Normal 5 2 2 3 2 3 2 3 2" xfId="34848" xr:uid="{00000000-0005-0000-0000-000068600000}"/>
    <cellStyle name="Normal 5 2 2 3 2 3 2 4" xfId="18082" xr:uid="{00000000-0005-0000-0000-000069600000}"/>
    <cellStyle name="Normal 5 2 2 3 2 3 2 4 2" xfId="43635" xr:uid="{00000000-0005-0000-0000-00006A600000}"/>
    <cellStyle name="Normal 5 2 2 3 2 3 2 5" xfId="29572" xr:uid="{00000000-0005-0000-0000-00006B600000}"/>
    <cellStyle name="Normal 5 2 2 3 2 3 3" xfId="4951" xr:uid="{00000000-0005-0000-0000-00006C600000}"/>
    <cellStyle name="Normal 5 2 2 3 2 3 3 2" xfId="13788" xr:uid="{00000000-0005-0000-0000-00006D600000}"/>
    <cellStyle name="Normal 5 2 2 3 2 3 3 2 2" xfId="24039" xr:uid="{00000000-0005-0000-0000-00006E600000}"/>
    <cellStyle name="Normal 5 2 2 3 2 3 3 2 2 2" xfId="49592" xr:uid="{00000000-0005-0000-0000-00006F600000}"/>
    <cellStyle name="Normal 5 2 2 3 2 3 3 2 3" xfId="39343" xr:uid="{00000000-0005-0000-0000-000070600000}"/>
    <cellStyle name="Normal 5 2 2 3 2 3 3 3" xfId="10209" xr:uid="{00000000-0005-0000-0000-000071600000}"/>
    <cellStyle name="Normal 5 2 2 3 2 3 3 3 2" xfId="35766" xr:uid="{00000000-0005-0000-0000-000072600000}"/>
    <cellStyle name="Normal 5 2 2 3 2 3 3 4" xfId="19032" xr:uid="{00000000-0005-0000-0000-000073600000}"/>
    <cellStyle name="Normal 5 2 2 3 2 3 3 4 2" xfId="44585" xr:uid="{00000000-0005-0000-0000-000074600000}"/>
    <cellStyle name="Normal 5 2 2 3 2 3 3 5" xfId="30522" xr:uid="{00000000-0005-0000-0000-000075600000}"/>
    <cellStyle name="Normal 5 2 2 3 2 3 4" xfId="2128" xr:uid="{00000000-0005-0000-0000-000076600000}"/>
    <cellStyle name="Normal 5 2 2 3 2 3 4 2" xfId="11493" xr:uid="{00000000-0005-0000-0000-000077600000}"/>
    <cellStyle name="Normal 5 2 2 3 2 3 4 2 2" xfId="37048" xr:uid="{00000000-0005-0000-0000-000078600000}"/>
    <cellStyle name="Normal 5 2 2 3 2 3 4 3" xfId="21497" xr:uid="{00000000-0005-0000-0000-000079600000}"/>
    <cellStyle name="Normal 5 2 2 3 2 3 4 3 2" xfId="47050" xr:uid="{00000000-0005-0000-0000-00007A600000}"/>
    <cellStyle name="Normal 5 2 2 3 2 3 4 4" xfId="27980" xr:uid="{00000000-0005-0000-0000-00007B600000}"/>
    <cellStyle name="Normal 5 2 2 3 2 3 5" xfId="6406" xr:uid="{00000000-0005-0000-0000-00007C600000}"/>
    <cellStyle name="Normal 5 2 2 3 2 3 5 2" xfId="15233" xr:uid="{00000000-0005-0000-0000-00007D600000}"/>
    <cellStyle name="Normal 5 2 2 3 2 3 5 2 2" xfId="40788" xr:uid="{00000000-0005-0000-0000-00007E600000}"/>
    <cellStyle name="Normal 5 2 2 3 2 3 5 3" xfId="25484" xr:uid="{00000000-0005-0000-0000-00007F600000}"/>
    <cellStyle name="Normal 5 2 2 3 2 3 5 3 2" xfId="51037" xr:uid="{00000000-0005-0000-0000-000080600000}"/>
    <cellStyle name="Normal 5 2 2 3 2 3 5 4" xfId="31967" xr:uid="{00000000-0005-0000-0000-000081600000}"/>
    <cellStyle name="Normal 5 2 2 3 2 3 6" xfId="7852" xr:uid="{00000000-0005-0000-0000-000082600000}"/>
    <cellStyle name="Normal 5 2 2 3 2 3 6 2" xfId="20688" xr:uid="{00000000-0005-0000-0000-000083600000}"/>
    <cellStyle name="Normal 5 2 2 3 2 3 6 2 2" xfId="46241" xr:uid="{00000000-0005-0000-0000-000084600000}"/>
    <cellStyle name="Normal 5 2 2 3 2 3 6 3" xfId="33409" xr:uid="{00000000-0005-0000-0000-000085600000}"/>
    <cellStyle name="Normal 5 2 2 3 2 3 7" xfId="16490" xr:uid="{00000000-0005-0000-0000-000086600000}"/>
    <cellStyle name="Normal 5 2 2 3 2 3 7 2" xfId="42043" xr:uid="{00000000-0005-0000-0000-000087600000}"/>
    <cellStyle name="Normal 5 2 2 3 2 3 8" xfId="27171" xr:uid="{00000000-0005-0000-0000-000088600000}"/>
    <cellStyle name="Normal 5 2 2 3 2 4" xfId="3019" xr:uid="{00000000-0005-0000-0000-000089600000}"/>
    <cellStyle name="Normal 5 2 2 3 2 4 2" xfId="5397" xr:uid="{00000000-0005-0000-0000-00008A600000}"/>
    <cellStyle name="Normal 5 2 2 3 2 4 2 2" xfId="14234" xr:uid="{00000000-0005-0000-0000-00008B600000}"/>
    <cellStyle name="Normal 5 2 2 3 2 4 2 2 2" xfId="24485" xr:uid="{00000000-0005-0000-0000-00008C600000}"/>
    <cellStyle name="Normal 5 2 2 3 2 4 2 2 2 2" xfId="50038" xr:uid="{00000000-0005-0000-0000-00008D600000}"/>
    <cellStyle name="Normal 5 2 2 3 2 4 2 2 3" xfId="39789" xr:uid="{00000000-0005-0000-0000-00008E600000}"/>
    <cellStyle name="Normal 5 2 2 3 2 4 2 3" xfId="10655" xr:uid="{00000000-0005-0000-0000-00008F600000}"/>
    <cellStyle name="Normal 5 2 2 3 2 4 2 3 2" xfId="36212" xr:uid="{00000000-0005-0000-0000-000090600000}"/>
    <cellStyle name="Normal 5 2 2 3 2 4 2 4" xfId="19478" xr:uid="{00000000-0005-0000-0000-000091600000}"/>
    <cellStyle name="Normal 5 2 2 3 2 4 2 4 2" xfId="45031" xr:uid="{00000000-0005-0000-0000-000092600000}"/>
    <cellStyle name="Normal 5 2 2 3 2 4 2 5" xfId="30968" xr:uid="{00000000-0005-0000-0000-000093600000}"/>
    <cellStyle name="Normal 5 2 2 3 2 4 3" xfId="6852" xr:uid="{00000000-0005-0000-0000-000094600000}"/>
    <cellStyle name="Normal 5 2 2 3 2 4 3 2" xfId="15679" xr:uid="{00000000-0005-0000-0000-000095600000}"/>
    <cellStyle name="Normal 5 2 2 3 2 4 3 2 2" xfId="41234" xr:uid="{00000000-0005-0000-0000-000096600000}"/>
    <cellStyle name="Normal 5 2 2 3 2 4 3 3" xfId="25930" xr:uid="{00000000-0005-0000-0000-000097600000}"/>
    <cellStyle name="Normal 5 2 2 3 2 4 3 3 2" xfId="51483" xr:uid="{00000000-0005-0000-0000-000098600000}"/>
    <cellStyle name="Normal 5 2 2 3 2 4 3 4" xfId="32413" xr:uid="{00000000-0005-0000-0000-000099600000}"/>
    <cellStyle name="Normal 5 2 2 3 2 4 4" xfId="8298" xr:uid="{00000000-0005-0000-0000-00009A600000}"/>
    <cellStyle name="Normal 5 2 2 3 2 4 4 2" xfId="22380" xr:uid="{00000000-0005-0000-0000-00009B600000}"/>
    <cellStyle name="Normal 5 2 2 3 2 4 4 2 2" xfId="47933" xr:uid="{00000000-0005-0000-0000-00009C600000}"/>
    <cellStyle name="Normal 5 2 2 3 2 4 4 3" xfId="33855" xr:uid="{00000000-0005-0000-0000-00009D600000}"/>
    <cellStyle name="Normal 5 2 2 3 2 4 5" xfId="17373" xr:uid="{00000000-0005-0000-0000-00009E600000}"/>
    <cellStyle name="Normal 5 2 2 3 2 4 5 2" xfId="42926" xr:uid="{00000000-0005-0000-0000-00009F600000}"/>
    <cellStyle name="Normal 5 2 2 3 2 4 6" xfId="28863" xr:uid="{00000000-0005-0000-0000-0000A0600000}"/>
    <cellStyle name="Normal 5 2 2 3 2 5" xfId="4353" xr:uid="{00000000-0005-0000-0000-0000A1600000}"/>
    <cellStyle name="Normal 5 2 2 3 2 5 2" xfId="13191" xr:uid="{00000000-0005-0000-0000-0000A2600000}"/>
    <cellStyle name="Normal 5 2 2 3 2 5 2 2" xfId="23442" xr:uid="{00000000-0005-0000-0000-0000A3600000}"/>
    <cellStyle name="Normal 5 2 2 3 2 5 2 2 2" xfId="48995" xr:uid="{00000000-0005-0000-0000-0000A4600000}"/>
    <cellStyle name="Normal 5 2 2 3 2 5 2 3" xfId="38746" xr:uid="{00000000-0005-0000-0000-0000A5600000}"/>
    <cellStyle name="Normal 5 2 2 3 2 5 3" xfId="9612" xr:uid="{00000000-0005-0000-0000-0000A6600000}"/>
    <cellStyle name="Normal 5 2 2 3 2 5 3 2" xfId="35169" xr:uid="{00000000-0005-0000-0000-0000A7600000}"/>
    <cellStyle name="Normal 5 2 2 3 2 5 4" xfId="18435" xr:uid="{00000000-0005-0000-0000-0000A8600000}"/>
    <cellStyle name="Normal 5 2 2 3 2 5 4 2" xfId="43988" xr:uid="{00000000-0005-0000-0000-0000A9600000}"/>
    <cellStyle name="Normal 5 2 2 3 2 5 5" xfId="29925" xr:uid="{00000000-0005-0000-0000-0000AA600000}"/>
    <cellStyle name="Normal 5 2 2 3 2 6" xfId="1625" xr:uid="{00000000-0005-0000-0000-0000AB600000}"/>
    <cellStyle name="Normal 5 2 2 3 2 6 2" xfId="11002" xr:uid="{00000000-0005-0000-0000-0000AC600000}"/>
    <cellStyle name="Normal 5 2 2 3 2 6 2 2" xfId="36557" xr:uid="{00000000-0005-0000-0000-0000AD600000}"/>
    <cellStyle name="Normal 5 2 2 3 2 6 3" xfId="21006" xr:uid="{00000000-0005-0000-0000-0000AE600000}"/>
    <cellStyle name="Normal 5 2 2 3 2 6 3 2" xfId="46559" xr:uid="{00000000-0005-0000-0000-0000AF600000}"/>
    <cellStyle name="Normal 5 2 2 3 2 6 4" xfId="27489" xr:uid="{00000000-0005-0000-0000-0000B0600000}"/>
    <cellStyle name="Normal 5 2 2 3 2 7" xfId="5809" xr:uid="{00000000-0005-0000-0000-0000B1600000}"/>
    <cellStyle name="Normal 5 2 2 3 2 7 2" xfId="14636" xr:uid="{00000000-0005-0000-0000-0000B2600000}"/>
    <cellStyle name="Normal 5 2 2 3 2 7 2 2" xfId="40191" xr:uid="{00000000-0005-0000-0000-0000B3600000}"/>
    <cellStyle name="Normal 5 2 2 3 2 7 3" xfId="24887" xr:uid="{00000000-0005-0000-0000-0000B4600000}"/>
    <cellStyle name="Normal 5 2 2 3 2 7 3 2" xfId="50440" xr:uid="{00000000-0005-0000-0000-0000B5600000}"/>
    <cellStyle name="Normal 5 2 2 3 2 7 4" xfId="31370" xr:uid="{00000000-0005-0000-0000-0000B6600000}"/>
    <cellStyle name="Normal 5 2 2 3 2 8" xfId="7253" xr:uid="{00000000-0005-0000-0000-0000B7600000}"/>
    <cellStyle name="Normal 5 2 2 3 2 8 2" xfId="19979" xr:uid="{00000000-0005-0000-0000-0000B8600000}"/>
    <cellStyle name="Normal 5 2 2 3 2 8 2 2" xfId="45532" xr:uid="{00000000-0005-0000-0000-0000B9600000}"/>
    <cellStyle name="Normal 5 2 2 3 2 8 3" xfId="32810" xr:uid="{00000000-0005-0000-0000-0000BA600000}"/>
    <cellStyle name="Normal 5 2 2 3 2 9" xfId="15999" xr:uid="{00000000-0005-0000-0000-0000BB600000}"/>
    <cellStyle name="Normal 5 2 2 3 2 9 2" xfId="41552" xr:uid="{00000000-0005-0000-0000-0000BC600000}"/>
    <cellStyle name="Normal 5 2 2 3 2_Degree data" xfId="3927" xr:uid="{00000000-0005-0000-0000-0000BD600000}"/>
    <cellStyle name="Normal 5 2 2 3 3" xfId="433" xr:uid="{00000000-0005-0000-0000-0000BE600000}"/>
    <cellStyle name="Normal 5 2 2 3 3 2" xfId="2919" xr:uid="{00000000-0005-0000-0000-0000BF600000}"/>
    <cellStyle name="Normal 5 2 2 3 3 2 2" xfId="12207" xr:uid="{00000000-0005-0000-0000-0000C0600000}"/>
    <cellStyle name="Normal 5 2 2 3 3 2 2 2" xfId="22280" xr:uid="{00000000-0005-0000-0000-0000C1600000}"/>
    <cellStyle name="Normal 5 2 2 3 3 2 2 2 2" xfId="47833" xr:uid="{00000000-0005-0000-0000-0000C2600000}"/>
    <cellStyle name="Normal 5 2 2 3 3 2 2 3" xfId="37762" xr:uid="{00000000-0005-0000-0000-0000C3600000}"/>
    <cellStyle name="Normal 5 2 2 3 3 2 3" xfId="8614" xr:uid="{00000000-0005-0000-0000-0000C4600000}"/>
    <cellStyle name="Normal 5 2 2 3 3 2 3 2" xfId="34171" xr:uid="{00000000-0005-0000-0000-0000C5600000}"/>
    <cellStyle name="Normal 5 2 2 3 3 2 4" xfId="17273" xr:uid="{00000000-0005-0000-0000-0000C6600000}"/>
    <cellStyle name="Normal 5 2 2 3 3 2 4 2" xfId="42826" xr:uid="{00000000-0005-0000-0000-0000C7600000}"/>
    <cellStyle name="Normal 5 2 2 3 3 2 5" xfId="28763" xr:uid="{00000000-0005-0000-0000-0000C8600000}"/>
    <cellStyle name="Normal 5 2 2 3 3 3" xfId="4601" xr:uid="{00000000-0005-0000-0000-0000C9600000}"/>
    <cellStyle name="Normal 5 2 2 3 3 3 2" xfId="13439" xr:uid="{00000000-0005-0000-0000-0000CA600000}"/>
    <cellStyle name="Normal 5 2 2 3 3 3 2 2" xfId="23690" xr:uid="{00000000-0005-0000-0000-0000CB600000}"/>
    <cellStyle name="Normal 5 2 2 3 3 3 2 2 2" xfId="49243" xr:uid="{00000000-0005-0000-0000-0000CC600000}"/>
    <cellStyle name="Normal 5 2 2 3 3 3 2 3" xfId="38994" xr:uid="{00000000-0005-0000-0000-0000CD600000}"/>
    <cellStyle name="Normal 5 2 2 3 3 3 3" xfId="9860" xr:uid="{00000000-0005-0000-0000-0000CE600000}"/>
    <cellStyle name="Normal 5 2 2 3 3 3 3 2" xfId="35417" xr:uid="{00000000-0005-0000-0000-0000CF600000}"/>
    <cellStyle name="Normal 5 2 2 3 3 3 4" xfId="18683" xr:uid="{00000000-0005-0000-0000-0000D0600000}"/>
    <cellStyle name="Normal 5 2 2 3 3 3 4 2" xfId="44236" xr:uid="{00000000-0005-0000-0000-0000D1600000}"/>
    <cellStyle name="Normal 5 2 2 3 3 3 5" xfId="30173" xr:uid="{00000000-0005-0000-0000-0000D2600000}"/>
    <cellStyle name="Normal 5 2 2 3 3 4" xfId="2028" xr:uid="{00000000-0005-0000-0000-0000D3600000}"/>
    <cellStyle name="Normal 5 2 2 3 3 4 2" xfId="11393" xr:uid="{00000000-0005-0000-0000-0000D4600000}"/>
    <cellStyle name="Normal 5 2 2 3 3 4 2 2" xfId="36948" xr:uid="{00000000-0005-0000-0000-0000D5600000}"/>
    <cellStyle name="Normal 5 2 2 3 3 4 3" xfId="21397" xr:uid="{00000000-0005-0000-0000-0000D6600000}"/>
    <cellStyle name="Normal 5 2 2 3 3 4 3 2" xfId="46950" xr:uid="{00000000-0005-0000-0000-0000D7600000}"/>
    <cellStyle name="Normal 5 2 2 3 3 4 4" xfId="27880" xr:uid="{00000000-0005-0000-0000-0000D8600000}"/>
    <cellStyle name="Normal 5 2 2 3 3 5" xfId="6057" xr:uid="{00000000-0005-0000-0000-0000D9600000}"/>
    <cellStyle name="Normal 5 2 2 3 3 5 2" xfId="14884" xr:uid="{00000000-0005-0000-0000-0000DA600000}"/>
    <cellStyle name="Normal 5 2 2 3 3 5 2 2" xfId="40439" xr:uid="{00000000-0005-0000-0000-0000DB600000}"/>
    <cellStyle name="Normal 5 2 2 3 3 5 3" xfId="25135" xr:uid="{00000000-0005-0000-0000-0000DC600000}"/>
    <cellStyle name="Normal 5 2 2 3 3 5 3 2" xfId="50688" xr:uid="{00000000-0005-0000-0000-0000DD600000}"/>
    <cellStyle name="Normal 5 2 2 3 3 5 4" xfId="31618" xr:uid="{00000000-0005-0000-0000-0000DE600000}"/>
    <cellStyle name="Normal 5 2 2 3 3 6" xfId="7502" xr:uid="{00000000-0005-0000-0000-0000DF600000}"/>
    <cellStyle name="Normal 5 2 2 3 3 6 2" xfId="19879" xr:uid="{00000000-0005-0000-0000-0000E0600000}"/>
    <cellStyle name="Normal 5 2 2 3 3 6 2 2" xfId="45432" xr:uid="{00000000-0005-0000-0000-0000E1600000}"/>
    <cellStyle name="Normal 5 2 2 3 3 6 3" xfId="33059" xr:uid="{00000000-0005-0000-0000-0000E2600000}"/>
    <cellStyle name="Normal 5 2 2 3 3 7" xfId="16390" xr:uid="{00000000-0005-0000-0000-0000E3600000}"/>
    <cellStyle name="Normal 5 2 2 3 3 7 2" xfId="41943" xr:uid="{00000000-0005-0000-0000-0000E4600000}"/>
    <cellStyle name="Normal 5 2 2 3 3 8" xfId="26362" xr:uid="{00000000-0005-0000-0000-0000E5600000}"/>
    <cellStyle name="Normal 5 2 2 3 4" xfId="787" xr:uid="{00000000-0005-0000-0000-0000E6600000}"/>
    <cellStyle name="Normal 5 2 2 3 4 2" xfId="3272" xr:uid="{00000000-0005-0000-0000-0000E7600000}"/>
    <cellStyle name="Normal 5 2 2 3 4 2 2" xfId="12414" xr:uid="{00000000-0005-0000-0000-0000E8600000}"/>
    <cellStyle name="Normal 5 2 2 3 4 2 2 2" xfId="22633" xr:uid="{00000000-0005-0000-0000-0000E9600000}"/>
    <cellStyle name="Normal 5 2 2 3 4 2 2 2 2" xfId="48186" xr:uid="{00000000-0005-0000-0000-0000EA600000}"/>
    <cellStyle name="Normal 5 2 2 3 4 2 2 3" xfId="37969" xr:uid="{00000000-0005-0000-0000-0000EB600000}"/>
    <cellStyle name="Normal 5 2 2 3 4 2 3" xfId="8836" xr:uid="{00000000-0005-0000-0000-0000EC600000}"/>
    <cellStyle name="Normal 5 2 2 3 4 2 3 2" xfId="34393" xr:uid="{00000000-0005-0000-0000-0000ED600000}"/>
    <cellStyle name="Normal 5 2 2 3 4 2 4" xfId="17626" xr:uid="{00000000-0005-0000-0000-0000EE600000}"/>
    <cellStyle name="Normal 5 2 2 3 4 2 4 2" xfId="43179" xr:uid="{00000000-0005-0000-0000-0000EF600000}"/>
    <cellStyle name="Normal 5 2 2 3 4 2 5" xfId="29116" xr:uid="{00000000-0005-0000-0000-0000F0600000}"/>
    <cellStyle name="Normal 5 2 2 3 4 3" xfId="4950" xr:uid="{00000000-0005-0000-0000-0000F1600000}"/>
    <cellStyle name="Normal 5 2 2 3 4 3 2" xfId="13787" xr:uid="{00000000-0005-0000-0000-0000F2600000}"/>
    <cellStyle name="Normal 5 2 2 3 4 3 2 2" xfId="24038" xr:uid="{00000000-0005-0000-0000-0000F3600000}"/>
    <cellStyle name="Normal 5 2 2 3 4 3 2 2 2" xfId="49591" xr:uid="{00000000-0005-0000-0000-0000F4600000}"/>
    <cellStyle name="Normal 5 2 2 3 4 3 2 3" xfId="39342" xr:uid="{00000000-0005-0000-0000-0000F5600000}"/>
    <cellStyle name="Normal 5 2 2 3 4 3 3" xfId="10208" xr:uid="{00000000-0005-0000-0000-0000F6600000}"/>
    <cellStyle name="Normal 5 2 2 3 4 3 3 2" xfId="35765" xr:uid="{00000000-0005-0000-0000-0000F7600000}"/>
    <cellStyle name="Normal 5 2 2 3 4 3 4" xfId="19031" xr:uid="{00000000-0005-0000-0000-0000F8600000}"/>
    <cellStyle name="Normal 5 2 2 3 4 3 4 2" xfId="44584" xr:uid="{00000000-0005-0000-0000-0000F9600000}"/>
    <cellStyle name="Normal 5 2 2 3 4 3 5" xfId="30521" xr:uid="{00000000-0005-0000-0000-0000FA600000}"/>
    <cellStyle name="Normal 5 2 2 3 4 4" xfId="2381" xr:uid="{00000000-0005-0000-0000-0000FB600000}"/>
    <cellStyle name="Normal 5 2 2 3 4 4 2" xfId="11746" xr:uid="{00000000-0005-0000-0000-0000FC600000}"/>
    <cellStyle name="Normal 5 2 2 3 4 4 2 2" xfId="37301" xr:uid="{00000000-0005-0000-0000-0000FD600000}"/>
    <cellStyle name="Normal 5 2 2 3 4 4 3" xfId="21750" xr:uid="{00000000-0005-0000-0000-0000FE600000}"/>
    <cellStyle name="Normal 5 2 2 3 4 4 3 2" xfId="47303" xr:uid="{00000000-0005-0000-0000-0000FF600000}"/>
    <cellStyle name="Normal 5 2 2 3 4 4 4" xfId="28233" xr:uid="{00000000-0005-0000-0000-000000610000}"/>
    <cellStyle name="Normal 5 2 2 3 4 5" xfId="6405" xr:uid="{00000000-0005-0000-0000-000001610000}"/>
    <cellStyle name="Normal 5 2 2 3 4 5 2" xfId="15232" xr:uid="{00000000-0005-0000-0000-000002610000}"/>
    <cellStyle name="Normal 5 2 2 3 4 5 2 2" xfId="40787" xr:uid="{00000000-0005-0000-0000-000003610000}"/>
    <cellStyle name="Normal 5 2 2 3 4 5 3" xfId="25483" xr:uid="{00000000-0005-0000-0000-000004610000}"/>
    <cellStyle name="Normal 5 2 2 3 4 5 3 2" xfId="51036" xr:uid="{00000000-0005-0000-0000-000005610000}"/>
    <cellStyle name="Normal 5 2 2 3 4 5 4" xfId="31966" xr:uid="{00000000-0005-0000-0000-000006610000}"/>
    <cellStyle name="Normal 5 2 2 3 4 6" xfId="7851" xr:uid="{00000000-0005-0000-0000-000007610000}"/>
    <cellStyle name="Normal 5 2 2 3 4 6 2" xfId="20232" xr:uid="{00000000-0005-0000-0000-000008610000}"/>
    <cellStyle name="Normal 5 2 2 3 4 6 2 2" xfId="45785" xr:uid="{00000000-0005-0000-0000-000009610000}"/>
    <cellStyle name="Normal 5 2 2 3 4 6 3" xfId="33408" xr:uid="{00000000-0005-0000-0000-00000A610000}"/>
    <cellStyle name="Normal 5 2 2 3 4 7" xfId="16743" xr:uid="{00000000-0005-0000-0000-00000B610000}"/>
    <cellStyle name="Normal 5 2 2 3 4 7 2" xfId="42296" xr:uid="{00000000-0005-0000-0000-00000C610000}"/>
    <cellStyle name="Normal 5 2 2 3 4 8" xfId="26715" xr:uid="{00000000-0005-0000-0000-00000D610000}"/>
    <cellStyle name="Normal 5 2 2 3 5" xfId="1205" xr:uid="{00000000-0005-0000-0000-00000E610000}"/>
    <cellStyle name="Normal 5 2 2 3 5 2" xfId="3634" xr:uid="{00000000-0005-0000-0000-00000F610000}"/>
    <cellStyle name="Normal 5 2 2 3 5 2 2" xfId="12770" xr:uid="{00000000-0005-0000-0000-000010610000}"/>
    <cellStyle name="Normal 5 2 2 3 5 2 2 2" xfId="22989" xr:uid="{00000000-0005-0000-0000-000011610000}"/>
    <cellStyle name="Normal 5 2 2 3 5 2 2 2 2" xfId="48542" xr:uid="{00000000-0005-0000-0000-000012610000}"/>
    <cellStyle name="Normal 5 2 2 3 5 2 2 3" xfId="38325" xr:uid="{00000000-0005-0000-0000-000013610000}"/>
    <cellStyle name="Normal 5 2 2 3 5 2 3" xfId="9191" xr:uid="{00000000-0005-0000-0000-000014610000}"/>
    <cellStyle name="Normal 5 2 2 3 5 2 3 2" xfId="34748" xr:uid="{00000000-0005-0000-0000-000015610000}"/>
    <cellStyle name="Normal 5 2 2 3 5 2 4" xfId="17982" xr:uid="{00000000-0005-0000-0000-000016610000}"/>
    <cellStyle name="Normal 5 2 2 3 5 2 4 2" xfId="43535" xr:uid="{00000000-0005-0000-0000-000017610000}"/>
    <cellStyle name="Normal 5 2 2 3 5 2 5" xfId="29472" xr:uid="{00000000-0005-0000-0000-000018610000}"/>
    <cellStyle name="Normal 5 2 2 3 5 3" xfId="5297" xr:uid="{00000000-0005-0000-0000-000019610000}"/>
    <cellStyle name="Normal 5 2 2 3 5 3 2" xfId="14134" xr:uid="{00000000-0005-0000-0000-00001A610000}"/>
    <cellStyle name="Normal 5 2 2 3 5 3 2 2" xfId="24385" xr:uid="{00000000-0005-0000-0000-00001B610000}"/>
    <cellStyle name="Normal 5 2 2 3 5 3 2 2 2" xfId="49938" xr:uid="{00000000-0005-0000-0000-00001C610000}"/>
    <cellStyle name="Normal 5 2 2 3 5 3 2 3" xfId="39689" xr:uid="{00000000-0005-0000-0000-00001D610000}"/>
    <cellStyle name="Normal 5 2 2 3 5 3 3" xfId="10555" xr:uid="{00000000-0005-0000-0000-00001E610000}"/>
    <cellStyle name="Normal 5 2 2 3 5 3 3 2" xfId="36112" xr:uid="{00000000-0005-0000-0000-00001F610000}"/>
    <cellStyle name="Normal 5 2 2 3 5 3 4" xfId="19378" xr:uid="{00000000-0005-0000-0000-000020610000}"/>
    <cellStyle name="Normal 5 2 2 3 5 3 4 2" xfId="44931" xr:uid="{00000000-0005-0000-0000-000021610000}"/>
    <cellStyle name="Normal 5 2 2 3 5 3 5" xfId="30868" xr:uid="{00000000-0005-0000-0000-000022610000}"/>
    <cellStyle name="Normal 5 2 2 3 5 4" xfId="1808" xr:uid="{00000000-0005-0000-0000-000023610000}"/>
    <cellStyle name="Normal 5 2 2 3 5 4 2" xfId="11176" xr:uid="{00000000-0005-0000-0000-000024610000}"/>
    <cellStyle name="Normal 5 2 2 3 5 4 2 2" xfId="36731" xr:uid="{00000000-0005-0000-0000-000025610000}"/>
    <cellStyle name="Normal 5 2 2 3 5 4 3" xfId="21180" xr:uid="{00000000-0005-0000-0000-000026610000}"/>
    <cellStyle name="Normal 5 2 2 3 5 4 3 2" xfId="46733" xr:uid="{00000000-0005-0000-0000-000027610000}"/>
    <cellStyle name="Normal 5 2 2 3 5 4 4" xfId="27663" xr:uid="{00000000-0005-0000-0000-000028610000}"/>
    <cellStyle name="Normal 5 2 2 3 5 5" xfId="6752" xr:uid="{00000000-0005-0000-0000-000029610000}"/>
    <cellStyle name="Normal 5 2 2 3 5 5 2" xfId="15579" xr:uid="{00000000-0005-0000-0000-00002A610000}"/>
    <cellStyle name="Normal 5 2 2 3 5 5 2 2" xfId="41134" xr:uid="{00000000-0005-0000-0000-00002B610000}"/>
    <cellStyle name="Normal 5 2 2 3 5 5 3" xfId="25830" xr:uid="{00000000-0005-0000-0000-00002C610000}"/>
    <cellStyle name="Normal 5 2 2 3 5 5 3 2" xfId="51383" xr:uid="{00000000-0005-0000-0000-00002D610000}"/>
    <cellStyle name="Normal 5 2 2 3 5 5 4" xfId="32313" xr:uid="{00000000-0005-0000-0000-00002E610000}"/>
    <cellStyle name="Normal 5 2 2 3 5 6" xfId="8198" xr:uid="{00000000-0005-0000-0000-00002F610000}"/>
    <cellStyle name="Normal 5 2 2 3 5 6 2" xfId="20588" xr:uid="{00000000-0005-0000-0000-000030610000}"/>
    <cellStyle name="Normal 5 2 2 3 5 6 2 2" xfId="46141" xr:uid="{00000000-0005-0000-0000-000031610000}"/>
    <cellStyle name="Normal 5 2 2 3 5 6 3" xfId="33755" xr:uid="{00000000-0005-0000-0000-000032610000}"/>
    <cellStyle name="Normal 5 2 2 3 5 7" xfId="16173" xr:uid="{00000000-0005-0000-0000-000033610000}"/>
    <cellStyle name="Normal 5 2 2 3 5 7 2" xfId="41726" xr:uid="{00000000-0005-0000-0000-000034610000}"/>
    <cellStyle name="Normal 5 2 2 3 5 8" xfId="27071" xr:uid="{00000000-0005-0000-0000-000035610000}"/>
    <cellStyle name="Normal 5 2 2 3 6" xfId="2702" xr:uid="{00000000-0005-0000-0000-000036610000}"/>
    <cellStyle name="Normal 5 2 2 3 6 2" xfId="12019" xr:uid="{00000000-0005-0000-0000-000037610000}"/>
    <cellStyle name="Normal 5 2 2 3 6 2 2" xfId="22063" xr:uid="{00000000-0005-0000-0000-000038610000}"/>
    <cellStyle name="Normal 5 2 2 3 6 2 2 2" xfId="47616" xr:uid="{00000000-0005-0000-0000-000039610000}"/>
    <cellStyle name="Normal 5 2 2 3 6 2 3" xfId="37574" xr:uid="{00000000-0005-0000-0000-00003A610000}"/>
    <cellStyle name="Normal 5 2 2 3 6 3" xfId="6967" xr:uid="{00000000-0005-0000-0000-00003B610000}"/>
    <cellStyle name="Normal 5 2 2 3 6 3 2" xfId="32525" xr:uid="{00000000-0005-0000-0000-00003C610000}"/>
    <cellStyle name="Normal 5 2 2 3 6 4" xfId="17056" xr:uid="{00000000-0005-0000-0000-00003D610000}"/>
    <cellStyle name="Normal 5 2 2 3 6 4 2" xfId="42609" xr:uid="{00000000-0005-0000-0000-00003E610000}"/>
    <cellStyle name="Normal 5 2 2 3 6 5" xfId="28546" xr:uid="{00000000-0005-0000-0000-00003F610000}"/>
    <cellStyle name="Normal 5 2 2 3 7" xfId="4253" xr:uid="{00000000-0005-0000-0000-000040610000}"/>
    <cellStyle name="Normal 5 2 2 3 7 2" xfId="13091" xr:uid="{00000000-0005-0000-0000-000041610000}"/>
    <cellStyle name="Normal 5 2 2 3 7 2 2" xfId="23342" xr:uid="{00000000-0005-0000-0000-000042610000}"/>
    <cellStyle name="Normal 5 2 2 3 7 2 2 2" xfId="48895" xr:uid="{00000000-0005-0000-0000-000043610000}"/>
    <cellStyle name="Normal 5 2 2 3 7 2 3" xfId="38646" xr:uid="{00000000-0005-0000-0000-000044610000}"/>
    <cellStyle name="Normal 5 2 2 3 7 3" xfId="9512" xr:uid="{00000000-0005-0000-0000-000045610000}"/>
    <cellStyle name="Normal 5 2 2 3 7 3 2" xfId="35069" xr:uid="{00000000-0005-0000-0000-000046610000}"/>
    <cellStyle name="Normal 5 2 2 3 7 4" xfId="18335" xr:uid="{00000000-0005-0000-0000-000047610000}"/>
    <cellStyle name="Normal 5 2 2 3 7 4 2" xfId="43888" xr:uid="{00000000-0005-0000-0000-000048610000}"/>
    <cellStyle name="Normal 5 2 2 3 7 5" xfId="29825" xr:uid="{00000000-0005-0000-0000-000049610000}"/>
    <cellStyle name="Normal 5 2 2 3 8" xfId="1525" xr:uid="{00000000-0005-0000-0000-00004A610000}"/>
    <cellStyle name="Normal 5 2 2 3 8 2" xfId="10902" xr:uid="{00000000-0005-0000-0000-00004B610000}"/>
    <cellStyle name="Normal 5 2 2 3 8 2 2" xfId="36457" xr:uid="{00000000-0005-0000-0000-00004C610000}"/>
    <cellStyle name="Normal 5 2 2 3 8 3" xfId="20906" xr:uid="{00000000-0005-0000-0000-00004D610000}"/>
    <cellStyle name="Normal 5 2 2 3 8 3 2" xfId="46459" xr:uid="{00000000-0005-0000-0000-00004E610000}"/>
    <cellStyle name="Normal 5 2 2 3 8 4" xfId="27389" xr:uid="{00000000-0005-0000-0000-00004F610000}"/>
    <cellStyle name="Normal 5 2 2 3 9" xfId="5709" xr:uid="{00000000-0005-0000-0000-000050610000}"/>
    <cellStyle name="Normal 5 2 2 3 9 2" xfId="14536" xr:uid="{00000000-0005-0000-0000-000051610000}"/>
    <cellStyle name="Normal 5 2 2 3 9 2 2" xfId="40091" xr:uid="{00000000-0005-0000-0000-000052610000}"/>
    <cellStyle name="Normal 5 2 2 3 9 3" xfId="24787" xr:uid="{00000000-0005-0000-0000-000053610000}"/>
    <cellStyle name="Normal 5 2 2 3 9 3 2" xfId="50340" xr:uid="{00000000-0005-0000-0000-000054610000}"/>
    <cellStyle name="Normal 5 2 2 3 9 4" xfId="31270" xr:uid="{00000000-0005-0000-0000-000055610000}"/>
    <cellStyle name="Normal 5 2 2 3_Degree data" xfId="3928" xr:uid="{00000000-0005-0000-0000-000056610000}"/>
    <cellStyle name="Normal 5 2 2 4" xfId="333" xr:uid="{00000000-0005-0000-0000-000057610000}"/>
    <cellStyle name="Normal 5 2 2 4 10" xfId="26262" xr:uid="{00000000-0005-0000-0000-000058610000}"/>
    <cellStyle name="Normal 5 2 2 4 2" xfId="789" xr:uid="{00000000-0005-0000-0000-000059610000}"/>
    <cellStyle name="Normal 5 2 2 4 2 2" xfId="3274" xr:uid="{00000000-0005-0000-0000-00005A610000}"/>
    <cellStyle name="Normal 5 2 2 4 2 2 2" xfId="12416" xr:uid="{00000000-0005-0000-0000-00005B610000}"/>
    <cellStyle name="Normal 5 2 2 4 2 2 2 2" xfId="22635" xr:uid="{00000000-0005-0000-0000-00005C610000}"/>
    <cellStyle name="Normal 5 2 2 4 2 2 2 2 2" xfId="48188" xr:uid="{00000000-0005-0000-0000-00005D610000}"/>
    <cellStyle name="Normal 5 2 2 4 2 2 2 3" xfId="37971" xr:uid="{00000000-0005-0000-0000-00005E610000}"/>
    <cellStyle name="Normal 5 2 2 4 2 2 3" xfId="8838" xr:uid="{00000000-0005-0000-0000-00005F610000}"/>
    <cellStyle name="Normal 5 2 2 4 2 2 3 2" xfId="34395" xr:uid="{00000000-0005-0000-0000-000060610000}"/>
    <cellStyle name="Normal 5 2 2 4 2 2 4" xfId="17628" xr:uid="{00000000-0005-0000-0000-000061610000}"/>
    <cellStyle name="Normal 5 2 2 4 2 2 4 2" xfId="43181" xr:uid="{00000000-0005-0000-0000-000062610000}"/>
    <cellStyle name="Normal 5 2 2 4 2 2 5" xfId="29118" xr:uid="{00000000-0005-0000-0000-000063610000}"/>
    <cellStyle name="Normal 5 2 2 4 2 3" xfId="4603" xr:uid="{00000000-0005-0000-0000-000064610000}"/>
    <cellStyle name="Normal 5 2 2 4 2 3 2" xfId="13441" xr:uid="{00000000-0005-0000-0000-000065610000}"/>
    <cellStyle name="Normal 5 2 2 4 2 3 2 2" xfId="23692" xr:uid="{00000000-0005-0000-0000-000066610000}"/>
    <cellStyle name="Normal 5 2 2 4 2 3 2 2 2" xfId="49245" xr:uid="{00000000-0005-0000-0000-000067610000}"/>
    <cellStyle name="Normal 5 2 2 4 2 3 2 3" xfId="38996" xr:uid="{00000000-0005-0000-0000-000068610000}"/>
    <cellStyle name="Normal 5 2 2 4 2 3 3" xfId="9862" xr:uid="{00000000-0005-0000-0000-000069610000}"/>
    <cellStyle name="Normal 5 2 2 4 2 3 3 2" xfId="35419" xr:uid="{00000000-0005-0000-0000-00006A610000}"/>
    <cellStyle name="Normal 5 2 2 4 2 3 4" xfId="18685" xr:uid="{00000000-0005-0000-0000-00006B610000}"/>
    <cellStyle name="Normal 5 2 2 4 2 3 4 2" xfId="44238" xr:uid="{00000000-0005-0000-0000-00006C610000}"/>
    <cellStyle name="Normal 5 2 2 4 2 3 5" xfId="30175" xr:uid="{00000000-0005-0000-0000-00006D610000}"/>
    <cellStyle name="Normal 5 2 2 4 2 4" xfId="2383" xr:uid="{00000000-0005-0000-0000-00006E610000}"/>
    <cellStyle name="Normal 5 2 2 4 2 4 2" xfId="11748" xr:uid="{00000000-0005-0000-0000-00006F610000}"/>
    <cellStyle name="Normal 5 2 2 4 2 4 2 2" xfId="37303" xr:uid="{00000000-0005-0000-0000-000070610000}"/>
    <cellStyle name="Normal 5 2 2 4 2 4 3" xfId="21752" xr:uid="{00000000-0005-0000-0000-000071610000}"/>
    <cellStyle name="Normal 5 2 2 4 2 4 3 2" xfId="47305" xr:uid="{00000000-0005-0000-0000-000072610000}"/>
    <cellStyle name="Normal 5 2 2 4 2 4 4" xfId="28235" xr:uid="{00000000-0005-0000-0000-000073610000}"/>
    <cellStyle name="Normal 5 2 2 4 2 5" xfId="6059" xr:uid="{00000000-0005-0000-0000-000074610000}"/>
    <cellStyle name="Normal 5 2 2 4 2 5 2" xfId="14886" xr:uid="{00000000-0005-0000-0000-000075610000}"/>
    <cellStyle name="Normal 5 2 2 4 2 5 2 2" xfId="40441" xr:uid="{00000000-0005-0000-0000-000076610000}"/>
    <cellStyle name="Normal 5 2 2 4 2 5 3" xfId="25137" xr:uid="{00000000-0005-0000-0000-000077610000}"/>
    <cellStyle name="Normal 5 2 2 4 2 5 3 2" xfId="50690" xr:uid="{00000000-0005-0000-0000-000078610000}"/>
    <cellStyle name="Normal 5 2 2 4 2 5 4" xfId="31620" xr:uid="{00000000-0005-0000-0000-000079610000}"/>
    <cellStyle name="Normal 5 2 2 4 2 6" xfId="7504" xr:uid="{00000000-0005-0000-0000-00007A610000}"/>
    <cellStyle name="Normal 5 2 2 4 2 6 2" xfId="20234" xr:uid="{00000000-0005-0000-0000-00007B610000}"/>
    <cellStyle name="Normal 5 2 2 4 2 6 2 2" xfId="45787" xr:uid="{00000000-0005-0000-0000-00007C610000}"/>
    <cellStyle name="Normal 5 2 2 4 2 6 3" xfId="33061" xr:uid="{00000000-0005-0000-0000-00007D610000}"/>
    <cellStyle name="Normal 5 2 2 4 2 7" xfId="16745" xr:uid="{00000000-0005-0000-0000-00007E610000}"/>
    <cellStyle name="Normal 5 2 2 4 2 7 2" xfId="42298" xr:uid="{00000000-0005-0000-0000-00007F610000}"/>
    <cellStyle name="Normal 5 2 2 4 2 8" xfId="26717" xr:uid="{00000000-0005-0000-0000-000080610000}"/>
    <cellStyle name="Normal 5 2 2 4 3" xfId="1105" xr:uid="{00000000-0005-0000-0000-000081610000}"/>
    <cellStyle name="Normal 5 2 2 4 3 2" xfId="3534" xr:uid="{00000000-0005-0000-0000-000082610000}"/>
    <cellStyle name="Normal 5 2 2 4 3 2 2" xfId="12670" xr:uid="{00000000-0005-0000-0000-000083610000}"/>
    <cellStyle name="Normal 5 2 2 4 3 2 2 2" xfId="22889" xr:uid="{00000000-0005-0000-0000-000084610000}"/>
    <cellStyle name="Normal 5 2 2 4 3 2 2 2 2" xfId="48442" xr:uid="{00000000-0005-0000-0000-000085610000}"/>
    <cellStyle name="Normal 5 2 2 4 3 2 2 3" xfId="38225" xr:uid="{00000000-0005-0000-0000-000086610000}"/>
    <cellStyle name="Normal 5 2 2 4 3 2 3" xfId="9091" xr:uid="{00000000-0005-0000-0000-000087610000}"/>
    <cellStyle name="Normal 5 2 2 4 3 2 3 2" xfId="34648" xr:uid="{00000000-0005-0000-0000-000088610000}"/>
    <cellStyle name="Normal 5 2 2 4 3 2 4" xfId="17882" xr:uid="{00000000-0005-0000-0000-000089610000}"/>
    <cellStyle name="Normal 5 2 2 4 3 2 4 2" xfId="43435" xr:uid="{00000000-0005-0000-0000-00008A610000}"/>
    <cellStyle name="Normal 5 2 2 4 3 2 5" xfId="29372" xr:uid="{00000000-0005-0000-0000-00008B610000}"/>
    <cellStyle name="Normal 5 2 2 4 3 3" xfId="4952" xr:uid="{00000000-0005-0000-0000-00008C610000}"/>
    <cellStyle name="Normal 5 2 2 4 3 3 2" xfId="13789" xr:uid="{00000000-0005-0000-0000-00008D610000}"/>
    <cellStyle name="Normal 5 2 2 4 3 3 2 2" xfId="24040" xr:uid="{00000000-0005-0000-0000-00008E610000}"/>
    <cellStyle name="Normal 5 2 2 4 3 3 2 2 2" xfId="49593" xr:uid="{00000000-0005-0000-0000-00008F610000}"/>
    <cellStyle name="Normal 5 2 2 4 3 3 2 3" xfId="39344" xr:uid="{00000000-0005-0000-0000-000090610000}"/>
    <cellStyle name="Normal 5 2 2 4 3 3 3" xfId="10210" xr:uid="{00000000-0005-0000-0000-000091610000}"/>
    <cellStyle name="Normal 5 2 2 4 3 3 3 2" xfId="35767" xr:uid="{00000000-0005-0000-0000-000092610000}"/>
    <cellStyle name="Normal 5 2 2 4 3 3 4" xfId="19033" xr:uid="{00000000-0005-0000-0000-000093610000}"/>
    <cellStyle name="Normal 5 2 2 4 3 3 4 2" xfId="44586" xr:uid="{00000000-0005-0000-0000-000094610000}"/>
    <cellStyle name="Normal 5 2 2 4 3 3 5" xfId="30523" xr:uid="{00000000-0005-0000-0000-000095610000}"/>
    <cellStyle name="Normal 5 2 2 4 3 4" xfId="2577" xr:uid="{00000000-0005-0000-0000-000096610000}"/>
    <cellStyle name="Normal 5 2 2 4 3 4 2" xfId="11941" xr:uid="{00000000-0005-0000-0000-000097610000}"/>
    <cellStyle name="Normal 5 2 2 4 3 4 2 2" xfId="37496" xr:uid="{00000000-0005-0000-0000-000098610000}"/>
    <cellStyle name="Normal 5 2 2 4 3 4 3" xfId="21945" xr:uid="{00000000-0005-0000-0000-000099610000}"/>
    <cellStyle name="Normal 5 2 2 4 3 4 3 2" xfId="47498" xr:uid="{00000000-0005-0000-0000-00009A610000}"/>
    <cellStyle name="Normal 5 2 2 4 3 4 4" xfId="28428" xr:uid="{00000000-0005-0000-0000-00009B610000}"/>
    <cellStyle name="Normal 5 2 2 4 3 5" xfId="6407" xr:uid="{00000000-0005-0000-0000-00009C610000}"/>
    <cellStyle name="Normal 5 2 2 4 3 5 2" xfId="15234" xr:uid="{00000000-0005-0000-0000-00009D610000}"/>
    <cellStyle name="Normal 5 2 2 4 3 5 2 2" xfId="40789" xr:uid="{00000000-0005-0000-0000-00009E610000}"/>
    <cellStyle name="Normal 5 2 2 4 3 5 3" xfId="25485" xr:uid="{00000000-0005-0000-0000-00009F610000}"/>
    <cellStyle name="Normal 5 2 2 4 3 5 3 2" xfId="51038" xr:uid="{00000000-0005-0000-0000-0000A0610000}"/>
    <cellStyle name="Normal 5 2 2 4 3 5 4" xfId="31968" xr:uid="{00000000-0005-0000-0000-0000A1610000}"/>
    <cellStyle name="Normal 5 2 2 4 3 6" xfId="7853" xr:uid="{00000000-0005-0000-0000-0000A2610000}"/>
    <cellStyle name="Normal 5 2 2 4 3 6 2" xfId="20488" xr:uid="{00000000-0005-0000-0000-0000A3610000}"/>
    <cellStyle name="Normal 5 2 2 4 3 6 2 2" xfId="46041" xr:uid="{00000000-0005-0000-0000-0000A4610000}"/>
    <cellStyle name="Normal 5 2 2 4 3 6 3" xfId="33410" xr:uid="{00000000-0005-0000-0000-0000A5610000}"/>
    <cellStyle name="Normal 5 2 2 4 3 7" xfId="16938" xr:uid="{00000000-0005-0000-0000-0000A6610000}"/>
    <cellStyle name="Normal 5 2 2 4 3 7 2" xfId="42491" xr:uid="{00000000-0005-0000-0000-0000A7610000}"/>
    <cellStyle name="Normal 5 2 2 4 3 8" xfId="26971" xr:uid="{00000000-0005-0000-0000-0000A8610000}"/>
    <cellStyle name="Normal 5 2 2 4 4" xfId="2819" xr:uid="{00000000-0005-0000-0000-0000A9610000}"/>
    <cellStyle name="Normal 5 2 2 4 4 2" xfId="5197" xr:uid="{00000000-0005-0000-0000-0000AA610000}"/>
    <cellStyle name="Normal 5 2 2 4 4 2 2" xfId="14034" xr:uid="{00000000-0005-0000-0000-0000AB610000}"/>
    <cellStyle name="Normal 5 2 2 4 4 2 2 2" xfId="24285" xr:uid="{00000000-0005-0000-0000-0000AC610000}"/>
    <cellStyle name="Normal 5 2 2 4 4 2 2 2 2" xfId="49838" xr:uid="{00000000-0005-0000-0000-0000AD610000}"/>
    <cellStyle name="Normal 5 2 2 4 4 2 2 3" xfId="39589" xr:uid="{00000000-0005-0000-0000-0000AE610000}"/>
    <cellStyle name="Normal 5 2 2 4 4 2 3" xfId="10455" xr:uid="{00000000-0005-0000-0000-0000AF610000}"/>
    <cellStyle name="Normal 5 2 2 4 4 2 3 2" xfId="36012" xr:uid="{00000000-0005-0000-0000-0000B0610000}"/>
    <cellStyle name="Normal 5 2 2 4 4 2 4" xfId="19278" xr:uid="{00000000-0005-0000-0000-0000B1610000}"/>
    <cellStyle name="Normal 5 2 2 4 4 2 4 2" xfId="44831" xr:uid="{00000000-0005-0000-0000-0000B2610000}"/>
    <cellStyle name="Normal 5 2 2 4 4 2 5" xfId="30768" xr:uid="{00000000-0005-0000-0000-0000B3610000}"/>
    <cellStyle name="Normal 5 2 2 4 4 3" xfId="6652" xr:uid="{00000000-0005-0000-0000-0000B4610000}"/>
    <cellStyle name="Normal 5 2 2 4 4 3 2" xfId="15479" xr:uid="{00000000-0005-0000-0000-0000B5610000}"/>
    <cellStyle name="Normal 5 2 2 4 4 3 2 2" xfId="41034" xr:uid="{00000000-0005-0000-0000-0000B6610000}"/>
    <cellStyle name="Normal 5 2 2 4 4 3 3" xfId="25730" xr:uid="{00000000-0005-0000-0000-0000B7610000}"/>
    <cellStyle name="Normal 5 2 2 4 4 3 3 2" xfId="51283" xr:uid="{00000000-0005-0000-0000-0000B8610000}"/>
    <cellStyle name="Normal 5 2 2 4 4 3 4" xfId="32213" xr:uid="{00000000-0005-0000-0000-0000B9610000}"/>
    <cellStyle name="Normal 5 2 2 4 4 4" xfId="8098" xr:uid="{00000000-0005-0000-0000-0000BA610000}"/>
    <cellStyle name="Normal 5 2 2 4 4 4 2" xfId="22180" xr:uid="{00000000-0005-0000-0000-0000BB610000}"/>
    <cellStyle name="Normal 5 2 2 4 4 4 2 2" xfId="47733" xr:uid="{00000000-0005-0000-0000-0000BC610000}"/>
    <cellStyle name="Normal 5 2 2 4 4 4 3" xfId="33655" xr:uid="{00000000-0005-0000-0000-0000BD610000}"/>
    <cellStyle name="Normal 5 2 2 4 4 5" xfId="17173" xr:uid="{00000000-0005-0000-0000-0000BE610000}"/>
    <cellStyle name="Normal 5 2 2 4 4 5 2" xfId="42726" xr:uid="{00000000-0005-0000-0000-0000BF610000}"/>
    <cellStyle name="Normal 5 2 2 4 4 6" xfId="28663" xr:uid="{00000000-0005-0000-0000-0000C0610000}"/>
    <cellStyle name="Normal 5 2 2 4 5" xfId="4151" xr:uid="{00000000-0005-0000-0000-0000C1610000}"/>
    <cellStyle name="Normal 5 2 2 4 5 2" xfId="12989" xr:uid="{00000000-0005-0000-0000-0000C2610000}"/>
    <cellStyle name="Normal 5 2 2 4 5 2 2" xfId="23240" xr:uid="{00000000-0005-0000-0000-0000C3610000}"/>
    <cellStyle name="Normal 5 2 2 4 5 2 2 2" xfId="48793" xr:uid="{00000000-0005-0000-0000-0000C4610000}"/>
    <cellStyle name="Normal 5 2 2 4 5 2 3" xfId="38544" xr:uid="{00000000-0005-0000-0000-0000C5610000}"/>
    <cellStyle name="Normal 5 2 2 4 5 3" xfId="9410" xr:uid="{00000000-0005-0000-0000-0000C6610000}"/>
    <cellStyle name="Normal 5 2 2 4 5 3 2" xfId="34967" xr:uid="{00000000-0005-0000-0000-0000C7610000}"/>
    <cellStyle name="Normal 5 2 2 4 5 4" xfId="18233" xr:uid="{00000000-0005-0000-0000-0000C8610000}"/>
    <cellStyle name="Normal 5 2 2 4 5 4 2" xfId="43786" xr:uid="{00000000-0005-0000-0000-0000C9610000}"/>
    <cellStyle name="Normal 5 2 2 4 5 5" xfId="29723" xr:uid="{00000000-0005-0000-0000-0000CA610000}"/>
    <cellStyle name="Normal 5 2 2 4 6" xfId="1928" xr:uid="{00000000-0005-0000-0000-0000CB610000}"/>
    <cellStyle name="Normal 5 2 2 4 6 2" xfId="11293" xr:uid="{00000000-0005-0000-0000-0000CC610000}"/>
    <cellStyle name="Normal 5 2 2 4 6 2 2" xfId="36848" xr:uid="{00000000-0005-0000-0000-0000CD610000}"/>
    <cellStyle name="Normal 5 2 2 4 6 3" xfId="21297" xr:uid="{00000000-0005-0000-0000-0000CE610000}"/>
    <cellStyle name="Normal 5 2 2 4 6 3 2" xfId="46850" xr:uid="{00000000-0005-0000-0000-0000CF610000}"/>
    <cellStyle name="Normal 5 2 2 4 6 4" xfId="27780" xr:uid="{00000000-0005-0000-0000-0000D0610000}"/>
    <cellStyle name="Normal 5 2 2 4 7" xfId="5609" xr:uid="{00000000-0005-0000-0000-0000D1610000}"/>
    <cellStyle name="Normal 5 2 2 4 7 2" xfId="14436" xr:uid="{00000000-0005-0000-0000-0000D2610000}"/>
    <cellStyle name="Normal 5 2 2 4 7 2 2" xfId="39991" xr:uid="{00000000-0005-0000-0000-0000D3610000}"/>
    <cellStyle name="Normal 5 2 2 4 7 3" xfId="24687" xr:uid="{00000000-0005-0000-0000-0000D4610000}"/>
    <cellStyle name="Normal 5 2 2 4 7 3 2" xfId="50240" xr:uid="{00000000-0005-0000-0000-0000D5610000}"/>
    <cellStyle name="Normal 5 2 2 4 7 4" xfId="31170" xr:uid="{00000000-0005-0000-0000-0000D6610000}"/>
    <cellStyle name="Normal 5 2 2 4 8" xfId="7053" xr:uid="{00000000-0005-0000-0000-0000D7610000}"/>
    <cellStyle name="Normal 5 2 2 4 8 2" xfId="19779" xr:uid="{00000000-0005-0000-0000-0000D8610000}"/>
    <cellStyle name="Normal 5 2 2 4 8 2 2" xfId="45332" xr:uid="{00000000-0005-0000-0000-0000D9610000}"/>
    <cellStyle name="Normal 5 2 2 4 8 3" xfId="32610" xr:uid="{00000000-0005-0000-0000-0000DA610000}"/>
    <cellStyle name="Normal 5 2 2 4 9" xfId="16290" xr:uid="{00000000-0005-0000-0000-0000DB610000}"/>
    <cellStyle name="Normal 5 2 2 4 9 2" xfId="41843" xr:uid="{00000000-0005-0000-0000-0000DC610000}"/>
    <cellStyle name="Normal 5 2 2 4_Degree data" xfId="3881" xr:uid="{00000000-0005-0000-0000-0000DD610000}"/>
    <cellStyle name="Normal 5 2 2 5" xfId="783" xr:uid="{00000000-0005-0000-0000-0000DE610000}"/>
    <cellStyle name="Normal 5 2 2 5 2" xfId="3268" xr:uid="{00000000-0005-0000-0000-0000DF610000}"/>
    <cellStyle name="Normal 5 2 2 5 2 2" xfId="12410" xr:uid="{00000000-0005-0000-0000-0000E0610000}"/>
    <cellStyle name="Normal 5 2 2 5 2 2 2" xfId="22629" xr:uid="{00000000-0005-0000-0000-0000E1610000}"/>
    <cellStyle name="Normal 5 2 2 5 2 2 2 2" xfId="48182" xr:uid="{00000000-0005-0000-0000-0000E2610000}"/>
    <cellStyle name="Normal 5 2 2 5 2 2 3" xfId="37965" xr:uid="{00000000-0005-0000-0000-0000E3610000}"/>
    <cellStyle name="Normal 5 2 2 5 2 3" xfId="8832" xr:uid="{00000000-0005-0000-0000-0000E4610000}"/>
    <cellStyle name="Normal 5 2 2 5 2 3 2" xfId="34389" xr:uid="{00000000-0005-0000-0000-0000E5610000}"/>
    <cellStyle name="Normal 5 2 2 5 2 4" xfId="17622" xr:uid="{00000000-0005-0000-0000-0000E6610000}"/>
    <cellStyle name="Normal 5 2 2 5 2 4 2" xfId="43175" xr:uid="{00000000-0005-0000-0000-0000E7610000}"/>
    <cellStyle name="Normal 5 2 2 5 2 5" xfId="29112" xr:uid="{00000000-0005-0000-0000-0000E8610000}"/>
    <cellStyle name="Normal 5 2 2 5 3" xfId="4597" xr:uid="{00000000-0005-0000-0000-0000E9610000}"/>
    <cellStyle name="Normal 5 2 2 5 3 2" xfId="13435" xr:uid="{00000000-0005-0000-0000-0000EA610000}"/>
    <cellStyle name="Normal 5 2 2 5 3 2 2" xfId="23686" xr:uid="{00000000-0005-0000-0000-0000EB610000}"/>
    <cellStyle name="Normal 5 2 2 5 3 2 2 2" xfId="49239" xr:uid="{00000000-0005-0000-0000-0000EC610000}"/>
    <cellStyle name="Normal 5 2 2 5 3 2 3" xfId="38990" xr:uid="{00000000-0005-0000-0000-0000ED610000}"/>
    <cellStyle name="Normal 5 2 2 5 3 3" xfId="9856" xr:uid="{00000000-0005-0000-0000-0000EE610000}"/>
    <cellStyle name="Normal 5 2 2 5 3 3 2" xfId="35413" xr:uid="{00000000-0005-0000-0000-0000EF610000}"/>
    <cellStyle name="Normal 5 2 2 5 3 4" xfId="18679" xr:uid="{00000000-0005-0000-0000-0000F0610000}"/>
    <cellStyle name="Normal 5 2 2 5 3 4 2" xfId="44232" xr:uid="{00000000-0005-0000-0000-0000F1610000}"/>
    <cellStyle name="Normal 5 2 2 5 3 5" xfId="30169" xr:uid="{00000000-0005-0000-0000-0000F2610000}"/>
    <cellStyle name="Normal 5 2 2 5 4" xfId="2377" xr:uid="{00000000-0005-0000-0000-0000F3610000}"/>
    <cellStyle name="Normal 5 2 2 5 4 2" xfId="11742" xr:uid="{00000000-0005-0000-0000-0000F4610000}"/>
    <cellStyle name="Normal 5 2 2 5 4 2 2" xfId="37297" xr:uid="{00000000-0005-0000-0000-0000F5610000}"/>
    <cellStyle name="Normal 5 2 2 5 4 3" xfId="21746" xr:uid="{00000000-0005-0000-0000-0000F6610000}"/>
    <cellStyle name="Normal 5 2 2 5 4 3 2" xfId="47299" xr:uid="{00000000-0005-0000-0000-0000F7610000}"/>
    <cellStyle name="Normal 5 2 2 5 4 4" xfId="28229" xr:uid="{00000000-0005-0000-0000-0000F8610000}"/>
    <cellStyle name="Normal 5 2 2 5 5" xfId="6053" xr:uid="{00000000-0005-0000-0000-0000F9610000}"/>
    <cellStyle name="Normal 5 2 2 5 5 2" xfId="14880" xr:uid="{00000000-0005-0000-0000-0000FA610000}"/>
    <cellStyle name="Normal 5 2 2 5 5 2 2" xfId="40435" xr:uid="{00000000-0005-0000-0000-0000FB610000}"/>
    <cellStyle name="Normal 5 2 2 5 5 3" xfId="25131" xr:uid="{00000000-0005-0000-0000-0000FC610000}"/>
    <cellStyle name="Normal 5 2 2 5 5 3 2" xfId="50684" xr:uid="{00000000-0005-0000-0000-0000FD610000}"/>
    <cellStyle name="Normal 5 2 2 5 5 4" xfId="31614" xr:uid="{00000000-0005-0000-0000-0000FE610000}"/>
    <cellStyle name="Normal 5 2 2 5 6" xfId="7498" xr:uid="{00000000-0005-0000-0000-0000FF610000}"/>
    <cellStyle name="Normal 5 2 2 5 6 2" xfId="20228" xr:uid="{00000000-0005-0000-0000-000000620000}"/>
    <cellStyle name="Normal 5 2 2 5 6 2 2" xfId="45781" xr:uid="{00000000-0005-0000-0000-000001620000}"/>
    <cellStyle name="Normal 5 2 2 5 6 3" xfId="33055" xr:uid="{00000000-0005-0000-0000-000002620000}"/>
    <cellStyle name="Normal 5 2 2 5 7" xfId="16739" xr:uid="{00000000-0005-0000-0000-000003620000}"/>
    <cellStyle name="Normal 5 2 2 5 7 2" xfId="42292" xr:uid="{00000000-0005-0000-0000-000004620000}"/>
    <cellStyle name="Normal 5 2 2 5 8" xfId="26711" xr:uid="{00000000-0005-0000-0000-000005620000}"/>
    <cellStyle name="Normal 5 2 2 6" xfId="1060" xr:uid="{00000000-0005-0000-0000-000006620000}"/>
    <cellStyle name="Normal 5 2 2 6 2" xfId="3489" xr:uid="{00000000-0005-0000-0000-000007620000}"/>
    <cellStyle name="Normal 5 2 2 6 2 2" xfId="12625" xr:uid="{00000000-0005-0000-0000-000008620000}"/>
    <cellStyle name="Normal 5 2 2 6 2 2 2" xfId="22844" xr:uid="{00000000-0005-0000-0000-000009620000}"/>
    <cellStyle name="Normal 5 2 2 6 2 2 2 2" xfId="48397" xr:uid="{00000000-0005-0000-0000-00000A620000}"/>
    <cellStyle name="Normal 5 2 2 6 2 2 3" xfId="38180" xr:uid="{00000000-0005-0000-0000-00000B620000}"/>
    <cellStyle name="Normal 5 2 2 6 2 3" xfId="9047" xr:uid="{00000000-0005-0000-0000-00000C620000}"/>
    <cellStyle name="Normal 5 2 2 6 2 3 2" xfId="34604" xr:uid="{00000000-0005-0000-0000-00000D620000}"/>
    <cellStyle name="Normal 5 2 2 6 2 4" xfId="17837" xr:uid="{00000000-0005-0000-0000-00000E620000}"/>
    <cellStyle name="Normal 5 2 2 6 2 4 2" xfId="43390" xr:uid="{00000000-0005-0000-0000-00000F620000}"/>
    <cellStyle name="Normal 5 2 2 6 2 5" xfId="29327" xr:uid="{00000000-0005-0000-0000-000010620000}"/>
    <cellStyle name="Normal 5 2 2 6 3" xfId="4946" xr:uid="{00000000-0005-0000-0000-000011620000}"/>
    <cellStyle name="Normal 5 2 2 6 3 2" xfId="13783" xr:uid="{00000000-0005-0000-0000-000012620000}"/>
    <cellStyle name="Normal 5 2 2 6 3 2 2" xfId="24034" xr:uid="{00000000-0005-0000-0000-000013620000}"/>
    <cellStyle name="Normal 5 2 2 6 3 2 2 2" xfId="49587" xr:uid="{00000000-0005-0000-0000-000014620000}"/>
    <cellStyle name="Normal 5 2 2 6 3 2 3" xfId="39338" xr:uid="{00000000-0005-0000-0000-000015620000}"/>
    <cellStyle name="Normal 5 2 2 6 3 3" xfId="10204" xr:uid="{00000000-0005-0000-0000-000016620000}"/>
    <cellStyle name="Normal 5 2 2 6 3 3 2" xfId="35761" xr:uid="{00000000-0005-0000-0000-000017620000}"/>
    <cellStyle name="Normal 5 2 2 6 3 4" xfId="19027" xr:uid="{00000000-0005-0000-0000-000018620000}"/>
    <cellStyle name="Normal 5 2 2 6 3 4 2" xfId="44580" xr:uid="{00000000-0005-0000-0000-000019620000}"/>
    <cellStyle name="Normal 5 2 2 6 3 5" xfId="30517" xr:uid="{00000000-0005-0000-0000-00001A620000}"/>
    <cellStyle name="Normal 5 2 2 6 4" xfId="2585" xr:uid="{00000000-0005-0000-0000-00001B620000}"/>
    <cellStyle name="Normal 5 2 2 6 4 2" xfId="11949" xr:uid="{00000000-0005-0000-0000-00001C620000}"/>
    <cellStyle name="Normal 5 2 2 6 4 2 2" xfId="37504" xr:uid="{00000000-0005-0000-0000-00001D620000}"/>
    <cellStyle name="Normal 5 2 2 6 4 3" xfId="21953" xr:uid="{00000000-0005-0000-0000-00001E620000}"/>
    <cellStyle name="Normal 5 2 2 6 4 3 2" xfId="47506" xr:uid="{00000000-0005-0000-0000-00001F620000}"/>
    <cellStyle name="Normal 5 2 2 6 4 4" xfId="28436" xr:uid="{00000000-0005-0000-0000-000020620000}"/>
    <cellStyle name="Normal 5 2 2 6 5" xfId="6401" xr:uid="{00000000-0005-0000-0000-000021620000}"/>
    <cellStyle name="Normal 5 2 2 6 5 2" xfId="15228" xr:uid="{00000000-0005-0000-0000-000022620000}"/>
    <cellStyle name="Normal 5 2 2 6 5 2 2" xfId="40783" xr:uid="{00000000-0005-0000-0000-000023620000}"/>
    <cellStyle name="Normal 5 2 2 6 5 3" xfId="25479" xr:uid="{00000000-0005-0000-0000-000024620000}"/>
    <cellStyle name="Normal 5 2 2 6 5 3 2" xfId="51032" xr:uid="{00000000-0005-0000-0000-000025620000}"/>
    <cellStyle name="Normal 5 2 2 6 5 4" xfId="31962" xr:uid="{00000000-0005-0000-0000-000026620000}"/>
    <cellStyle name="Normal 5 2 2 6 6" xfId="7847" xr:uid="{00000000-0005-0000-0000-000027620000}"/>
    <cellStyle name="Normal 5 2 2 6 6 2" xfId="20443" xr:uid="{00000000-0005-0000-0000-000028620000}"/>
    <cellStyle name="Normal 5 2 2 6 6 2 2" xfId="45996" xr:uid="{00000000-0005-0000-0000-000029620000}"/>
    <cellStyle name="Normal 5 2 2 6 6 3" xfId="33404" xr:uid="{00000000-0005-0000-0000-00002A620000}"/>
    <cellStyle name="Normal 5 2 2 6 7" xfId="16946" xr:uid="{00000000-0005-0000-0000-00002B620000}"/>
    <cellStyle name="Normal 5 2 2 6 7 2" xfId="42499" xr:uid="{00000000-0005-0000-0000-00002C620000}"/>
    <cellStyle name="Normal 5 2 2 6 8" xfId="26926" xr:uid="{00000000-0005-0000-0000-00002D620000}"/>
    <cellStyle name="Normal 5 2 2 7" xfId="2627" xr:uid="{00000000-0005-0000-0000-00002E620000}"/>
    <cellStyle name="Normal 5 2 2 7 2" xfId="5152" xr:uid="{00000000-0005-0000-0000-00002F620000}"/>
    <cellStyle name="Normal 5 2 2 7 2 2" xfId="13989" xr:uid="{00000000-0005-0000-0000-000030620000}"/>
    <cellStyle name="Normal 5 2 2 7 2 2 2" xfId="24240" xr:uid="{00000000-0005-0000-0000-000031620000}"/>
    <cellStyle name="Normal 5 2 2 7 2 2 2 2" xfId="49793" xr:uid="{00000000-0005-0000-0000-000032620000}"/>
    <cellStyle name="Normal 5 2 2 7 2 2 3" xfId="39544" xr:uid="{00000000-0005-0000-0000-000033620000}"/>
    <cellStyle name="Normal 5 2 2 7 2 3" xfId="10410" xr:uid="{00000000-0005-0000-0000-000034620000}"/>
    <cellStyle name="Normal 5 2 2 7 2 3 2" xfId="35967" xr:uid="{00000000-0005-0000-0000-000035620000}"/>
    <cellStyle name="Normal 5 2 2 7 2 4" xfId="19233" xr:uid="{00000000-0005-0000-0000-000036620000}"/>
    <cellStyle name="Normal 5 2 2 7 2 4 2" xfId="44786" xr:uid="{00000000-0005-0000-0000-000037620000}"/>
    <cellStyle name="Normal 5 2 2 7 2 5" xfId="30723" xr:uid="{00000000-0005-0000-0000-000038620000}"/>
    <cellStyle name="Normal 5 2 2 7 3" xfId="6607" xr:uid="{00000000-0005-0000-0000-000039620000}"/>
    <cellStyle name="Normal 5 2 2 7 3 2" xfId="15434" xr:uid="{00000000-0005-0000-0000-00003A620000}"/>
    <cellStyle name="Normal 5 2 2 7 3 2 2" xfId="40989" xr:uid="{00000000-0005-0000-0000-00003B620000}"/>
    <cellStyle name="Normal 5 2 2 7 3 3" xfId="25685" xr:uid="{00000000-0005-0000-0000-00003C620000}"/>
    <cellStyle name="Normal 5 2 2 7 3 3 2" xfId="51238" xr:uid="{00000000-0005-0000-0000-00003D620000}"/>
    <cellStyle name="Normal 5 2 2 7 3 4" xfId="32168" xr:uid="{00000000-0005-0000-0000-00003E620000}"/>
    <cellStyle name="Normal 5 2 2 7 4" xfId="8053" xr:uid="{00000000-0005-0000-0000-00003F620000}"/>
    <cellStyle name="Normal 5 2 2 7 4 2" xfId="21989" xr:uid="{00000000-0005-0000-0000-000040620000}"/>
    <cellStyle name="Normal 5 2 2 7 4 2 2" xfId="47542" xr:uid="{00000000-0005-0000-0000-000041620000}"/>
    <cellStyle name="Normal 5 2 2 7 4 3" xfId="33610" xr:uid="{00000000-0005-0000-0000-000042620000}"/>
    <cellStyle name="Normal 5 2 2 7 5" xfId="16982" xr:uid="{00000000-0005-0000-0000-000043620000}"/>
    <cellStyle name="Normal 5 2 2 7 5 2" xfId="42535" xr:uid="{00000000-0005-0000-0000-000044620000}"/>
    <cellStyle name="Normal 5 2 2 7 6" xfId="28472" xr:uid="{00000000-0005-0000-0000-000045620000}"/>
    <cellStyle name="Normal 5 2 2 8" xfId="4106" xr:uid="{00000000-0005-0000-0000-000046620000}"/>
    <cellStyle name="Normal 5 2 2 8 2" xfId="5564" xr:uid="{00000000-0005-0000-0000-000047620000}"/>
    <cellStyle name="Normal 5 2 2 8 2 2" xfId="14391" xr:uid="{00000000-0005-0000-0000-000048620000}"/>
    <cellStyle name="Normal 5 2 2 8 2 2 2" xfId="39946" xr:uid="{00000000-0005-0000-0000-000049620000}"/>
    <cellStyle name="Normal 5 2 2 8 2 3" xfId="24642" xr:uid="{00000000-0005-0000-0000-00004A620000}"/>
    <cellStyle name="Normal 5 2 2 8 2 3 2" xfId="50195" xr:uid="{00000000-0005-0000-0000-00004B620000}"/>
    <cellStyle name="Normal 5 2 2 8 2 4" xfId="31125" xr:uid="{00000000-0005-0000-0000-00004C620000}"/>
    <cellStyle name="Normal 5 2 2 8 3" xfId="7008" xr:uid="{00000000-0005-0000-0000-00004D620000}"/>
    <cellStyle name="Normal 5 2 2 8 3 2" xfId="23195" xr:uid="{00000000-0005-0000-0000-00004E620000}"/>
    <cellStyle name="Normal 5 2 2 8 3 2 2" xfId="48748" xr:uid="{00000000-0005-0000-0000-00004F620000}"/>
    <cellStyle name="Normal 5 2 2 8 3 3" xfId="32565" xr:uid="{00000000-0005-0000-0000-000050620000}"/>
    <cellStyle name="Normal 5 2 2 8 4" xfId="18188" xr:uid="{00000000-0005-0000-0000-000051620000}"/>
    <cellStyle name="Normal 5 2 2 8 4 2" xfId="43741" xr:uid="{00000000-0005-0000-0000-000052620000}"/>
    <cellStyle name="Normal 5 2 2 8 5" xfId="29678" xr:uid="{00000000-0005-0000-0000-000053620000}"/>
    <cellStyle name="Normal 5 2 2 9" xfId="1425" xr:uid="{00000000-0005-0000-0000-000054620000}"/>
    <cellStyle name="Normal 5 2 2 9 2" xfId="10802" xr:uid="{00000000-0005-0000-0000-000055620000}"/>
    <cellStyle name="Normal 5 2 2 9 2 2" xfId="36357" xr:uid="{00000000-0005-0000-0000-000056620000}"/>
    <cellStyle name="Normal 5 2 2 9 3" xfId="20806" xr:uid="{00000000-0005-0000-0000-000057620000}"/>
    <cellStyle name="Normal 5 2 2 9 3 2" xfId="46359" xr:uid="{00000000-0005-0000-0000-000058620000}"/>
    <cellStyle name="Normal 5 2 2 9 4" xfId="27289" xr:uid="{00000000-0005-0000-0000-000059620000}"/>
    <cellStyle name="Normal 5 2 2_Degree data" xfId="3840" xr:uid="{00000000-0005-0000-0000-00005A620000}"/>
    <cellStyle name="Normal 5 2 3" xfId="197" xr:uid="{00000000-0005-0000-0000-00005B620000}"/>
    <cellStyle name="Normal 5 2 4" xfId="178" xr:uid="{00000000-0005-0000-0000-00005C620000}"/>
    <cellStyle name="Normal 5 2 4 10" xfId="7126" xr:uid="{00000000-0005-0000-0000-00005D620000}"/>
    <cellStyle name="Normal 5 2 4 10 2" xfId="19635" xr:uid="{00000000-0005-0000-0000-00005E620000}"/>
    <cellStyle name="Normal 5 2 4 10 2 2" xfId="45188" xr:uid="{00000000-0005-0000-0000-00005F620000}"/>
    <cellStyle name="Normal 5 2 4 10 3" xfId="32683" xr:uid="{00000000-0005-0000-0000-000060620000}"/>
    <cellStyle name="Normal 5 2 4 11" xfId="15872" xr:uid="{00000000-0005-0000-0000-000061620000}"/>
    <cellStyle name="Normal 5 2 4 11 2" xfId="41425" xr:uid="{00000000-0005-0000-0000-000062620000}"/>
    <cellStyle name="Normal 5 2 4 12" xfId="26118" xr:uid="{00000000-0005-0000-0000-000063620000}"/>
    <cellStyle name="Normal 5 2 4 2" xfId="506" xr:uid="{00000000-0005-0000-0000-000064620000}"/>
    <cellStyle name="Normal 5 2 4 2 10" xfId="26435" xr:uid="{00000000-0005-0000-0000-000065620000}"/>
    <cellStyle name="Normal 5 2 4 2 2" xfId="791" xr:uid="{00000000-0005-0000-0000-000066620000}"/>
    <cellStyle name="Normal 5 2 4 2 2 2" xfId="3276" xr:uid="{00000000-0005-0000-0000-000067620000}"/>
    <cellStyle name="Normal 5 2 4 2 2 2 2" xfId="12418" xr:uid="{00000000-0005-0000-0000-000068620000}"/>
    <cellStyle name="Normal 5 2 4 2 2 2 2 2" xfId="22637" xr:uid="{00000000-0005-0000-0000-000069620000}"/>
    <cellStyle name="Normal 5 2 4 2 2 2 2 2 2" xfId="48190" xr:uid="{00000000-0005-0000-0000-00006A620000}"/>
    <cellStyle name="Normal 5 2 4 2 2 2 2 3" xfId="37973" xr:uid="{00000000-0005-0000-0000-00006B620000}"/>
    <cellStyle name="Normal 5 2 4 2 2 2 3" xfId="8840" xr:uid="{00000000-0005-0000-0000-00006C620000}"/>
    <cellStyle name="Normal 5 2 4 2 2 2 3 2" xfId="34397" xr:uid="{00000000-0005-0000-0000-00006D620000}"/>
    <cellStyle name="Normal 5 2 4 2 2 2 4" xfId="17630" xr:uid="{00000000-0005-0000-0000-00006E620000}"/>
    <cellStyle name="Normal 5 2 4 2 2 2 4 2" xfId="43183" xr:uid="{00000000-0005-0000-0000-00006F620000}"/>
    <cellStyle name="Normal 5 2 4 2 2 2 5" xfId="29120" xr:uid="{00000000-0005-0000-0000-000070620000}"/>
    <cellStyle name="Normal 5 2 4 2 2 3" xfId="4605" xr:uid="{00000000-0005-0000-0000-000071620000}"/>
    <cellStyle name="Normal 5 2 4 2 2 3 2" xfId="13443" xr:uid="{00000000-0005-0000-0000-000072620000}"/>
    <cellStyle name="Normal 5 2 4 2 2 3 2 2" xfId="23694" xr:uid="{00000000-0005-0000-0000-000073620000}"/>
    <cellStyle name="Normal 5 2 4 2 2 3 2 2 2" xfId="49247" xr:uid="{00000000-0005-0000-0000-000074620000}"/>
    <cellStyle name="Normal 5 2 4 2 2 3 2 3" xfId="38998" xr:uid="{00000000-0005-0000-0000-000075620000}"/>
    <cellStyle name="Normal 5 2 4 2 2 3 3" xfId="9864" xr:uid="{00000000-0005-0000-0000-000076620000}"/>
    <cellStyle name="Normal 5 2 4 2 2 3 3 2" xfId="35421" xr:uid="{00000000-0005-0000-0000-000077620000}"/>
    <cellStyle name="Normal 5 2 4 2 2 3 4" xfId="18687" xr:uid="{00000000-0005-0000-0000-000078620000}"/>
    <cellStyle name="Normal 5 2 4 2 2 3 4 2" xfId="44240" xr:uid="{00000000-0005-0000-0000-000079620000}"/>
    <cellStyle name="Normal 5 2 4 2 2 3 5" xfId="30177" xr:uid="{00000000-0005-0000-0000-00007A620000}"/>
    <cellStyle name="Normal 5 2 4 2 2 4" xfId="2385" xr:uid="{00000000-0005-0000-0000-00007B620000}"/>
    <cellStyle name="Normal 5 2 4 2 2 4 2" xfId="11750" xr:uid="{00000000-0005-0000-0000-00007C620000}"/>
    <cellStyle name="Normal 5 2 4 2 2 4 2 2" xfId="37305" xr:uid="{00000000-0005-0000-0000-00007D620000}"/>
    <cellStyle name="Normal 5 2 4 2 2 4 3" xfId="21754" xr:uid="{00000000-0005-0000-0000-00007E620000}"/>
    <cellStyle name="Normal 5 2 4 2 2 4 3 2" xfId="47307" xr:uid="{00000000-0005-0000-0000-00007F620000}"/>
    <cellStyle name="Normal 5 2 4 2 2 4 4" xfId="28237" xr:uid="{00000000-0005-0000-0000-000080620000}"/>
    <cellStyle name="Normal 5 2 4 2 2 5" xfId="6061" xr:uid="{00000000-0005-0000-0000-000081620000}"/>
    <cellStyle name="Normal 5 2 4 2 2 5 2" xfId="14888" xr:uid="{00000000-0005-0000-0000-000082620000}"/>
    <cellStyle name="Normal 5 2 4 2 2 5 2 2" xfId="40443" xr:uid="{00000000-0005-0000-0000-000083620000}"/>
    <cellStyle name="Normal 5 2 4 2 2 5 3" xfId="25139" xr:uid="{00000000-0005-0000-0000-000084620000}"/>
    <cellStyle name="Normal 5 2 4 2 2 5 3 2" xfId="50692" xr:uid="{00000000-0005-0000-0000-000085620000}"/>
    <cellStyle name="Normal 5 2 4 2 2 5 4" xfId="31622" xr:uid="{00000000-0005-0000-0000-000086620000}"/>
    <cellStyle name="Normal 5 2 4 2 2 6" xfId="7506" xr:uid="{00000000-0005-0000-0000-000087620000}"/>
    <cellStyle name="Normal 5 2 4 2 2 6 2" xfId="20236" xr:uid="{00000000-0005-0000-0000-000088620000}"/>
    <cellStyle name="Normal 5 2 4 2 2 6 2 2" xfId="45789" xr:uid="{00000000-0005-0000-0000-000089620000}"/>
    <cellStyle name="Normal 5 2 4 2 2 6 3" xfId="33063" xr:uid="{00000000-0005-0000-0000-00008A620000}"/>
    <cellStyle name="Normal 5 2 4 2 2 7" xfId="16747" xr:uid="{00000000-0005-0000-0000-00008B620000}"/>
    <cellStyle name="Normal 5 2 4 2 2 7 2" xfId="42300" xr:uid="{00000000-0005-0000-0000-00008C620000}"/>
    <cellStyle name="Normal 5 2 4 2 2 8" xfId="26719" xr:uid="{00000000-0005-0000-0000-00008D620000}"/>
    <cellStyle name="Normal 5 2 4 2 3" xfId="1278" xr:uid="{00000000-0005-0000-0000-00008E620000}"/>
    <cellStyle name="Normal 5 2 4 2 3 2" xfId="3707" xr:uid="{00000000-0005-0000-0000-00008F620000}"/>
    <cellStyle name="Normal 5 2 4 2 3 2 2" xfId="12843" xr:uid="{00000000-0005-0000-0000-000090620000}"/>
    <cellStyle name="Normal 5 2 4 2 3 2 2 2" xfId="23062" xr:uid="{00000000-0005-0000-0000-000091620000}"/>
    <cellStyle name="Normal 5 2 4 2 3 2 2 2 2" xfId="48615" xr:uid="{00000000-0005-0000-0000-000092620000}"/>
    <cellStyle name="Normal 5 2 4 2 3 2 2 3" xfId="38398" xr:uid="{00000000-0005-0000-0000-000093620000}"/>
    <cellStyle name="Normal 5 2 4 2 3 2 3" xfId="9264" xr:uid="{00000000-0005-0000-0000-000094620000}"/>
    <cellStyle name="Normal 5 2 4 2 3 2 3 2" xfId="34821" xr:uid="{00000000-0005-0000-0000-000095620000}"/>
    <cellStyle name="Normal 5 2 4 2 3 2 4" xfId="18055" xr:uid="{00000000-0005-0000-0000-000096620000}"/>
    <cellStyle name="Normal 5 2 4 2 3 2 4 2" xfId="43608" xr:uid="{00000000-0005-0000-0000-000097620000}"/>
    <cellStyle name="Normal 5 2 4 2 3 2 5" xfId="29545" xr:uid="{00000000-0005-0000-0000-000098620000}"/>
    <cellStyle name="Normal 5 2 4 2 3 3" xfId="4954" xr:uid="{00000000-0005-0000-0000-000099620000}"/>
    <cellStyle name="Normal 5 2 4 2 3 3 2" xfId="13791" xr:uid="{00000000-0005-0000-0000-00009A620000}"/>
    <cellStyle name="Normal 5 2 4 2 3 3 2 2" xfId="24042" xr:uid="{00000000-0005-0000-0000-00009B620000}"/>
    <cellStyle name="Normal 5 2 4 2 3 3 2 2 2" xfId="49595" xr:uid="{00000000-0005-0000-0000-00009C620000}"/>
    <cellStyle name="Normal 5 2 4 2 3 3 2 3" xfId="39346" xr:uid="{00000000-0005-0000-0000-00009D620000}"/>
    <cellStyle name="Normal 5 2 4 2 3 3 3" xfId="10212" xr:uid="{00000000-0005-0000-0000-00009E620000}"/>
    <cellStyle name="Normal 5 2 4 2 3 3 3 2" xfId="35769" xr:uid="{00000000-0005-0000-0000-00009F620000}"/>
    <cellStyle name="Normal 5 2 4 2 3 3 4" xfId="19035" xr:uid="{00000000-0005-0000-0000-0000A0620000}"/>
    <cellStyle name="Normal 5 2 4 2 3 3 4 2" xfId="44588" xr:uid="{00000000-0005-0000-0000-0000A1620000}"/>
    <cellStyle name="Normal 5 2 4 2 3 3 5" xfId="30525" xr:uid="{00000000-0005-0000-0000-0000A2620000}"/>
    <cellStyle name="Normal 5 2 4 2 3 4" xfId="2101" xr:uid="{00000000-0005-0000-0000-0000A3620000}"/>
    <cellStyle name="Normal 5 2 4 2 3 4 2" xfId="11466" xr:uid="{00000000-0005-0000-0000-0000A4620000}"/>
    <cellStyle name="Normal 5 2 4 2 3 4 2 2" xfId="37021" xr:uid="{00000000-0005-0000-0000-0000A5620000}"/>
    <cellStyle name="Normal 5 2 4 2 3 4 3" xfId="21470" xr:uid="{00000000-0005-0000-0000-0000A6620000}"/>
    <cellStyle name="Normal 5 2 4 2 3 4 3 2" xfId="47023" xr:uid="{00000000-0005-0000-0000-0000A7620000}"/>
    <cellStyle name="Normal 5 2 4 2 3 4 4" xfId="27953" xr:uid="{00000000-0005-0000-0000-0000A8620000}"/>
    <cellStyle name="Normal 5 2 4 2 3 5" xfId="6409" xr:uid="{00000000-0005-0000-0000-0000A9620000}"/>
    <cellStyle name="Normal 5 2 4 2 3 5 2" xfId="15236" xr:uid="{00000000-0005-0000-0000-0000AA620000}"/>
    <cellStyle name="Normal 5 2 4 2 3 5 2 2" xfId="40791" xr:uid="{00000000-0005-0000-0000-0000AB620000}"/>
    <cellStyle name="Normal 5 2 4 2 3 5 3" xfId="25487" xr:uid="{00000000-0005-0000-0000-0000AC620000}"/>
    <cellStyle name="Normal 5 2 4 2 3 5 3 2" xfId="51040" xr:uid="{00000000-0005-0000-0000-0000AD620000}"/>
    <cellStyle name="Normal 5 2 4 2 3 5 4" xfId="31970" xr:uid="{00000000-0005-0000-0000-0000AE620000}"/>
    <cellStyle name="Normal 5 2 4 2 3 6" xfId="7855" xr:uid="{00000000-0005-0000-0000-0000AF620000}"/>
    <cellStyle name="Normal 5 2 4 2 3 6 2" xfId="20661" xr:uid="{00000000-0005-0000-0000-0000B0620000}"/>
    <cellStyle name="Normal 5 2 4 2 3 6 2 2" xfId="46214" xr:uid="{00000000-0005-0000-0000-0000B1620000}"/>
    <cellStyle name="Normal 5 2 4 2 3 6 3" xfId="33412" xr:uid="{00000000-0005-0000-0000-0000B2620000}"/>
    <cellStyle name="Normal 5 2 4 2 3 7" xfId="16463" xr:uid="{00000000-0005-0000-0000-0000B3620000}"/>
    <cellStyle name="Normal 5 2 4 2 3 7 2" xfId="42016" xr:uid="{00000000-0005-0000-0000-0000B4620000}"/>
    <cellStyle name="Normal 5 2 4 2 3 8" xfId="27144" xr:uid="{00000000-0005-0000-0000-0000B5620000}"/>
    <cellStyle name="Normal 5 2 4 2 4" xfId="2992" xr:uid="{00000000-0005-0000-0000-0000B6620000}"/>
    <cellStyle name="Normal 5 2 4 2 4 2" xfId="5370" xr:uid="{00000000-0005-0000-0000-0000B7620000}"/>
    <cellStyle name="Normal 5 2 4 2 4 2 2" xfId="14207" xr:uid="{00000000-0005-0000-0000-0000B8620000}"/>
    <cellStyle name="Normal 5 2 4 2 4 2 2 2" xfId="24458" xr:uid="{00000000-0005-0000-0000-0000B9620000}"/>
    <cellStyle name="Normal 5 2 4 2 4 2 2 2 2" xfId="50011" xr:uid="{00000000-0005-0000-0000-0000BA620000}"/>
    <cellStyle name="Normal 5 2 4 2 4 2 2 3" xfId="39762" xr:uid="{00000000-0005-0000-0000-0000BB620000}"/>
    <cellStyle name="Normal 5 2 4 2 4 2 3" xfId="10628" xr:uid="{00000000-0005-0000-0000-0000BC620000}"/>
    <cellStyle name="Normal 5 2 4 2 4 2 3 2" xfId="36185" xr:uid="{00000000-0005-0000-0000-0000BD620000}"/>
    <cellStyle name="Normal 5 2 4 2 4 2 4" xfId="19451" xr:uid="{00000000-0005-0000-0000-0000BE620000}"/>
    <cellStyle name="Normal 5 2 4 2 4 2 4 2" xfId="45004" xr:uid="{00000000-0005-0000-0000-0000BF620000}"/>
    <cellStyle name="Normal 5 2 4 2 4 2 5" xfId="30941" xr:uid="{00000000-0005-0000-0000-0000C0620000}"/>
    <cellStyle name="Normal 5 2 4 2 4 3" xfId="6825" xr:uid="{00000000-0005-0000-0000-0000C1620000}"/>
    <cellStyle name="Normal 5 2 4 2 4 3 2" xfId="15652" xr:uid="{00000000-0005-0000-0000-0000C2620000}"/>
    <cellStyle name="Normal 5 2 4 2 4 3 2 2" xfId="41207" xr:uid="{00000000-0005-0000-0000-0000C3620000}"/>
    <cellStyle name="Normal 5 2 4 2 4 3 3" xfId="25903" xr:uid="{00000000-0005-0000-0000-0000C4620000}"/>
    <cellStyle name="Normal 5 2 4 2 4 3 3 2" xfId="51456" xr:uid="{00000000-0005-0000-0000-0000C5620000}"/>
    <cellStyle name="Normal 5 2 4 2 4 3 4" xfId="32386" xr:uid="{00000000-0005-0000-0000-0000C6620000}"/>
    <cellStyle name="Normal 5 2 4 2 4 4" xfId="8271" xr:uid="{00000000-0005-0000-0000-0000C7620000}"/>
    <cellStyle name="Normal 5 2 4 2 4 4 2" xfId="22353" xr:uid="{00000000-0005-0000-0000-0000C8620000}"/>
    <cellStyle name="Normal 5 2 4 2 4 4 2 2" xfId="47906" xr:uid="{00000000-0005-0000-0000-0000C9620000}"/>
    <cellStyle name="Normal 5 2 4 2 4 4 3" xfId="33828" xr:uid="{00000000-0005-0000-0000-0000CA620000}"/>
    <cellStyle name="Normal 5 2 4 2 4 5" xfId="17346" xr:uid="{00000000-0005-0000-0000-0000CB620000}"/>
    <cellStyle name="Normal 5 2 4 2 4 5 2" xfId="42899" xr:uid="{00000000-0005-0000-0000-0000CC620000}"/>
    <cellStyle name="Normal 5 2 4 2 4 6" xfId="28836" xr:uid="{00000000-0005-0000-0000-0000CD620000}"/>
    <cellStyle name="Normal 5 2 4 2 5" xfId="4326" xr:uid="{00000000-0005-0000-0000-0000CE620000}"/>
    <cellStyle name="Normal 5 2 4 2 5 2" xfId="13164" xr:uid="{00000000-0005-0000-0000-0000CF620000}"/>
    <cellStyle name="Normal 5 2 4 2 5 2 2" xfId="23415" xr:uid="{00000000-0005-0000-0000-0000D0620000}"/>
    <cellStyle name="Normal 5 2 4 2 5 2 2 2" xfId="48968" xr:uid="{00000000-0005-0000-0000-0000D1620000}"/>
    <cellStyle name="Normal 5 2 4 2 5 2 3" xfId="38719" xr:uid="{00000000-0005-0000-0000-0000D2620000}"/>
    <cellStyle name="Normal 5 2 4 2 5 3" xfId="9585" xr:uid="{00000000-0005-0000-0000-0000D3620000}"/>
    <cellStyle name="Normal 5 2 4 2 5 3 2" xfId="35142" xr:uid="{00000000-0005-0000-0000-0000D4620000}"/>
    <cellStyle name="Normal 5 2 4 2 5 4" xfId="18408" xr:uid="{00000000-0005-0000-0000-0000D5620000}"/>
    <cellStyle name="Normal 5 2 4 2 5 4 2" xfId="43961" xr:uid="{00000000-0005-0000-0000-0000D6620000}"/>
    <cellStyle name="Normal 5 2 4 2 5 5" xfId="29898" xr:uid="{00000000-0005-0000-0000-0000D7620000}"/>
    <cellStyle name="Normal 5 2 4 2 6" xfId="1598" xr:uid="{00000000-0005-0000-0000-0000D8620000}"/>
    <cellStyle name="Normal 5 2 4 2 6 2" xfId="10975" xr:uid="{00000000-0005-0000-0000-0000D9620000}"/>
    <cellStyle name="Normal 5 2 4 2 6 2 2" xfId="36530" xr:uid="{00000000-0005-0000-0000-0000DA620000}"/>
    <cellStyle name="Normal 5 2 4 2 6 3" xfId="20979" xr:uid="{00000000-0005-0000-0000-0000DB620000}"/>
    <cellStyle name="Normal 5 2 4 2 6 3 2" xfId="46532" xr:uid="{00000000-0005-0000-0000-0000DC620000}"/>
    <cellStyle name="Normal 5 2 4 2 6 4" xfId="27462" xr:uid="{00000000-0005-0000-0000-0000DD620000}"/>
    <cellStyle name="Normal 5 2 4 2 7" xfId="5782" xr:uid="{00000000-0005-0000-0000-0000DE620000}"/>
    <cellStyle name="Normal 5 2 4 2 7 2" xfId="14609" xr:uid="{00000000-0005-0000-0000-0000DF620000}"/>
    <cellStyle name="Normal 5 2 4 2 7 2 2" xfId="40164" xr:uid="{00000000-0005-0000-0000-0000E0620000}"/>
    <cellStyle name="Normal 5 2 4 2 7 3" xfId="24860" xr:uid="{00000000-0005-0000-0000-0000E1620000}"/>
    <cellStyle name="Normal 5 2 4 2 7 3 2" xfId="50413" xr:uid="{00000000-0005-0000-0000-0000E2620000}"/>
    <cellStyle name="Normal 5 2 4 2 7 4" xfId="31343" xr:uid="{00000000-0005-0000-0000-0000E3620000}"/>
    <cellStyle name="Normal 5 2 4 2 8" xfId="7226" xr:uid="{00000000-0005-0000-0000-0000E4620000}"/>
    <cellStyle name="Normal 5 2 4 2 8 2" xfId="19952" xr:uid="{00000000-0005-0000-0000-0000E5620000}"/>
    <cellStyle name="Normal 5 2 4 2 8 2 2" xfId="45505" xr:uid="{00000000-0005-0000-0000-0000E6620000}"/>
    <cellStyle name="Normal 5 2 4 2 8 3" xfId="32783" xr:uid="{00000000-0005-0000-0000-0000E7620000}"/>
    <cellStyle name="Normal 5 2 4 2 9" xfId="15972" xr:uid="{00000000-0005-0000-0000-0000E8620000}"/>
    <cellStyle name="Normal 5 2 4 2 9 2" xfId="41525" xr:uid="{00000000-0005-0000-0000-0000E9620000}"/>
    <cellStyle name="Normal 5 2 4 2_Degree data" xfId="3832" xr:uid="{00000000-0005-0000-0000-0000EA620000}"/>
    <cellStyle name="Normal 5 2 4 3" xfId="406" xr:uid="{00000000-0005-0000-0000-0000EB620000}"/>
    <cellStyle name="Normal 5 2 4 3 2" xfId="2892" xr:uid="{00000000-0005-0000-0000-0000EC620000}"/>
    <cellStyle name="Normal 5 2 4 3 2 2" xfId="12180" xr:uid="{00000000-0005-0000-0000-0000ED620000}"/>
    <cellStyle name="Normal 5 2 4 3 2 2 2" xfId="22253" xr:uid="{00000000-0005-0000-0000-0000EE620000}"/>
    <cellStyle name="Normal 5 2 4 3 2 2 2 2" xfId="47806" xr:uid="{00000000-0005-0000-0000-0000EF620000}"/>
    <cellStyle name="Normal 5 2 4 3 2 2 3" xfId="37735" xr:uid="{00000000-0005-0000-0000-0000F0620000}"/>
    <cellStyle name="Normal 5 2 4 3 2 3" xfId="8514" xr:uid="{00000000-0005-0000-0000-0000F1620000}"/>
    <cellStyle name="Normal 5 2 4 3 2 3 2" xfId="34071" xr:uid="{00000000-0005-0000-0000-0000F2620000}"/>
    <cellStyle name="Normal 5 2 4 3 2 4" xfId="17246" xr:uid="{00000000-0005-0000-0000-0000F3620000}"/>
    <cellStyle name="Normal 5 2 4 3 2 4 2" xfId="42799" xr:uid="{00000000-0005-0000-0000-0000F4620000}"/>
    <cellStyle name="Normal 5 2 4 3 2 5" xfId="28736" xr:uid="{00000000-0005-0000-0000-0000F5620000}"/>
    <cellStyle name="Normal 5 2 4 3 3" xfId="4604" xr:uid="{00000000-0005-0000-0000-0000F6620000}"/>
    <cellStyle name="Normal 5 2 4 3 3 2" xfId="13442" xr:uid="{00000000-0005-0000-0000-0000F7620000}"/>
    <cellStyle name="Normal 5 2 4 3 3 2 2" xfId="23693" xr:uid="{00000000-0005-0000-0000-0000F8620000}"/>
    <cellStyle name="Normal 5 2 4 3 3 2 2 2" xfId="49246" xr:uid="{00000000-0005-0000-0000-0000F9620000}"/>
    <cellStyle name="Normal 5 2 4 3 3 2 3" xfId="38997" xr:uid="{00000000-0005-0000-0000-0000FA620000}"/>
    <cellStyle name="Normal 5 2 4 3 3 3" xfId="9863" xr:uid="{00000000-0005-0000-0000-0000FB620000}"/>
    <cellStyle name="Normal 5 2 4 3 3 3 2" xfId="35420" xr:uid="{00000000-0005-0000-0000-0000FC620000}"/>
    <cellStyle name="Normal 5 2 4 3 3 4" xfId="18686" xr:uid="{00000000-0005-0000-0000-0000FD620000}"/>
    <cellStyle name="Normal 5 2 4 3 3 4 2" xfId="44239" xr:uid="{00000000-0005-0000-0000-0000FE620000}"/>
    <cellStyle name="Normal 5 2 4 3 3 5" xfId="30176" xr:uid="{00000000-0005-0000-0000-0000FF620000}"/>
    <cellStyle name="Normal 5 2 4 3 4" xfId="2001" xr:uid="{00000000-0005-0000-0000-000000630000}"/>
    <cellStyle name="Normal 5 2 4 3 4 2" xfId="11366" xr:uid="{00000000-0005-0000-0000-000001630000}"/>
    <cellStyle name="Normal 5 2 4 3 4 2 2" xfId="36921" xr:uid="{00000000-0005-0000-0000-000002630000}"/>
    <cellStyle name="Normal 5 2 4 3 4 3" xfId="21370" xr:uid="{00000000-0005-0000-0000-000003630000}"/>
    <cellStyle name="Normal 5 2 4 3 4 3 2" xfId="46923" xr:uid="{00000000-0005-0000-0000-000004630000}"/>
    <cellStyle name="Normal 5 2 4 3 4 4" xfId="27853" xr:uid="{00000000-0005-0000-0000-000005630000}"/>
    <cellStyle name="Normal 5 2 4 3 5" xfId="6060" xr:uid="{00000000-0005-0000-0000-000006630000}"/>
    <cellStyle name="Normal 5 2 4 3 5 2" xfId="14887" xr:uid="{00000000-0005-0000-0000-000007630000}"/>
    <cellStyle name="Normal 5 2 4 3 5 2 2" xfId="40442" xr:uid="{00000000-0005-0000-0000-000008630000}"/>
    <cellStyle name="Normal 5 2 4 3 5 3" xfId="25138" xr:uid="{00000000-0005-0000-0000-000009630000}"/>
    <cellStyle name="Normal 5 2 4 3 5 3 2" xfId="50691" xr:uid="{00000000-0005-0000-0000-00000A630000}"/>
    <cellStyle name="Normal 5 2 4 3 5 4" xfId="31621" xr:uid="{00000000-0005-0000-0000-00000B630000}"/>
    <cellStyle name="Normal 5 2 4 3 6" xfId="7505" xr:uid="{00000000-0005-0000-0000-00000C630000}"/>
    <cellStyle name="Normal 5 2 4 3 6 2" xfId="19852" xr:uid="{00000000-0005-0000-0000-00000D630000}"/>
    <cellStyle name="Normal 5 2 4 3 6 2 2" xfId="45405" xr:uid="{00000000-0005-0000-0000-00000E630000}"/>
    <cellStyle name="Normal 5 2 4 3 6 3" xfId="33062" xr:uid="{00000000-0005-0000-0000-00000F630000}"/>
    <cellStyle name="Normal 5 2 4 3 7" xfId="16363" xr:uid="{00000000-0005-0000-0000-000010630000}"/>
    <cellStyle name="Normal 5 2 4 3 7 2" xfId="41916" xr:uid="{00000000-0005-0000-0000-000011630000}"/>
    <cellStyle name="Normal 5 2 4 3 8" xfId="26335" xr:uid="{00000000-0005-0000-0000-000012630000}"/>
    <cellStyle name="Normal 5 2 4 4" xfId="790" xr:uid="{00000000-0005-0000-0000-000013630000}"/>
    <cellStyle name="Normal 5 2 4 4 2" xfId="3275" xr:uid="{00000000-0005-0000-0000-000014630000}"/>
    <cellStyle name="Normal 5 2 4 4 2 2" xfId="12417" xr:uid="{00000000-0005-0000-0000-000015630000}"/>
    <cellStyle name="Normal 5 2 4 4 2 2 2" xfId="22636" xr:uid="{00000000-0005-0000-0000-000016630000}"/>
    <cellStyle name="Normal 5 2 4 4 2 2 2 2" xfId="48189" xr:uid="{00000000-0005-0000-0000-000017630000}"/>
    <cellStyle name="Normal 5 2 4 4 2 2 3" xfId="37972" xr:uid="{00000000-0005-0000-0000-000018630000}"/>
    <cellStyle name="Normal 5 2 4 4 2 3" xfId="8839" xr:uid="{00000000-0005-0000-0000-000019630000}"/>
    <cellStyle name="Normal 5 2 4 4 2 3 2" xfId="34396" xr:uid="{00000000-0005-0000-0000-00001A630000}"/>
    <cellStyle name="Normal 5 2 4 4 2 4" xfId="17629" xr:uid="{00000000-0005-0000-0000-00001B630000}"/>
    <cellStyle name="Normal 5 2 4 4 2 4 2" xfId="43182" xr:uid="{00000000-0005-0000-0000-00001C630000}"/>
    <cellStyle name="Normal 5 2 4 4 2 5" xfId="29119" xr:uid="{00000000-0005-0000-0000-00001D630000}"/>
    <cellStyle name="Normal 5 2 4 4 3" xfId="4953" xr:uid="{00000000-0005-0000-0000-00001E630000}"/>
    <cellStyle name="Normal 5 2 4 4 3 2" xfId="13790" xr:uid="{00000000-0005-0000-0000-00001F630000}"/>
    <cellStyle name="Normal 5 2 4 4 3 2 2" xfId="24041" xr:uid="{00000000-0005-0000-0000-000020630000}"/>
    <cellStyle name="Normal 5 2 4 4 3 2 2 2" xfId="49594" xr:uid="{00000000-0005-0000-0000-000021630000}"/>
    <cellStyle name="Normal 5 2 4 4 3 2 3" xfId="39345" xr:uid="{00000000-0005-0000-0000-000022630000}"/>
    <cellStyle name="Normal 5 2 4 4 3 3" xfId="10211" xr:uid="{00000000-0005-0000-0000-000023630000}"/>
    <cellStyle name="Normal 5 2 4 4 3 3 2" xfId="35768" xr:uid="{00000000-0005-0000-0000-000024630000}"/>
    <cellStyle name="Normal 5 2 4 4 3 4" xfId="19034" xr:uid="{00000000-0005-0000-0000-000025630000}"/>
    <cellStyle name="Normal 5 2 4 4 3 4 2" xfId="44587" xr:uid="{00000000-0005-0000-0000-000026630000}"/>
    <cellStyle name="Normal 5 2 4 4 3 5" xfId="30524" xr:uid="{00000000-0005-0000-0000-000027630000}"/>
    <cellStyle name="Normal 5 2 4 4 4" xfId="2384" xr:uid="{00000000-0005-0000-0000-000028630000}"/>
    <cellStyle name="Normal 5 2 4 4 4 2" xfId="11749" xr:uid="{00000000-0005-0000-0000-000029630000}"/>
    <cellStyle name="Normal 5 2 4 4 4 2 2" xfId="37304" xr:uid="{00000000-0005-0000-0000-00002A630000}"/>
    <cellStyle name="Normal 5 2 4 4 4 3" xfId="21753" xr:uid="{00000000-0005-0000-0000-00002B630000}"/>
    <cellStyle name="Normal 5 2 4 4 4 3 2" xfId="47306" xr:uid="{00000000-0005-0000-0000-00002C630000}"/>
    <cellStyle name="Normal 5 2 4 4 4 4" xfId="28236" xr:uid="{00000000-0005-0000-0000-00002D630000}"/>
    <cellStyle name="Normal 5 2 4 4 5" xfId="6408" xr:uid="{00000000-0005-0000-0000-00002E630000}"/>
    <cellStyle name="Normal 5 2 4 4 5 2" xfId="15235" xr:uid="{00000000-0005-0000-0000-00002F630000}"/>
    <cellStyle name="Normal 5 2 4 4 5 2 2" xfId="40790" xr:uid="{00000000-0005-0000-0000-000030630000}"/>
    <cellStyle name="Normal 5 2 4 4 5 3" xfId="25486" xr:uid="{00000000-0005-0000-0000-000031630000}"/>
    <cellStyle name="Normal 5 2 4 4 5 3 2" xfId="51039" xr:uid="{00000000-0005-0000-0000-000032630000}"/>
    <cellStyle name="Normal 5 2 4 4 5 4" xfId="31969" xr:uid="{00000000-0005-0000-0000-000033630000}"/>
    <cellStyle name="Normal 5 2 4 4 6" xfId="7854" xr:uid="{00000000-0005-0000-0000-000034630000}"/>
    <cellStyle name="Normal 5 2 4 4 6 2" xfId="20235" xr:uid="{00000000-0005-0000-0000-000035630000}"/>
    <cellStyle name="Normal 5 2 4 4 6 2 2" xfId="45788" xr:uid="{00000000-0005-0000-0000-000036630000}"/>
    <cellStyle name="Normal 5 2 4 4 6 3" xfId="33411" xr:uid="{00000000-0005-0000-0000-000037630000}"/>
    <cellStyle name="Normal 5 2 4 4 7" xfId="16746" xr:uid="{00000000-0005-0000-0000-000038630000}"/>
    <cellStyle name="Normal 5 2 4 4 7 2" xfId="42299" xr:uid="{00000000-0005-0000-0000-000039630000}"/>
    <cellStyle name="Normal 5 2 4 4 8" xfId="26718" xr:uid="{00000000-0005-0000-0000-00003A630000}"/>
    <cellStyle name="Normal 5 2 4 5" xfId="1178" xr:uid="{00000000-0005-0000-0000-00003B630000}"/>
    <cellStyle name="Normal 5 2 4 5 2" xfId="3607" xr:uid="{00000000-0005-0000-0000-00003C630000}"/>
    <cellStyle name="Normal 5 2 4 5 2 2" xfId="12743" xr:uid="{00000000-0005-0000-0000-00003D630000}"/>
    <cellStyle name="Normal 5 2 4 5 2 2 2" xfId="22962" xr:uid="{00000000-0005-0000-0000-00003E630000}"/>
    <cellStyle name="Normal 5 2 4 5 2 2 2 2" xfId="48515" xr:uid="{00000000-0005-0000-0000-00003F630000}"/>
    <cellStyle name="Normal 5 2 4 5 2 2 3" xfId="38298" xr:uid="{00000000-0005-0000-0000-000040630000}"/>
    <cellStyle name="Normal 5 2 4 5 2 3" xfId="9164" xr:uid="{00000000-0005-0000-0000-000041630000}"/>
    <cellStyle name="Normal 5 2 4 5 2 3 2" xfId="34721" xr:uid="{00000000-0005-0000-0000-000042630000}"/>
    <cellStyle name="Normal 5 2 4 5 2 4" xfId="17955" xr:uid="{00000000-0005-0000-0000-000043630000}"/>
    <cellStyle name="Normal 5 2 4 5 2 4 2" xfId="43508" xr:uid="{00000000-0005-0000-0000-000044630000}"/>
    <cellStyle name="Normal 5 2 4 5 2 5" xfId="29445" xr:uid="{00000000-0005-0000-0000-000045630000}"/>
    <cellStyle name="Normal 5 2 4 5 3" xfId="5270" xr:uid="{00000000-0005-0000-0000-000046630000}"/>
    <cellStyle name="Normal 5 2 4 5 3 2" xfId="14107" xr:uid="{00000000-0005-0000-0000-000047630000}"/>
    <cellStyle name="Normal 5 2 4 5 3 2 2" xfId="24358" xr:uid="{00000000-0005-0000-0000-000048630000}"/>
    <cellStyle name="Normal 5 2 4 5 3 2 2 2" xfId="49911" xr:uid="{00000000-0005-0000-0000-000049630000}"/>
    <cellStyle name="Normal 5 2 4 5 3 2 3" xfId="39662" xr:uid="{00000000-0005-0000-0000-00004A630000}"/>
    <cellStyle name="Normal 5 2 4 5 3 3" xfId="10528" xr:uid="{00000000-0005-0000-0000-00004B630000}"/>
    <cellStyle name="Normal 5 2 4 5 3 3 2" xfId="36085" xr:uid="{00000000-0005-0000-0000-00004C630000}"/>
    <cellStyle name="Normal 5 2 4 5 3 4" xfId="19351" xr:uid="{00000000-0005-0000-0000-00004D630000}"/>
    <cellStyle name="Normal 5 2 4 5 3 4 2" xfId="44904" xr:uid="{00000000-0005-0000-0000-00004E630000}"/>
    <cellStyle name="Normal 5 2 4 5 3 5" xfId="30841" xr:uid="{00000000-0005-0000-0000-00004F630000}"/>
    <cellStyle name="Normal 5 2 4 5 4" xfId="1780" xr:uid="{00000000-0005-0000-0000-000050630000}"/>
    <cellStyle name="Normal 5 2 4 5 4 2" xfId="11149" xr:uid="{00000000-0005-0000-0000-000051630000}"/>
    <cellStyle name="Normal 5 2 4 5 4 2 2" xfId="36704" xr:uid="{00000000-0005-0000-0000-000052630000}"/>
    <cellStyle name="Normal 5 2 4 5 4 3" xfId="21153" xr:uid="{00000000-0005-0000-0000-000053630000}"/>
    <cellStyle name="Normal 5 2 4 5 4 3 2" xfId="46706" xr:uid="{00000000-0005-0000-0000-000054630000}"/>
    <cellStyle name="Normal 5 2 4 5 4 4" xfId="27636" xr:uid="{00000000-0005-0000-0000-000055630000}"/>
    <cellStyle name="Normal 5 2 4 5 5" xfId="6725" xr:uid="{00000000-0005-0000-0000-000056630000}"/>
    <cellStyle name="Normal 5 2 4 5 5 2" xfId="15552" xr:uid="{00000000-0005-0000-0000-000057630000}"/>
    <cellStyle name="Normal 5 2 4 5 5 2 2" xfId="41107" xr:uid="{00000000-0005-0000-0000-000058630000}"/>
    <cellStyle name="Normal 5 2 4 5 5 3" xfId="25803" xr:uid="{00000000-0005-0000-0000-000059630000}"/>
    <cellStyle name="Normal 5 2 4 5 5 3 2" xfId="51356" xr:uid="{00000000-0005-0000-0000-00005A630000}"/>
    <cellStyle name="Normal 5 2 4 5 5 4" xfId="32286" xr:uid="{00000000-0005-0000-0000-00005B630000}"/>
    <cellStyle name="Normal 5 2 4 5 6" xfId="8171" xr:uid="{00000000-0005-0000-0000-00005C630000}"/>
    <cellStyle name="Normal 5 2 4 5 6 2" xfId="20561" xr:uid="{00000000-0005-0000-0000-00005D630000}"/>
    <cellStyle name="Normal 5 2 4 5 6 2 2" xfId="46114" xr:uid="{00000000-0005-0000-0000-00005E630000}"/>
    <cellStyle name="Normal 5 2 4 5 6 3" xfId="33728" xr:uid="{00000000-0005-0000-0000-00005F630000}"/>
    <cellStyle name="Normal 5 2 4 5 7" xfId="16146" xr:uid="{00000000-0005-0000-0000-000060630000}"/>
    <cellStyle name="Normal 5 2 4 5 7 2" xfId="41699" xr:uid="{00000000-0005-0000-0000-000061630000}"/>
    <cellStyle name="Normal 5 2 4 5 8" xfId="27044" xr:uid="{00000000-0005-0000-0000-000062630000}"/>
    <cellStyle name="Normal 5 2 4 6" xfId="2675" xr:uid="{00000000-0005-0000-0000-000063630000}"/>
    <cellStyle name="Normal 5 2 4 6 2" xfId="11992" xr:uid="{00000000-0005-0000-0000-000064630000}"/>
    <cellStyle name="Normal 5 2 4 6 2 2" xfId="22036" xr:uid="{00000000-0005-0000-0000-000065630000}"/>
    <cellStyle name="Normal 5 2 4 6 2 2 2" xfId="47589" xr:uid="{00000000-0005-0000-0000-000066630000}"/>
    <cellStyle name="Normal 5 2 4 6 2 3" xfId="37547" xr:uid="{00000000-0005-0000-0000-000067630000}"/>
    <cellStyle name="Normal 5 2 4 6 3" xfId="8552" xr:uid="{00000000-0005-0000-0000-000068630000}"/>
    <cellStyle name="Normal 5 2 4 6 3 2" xfId="34109" xr:uid="{00000000-0005-0000-0000-000069630000}"/>
    <cellStyle name="Normal 5 2 4 6 4" xfId="17029" xr:uid="{00000000-0005-0000-0000-00006A630000}"/>
    <cellStyle name="Normal 5 2 4 6 4 2" xfId="42582" xr:uid="{00000000-0005-0000-0000-00006B630000}"/>
    <cellStyle name="Normal 5 2 4 6 5" xfId="28519" xr:uid="{00000000-0005-0000-0000-00006C630000}"/>
    <cellStyle name="Normal 5 2 4 7" xfId="4226" xr:uid="{00000000-0005-0000-0000-00006D630000}"/>
    <cellStyle name="Normal 5 2 4 7 2" xfId="13064" xr:uid="{00000000-0005-0000-0000-00006E630000}"/>
    <cellStyle name="Normal 5 2 4 7 2 2" xfId="23315" xr:uid="{00000000-0005-0000-0000-00006F630000}"/>
    <cellStyle name="Normal 5 2 4 7 2 2 2" xfId="48868" xr:uid="{00000000-0005-0000-0000-000070630000}"/>
    <cellStyle name="Normal 5 2 4 7 2 3" xfId="38619" xr:uid="{00000000-0005-0000-0000-000071630000}"/>
    <cellStyle name="Normal 5 2 4 7 3" xfId="9485" xr:uid="{00000000-0005-0000-0000-000072630000}"/>
    <cellStyle name="Normal 5 2 4 7 3 2" xfId="35042" xr:uid="{00000000-0005-0000-0000-000073630000}"/>
    <cellStyle name="Normal 5 2 4 7 4" xfId="18308" xr:uid="{00000000-0005-0000-0000-000074630000}"/>
    <cellStyle name="Normal 5 2 4 7 4 2" xfId="43861" xr:uid="{00000000-0005-0000-0000-000075630000}"/>
    <cellStyle name="Normal 5 2 4 7 5" xfId="29798" xr:uid="{00000000-0005-0000-0000-000076630000}"/>
    <cellStyle name="Normal 5 2 4 8" xfId="1498" xr:uid="{00000000-0005-0000-0000-000077630000}"/>
    <cellStyle name="Normal 5 2 4 8 2" xfId="10875" xr:uid="{00000000-0005-0000-0000-000078630000}"/>
    <cellStyle name="Normal 5 2 4 8 2 2" xfId="36430" xr:uid="{00000000-0005-0000-0000-000079630000}"/>
    <cellStyle name="Normal 5 2 4 8 3" xfId="20879" xr:uid="{00000000-0005-0000-0000-00007A630000}"/>
    <cellStyle name="Normal 5 2 4 8 3 2" xfId="46432" xr:uid="{00000000-0005-0000-0000-00007B630000}"/>
    <cellStyle name="Normal 5 2 4 8 4" xfId="27362" xr:uid="{00000000-0005-0000-0000-00007C630000}"/>
    <cellStyle name="Normal 5 2 4 9" xfId="5682" xr:uid="{00000000-0005-0000-0000-00007D630000}"/>
    <cellStyle name="Normal 5 2 4 9 2" xfId="14509" xr:uid="{00000000-0005-0000-0000-00007E630000}"/>
    <cellStyle name="Normal 5 2 4 9 2 2" xfId="40064" xr:uid="{00000000-0005-0000-0000-00007F630000}"/>
    <cellStyle name="Normal 5 2 4 9 3" xfId="24760" xr:uid="{00000000-0005-0000-0000-000080630000}"/>
    <cellStyle name="Normal 5 2 4 9 3 2" xfId="50313" xr:uid="{00000000-0005-0000-0000-000081630000}"/>
    <cellStyle name="Normal 5 2 4 9 4" xfId="31243" xr:uid="{00000000-0005-0000-0000-000082630000}"/>
    <cellStyle name="Normal 5 2 4_Degree data" xfId="3872" xr:uid="{00000000-0005-0000-0000-000083630000}"/>
    <cellStyle name="Normal 5 2 5" xfId="233" xr:uid="{00000000-0005-0000-0000-000084630000}"/>
    <cellStyle name="Normal 5 2 5 10" xfId="7071" xr:uid="{00000000-0005-0000-0000-000085630000}"/>
    <cellStyle name="Normal 5 2 5 10 2" xfId="19685" xr:uid="{00000000-0005-0000-0000-000086630000}"/>
    <cellStyle name="Normal 5 2 5 10 2 2" xfId="45238" xr:uid="{00000000-0005-0000-0000-000087630000}"/>
    <cellStyle name="Normal 5 2 5 10 3" xfId="32628" xr:uid="{00000000-0005-0000-0000-000088630000}"/>
    <cellStyle name="Normal 5 2 5 11" xfId="15817" xr:uid="{00000000-0005-0000-0000-000089630000}"/>
    <cellStyle name="Normal 5 2 5 11 2" xfId="41370" xr:uid="{00000000-0005-0000-0000-00008A630000}"/>
    <cellStyle name="Normal 5 2 5 12" xfId="26168" xr:uid="{00000000-0005-0000-0000-00008B630000}"/>
    <cellStyle name="Normal 5 2 5 2" xfId="556" xr:uid="{00000000-0005-0000-0000-00008C630000}"/>
    <cellStyle name="Normal 5 2 5 2 10" xfId="26485" xr:uid="{00000000-0005-0000-0000-00008D630000}"/>
    <cellStyle name="Normal 5 2 5 2 2" xfId="793" xr:uid="{00000000-0005-0000-0000-00008E630000}"/>
    <cellStyle name="Normal 5 2 5 2 2 2" xfId="3278" xr:uid="{00000000-0005-0000-0000-00008F630000}"/>
    <cellStyle name="Normal 5 2 5 2 2 2 2" xfId="12420" xr:uid="{00000000-0005-0000-0000-000090630000}"/>
    <cellStyle name="Normal 5 2 5 2 2 2 2 2" xfId="22639" xr:uid="{00000000-0005-0000-0000-000091630000}"/>
    <cellStyle name="Normal 5 2 5 2 2 2 2 2 2" xfId="48192" xr:uid="{00000000-0005-0000-0000-000092630000}"/>
    <cellStyle name="Normal 5 2 5 2 2 2 2 3" xfId="37975" xr:uid="{00000000-0005-0000-0000-000093630000}"/>
    <cellStyle name="Normal 5 2 5 2 2 2 3" xfId="8842" xr:uid="{00000000-0005-0000-0000-000094630000}"/>
    <cellStyle name="Normal 5 2 5 2 2 2 3 2" xfId="34399" xr:uid="{00000000-0005-0000-0000-000095630000}"/>
    <cellStyle name="Normal 5 2 5 2 2 2 4" xfId="17632" xr:uid="{00000000-0005-0000-0000-000096630000}"/>
    <cellStyle name="Normal 5 2 5 2 2 2 4 2" xfId="43185" xr:uid="{00000000-0005-0000-0000-000097630000}"/>
    <cellStyle name="Normal 5 2 5 2 2 2 5" xfId="29122" xr:uid="{00000000-0005-0000-0000-000098630000}"/>
    <cellStyle name="Normal 5 2 5 2 2 3" xfId="4607" xr:uid="{00000000-0005-0000-0000-000099630000}"/>
    <cellStyle name="Normal 5 2 5 2 2 3 2" xfId="13445" xr:uid="{00000000-0005-0000-0000-00009A630000}"/>
    <cellStyle name="Normal 5 2 5 2 2 3 2 2" xfId="23696" xr:uid="{00000000-0005-0000-0000-00009B630000}"/>
    <cellStyle name="Normal 5 2 5 2 2 3 2 2 2" xfId="49249" xr:uid="{00000000-0005-0000-0000-00009C630000}"/>
    <cellStyle name="Normal 5 2 5 2 2 3 2 3" xfId="39000" xr:uid="{00000000-0005-0000-0000-00009D630000}"/>
    <cellStyle name="Normal 5 2 5 2 2 3 3" xfId="9866" xr:uid="{00000000-0005-0000-0000-00009E630000}"/>
    <cellStyle name="Normal 5 2 5 2 2 3 3 2" xfId="35423" xr:uid="{00000000-0005-0000-0000-00009F630000}"/>
    <cellStyle name="Normal 5 2 5 2 2 3 4" xfId="18689" xr:uid="{00000000-0005-0000-0000-0000A0630000}"/>
    <cellStyle name="Normal 5 2 5 2 2 3 4 2" xfId="44242" xr:uid="{00000000-0005-0000-0000-0000A1630000}"/>
    <cellStyle name="Normal 5 2 5 2 2 3 5" xfId="30179" xr:uid="{00000000-0005-0000-0000-0000A2630000}"/>
    <cellStyle name="Normal 5 2 5 2 2 4" xfId="2387" xr:uid="{00000000-0005-0000-0000-0000A3630000}"/>
    <cellStyle name="Normal 5 2 5 2 2 4 2" xfId="11752" xr:uid="{00000000-0005-0000-0000-0000A4630000}"/>
    <cellStyle name="Normal 5 2 5 2 2 4 2 2" xfId="37307" xr:uid="{00000000-0005-0000-0000-0000A5630000}"/>
    <cellStyle name="Normal 5 2 5 2 2 4 3" xfId="21756" xr:uid="{00000000-0005-0000-0000-0000A6630000}"/>
    <cellStyle name="Normal 5 2 5 2 2 4 3 2" xfId="47309" xr:uid="{00000000-0005-0000-0000-0000A7630000}"/>
    <cellStyle name="Normal 5 2 5 2 2 4 4" xfId="28239" xr:uid="{00000000-0005-0000-0000-0000A8630000}"/>
    <cellStyle name="Normal 5 2 5 2 2 5" xfId="6063" xr:uid="{00000000-0005-0000-0000-0000A9630000}"/>
    <cellStyle name="Normal 5 2 5 2 2 5 2" xfId="14890" xr:uid="{00000000-0005-0000-0000-0000AA630000}"/>
    <cellStyle name="Normal 5 2 5 2 2 5 2 2" xfId="40445" xr:uid="{00000000-0005-0000-0000-0000AB630000}"/>
    <cellStyle name="Normal 5 2 5 2 2 5 3" xfId="25141" xr:uid="{00000000-0005-0000-0000-0000AC630000}"/>
    <cellStyle name="Normal 5 2 5 2 2 5 3 2" xfId="50694" xr:uid="{00000000-0005-0000-0000-0000AD630000}"/>
    <cellStyle name="Normal 5 2 5 2 2 5 4" xfId="31624" xr:uid="{00000000-0005-0000-0000-0000AE630000}"/>
    <cellStyle name="Normal 5 2 5 2 2 6" xfId="7508" xr:uid="{00000000-0005-0000-0000-0000AF630000}"/>
    <cellStyle name="Normal 5 2 5 2 2 6 2" xfId="20238" xr:uid="{00000000-0005-0000-0000-0000B0630000}"/>
    <cellStyle name="Normal 5 2 5 2 2 6 2 2" xfId="45791" xr:uid="{00000000-0005-0000-0000-0000B1630000}"/>
    <cellStyle name="Normal 5 2 5 2 2 6 3" xfId="33065" xr:uid="{00000000-0005-0000-0000-0000B2630000}"/>
    <cellStyle name="Normal 5 2 5 2 2 7" xfId="16749" xr:uid="{00000000-0005-0000-0000-0000B3630000}"/>
    <cellStyle name="Normal 5 2 5 2 2 7 2" xfId="42302" xr:uid="{00000000-0005-0000-0000-0000B4630000}"/>
    <cellStyle name="Normal 5 2 5 2 2 8" xfId="26721" xr:uid="{00000000-0005-0000-0000-0000B5630000}"/>
    <cellStyle name="Normal 5 2 5 2 3" xfId="1328" xr:uid="{00000000-0005-0000-0000-0000B6630000}"/>
    <cellStyle name="Normal 5 2 5 2 3 2" xfId="3757" xr:uid="{00000000-0005-0000-0000-0000B7630000}"/>
    <cellStyle name="Normal 5 2 5 2 3 2 2" xfId="12893" xr:uid="{00000000-0005-0000-0000-0000B8630000}"/>
    <cellStyle name="Normal 5 2 5 2 3 2 2 2" xfId="23112" xr:uid="{00000000-0005-0000-0000-0000B9630000}"/>
    <cellStyle name="Normal 5 2 5 2 3 2 2 2 2" xfId="48665" xr:uid="{00000000-0005-0000-0000-0000BA630000}"/>
    <cellStyle name="Normal 5 2 5 2 3 2 2 3" xfId="38448" xr:uid="{00000000-0005-0000-0000-0000BB630000}"/>
    <cellStyle name="Normal 5 2 5 2 3 2 3" xfId="9314" xr:uid="{00000000-0005-0000-0000-0000BC630000}"/>
    <cellStyle name="Normal 5 2 5 2 3 2 3 2" xfId="34871" xr:uid="{00000000-0005-0000-0000-0000BD630000}"/>
    <cellStyle name="Normal 5 2 5 2 3 2 4" xfId="18105" xr:uid="{00000000-0005-0000-0000-0000BE630000}"/>
    <cellStyle name="Normal 5 2 5 2 3 2 4 2" xfId="43658" xr:uid="{00000000-0005-0000-0000-0000BF630000}"/>
    <cellStyle name="Normal 5 2 5 2 3 2 5" xfId="29595" xr:uid="{00000000-0005-0000-0000-0000C0630000}"/>
    <cellStyle name="Normal 5 2 5 2 3 3" xfId="4956" xr:uid="{00000000-0005-0000-0000-0000C1630000}"/>
    <cellStyle name="Normal 5 2 5 2 3 3 2" xfId="13793" xr:uid="{00000000-0005-0000-0000-0000C2630000}"/>
    <cellStyle name="Normal 5 2 5 2 3 3 2 2" xfId="24044" xr:uid="{00000000-0005-0000-0000-0000C3630000}"/>
    <cellStyle name="Normal 5 2 5 2 3 3 2 2 2" xfId="49597" xr:uid="{00000000-0005-0000-0000-0000C4630000}"/>
    <cellStyle name="Normal 5 2 5 2 3 3 2 3" xfId="39348" xr:uid="{00000000-0005-0000-0000-0000C5630000}"/>
    <cellStyle name="Normal 5 2 5 2 3 3 3" xfId="10214" xr:uid="{00000000-0005-0000-0000-0000C6630000}"/>
    <cellStyle name="Normal 5 2 5 2 3 3 3 2" xfId="35771" xr:uid="{00000000-0005-0000-0000-0000C7630000}"/>
    <cellStyle name="Normal 5 2 5 2 3 3 4" xfId="19037" xr:uid="{00000000-0005-0000-0000-0000C8630000}"/>
    <cellStyle name="Normal 5 2 5 2 3 3 4 2" xfId="44590" xr:uid="{00000000-0005-0000-0000-0000C9630000}"/>
    <cellStyle name="Normal 5 2 5 2 3 3 5" xfId="30527" xr:uid="{00000000-0005-0000-0000-0000CA630000}"/>
    <cellStyle name="Normal 5 2 5 2 3 4" xfId="2151" xr:uid="{00000000-0005-0000-0000-0000CB630000}"/>
    <cellStyle name="Normal 5 2 5 2 3 4 2" xfId="11516" xr:uid="{00000000-0005-0000-0000-0000CC630000}"/>
    <cellStyle name="Normal 5 2 5 2 3 4 2 2" xfId="37071" xr:uid="{00000000-0005-0000-0000-0000CD630000}"/>
    <cellStyle name="Normal 5 2 5 2 3 4 3" xfId="21520" xr:uid="{00000000-0005-0000-0000-0000CE630000}"/>
    <cellStyle name="Normal 5 2 5 2 3 4 3 2" xfId="47073" xr:uid="{00000000-0005-0000-0000-0000CF630000}"/>
    <cellStyle name="Normal 5 2 5 2 3 4 4" xfId="28003" xr:uid="{00000000-0005-0000-0000-0000D0630000}"/>
    <cellStyle name="Normal 5 2 5 2 3 5" xfId="6411" xr:uid="{00000000-0005-0000-0000-0000D1630000}"/>
    <cellStyle name="Normal 5 2 5 2 3 5 2" xfId="15238" xr:uid="{00000000-0005-0000-0000-0000D2630000}"/>
    <cellStyle name="Normal 5 2 5 2 3 5 2 2" xfId="40793" xr:uid="{00000000-0005-0000-0000-0000D3630000}"/>
    <cellStyle name="Normal 5 2 5 2 3 5 3" xfId="25489" xr:uid="{00000000-0005-0000-0000-0000D4630000}"/>
    <cellStyle name="Normal 5 2 5 2 3 5 3 2" xfId="51042" xr:uid="{00000000-0005-0000-0000-0000D5630000}"/>
    <cellStyle name="Normal 5 2 5 2 3 5 4" xfId="31972" xr:uid="{00000000-0005-0000-0000-0000D6630000}"/>
    <cellStyle name="Normal 5 2 5 2 3 6" xfId="7857" xr:uid="{00000000-0005-0000-0000-0000D7630000}"/>
    <cellStyle name="Normal 5 2 5 2 3 6 2" xfId="20711" xr:uid="{00000000-0005-0000-0000-0000D8630000}"/>
    <cellStyle name="Normal 5 2 5 2 3 6 2 2" xfId="46264" xr:uid="{00000000-0005-0000-0000-0000D9630000}"/>
    <cellStyle name="Normal 5 2 5 2 3 6 3" xfId="33414" xr:uid="{00000000-0005-0000-0000-0000DA630000}"/>
    <cellStyle name="Normal 5 2 5 2 3 7" xfId="16513" xr:uid="{00000000-0005-0000-0000-0000DB630000}"/>
    <cellStyle name="Normal 5 2 5 2 3 7 2" xfId="42066" xr:uid="{00000000-0005-0000-0000-0000DC630000}"/>
    <cellStyle name="Normal 5 2 5 2 3 8" xfId="27194" xr:uid="{00000000-0005-0000-0000-0000DD630000}"/>
    <cellStyle name="Normal 5 2 5 2 4" xfId="3042" xr:uid="{00000000-0005-0000-0000-0000DE630000}"/>
    <cellStyle name="Normal 5 2 5 2 4 2" xfId="5420" xr:uid="{00000000-0005-0000-0000-0000DF630000}"/>
    <cellStyle name="Normal 5 2 5 2 4 2 2" xfId="14257" xr:uid="{00000000-0005-0000-0000-0000E0630000}"/>
    <cellStyle name="Normal 5 2 5 2 4 2 2 2" xfId="24508" xr:uid="{00000000-0005-0000-0000-0000E1630000}"/>
    <cellStyle name="Normal 5 2 5 2 4 2 2 2 2" xfId="50061" xr:uid="{00000000-0005-0000-0000-0000E2630000}"/>
    <cellStyle name="Normal 5 2 5 2 4 2 2 3" xfId="39812" xr:uid="{00000000-0005-0000-0000-0000E3630000}"/>
    <cellStyle name="Normal 5 2 5 2 4 2 3" xfId="10678" xr:uid="{00000000-0005-0000-0000-0000E4630000}"/>
    <cellStyle name="Normal 5 2 5 2 4 2 3 2" xfId="36235" xr:uid="{00000000-0005-0000-0000-0000E5630000}"/>
    <cellStyle name="Normal 5 2 5 2 4 2 4" xfId="19501" xr:uid="{00000000-0005-0000-0000-0000E6630000}"/>
    <cellStyle name="Normal 5 2 5 2 4 2 4 2" xfId="45054" xr:uid="{00000000-0005-0000-0000-0000E7630000}"/>
    <cellStyle name="Normal 5 2 5 2 4 2 5" xfId="30991" xr:uid="{00000000-0005-0000-0000-0000E8630000}"/>
    <cellStyle name="Normal 5 2 5 2 4 3" xfId="6875" xr:uid="{00000000-0005-0000-0000-0000E9630000}"/>
    <cellStyle name="Normal 5 2 5 2 4 3 2" xfId="15702" xr:uid="{00000000-0005-0000-0000-0000EA630000}"/>
    <cellStyle name="Normal 5 2 5 2 4 3 2 2" xfId="41257" xr:uid="{00000000-0005-0000-0000-0000EB630000}"/>
    <cellStyle name="Normal 5 2 5 2 4 3 3" xfId="25953" xr:uid="{00000000-0005-0000-0000-0000EC630000}"/>
    <cellStyle name="Normal 5 2 5 2 4 3 3 2" xfId="51506" xr:uid="{00000000-0005-0000-0000-0000ED630000}"/>
    <cellStyle name="Normal 5 2 5 2 4 3 4" xfId="32436" xr:uid="{00000000-0005-0000-0000-0000EE630000}"/>
    <cellStyle name="Normal 5 2 5 2 4 4" xfId="8321" xr:uid="{00000000-0005-0000-0000-0000EF630000}"/>
    <cellStyle name="Normal 5 2 5 2 4 4 2" xfId="22403" xr:uid="{00000000-0005-0000-0000-0000F0630000}"/>
    <cellStyle name="Normal 5 2 5 2 4 4 2 2" xfId="47956" xr:uid="{00000000-0005-0000-0000-0000F1630000}"/>
    <cellStyle name="Normal 5 2 5 2 4 4 3" xfId="33878" xr:uid="{00000000-0005-0000-0000-0000F2630000}"/>
    <cellStyle name="Normal 5 2 5 2 4 5" xfId="17396" xr:uid="{00000000-0005-0000-0000-0000F3630000}"/>
    <cellStyle name="Normal 5 2 5 2 4 5 2" xfId="42949" xr:uid="{00000000-0005-0000-0000-0000F4630000}"/>
    <cellStyle name="Normal 5 2 5 2 4 6" xfId="28886" xr:uid="{00000000-0005-0000-0000-0000F5630000}"/>
    <cellStyle name="Normal 5 2 5 2 5" xfId="4376" xr:uid="{00000000-0005-0000-0000-0000F6630000}"/>
    <cellStyle name="Normal 5 2 5 2 5 2" xfId="13214" xr:uid="{00000000-0005-0000-0000-0000F7630000}"/>
    <cellStyle name="Normal 5 2 5 2 5 2 2" xfId="23465" xr:uid="{00000000-0005-0000-0000-0000F8630000}"/>
    <cellStyle name="Normal 5 2 5 2 5 2 2 2" xfId="49018" xr:uid="{00000000-0005-0000-0000-0000F9630000}"/>
    <cellStyle name="Normal 5 2 5 2 5 2 3" xfId="38769" xr:uid="{00000000-0005-0000-0000-0000FA630000}"/>
    <cellStyle name="Normal 5 2 5 2 5 3" xfId="9635" xr:uid="{00000000-0005-0000-0000-0000FB630000}"/>
    <cellStyle name="Normal 5 2 5 2 5 3 2" xfId="35192" xr:uid="{00000000-0005-0000-0000-0000FC630000}"/>
    <cellStyle name="Normal 5 2 5 2 5 4" xfId="18458" xr:uid="{00000000-0005-0000-0000-0000FD630000}"/>
    <cellStyle name="Normal 5 2 5 2 5 4 2" xfId="44011" xr:uid="{00000000-0005-0000-0000-0000FE630000}"/>
    <cellStyle name="Normal 5 2 5 2 5 5" xfId="29948" xr:uid="{00000000-0005-0000-0000-0000FF630000}"/>
    <cellStyle name="Normal 5 2 5 2 6" xfId="1648" xr:uid="{00000000-0005-0000-0000-000000640000}"/>
    <cellStyle name="Normal 5 2 5 2 6 2" xfId="11025" xr:uid="{00000000-0005-0000-0000-000001640000}"/>
    <cellStyle name="Normal 5 2 5 2 6 2 2" xfId="36580" xr:uid="{00000000-0005-0000-0000-000002640000}"/>
    <cellStyle name="Normal 5 2 5 2 6 3" xfId="21029" xr:uid="{00000000-0005-0000-0000-000003640000}"/>
    <cellStyle name="Normal 5 2 5 2 6 3 2" xfId="46582" xr:uid="{00000000-0005-0000-0000-000004640000}"/>
    <cellStyle name="Normal 5 2 5 2 6 4" xfId="27512" xr:uid="{00000000-0005-0000-0000-000005640000}"/>
    <cellStyle name="Normal 5 2 5 2 7" xfId="5832" xr:uid="{00000000-0005-0000-0000-000006640000}"/>
    <cellStyle name="Normal 5 2 5 2 7 2" xfId="14659" xr:uid="{00000000-0005-0000-0000-000007640000}"/>
    <cellStyle name="Normal 5 2 5 2 7 2 2" xfId="40214" xr:uid="{00000000-0005-0000-0000-000008640000}"/>
    <cellStyle name="Normal 5 2 5 2 7 3" xfId="24910" xr:uid="{00000000-0005-0000-0000-000009640000}"/>
    <cellStyle name="Normal 5 2 5 2 7 3 2" xfId="50463" xr:uid="{00000000-0005-0000-0000-00000A640000}"/>
    <cellStyle name="Normal 5 2 5 2 7 4" xfId="31393" xr:uid="{00000000-0005-0000-0000-00000B640000}"/>
    <cellStyle name="Normal 5 2 5 2 8" xfId="7276" xr:uid="{00000000-0005-0000-0000-00000C640000}"/>
    <cellStyle name="Normal 5 2 5 2 8 2" xfId="20002" xr:uid="{00000000-0005-0000-0000-00000D640000}"/>
    <cellStyle name="Normal 5 2 5 2 8 2 2" xfId="45555" xr:uid="{00000000-0005-0000-0000-00000E640000}"/>
    <cellStyle name="Normal 5 2 5 2 8 3" xfId="32833" xr:uid="{00000000-0005-0000-0000-00000F640000}"/>
    <cellStyle name="Normal 5 2 5 2 9" xfId="16022" xr:uid="{00000000-0005-0000-0000-000010640000}"/>
    <cellStyle name="Normal 5 2 5 2 9 2" xfId="41575" xr:uid="{00000000-0005-0000-0000-000011640000}"/>
    <cellStyle name="Normal 5 2 5 2_Degree data" xfId="3844" xr:uid="{00000000-0005-0000-0000-000012640000}"/>
    <cellStyle name="Normal 5 2 5 3" xfId="351" xr:uid="{00000000-0005-0000-0000-000013640000}"/>
    <cellStyle name="Normal 5 2 5 3 2" xfId="2837" xr:uid="{00000000-0005-0000-0000-000014640000}"/>
    <cellStyle name="Normal 5 2 5 3 2 2" xfId="12125" xr:uid="{00000000-0005-0000-0000-000015640000}"/>
    <cellStyle name="Normal 5 2 5 3 2 2 2" xfId="22198" xr:uid="{00000000-0005-0000-0000-000016640000}"/>
    <cellStyle name="Normal 5 2 5 3 2 2 2 2" xfId="47751" xr:uid="{00000000-0005-0000-0000-000017640000}"/>
    <cellStyle name="Normal 5 2 5 3 2 2 3" xfId="37680" xr:uid="{00000000-0005-0000-0000-000018640000}"/>
    <cellStyle name="Normal 5 2 5 3 2 3" xfId="8466" xr:uid="{00000000-0005-0000-0000-000019640000}"/>
    <cellStyle name="Normal 5 2 5 3 2 3 2" xfId="34023" xr:uid="{00000000-0005-0000-0000-00001A640000}"/>
    <cellStyle name="Normal 5 2 5 3 2 4" xfId="17191" xr:uid="{00000000-0005-0000-0000-00001B640000}"/>
    <cellStyle name="Normal 5 2 5 3 2 4 2" xfId="42744" xr:uid="{00000000-0005-0000-0000-00001C640000}"/>
    <cellStyle name="Normal 5 2 5 3 2 5" xfId="28681" xr:uid="{00000000-0005-0000-0000-00001D640000}"/>
    <cellStyle name="Normal 5 2 5 3 3" xfId="4606" xr:uid="{00000000-0005-0000-0000-00001E640000}"/>
    <cellStyle name="Normal 5 2 5 3 3 2" xfId="13444" xr:uid="{00000000-0005-0000-0000-00001F640000}"/>
    <cellStyle name="Normal 5 2 5 3 3 2 2" xfId="23695" xr:uid="{00000000-0005-0000-0000-000020640000}"/>
    <cellStyle name="Normal 5 2 5 3 3 2 2 2" xfId="49248" xr:uid="{00000000-0005-0000-0000-000021640000}"/>
    <cellStyle name="Normal 5 2 5 3 3 2 3" xfId="38999" xr:uid="{00000000-0005-0000-0000-000022640000}"/>
    <cellStyle name="Normal 5 2 5 3 3 3" xfId="9865" xr:uid="{00000000-0005-0000-0000-000023640000}"/>
    <cellStyle name="Normal 5 2 5 3 3 3 2" xfId="35422" xr:uid="{00000000-0005-0000-0000-000024640000}"/>
    <cellStyle name="Normal 5 2 5 3 3 4" xfId="18688" xr:uid="{00000000-0005-0000-0000-000025640000}"/>
    <cellStyle name="Normal 5 2 5 3 3 4 2" xfId="44241" xr:uid="{00000000-0005-0000-0000-000026640000}"/>
    <cellStyle name="Normal 5 2 5 3 3 5" xfId="30178" xr:uid="{00000000-0005-0000-0000-000027640000}"/>
    <cellStyle name="Normal 5 2 5 3 4" xfId="1946" xr:uid="{00000000-0005-0000-0000-000028640000}"/>
    <cellStyle name="Normal 5 2 5 3 4 2" xfId="11311" xr:uid="{00000000-0005-0000-0000-000029640000}"/>
    <cellStyle name="Normal 5 2 5 3 4 2 2" xfId="36866" xr:uid="{00000000-0005-0000-0000-00002A640000}"/>
    <cellStyle name="Normal 5 2 5 3 4 3" xfId="21315" xr:uid="{00000000-0005-0000-0000-00002B640000}"/>
    <cellStyle name="Normal 5 2 5 3 4 3 2" xfId="46868" xr:uid="{00000000-0005-0000-0000-00002C640000}"/>
    <cellStyle name="Normal 5 2 5 3 4 4" xfId="27798" xr:uid="{00000000-0005-0000-0000-00002D640000}"/>
    <cellStyle name="Normal 5 2 5 3 5" xfId="6062" xr:uid="{00000000-0005-0000-0000-00002E640000}"/>
    <cellStyle name="Normal 5 2 5 3 5 2" xfId="14889" xr:uid="{00000000-0005-0000-0000-00002F640000}"/>
    <cellStyle name="Normal 5 2 5 3 5 2 2" xfId="40444" xr:uid="{00000000-0005-0000-0000-000030640000}"/>
    <cellStyle name="Normal 5 2 5 3 5 3" xfId="25140" xr:uid="{00000000-0005-0000-0000-000031640000}"/>
    <cellStyle name="Normal 5 2 5 3 5 3 2" xfId="50693" xr:uid="{00000000-0005-0000-0000-000032640000}"/>
    <cellStyle name="Normal 5 2 5 3 5 4" xfId="31623" xr:uid="{00000000-0005-0000-0000-000033640000}"/>
    <cellStyle name="Normal 5 2 5 3 6" xfId="7507" xr:uid="{00000000-0005-0000-0000-000034640000}"/>
    <cellStyle name="Normal 5 2 5 3 6 2" xfId="19797" xr:uid="{00000000-0005-0000-0000-000035640000}"/>
    <cellStyle name="Normal 5 2 5 3 6 2 2" xfId="45350" xr:uid="{00000000-0005-0000-0000-000036640000}"/>
    <cellStyle name="Normal 5 2 5 3 6 3" xfId="33064" xr:uid="{00000000-0005-0000-0000-000037640000}"/>
    <cellStyle name="Normal 5 2 5 3 7" xfId="16308" xr:uid="{00000000-0005-0000-0000-000038640000}"/>
    <cellStyle name="Normal 5 2 5 3 7 2" xfId="41861" xr:uid="{00000000-0005-0000-0000-000039640000}"/>
    <cellStyle name="Normal 5 2 5 3 8" xfId="26280" xr:uid="{00000000-0005-0000-0000-00003A640000}"/>
    <cellStyle name="Normal 5 2 5 4" xfId="792" xr:uid="{00000000-0005-0000-0000-00003B640000}"/>
    <cellStyle name="Normal 5 2 5 4 2" xfId="3277" xr:uid="{00000000-0005-0000-0000-00003C640000}"/>
    <cellStyle name="Normal 5 2 5 4 2 2" xfId="12419" xr:uid="{00000000-0005-0000-0000-00003D640000}"/>
    <cellStyle name="Normal 5 2 5 4 2 2 2" xfId="22638" xr:uid="{00000000-0005-0000-0000-00003E640000}"/>
    <cellStyle name="Normal 5 2 5 4 2 2 2 2" xfId="48191" xr:uid="{00000000-0005-0000-0000-00003F640000}"/>
    <cellStyle name="Normal 5 2 5 4 2 2 3" xfId="37974" xr:uid="{00000000-0005-0000-0000-000040640000}"/>
    <cellStyle name="Normal 5 2 5 4 2 3" xfId="8841" xr:uid="{00000000-0005-0000-0000-000041640000}"/>
    <cellStyle name="Normal 5 2 5 4 2 3 2" xfId="34398" xr:uid="{00000000-0005-0000-0000-000042640000}"/>
    <cellStyle name="Normal 5 2 5 4 2 4" xfId="17631" xr:uid="{00000000-0005-0000-0000-000043640000}"/>
    <cellStyle name="Normal 5 2 5 4 2 4 2" xfId="43184" xr:uid="{00000000-0005-0000-0000-000044640000}"/>
    <cellStyle name="Normal 5 2 5 4 2 5" xfId="29121" xr:uid="{00000000-0005-0000-0000-000045640000}"/>
    <cellStyle name="Normal 5 2 5 4 3" xfId="4955" xr:uid="{00000000-0005-0000-0000-000046640000}"/>
    <cellStyle name="Normal 5 2 5 4 3 2" xfId="13792" xr:uid="{00000000-0005-0000-0000-000047640000}"/>
    <cellStyle name="Normal 5 2 5 4 3 2 2" xfId="24043" xr:uid="{00000000-0005-0000-0000-000048640000}"/>
    <cellStyle name="Normal 5 2 5 4 3 2 2 2" xfId="49596" xr:uid="{00000000-0005-0000-0000-000049640000}"/>
    <cellStyle name="Normal 5 2 5 4 3 2 3" xfId="39347" xr:uid="{00000000-0005-0000-0000-00004A640000}"/>
    <cellStyle name="Normal 5 2 5 4 3 3" xfId="10213" xr:uid="{00000000-0005-0000-0000-00004B640000}"/>
    <cellStyle name="Normal 5 2 5 4 3 3 2" xfId="35770" xr:uid="{00000000-0005-0000-0000-00004C640000}"/>
    <cellStyle name="Normal 5 2 5 4 3 4" xfId="19036" xr:uid="{00000000-0005-0000-0000-00004D640000}"/>
    <cellStyle name="Normal 5 2 5 4 3 4 2" xfId="44589" xr:uid="{00000000-0005-0000-0000-00004E640000}"/>
    <cellStyle name="Normal 5 2 5 4 3 5" xfId="30526" xr:uid="{00000000-0005-0000-0000-00004F640000}"/>
    <cellStyle name="Normal 5 2 5 4 4" xfId="2386" xr:uid="{00000000-0005-0000-0000-000050640000}"/>
    <cellStyle name="Normal 5 2 5 4 4 2" xfId="11751" xr:uid="{00000000-0005-0000-0000-000051640000}"/>
    <cellStyle name="Normal 5 2 5 4 4 2 2" xfId="37306" xr:uid="{00000000-0005-0000-0000-000052640000}"/>
    <cellStyle name="Normal 5 2 5 4 4 3" xfId="21755" xr:uid="{00000000-0005-0000-0000-000053640000}"/>
    <cellStyle name="Normal 5 2 5 4 4 3 2" xfId="47308" xr:uid="{00000000-0005-0000-0000-000054640000}"/>
    <cellStyle name="Normal 5 2 5 4 4 4" xfId="28238" xr:uid="{00000000-0005-0000-0000-000055640000}"/>
    <cellStyle name="Normal 5 2 5 4 5" xfId="6410" xr:uid="{00000000-0005-0000-0000-000056640000}"/>
    <cellStyle name="Normal 5 2 5 4 5 2" xfId="15237" xr:uid="{00000000-0005-0000-0000-000057640000}"/>
    <cellStyle name="Normal 5 2 5 4 5 2 2" xfId="40792" xr:uid="{00000000-0005-0000-0000-000058640000}"/>
    <cellStyle name="Normal 5 2 5 4 5 3" xfId="25488" xr:uid="{00000000-0005-0000-0000-000059640000}"/>
    <cellStyle name="Normal 5 2 5 4 5 3 2" xfId="51041" xr:uid="{00000000-0005-0000-0000-00005A640000}"/>
    <cellStyle name="Normal 5 2 5 4 5 4" xfId="31971" xr:uid="{00000000-0005-0000-0000-00005B640000}"/>
    <cellStyle name="Normal 5 2 5 4 6" xfId="7856" xr:uid="{00000000-0005-0000-0000-00005C640000}"/>
    <cellStyle name="Normal 5 2 5 4 6 2" xfId="20237" xr:uid="{00000000-0005-0000-0000-00005D640000}"/>
    <cellStyle name="Normal 5 2 5 4 6 2 2" xfId="45790" xr:uid="{00000000-0005-0000-0000-00005E640000}"/>
    <cellStyle name="Normal 5 2 5 4 6 3" xfId="33413" xr:uid="{00000000-0005-0000-0000-00005F640000}"/>
    <cellStyle name="Normal 5 2 5 4 7" xfId="16748" xr:uid="{00000000-0005-0000-0000-000060640000}"/>
    <cellStyle name="Normal 5 2 5 4 7 2" xfId="42301" xr:uid="{00000000-0005-0000-0000-000061640000}"/>
    <cellStyle name="Normal 5 2 5 4 8" xfId="26720" xr:uid="{00000000-0005-0000-0000-000062640000}"/>
    <cellStyle name="Normal 5 2 5 5" xfId="1123" xr:uid="{00000000-0005-0000-0000-000063640000}"/>
    <cellStyle name="Normal 5 2 5 5 2" xfId="3552" xr:uid="{00000000-0005-0000-0000-000064640000}"/>
    <cellStyle name="Normal 5 2 5 5 2 2" xfId="12688" xr:uid="{00000000-0005-0000-0000-000065640000}"/>
    <cellStyle name="Normal 5 2 5 5 2 2 2" xfId="22907" xr:uid="{00000000-0005-0000-0000-000066640000}"/>
    <cellStyle name="Normal 5 2 5 5 2 2 2 2" xfId="48460" xr:uid="{00000000-0005-0000-0000-000067640000}"/>
    <cellStyle name="Normal 5 2 5 5 2 2 3" xfId="38243" xr:uid="{00000000-0005-0000-0000-000068640000}"/>
    <cellStyle name="Normal 5 2 5 5 2 3" xfId="9109" xr:uid="{00000000-0005-0000-0000-000069640000}"/>
    <cellStyle name="Normal 5 2 5 5 2 3 2" xfId="34666" xr:uid="{00000000-0005-0000-0000-00006A640000}"/>
    <cellStyle name="Normal 5 2 5 5 2 4" xfId="17900" xr:uid="{00000000-0005-0000-0000-00006B640000}"/>
    <cellStyle name="Normal 5 2 5 5 2 4 2" xfId="43453" xr:uid="{00000000-0005-0000-0000-00006C640000}"/>
    <cellStyle name="Normal 5 2 5 5 2 5" xfId="29390" xr:uid="{00000000-0005-0000-0000-00006D640000}"/>
    <cellStyle name="Normal 5 2 5 5 3" xfId="5215" xr:uid="{00000000-0005-0000-0000-00006E640000}"/>
    <cellStyle name="Normal 5 2 5 5 3 2" xfId="14052" xr:uid="{00000000-0005-0000-0000-00006F640000}"/>
    <cellStyle name="Normal 5 2 5 5 3 2 2" xfId="24303" xr:uid="{00000000-0005-0000-0000-000070640000}"/>
    <cellStyle name="Normal 5 2 5 5 3 2 2 2" xfId="49856" xr:uid="{00000000-0005-0000-0000-000071640000}"/>
    <cellStyle name="Normal 5 2 5 5 3 2 3" xfId="39607" xr:uid="{00000000-0005-0000-0000-000072640000}"/>
    <cellStyle name="Normal 5 2 5 5 3 3" xfId="10473" xr:uid="{00000000-0005-0000-0000-000073640000}"/>
    <cellStyle name="Normal 5 2 5 5 3 3 2" xfId="36030" xr:uid="{00000000-0005-0000-0000-000074640000}"/>
    <cellStyle name="Normal 5 2 5 5 3 4" xfId="19296" xr:uid="{00000000-0005-0000-0000-000075640000}"/>
    <cellStyle name="Normal 5 2 5 5 3 4 2" xfId="44849" xr:uid="{00000000-0005-0000-0000-000076640000}"/>
    <cellStyle name="Normal 5 2 5 5 3 5" xfId="30786" xr:uid="{00000000-0005-0000-0000-000077640000}"/>
    <cellStyle name="Normal 5 2 5 5 4" xfId="1831" xr:uid="{00000000-0005-0000-0000-000078640000}"/>
    <cellStyle name="Normal 5 2 5 5 4 2" xfId="11199" xr:uid="{00000000-0005-0000-0000-000079640000}"/>
    <cellStyle name="Normal 5 2 5 5 4 2 2" xfId="36754" xr:uid="{00000000-0005-0000-0000-00007A640000}"/>
    <cellStyle name="Normal 5 2 5 5 4 3" xfId="21203" xr:uid="{00000000-0005-0000-0000-00007B640000}"/>
    <cellStyle name="Normal 5 2 5 5 4 3 2" xfId="46756" xr:uid="{00000000-0005-0000-0000-00007C640000}"/>
    <cellStyle name="Normal 5 2 5 5 4 4" xfId="27686" xr:uid="{00000000-0005-0000-0000-00007D640000}"/>
    <cellStyle name="Normal 5 2 5 5 5" xfId="6670" xr:uid="{00000000-0005-0000-0000-00007E640000}"/>
    <cellStyle name="Normal 5 2 5 5 5 2" xfId="15497" xr:uid="{00000000-0005-0000-0000-00007F640000}"/>
    <cellStyle name="Normal 5 2 5 5 5 2 2" xfId="41052" xr:uid="{00000000-0005-0000-0000-000080640000}"/>
    <cellStyle name="Normal 5 2 5 5 5 3" xfId="25748" xr:uid="{00000000-0005-0000-0000-000081640000}"/>
    <cellStyle name="Normal 5 2 5 5 5 3 2" xfId="51301" xr:uid="{00000000-0005-0000-0000-000082640000}"/>
    <cellStyle name="Normal 5 2 5 5 5 4" xfId="32231" xr:uid="{00000000-0005-0000-0000-000083640000}"/>
    <cellStyle name="Normal 5 2 5 5 6" xfId="8116" xr:uid="{00000000-0005-0000-0000-000084640000}"/>
    <cellStyle name="Normal 5 2 5 5 6 2" xfId="20506" xr:uid="{00000000-0005-0000-0000-000085640000}"/>
    <cellStyle name="Normal 5 2 5 5 6 2 2" xfId="46059" xr:uid="{00000000-0005-0000-0000-000086640000}"/>
    <cellStyle name="Normal 5 2 5 5 6 3" xfId="33673" xr:uid="{00000000-0005-0000-0000-000087640000}"/>
    <cellStyle name="Normal 5 2 5 5 7" xfId="16196" xr:uid="{00000000-0005-0000-0000-000088640000}"/>
    <cellStyle name="Normal 5 2 5 5 7 2" xfId="41749" xr:uid="{00000000-0005-0000-0000-000089640000}"/>
    <cellStyle name="Normal 5 2 5 5 8" xfId="26989" xr:uid="{00000000-0005-0000-0000-00008A640000}"/>
    <cellStyle name="Normal 5 2 5 6" xfId="2725" xr:uid="{00000000-0005-0000-0000-00008B640000}"/>
    <cellStyle name="Normal 5 2 5 6 2" xfId="12042" xr:uid="{00000000-0005-0000-0000-00008C640000}"/>
    <cellStyle name="Normal 5 2 5 6 2 2" xfId="22086" xr:uid="{00000000-0005-0000-0000-00008D640000}"/>
    <cellStyle name="Normal 5 2 5 6 2 2 2" xfId="47639" xr:uid="{00000000-0005-0000-0000-00008E640000}"/>
    <cellStyle name="Normal 5 2 5 6 2 3" xfId="37597" xr:uid="{00000000-0005-0000-0000-00008F640000}"/>
    <cellStyle name="Normal 5 2 5 6 3" xfId="8395" xr:uid="{00000000-0005-0000-0000-000090640000}"/>
    <cellStyle name="Normal 5 2 5 6 3 2" xfId="33952" xr:uid="{00000000-0005-0000-0000-000091640000}"/>
    <cellStyle name="Normal 5 2 5 6 4" xfId="17079" xr:uid="{00000000-0005-0000-0000-000092640000}"/>
    <cellStyle name="Normal 5 2 5 6 4 2" xfId="42632" xr:uid="{00000000-0005-0000-0000-000093640000}"/>
    <cellStyle name="Normal 5 2 5 6 5" xfId="28569" xr:uid="{00000000-0005-0000-0000-000094640000}"/>
    <cellStyle name="Normal 5 2 5 7" xfId="4171" xr:uid="{00000000-0005-0000-0000-000095640000}"/>
    <cellStyle name="Normal 5 2 5 7 2" xfId="13009" xr:uid="{00000000-0005-0000-0000-000096640000}"/>
    <cellStyle name="Normal 5 2 5 7 2 2" xfId="23260" xr:uid="{00000000-0005-0000-0000-000097640000}"/>
    <cellStyle name="Normal 5 2 5 7 2 2 2" xfId="48813" xr:uid="{00000000-0005-0000-0000-000098640000}"/>
    <cellStyle name="Normal 5 2 5 7 2 3" xfId="38564" xr:uid="{00000000-0005-0000-0000-000099640000}"/>
    <cellStyle name="Normal 5 2 5 7 3" xfId="9430" xr:uid="{00000000-0005-0000-0000-00009A640000}"/>
    <cellStyle name="Normal 5 2 5 7 3 2" xfId="34987" xr:uid="{00000000-0005-0000-0000-00009B640000}"/>
    <cellStyle name="Normal 5 2 5 7 4" xfId="18253" xr:uid="{00000000-0005-0000-0000-00009C640000}"/>
    <cellStyle name="Normal 5 2 5 7 4 2" xfId="43806" xr:uid="{00000000-0005-0000-0000-00009D640000}"/>
    <cellStyle name="Normal 5 2 5 7 5" xfId="29743" xr:uid="{00000000-0005-0000-0000-00009E640000}"/>
    <cellStyle name="Normal 5 2 5 8" xfId="1443" xr:uid="{00000000-0005-0000-0000-00009F640000}"/>
    <cellStyle name="Normal 5 2 5 8 2" xfId="10820" xr:uid="{00000000-0005-0000-0000-0000A0640000}"/>
    <cellStyle name="Normal 5 2 5 8 2 2" xfId="36375" xr:uid="{00000000-0005-0000-0000-0000A1640000}"/>
    <cellStyle name="Normal 5 2 5 8 3" xfId="20824" xr:uid="{00000000-0005-0000-0000-0000A2640000}"/>
    <cellStyle name="Normal 5 2 5 8 3 2" xfId="46377" xr:uid="{00000000-0005-0000-0000-0000A3640000}"/>
    <cellStyle name="Normal 5 2 5 8 4" xfId="27307" xr:uid="{00000000-0005-0000-0000-0000A4640000}"/>
    <cellStyle name="Normal 5 2 5 9" xfId="5627" xr:uid="{00000000-0005-0000-0000-0000A5640000}"/>
    <cellStyle name="Normal 5 2 5 9 2" xfId="14454" xr:uid="{00000000-0005-0000-0000-0000A6640000}"/>
    <cellStyle name="Normal 5 2 5 9 2 2" xfId="40009" xr:uid="{00000000-0005-0000-0000-0000A7640000}"/>
    <cellStyle name="Normal 5 2 5 9 3" xfId="24705" xr:uid="{00000000-0005-0000-0000-0000A8640000}"/>
    <cellStyle name="Normal 5 2 5 9 3 2" xfId="50258" xr:uid="{00000000-0005-0000-0000-0000A9640000}"/>
    <cellStyle name="Normal 5 2 5 9 4" xfId="31188" xr:uid="{00000000-0005-0000-0000-0000AA640000}"/>
    <cellStyle name="Normal 5 2 5_Degree data" xfId="3869" xr:uid="{00000000-0005-0000-0000-0000AB640000}"/>
    <cellStyle name="Normal 5 2 6" xfId="292" xr:uid="{00000000-0005-0000-0000-0000AC640000}"/>
    <cellStyle name="Normal 5 2 6 10" xfId="16077" xr:uid="{00000000-0005-0000-0000-0000AD640000}"/>
    <cellStyle name="Normal 5 2 6 10 2" xfId="41630" xr:uid="{00000000-0005-0000-0000-0000AE640000}"/>
    <cellStyle name="Normal 5 2 6 11" xfId="26223" xr:uid="{00000000-0005-0000-0000-0000AF640000}"/>
    <cellStyle name="Normal 5 2 6 2" xfId="611" xr:uid="{00000000-0005-0000-0000-0000B0640000}"/>
    <cellStyle name="Normal 5 2 6 2 2" xfId="3097" xr:uid="{00000000-0005-0000-0000-0000B1640000}"/>
    <cellStyle name="Normal 5 2 6 2 2 2" xfId="12240" xr:uid="{00000000-0005-0000-0000-0000B2640000}"/>
    <cellStyle name="Normal 5 2 6 2 2 2 2" xfId="22458" xr:uid="{00000000-0005-0000-0000-0000B3640000}"/>
    <cellStyle name="Normal 5 2 6 2 2 2 2 2" xfId="48011" xr:uid="{00000000-0005-0000-0000-0000B4640000}"/>
    <cellStyle name="Normal 5 2 6 2 2 2 3" xfId="37795" xr:uid="{00000000-0005-0000-0000-0000B5640000}"/>
    <cellStyle name="Normal 5 2 6 2 2 3" xfId="8662" xr:uid="{00000000-0005-0000-0000-0000B6640000}"/>
    <cellStyle name="Normal 5 2 6 2 2 3 2" xfId="34219" xr:uid="{00000000-0005-0000-0000-0000B7640000}"/>
    <cellStyle name="Normal 5 2 6 2 2 4" xfId="17451" xr:uid="{00000000-0005-0000-0000-0000B8640000}"/>
    <cellStyle name="Normal 5 2 6 2 2 4 2" xfId="43004" xr:uid="{00000000-0005-0000-0000-0000B9640000}"/>
    <cellStyle name="Normal 5 2 6 2 2 5" xfId="28941" xr:uid="{00000000-0005-0000-0000-0000BA640000}"/>
    <cellStyle name="Normal 5 2 6 2 3" xfId="4608" xr:uid="{00000000-0005-0000-0000-0000BB640000}"/>
    <cellStyle name="Normal 5 2 6 2 3 2" xfId="13446" xr:uid="{00000000-0005-0000-0000-0000BC640000}"/>
    <cellStyle name="Normal 5 2 6 2 3 2 2" xfId="23697" xr:uid="{00000000-0005-0000-0000-0000BD640000}"/>
    <cellStyle name="Normal 5 2 6 2 3 2 2 2" xfId="49250" xr:uid="{00000000-0005-0000-0000-0000BE640000}"/>
    <cellStyle name="Normal 5 2 6 2 3 2 3" xfId="39001" xr:uid="{00000000-0005-0000-0000-0000BF640000}"/>
    <cellStyle name="Normal 5 2 6 2 3 3" xfId="9867" xr:uid="{00000000-0005-0000-0000-0000C0640000}"/>
    <cellStyle name="Normal 5 2 6 2 3 3 2" xfId="35424" xr:uid="{00000000-0005-0000-0000-0000C1640000}"/>
    <cellStyle name="Normal 5 2 6 2 3 4" xfId="18690" xr:uid="{00000000-0005-0000-0000-0000C2640000}"/>
    <cellStyle name="Normal 5 2 6 2 3 4 2" xfId="44243" xr:uid="{00000000-0005-0000-0000-0000C3640000}"/>
    <cellStyle name="Normal 5 2 6 2 3 5" xfId="30180" xr:uid="{00000000-0005-0000-0000-0000C4640000}"/>
    <cellStyle name="Normal 5 2 6 2 4" xfId="2206" xr:uid="{00000000-0005-0000-0000-0000C5640000}"/>
    <cellStyle name="Normal 5 2 6 2 4 2" xfId="11571" xr:uid="{00000000-0005-0000-0000-0000C6640000}"/>
    <cellStyle name="Normal 5 2 6 2 4 2 2" xfId="37126" xr:uid="{00000000-0005-0000-0000-0000C7640000}"/>
    <cellStyle name="Normal 5 2 6 2 4 3" xfId="21575" xr:uid="{00000000-0005-0000-0000-0000C8640000}"/>
    <cellStyle name="Normal 5 2 6 2 4 3 2" xfId="47128" xr:uid="{00000000-0005-0000-0000-0000C9640000}"/>
    <cellStyle name="Normal 5 2 6 2 4 4" xfId="28058" xr:uid="{00000000-0005-0000-0000-0000CA640000}"/>
    <cellStyle name="Normal 5 2 6 2 5" xfId="6064" xr:uid="{00000000-0005-0000-0000-0000CB640000}"/>
    <cellStyle name="Normal 5 2 6 2 5 2" xfId="14891" xr:uid="{00000000-0005-0000-0000-0000CC640000}"/>
    <cellStyle name="Normal 5 2 6 2 5 2 2" xfId="40446" xr:uid="{00000000-0005-0000-0000-0000CD640000}"/>
    <cellStyle name="Normal 5 2 6 2 5 3" xfId="25142" xr:uid="{00000000-0005-0000-0000-0000CE640000}"/>
    <cellStyle name="Normal 5 2 6 2 5 3 2" xfId="50695" xr:uid="{00000000-0005-0000-0000-0000CF640000}"/>
    <cellStyle name="Normal 5 2 6 2 5 4" xfId="31625" xr:uid="{00000000-0005-0000-0000-0000D0640000}"/>
    <cellStyle name="Normal 5 2 6 2 6" xfId="7509" xr:uid="{00000000-0005-0000-0000-0000D1640000}"/>
    <cellStyle name="Normal 5 2 6 2 6 2" xfId="20057" xr:uid="{00000000-0005-0000-0000-0000D2640000}"/>
    <cellStyle name="Normal 5 2 6 2 6 2 2" xfId="45610" xr:uid="{00000000-0005-0000-0000-0000D3640000}"/>
    <cellStyle name="Normal 5 2 6 2 6 3" xfId="33066" xr:uid="{00000000-0005-0000-0000-0000D4640000}"/>
    <cellStyle name="Normal 5 2 6 2 7" xfId="16568" xr:uid="{00000000-0005-0000-0000-0000D5640000}"/>
    <cellStyle name="Normal 5 2 6 2 7 2" xfId="42121" xr:uid="{00000000-0005-0000-0000-0000D6640000}"/>
    <cellStyle name="Normal 5 2 6 2 8" xfId="26540" xr:uid="{00000000-0005-0000-0000-0000D7640000}"/>
    <cellStyle name="Normal 5 2 6 3" xfId="794" xr:uid="{00000000-0005-0000-0000-0000D8640000}"/>
    <cellStyle name="Normal 5 2 6 3 2" xfId="3279" xr:uid="{00000000-0005-0000-0000-0000D9640000}"/>
    <cellStyle name="Normal 5 2 6 3 2 2" xfId="12421" xr:uid="{00000000-0005-0000-0000-0000DA640000}"/>
    <cellStyle name="Normal 5 2 6 3 2 2 2" xfId="22640" xr:uid="{00000000-0005-0000-0000-0000DB640000}"/>
    <cellStyle name="Normal 5 2 6 3 2 2 2 2" xfId="48193" xr:uid="{00000000-0005-0000-0000-0000DC640000}"/>
    <cellStyle name="Normal 5 2 6 3 2 2 3" xfId="37976" xr:uid="{00000000-0005-0000-0000-0000DD640000}"/>
    <cellStyle name="Normal 5 2 6 3 2 3" xfId="8843" xr:uid="{00000000-0005-0000-0000-0000DE640000}"/>
    <cellStyle name="Normal 5 2 6 3 2 3 2" xfId="34400" xr:uid="{00000000-0005-0000-0000-0000DF640000}"/>
    <cellStyle name="Normal 5 2 6 3 2 4" xfId="17633" xr:uid="{00000000-0005-0000-0000-0000E0640000}"/>
    <cellStyle name="Normal 5 2 6 3 2 4 2" xfId="43186" xr:uid="{00000000-0005-0000-0000-0000E1640000}"/>
    <cellStyle name="Normal 5 2 6 3 2 5" xfId="29123" xr:uid="{00000000-0005-0000-0000-0000E2640000}"/>
    <cellStyle name="Normal 5 2 6 3 3" xfId="4957" xr:uid="{00000000-0005-0000-0000-0000E3640000}"/>
    <cellStyle name="Normal 5 2 6 3 3 2" xfId="13794" xr:uid="{00000000-0005-0000-0000-0000E4640000}"/>
    <cellStyle name="Normal 5 2 6 3 3 2 2" xfId="24045" xr:uid="{00000000-0005-0000-0000-0000E5640000}"/>
    <cellStyle name="Normal 5 2 6 3 3 2 2 2" xfId="49598" xr:uid="{00000000-0005-0000-0000-0000E6640000}"/>
    <cellStyle name="Normal 5 2 6 3 3 2 3" xfId="39349" xr:uid="{00000000-0005-0000-0000-0000E7640000}"/>
    <cellStyle name="Normal 5 2 6 3 3 3" xfId="10215" xr:uid="{00000000-0005-0000-0000-0000E8640000}"/>
    <cellStyle name="Normal 5 2 6 3 3 3 2" xfId="35772" xr:uid="{00000000-0005-0000-0000-0000E9640000}"/>
    <cellStyle name="Normal 5 2 6 3 3 4" xfId="19038" xr:uid="{00000000-0005-0000-0000-0000EA640000}"/>
    <cellStyle name="Normal 5 2 6 3 3 4 2" xfId="44591" xr:uid="{00000000-0005-0000-0000-0000EB640000}"/>
    <cellStyle name="Normal 5 2 6 3 3 5" xfId="30528" xr:uid="{00000000-0005-0000-0000-0000EC640000}"/>
    <cellStyle name="Normal 5 2 6 3 4" xfId="2388" xr:uid="{00000000-0005-0000-0000-0000ED640000}"/>
    <cellStyle name="Normal 5 2 6 3 4 2" xfId="11753" xr:uid="{00000000-0005-0000-0000-0000EE640000}"/>
    <cellStyle name="Normal 5 2 6 3 4 2 2" xfId="37308" xr:uid="{00000000-0005-0000-0000-0000EF640000}"/>
    <cellStyle name="Normal 5 2 6 3 4 3" xfId="21757" xr:uid="{00000000-0005-0000-0000-0000F0640000}"/>
    <cellStyle name="Normal 5 2 6 3 4 3 2" xfId="47310" xr:uid="{00000000-0005-0000-0000-0000F1640000}"/>
    <cellStyle name="Normal 5 2 6 3 4 4" xfId="28240" xr:uid="{00000000-0005-0000-0000-0000F2640000}"/>
    <cellStyle name="Normal 5 2 6 3 5" xfId="6412" xr:uid="{00000000-0005-0000-0000-0000F3640000}"/>
    <cellStyle name="Normal 5 2 6 3 5 2" xfId="15239" xr:uid="{00000000-0005-0000-0000-0000F4640000}"/>
    <cellStyle name="Normal 5 2 6 3 5 2 2" xfId="40794" xr:uid="{00000000-0005-0000-0000-0000F5640000}"/>
    <cellStyle name="Normal 5 2 6 3 5 3" xfId="25490" xr:uid="{00000000-0005-0000-0000-0000F6640000}"/>
    <cellStyle name="Normal 5 2 6 3 5 3 2" xfId="51043" xr:uid="{00000000-0005-0000-0000-0000F7640000}"/>
    <cellStyle name="Normal 5 2 6 3 5 4" xfId="31973" xr:uid="{00000000-0005-0000-0000-0000F8640000}"/>
    <cellStyle name="Normal 5 2 6 3 6" xfId="7858" xr:uid="{00000000-0005-0000-0000-0000F9640000}"/>
    <cellStyle name="Normal 5 2 6 3 6 2" xfId="20239" xr:uid="{00000000-0005-0000-0000-0000FA640000}"/>
    <cellStyle name="Normal 5 2 6 3 6 2 2" xfId="45792" xr:uid="{00000000-0005-0000-0000-0000FB640000}"/>
    <cellStyle name="Normal 5 2 6 3 6 3" xfId="33415" xr:uid="{00000000-0005-0000-0000-0000FC640000}"/>
    <cellStyle name="Normal 5 2 6 3 7" xfId="16750" xr:uid="{00000000-0005-0000-0000-0000FD640000}"/>
    <cellStyle name="Normal 5 2 6 3 7 2" xfId="42303" xr:uid="{00000000-0005-0000-0000-0000FE640000}"/>
    <cellStyle name="Normal 5 2 6 3 8" xfId="26722" xr:uid="{00000000-0005-0000-0000-0000FF640000}"/>
    <cellStyle name="Normal 5 2 6 4" xfId="1383" xr:uid="{00000000-0005-0000-0000-000000650000}"/>
    <cellStyle name="Normal 5 2 6 4 2" xfId="3812" xr:uid="{00000000-0005-0000-0000-000001650000}"/>
    <cellStyle name="Normal 5 2 6 4 2 2" xfId="12948" xr:uid="{00000000-0005-0000-0000-000002650000}"/>
    <cellStyle name="Normal 5 2 6 4 2 2 2" xfId="23167" xr:uid="{00000000-0005-0000-0000-000003650000}"/>
    <cellStyle name="Normal 5 2 6 4 2 2 2 2" xfId="48720" xr:uid="{00000000-0005-0000-0000-000004650000}"/>
    <cellStyle name="Normal 5 2 6 4 2 2 3" xfId="38503" xr:uid="{00000000-0005-0000-0000-000005650000}"/>
    <cellStyle name="Normal 5 2 6 4 2 3" xfId="9369" xr:uid="{00000000-0005-0000-0000-000006650000}"/>
    <cellStyle name="Normal 5 2 6 4 2 3 2" xfId="34926" xr:uid="{00000000-0005-0000-0000-000007650000}"/>
    <cellStyle name="Normal 5 2 6 4 2 4" xfId="18160" xr:uid="{00000000-0005-0000-0000-000008650000}"/>
    <cellStyle name="Normal 5 2 6 4 2 4 2" xfId="43713" xr:uid="{00000000-0005-0000-0000-000009650000}"/>
    <cellStyle name="Normal 5 2 6 4 2 5" xfId="29650" xr:uid="{00000000-0005-0000-0000-00000A650000}"/>
    <cellStyle name="Normal 5 2 6 4 3" xfId="5475" xr:uid="{00000000-0005-0000-0000-00000B650000}"/>
    <cellStyle name="Normal 5 2 6 4 3 2" xfId="14312" xr:uid="{00000000-0005-0000-0000-00000C650000}"/>
    <cellStyle name="Normal 5 2 6 4 3 2 2" xfId="24563" xr:uid="{00000000-0005-0000-0000-00000D650000}"/>
    <cellStyle name="Normal 5 2 6 4 3 2 2 2" xfId="50116" xr:uid="{00000000-0005-0000-0000-00000E650000}"/>
    <cellStyle name="Normal 5 2 6 4 3 2 3" xfId="39867" xr:uid="{00000000-0005-0000-0000-00000F650000}"/>
    <cellStyle name="Normal 5 2 6 4 3 3" xfId="10733" xr:uid="{00000000-0005-0000-0000-000010650000}"/>
    <cellStyle name="Normal 5 2 6 4 3 3 2" xfId="36290" xr:uid="{00000000-0005-0000-0000-000011650000}"/>
    <cellStyle name="Normal 5 2 6 4 3 4" xfId="19556" xr:uid="{00000000-0005-0000-0000-000012650000}"/>
    <cellStyle name="Normal 5 2 6 4 3 4 2" xfId="45109" xr:uid="{00000000-0005-0000-0000-000013650000}"/>
    <cellStyle name="Normal 5 2 6 4 3 5" xfId="31046" xr:uid="{00000000-0005-0000-0000-000014650000}"/>
    <cellStyle name="Normal 5 2 6 4 4" xfId="1887" xr:uid="{00000000-0005-0000-0000-000015650000}"/>
    <cellStyle name="Normal 5 2 6 4 4 2" xfId="11254" xr:uid="{00000000-0005-0000-0000-000016650000}"/>
    <cellStyle name="Normal 5 2 6 4 4 2 2" xfId="36809" xr:uid="{00000000-0005-0000-0000-000017650000}"/>
    <cellStyle name="Normal 5 2 6 4 4 3" xfId="21258" xr:uid="{00000000-0005-0000-0000-000018650000}"/>
    <cellStyle name="Normal 5 2 6 4 4 3 2" xfId="46811" xr:uid="{00000000-0005-0000-0000-000019650000}"/>
    <cellStyle name="Normal 5 2 6 4 4 4" xfId="27741" xr:uid="{00000000-0005-0000-0000-00001A650000}"/>
    <cellStyle name="Normal 5 2 6 4 5" xfId="6930" xr:uid="{00000000-0005-0000-0000-00001B650000}"/>
    <cellStyle name="Normal 5 2 6 4 5 2" xfId="15757" xr:uid="{00000000-0005-0000-0000-00001C650000}"/>
    <cellStyle name="Normal 5 2 6 4 5 2 2" xfId="41312" xr:uid="{00000000-0005-0000-0000-00001D650000}"/>
    <cellStyle name="Normal 5 2 6 4 5 3" xfId="26008" xr:uid="{00000000-0005-0000-0000-00001E650000}"/>
    <cellStyle name="Normal 5 2 6 4 5 3 2" xfId="51561" xr:uid="{00000000-0005-0000-0000-00001F650000}"/>
    <cellStyle name="Normal 5 2 6 4 5 4" xfId="32491" xr:uid="{00000000-0005-0000-0000-000020650000}"/>
    <cellStyle name="Normal 5 2 6 4 6" xfId="8376" xr:uid="{00000000-0005-0000-0000-000021650000}"/>
    <cellStyle name="Normal 5 2 6 4 6 2" xfId="20766" xr:uid="{00000000-0005-0000-0000-000022650000}"/>
    <cellStyle name="Normal 5 2 6 4 6 2 2" xfId="46319" xr:uid="{00000000-0005-0000-0000-000023650000}"/>
    <cellStyle name="Normal 5 2 6 4 6 3" xfId="33933" xr:uid="{00000000-0005-0000-0000-000024650000}"/>
    <cellStyle name="Normal 5 2 6 4 7" xfId="16251" xr:uid="{00000000-0005-0000-0000-000025650000}"/>
    <cellStyle name="Normal 5 2 6 4 7 2" xfId="41804" xr:uid="{00000000-0005-0000-0000-000026650000}"/>
    <cellStyle name="Normal 5 2 6 4 8" xfId="27249" xr:uid="{00000000-0005-0000-0000-000027650000}"/>
    <cellStyle name="Normal 5 2 6 5" xfId="2780" xr:uid="{00000000-0005-0000-0000-000028650000}"/>
    <cellStyle name="Normal 5 2 6 5 2" xfId="12097" xr:uid="{00000000-0005-0000-0000-000029650000}"/>
    <cellStyle name="Normal 5 2 6 5 2 2" xfId="22141" xr:uid="{00000000-0005-0000-0000-00002A650000}"/>
    <cellStyle name="Normal 5 2 6 5 2 2 2" xfId="47694" xr:uid="{00000000-0005-0000-0000-00002B650000}"/>
    <cellStyle name="Normal 5 2 6 5 2 3" xfId="37652" xr:uid="{00000000-0005-0000-0000-00002C650000}"/>
    <cellStyle name="Normal 5 2 6 5 3" xfId="8385" xr:uid="{00000000-0005-0000-0000-00002D650000}"/>
    <cellStyle name="Normal 5 2 6 5 3 2" xfId="33942" xr:uid="{00000000-0005-0000-0000-00002E650000}"/>
    <cellStyle name="Normal 5 2 6 5 4" xfId="17134" xr:uid="{00000000-0005-0000-0000-00002F650000}"/>
    <cellStyle name="Normal 5 2 6 5 4 2" xfId="42687" xr:uid="{00000000-0005-0000-0000-000030650000}"/>
    <cellStyle name="Normal 5 2 6 5 5" xfId="28624" xr:uid="{00000000-0005-0000-0000-000031650000}"/>
    <cellStyle name="Normal 5 2 6 6" xfId="4431" xr:uid="{00000000-0005-0000-0000-000032650000}"/>
    <cellStyle name="Normal 5 2 6 6 2" xfId="13269" xr:uid="{00000000-0005-0000-0000-000033650000}"/>
    <cellStyle name="Normal 5 2 6 6 2 2" xfId="23520" xr:uid="{00000000-0005-0000-0000-000034650000}"/>
    <cellStyle name="Normal 5 2 6 6 2 2 2" xfId="49073" xr:uid="{00000000-0005-0000-0000-000035650000}"/>
    <cellStyle name="Normal 5 2 6 6 2 3" xfId="38824" xr:uid="{00000000-0005-0000-0000-000036650000}"/>
    <cellStyle name="Normal 5 2 6 6 3" xfId="9690" xr:uid="{00000000-0005-0000-0000-000037650000}"/>
    <cellStyle name="Normal 5 2 6 6 3 2" xfId="35247" xr:uid="{00000000-0005-0000-0000-000038650000}"/>
    <cellStyle name="Normal 5 2 6 6 4" xfId="18513" xr:uid="{00000000-0005-0000-0000-000039650000}"/>
    <cellStyle name="Normal 5 2 6 6 4 2" xfId="44066" xr:uid="{00000000-0005-0000-0000-00003A650000}"/>
    <cellStyle name="Normal 5 2 6 6 5" xfId="30003" xr:uid="{00000000-0005-0000-0000-00003B650000}"/>
    <cellStyle name="Normal 5 2 6 7" xfId="1703" xr:uid="{00000000-0005-0000-0000-00003C650000}"/>
    <cellStyle name="Normal 5 2 6 7 2" xfId="11080" xr:uid="{00000000-0005-0000-0000-00003D650000}"/>
    <cellStyle name="Normal 5 2 6 7 2 2" xfId="36635" xr:uid="{00000000-0005-0000-0000-00003E650000}"/>
    <cellStyle name="Normal 5 2 6 7 3" xfId="21084" xr:uid="{00000000-0005-0000-0000-00003F650000}"/>
    <cellStyle name="Normal 5 2 6 7 3 2" xfId="46637" xr:uid="{00000000-0005-0000-0000-000040650000}"/>
    <cellStyle name="Normal 5 2 6 7 4" xfId="27567" xr:uid="{00000000-0005-0000-0000-000041650000}"/>
    <cellStyle name="Normal 5 2 6 8" xfId="5887" xr:uid="{00000000-0005-0000-0000-000042650000}"/>
    <cellStyle name="Normal 5 2 6 8 2" xfId="14714" xr:uid="{00000000-0005-0000-0000-000043650000}"/>
    <cellStyle name="Normal 5 2 6 8 2 2" xfId="40269" xr:uid="{00000000-0005-0000-0000-000044650000}"/>
    <cellStyle name="Normal 5 2 6 8 3" xfId="24965" xr:uid="{00000000-0005-0000-0000-000045650000}"/>
    <cellStyle name="Normal 5 2 6 8 3 2" xfId="50518" xr:uid="{00000000-0005-0000-0000-000046650000}"/>
    <cellStyle name="Normal 5 2 6 8 4" xfId="31448" xr:uid="{00000000-0005-0000-0000-000047650000}"/>
    <cellStyle name="Normal 5 2 6 9" xfId="7331" xr:uid="{00000000-0005-0000-0000-000048650000}"/>
    <cellStyle name="Normal 5 2 6 9 2" xfId="19740" xr:uid="{00000000-0005-0000-0000-000049650000}"/>
    <cellStyle name="Normal 5 2 6 9 2 2" xfId="45293" xr:uid="{00000000-0005-0000-0000-00004A650000}"/>
    <cellStyle name="Normal 5 2 6 9 3" xfId="32888" xr:uid="{00000000-0005-0000-0000-00004B650000}"/>
    <cellStyle name="Normal 5 2 6_Degree data" xfId="3915" xr:uid="{00000000-0005-0000-0000-00004C650000}"/>
    <cellStyle name="Normal 5 2 7" xfId="451" xr:uid="{00000000-0005-0000-0000-00004D650000}"/>
    <cellStyle name="Normal 5 2 7 10" xfId="26380" xr:uid="{00000000-0005-0000-0000-00004E650000}"/>
    <cellStyle name="Normal 5 2 7 2" xfId="795" xr:uid="{00000000-0005-0000-0000-00004F650000}"/>
    <cellStyle name="Normal 5 2 7 2 2" xfId="3280" xr:uid="{00000000-0005-0000-0000-000050650000}"/>
    <cellStyle name="Normal 5 2 7 2 2 2" xfId="12422" xr:uid="{00000000-0005-0000-0000-000051650000}"/>
    <cellStyle name="Normal 5 2 7 2 2 2 2" xfId="22641" xr:uid="{00000000-0005-0000-0000-000052650000}"/>
    <cellStyle name="Normal 5 2 7 2 2 2 2 2" xfId="48194" xr:uid="{00000000-0005-0000-0000-000053650000}"/>
    <cellStyle name="Normal 5 2 7 2 2 2 3" xfId="37977" xr:uid="{00000000-0005-0000-0000-000054650000}"/>
    <cellStyle name="Normal 5 2 7 2 2 3" xfId="8844" xr:uid="{00000000-0005-0000-0000-000055650000}"/>
    <cellStyle name="Normal 5 2 7 2 2 3 2" xfId="34401" xr:uid="{00000000-0005-0000-0000-000056650000}"/>
    <cellStyle name="Normal 5 2 7 2 2 4" xfId="17634" xr:uid="{00000000-0005-0000-0000-000057650000}"/>
    <cellStyle name="Normal 5 2 7 2 2 4 2" xfId="43187" xr:uid="{00000000-0005-0000-0000-000058650000}"/>
    <cellStyle name="Normal 5 2 7 2 2 5" xfId="29124" xr:uid="{00000000-0005-0000-0000-000059650000}"/>
    <cellStyle name="Normal 5 2 7 2 3" xfId="4609" xr:uid="{00000000-0005-0000-0000-00005A650000}"/>
    <cellStyle name="Normal 5 2 7 2 3 2" xfId="13447" xr:uid="{00000000-0005-0000-0000-00005B650000}"/>
    <cellStyle name="Normal 5 2 7 2 3 2 2" xfId="23698" xr:uid="{00000000-0005-0000-0000-00005C650000}"/>
    <cellStyle name="Normal 5 2 7 2 3 2 2 2" xfId="49251" xr:uid="{00000000-0005-0000-0000-00005D650000}"/>
    <cellStyle name="Normal 5 2 7 2 3 2 3" xfId="39002" xr:uid="{00000000-0005-0000-0000-00005E650000}"/>
    <cellStyle name="Normal 5 2 7 2 3 3" xfId="9868" xr:uid="{00000000-0005-0000-0000-00005F650000}"/>
    <cellStyle name="Normal 5 2 7 2 3 3 2" xfId="35425" xr:uid="{00000000-0005-0000-0000-000060650000}"/>
    <cellStyle name="Normal 5 2 7 2 3 4" xfId="18691" xr:uid="{00000000-0005-0000-0000-000061650000}"/>
    <cellStyle name="Normal 5 2 7 2 3 4 2" xfId="44244" xr:uid="{00000000-0005-0000-0000-000062650000}"/>
    <cellStyle name="Normal 5 2 7 2 3 5" xfId="30181" xr:uid="{00000000-0005-0000-0000-000063650000}"/>
    <cellStyle name="Normal 5 2 7 2 4" xfId="2389" xr:uid="{00000000-0005-0000-0000-000064650000}"/>
    <cellStyle name="Normal 5 2 7 2 4 2" xfId="11754" xr:uid="{00000000-0005-0000-0000-000065650000}"/>
    <cellStyle name="Normal 5 2 7 2 4 2 2" xfId="37309" xr:uid="{00000000-0005-0000-0000-000066650000}"/>
    <cellStyle name="Normal 5 2 7 2 4 3" xfId="21758" xr:uid="{00000000-0005-0000-0000-000067650000}"/>
    <cellStyle name="Normal 5 2 7 2 4 3 2" xfId="47311" xr:uid="{00000000-0005-0000-0000-000068650000}"/>
    <cellStyle name="Normal 5 2 7 2 4 4" xfId="28241" xr:uid="{00000000-0005-0000-0000-000069650000}"/>
    <cellStyle name="Normal 5 2 7 2 5" xfId="6065" xr:uid="{00000000-0005-0000-0000-00006A650000}"/>
    <cellStyle name="Normal 5 2 7 2 5 2" xfId="14892" xr:uid="{00000000-0005-0000-0000-00006B650000}"/>
    <cellStyle name="Normal 5 2 7 2 5 2 2" xfId="40447" xr:uid="{00000000-0005-0000-0000-00006C650000}"/>
    <cellStyle name="Normal 5 2 7 2 5 3" xfId="25143" xr:uid="{00000000-0005-0000-0000-00006D650000}"/>
    <cellStyle name="Normal 5 2 7 2 5 3 2" xfId="50696" xr:uid="{00000000-0005-0000-0000-00006E650000}"/>
    <cellStyle name="Normal 5 2 7 2 5 4" xfId="31626" xr:uid="{00000000-0005-0000-0000-00006F650000}"/>
    <cellStyle name="Normal 5 2 7 2 6" xfId="7510" xr:uid="{00000000-0005-0000-0000-000070650000}"/>
    <cellStyle name="Normal 5 2 7 2 6 2" xfId="20240" xr:uid="{00000000-0005-0000-0000-000071650000}"/>
    <cellStyle name="Normal 5 2 7 2 6 2 2" xfId="45793" xr:uid="{00000000-0005-0000-0000-000072650000}"/>
    <cellStyle name="Normal 5 2 7 2 6 3" xfId="33067" xr:uid="{00000000-0005-0000-0000-000073650000}"/>
    <cellStyle name="Normal 5 2 7 2 7" xfId="16751" xr:uid="{00000000-0005-0000-0000-000074650000}"/>
    <cellStyle name="Normal 5 2 7 2 7 2" xfId="42304" xr:uid="{00000000-0005-0000-0000-000075650000}"/>
    <cellStyle name="Normal 5 2 7 2 8" xfId="26723" xr:uid="{00000000-0005-0000-0000-000076650000}"/>
    <cellStyle name="Normal 5 2 7 3" xfId="1223" xr:uid="{00000000-0005-0000-0000-000077650000}"/>
    <cellStyle name="Normal 5 2 7 3 2" xfId="3652" xr:uid="{00000000-0005-0000-0000-000078650000}"/>
    <cellStyle name="Normal 5 2 7 3 2 2" xfId="12788" xr:uid="{00000000-0005-0000-0000-000079650000}"/>
    <cellStyle name="Normal 5 2 7 3 2 2 2" xfId="23007" xr:uid="{00000000-0005-0000-0000-00007A650000}"/>
    <cellStyle name="Normal 5 2 7 3 2 2 2 2" xfId="48560" xr:uid="{00000000-0005-0000-0000-00007B650000}"/>
    <cellStyle name="Normal 5 2 7 3 2 2 3" xfId="38343" xr:uid="{00000000-0005-0000-0000-00007C650000}"/>
    <cellStyle name="Normal 5 2 7 3 2 3" xfId="9209" xr:uid="{00000000-0005-0000-0000-00007D650000}"/>
    <cellStyle name="Normal 5 2 7 3 2 3 2" xfId="34766" xr:uid="{00000000-0005-0000-0000-00007E650000}"/>
    <cellStyle name="Normal 5 2 7 3 2 4" xfId="18000" xr:uid="{00000000-0005-0000-0000-00007F650000}"/>
    <cellStyle name="Normal 5 2 7 3 2 4 2" xfId="43553" xr:uid="{00000000-0005-0000-0000-000080650000}"/>
    <cellStyle name="Normal 5 2 7 3 2 5" xfId="29490" xr:uid="{00000000-0005-0000-0000-000081650000}"/>
    <cellStyle name="Normal 5 2 7 3 3" xfId="4958" xr:uid="{00000000-0005-0000-0000-000082650000}"/>
    <cellStyle name="Normal 5 2 7 3 3 2" xfId="13795" xr:uid="{00000000-0005-0000-0000-000083650000}"/>
    <cellStyle name="Normal 5 2 7 3 3 2 2" xfId="24046" xr:uid="{00000000-0005-0000-0000-000084650000}"/>
    <cellStyle name="Normal 5 2 7 3 3 2 2 2" xfId="49599" xr:uid="{00000000-0005-0000-0000-000085650000}"/>
    <cellStyle name="Normal 5 2 7 3 3 2 3" xfId="39350" xr:uid="{00000000-0005-0000-0000-000086650000}"/>
    <cellStyle name="Normal 5 2 7 3 3 3" xfId="10216" xr:uid="{00000000-0005-0000-0000-000087650000}"/>
    <cellStyle name="Normal 5 2 7 3 3 3 2" xfId="35773" xr:uid="{00000000-0005-0000-0000-000088650000}"/>
    <cellStyle name="Normal 5 2 7 3 3 4" xfId="19039" xr:uid="{00000000-0005-0000-0000-000089650000}"/>
    <cellStyle name="Normal 5 2 7 3 3 4 2" xfId="44592" xr:uid="{00000000-0005-0000-0000-00008A650000}"/>
    <cellStyle name="Normal 5 2 7 3 3 5" xfId="30529" xr:uid="{00000000-0005-0000-0000-00008B650000}"/>
    <cellStyle name="Normal 5 2 7 3 4" xfId="2046" xr:uid="{00000000-0005-0000-0000-00008C650000}"/>
    <cellStyle name="Normal 5 2 7 3 4 2" xfId="11411" xr:uid="{00000000-0005-0000-0000-00008D650000}"/>
    <cellStyle name="Normal 5 2 7 3 4 2 2" xfId="36966" xr:uid="{00000000-0005-0000-0000-00008E650000}"/>
    <cellStyle name="Normal 5 2 7 3 4 3" xfId="21415" xr:uid="{00000000-0005-0000-0000-00008F650000}"/>
    <cellStyle name="Normal 5 2 7 3 4 3 2" xfId="46968" xr:uid="{00000000-0005-0000-0000-000090650000}"/>
    <cellStyle name="Normal 5 2 7 3 4 4" xfId="27898" xr:uid="{00000000-0005-0000-0000-000091650000}"/>
    <cellStyle name="Normal 5 2 7 3 5" xfId="6413" xr:uid="{00000000-0005-0000-0000-000092650000}"/>
    <cellStyle name="Normal 5 2 7 3 5 2" xfId="15240" xr:uid="{00000000-0005-0000-0000-000093650000}"/>
    <cellStyle name="Normal 5 2 7 3 5 2 2" xfId="40795" xr:uid="{00000000-0005-0000-0000-000094650000}"/>
    <cellStyle name="Normal 5 2 7 3 5 3" xfId="25491" xr:uid="{00000000-0005-0000-0000-000095650000}"/>
    <cellStyle name="Normal 5 2 7 3 5 3 2" xfId="51044" xr:uid="{00000000-0005-0000-0000-000096650000}"/>
    <cellStyle name="Normal 5 2 7 3 5 4" xfId="31974" xr:uid="{00000000-0005-0000-0000-000097650000}"/>
    <cellStyle name="Normal 5 2 7 3 6" xfId="7859" xr:uid="{00000000-0005-0000-0000-000098650000}"/>
    <cellStyle name="Normal 5 2 7 3 6 2" xfId="20606" xr:uid="{00000000-0005-0000-0000-000099650000}"/>
    <cellStyle name="Normal 5 2 7 3 6 2 2" xfId="46159" xr:uid="{00000000-0005-0000-0000-00009A650000}"/>
    <cellStyle name="Normal 5 2 7 3 6 3" xfId="33416" xr:uid="{00000000-0005-0000-0000-00009B650000}"/>
    <cellStyle name="Normal 5 2 7 3 7" xfId="16408" xr:uid="{00000000-0005-0000-0000-00009C650000}"/>
    <cellStyle name="Normal 5 2 7 3 7 2" xfId="41961" xr:uid="{00000000-0005-0000-0000-00009D650000}"/>
    <cellStyle name="Normal 5 2 7 3 8" xfId="27089" xr:uid="{00000000-0005-0000-0000-00009E650000}"/>
    <cellStyle name="Normal 5 2 7 4" xfId="2937" xr:uid="{00000000-0005-0000-0000-00009F650000}"/>
    <cellStyle name="Normal 5 2 7 4 2" xfId="5315" xr:uid="{00000000-0005-0000-0000-0000A0650000}"/>
    <cellStyle name="Normal 5 2 7 4 2 2" xfId="14152" xr:uid="{00000000-0005-0000-0000-0000A1650000}"/>
    <cellStyle name="Normal 5 2 7 4 2 2 2" xfId="24403" xr:uid="{00000000-0005-0000-0000-0000A2650000}"/>
    <cellStyle name="Normal 5 2 7 4 2 2 2 2" xfId="49956" xr:uid="{00000000-0005-0000-0000-0000A3650000}"/>
    <cellStyle name="Normal 5 2 7 4 2 2 3" xfId="39707" xr:uid="{00000000-0005-0000-0000-0000A4650000}"/>
    <cellStyle name="Normal 5 2 7 4 2 3" xfId="10573" xr:uid="{00000000-0005-0000-0000-0000A5650000}"/>
    <cellStyle name="Normal 5 2 7 4 2 3 2" xfId="36130" xr:uid="{00000000-0005-0000-0000-0000A6650000}"/>
    <cellStyle name="Normal 5 2 7 4 2 4" xfId="19396" xr:uid="{00000000-0005-0000-0000-0000A7650000}"/>
    <cellStyle name="Normal 5 2 7 4 2 4 2" xfId="44949" xr:uid="{00000000-0005-0000-0000-0000A8650000}"/>
    <cellStyle name="Normal 5 2 7 4 2 5" xfId="30886" xr:uid="{00000000-0005-0000-0000-0000A9650000}"/>
    <cellStyle name="Normal 5 2 7 4 3" xfId="6770" xr:uid="{00000000-0005-0000-0000-0000AA650000}"/>
    <cellStyle name="Normal 5 2 7 4 3 2" xfId="15597" xr:uid="{00000000-0005-0000-0000-0000AB650000}"/>
    <cellStyle name="Normal 5 2 7 4 3 2 2" xfId="41152" xr:uid="{00000000-0005-0000-0000-0000AC650000}"/>
    <cellStyle name="Normal 5 2 7 4 3 3" xfId="25848" xr:uid="{00000000-0005-0000-0000-0000AD650000}"/>
    <cellStyle name="Normal 5 2 7 4 3 3 2" xfId="51401" xr:uid="{00000000-0005-0000-0000-0000AE650000}"/>
    <cellStyle name="Normal 5 2 7 4 3 4" xfId="32331" xr:uid="{00000000-0005-0000-0000-0000AF650000}"/>
    <cellStyle name="Normal 5 2 7 4 4" xfId="8216" xr:uid="{00000000-0005-0000-0000-0000B0650000}"/>
    <cellStyle name="Normal 5 2 7 4 4 2" xfId="22298" xr:uid="{00000000-0005-0000-0000-0000B1650000}"/>
    <cellStyle name="Normal 5 2 7 4 4 2 2" xfId="47851" xr:uid="{00000000-0005-0000-0000-0000B2650000}"/>
    <cellStyle name="Normal 5 2 7 4 4 3" xfId="33773" xr:uid="{00000000-0005-0000-0000-0000B3650000}"/>
    <cellStyle name="Normal 5 2 7 4 5" xfId="17291" xr:uid="{00000000-0005-0000-0000-0000B4650000}"/>
    <cellStyle name="Normal 5 2 7 4 5 2" xfId="42844" xr:uid="{00000000-0005-0000-0000-0000B5650000}"/>
    <cellStyle name="Normal 5 2 7 4 6" xfId="28781" xr:uid="{00000000-0005-0000-0000-0000B6650000}"/>
    <cellStyle name="Normal 5 2 7 5" xfId="4271" xr:uid="{00000000-0005-0000-0000-0000B7650000}"/>
    <cellStyle name="Normal 5 2 7 5 2" xfId="13109" xr:uid="{00000000-0005-0000-0000-0000B8650000}"/>
    <cellStyle name="Normal 5 2 7 5 2 2" xfId="23360" xr:uid="{00000000-0005-0000-0000-0000B9650000}"/>
    <cellStyle name="Normal 5 2 7 5 2 2 2" xfId="48913" xr:uid="{00000000-0005-0000-0000-0000BA650000}"/>
    <cellStyle name="Normal 5 2 7 5 2 3" xfId="38664" xr:uid="{00000000-0005-0000-0000-0000BB650000}"/>
    <cellStyle name="Normal 5 2 7 5 3" xfId="9530" xr:uid="{00000000-0005-0000-0000-0000BC650000}"/>
    <cellStyle name="Normal 5 2 7 5 3 2" xfId="35087" xr:uid="{00000000-0005-0000-0000-0000BD650000}"/>
    <cellStyle name="Normal 5 2 7 5 4" xfId="18353" xr:uid="{00000000-0005-0000-0000-0000BE650000}"/>
    <cellStyle name="Normal 5 2 7 5 4 2" xfId="43906" xr:uid="{00000000-0005-0000-0000-0000BF650000}"/>
    <cellStyle name="Normal 5 2 7 5 5" xfId="29843" xr:uid="{00000000-0005-0000-0000-0000C0650000}"/>
    <cellStyle name="Normal 5 2 7 6" xfId="1543" xr:uid="{00000000-0005-0000-0000-0000C1650000}"/>
    <cellStyle name="Normal 5 2 7 6 2" xfId="10920" xr:uid="{00000000-0005-0000-0000-0000C2650000}"/>
    <cellStyle name="Normal 5 2 7 6 2 2" xfId="36475" xr:uid="{00000000-0005-0000-0000-0000C3650000}"/>
    <cellStyle name="Normal 5 2 7 6 3" xfId="20924" xr:uid="{00000000-0005-0000-0000-0000C4650000}"/>
    <cellStyle name="Normal 5 2 7 6 3 2" xfId="46477" xr:uid="{00000000-0005-0000-0000-0000C5650000}"/>
    <cellStyle name="Normal 5 2 7 6 4" xfId="27407" xr:uid="{00000000-0005-0000-0000-0000C6650000}"/>
    <cellStyle name="Normal 5 2 7 7" xfId="5727" xr:uid="{00000000-0005-0000-0000-0000C7650000}"/>
    <cellStyle name="Normal 5 2 7 7 2" xfId="14554" xr:uid="{00000000-0005-0000-0000-0000C8650000}"/>
    <cellStyle name="Normal 5 2 7 7 2 2" xfId="40109" xr:uid="{00000000-0005-0000-0000-0000C9650000}"/>
    <cellStyle name="Normal 5 2 7 7 3" xfId="24805" xr:uid="{00000000-0005-0000-0000-0000CA650000}"/>
    <cellStyle name="Normal 5 2 7 7 3 2" xfId="50358" xr:uid="{00000000-0005-0000-0000-0000CB650000}"/>
    <cellStyle name="Normal 5 2 7 7 4" xfId="31288" xr:uid="{00000000-0005-0000-0000-0000CC650000}"/>
    <cellStyle name="Normal 5 2 7 8" xfId="7171" xr:uid="{00000000-0005-0000-0000-0000CD650000}"/>
    <cellStyle name="Normal 5 2 7 8 2" xfId="19897" xr:uid="{00000000-0005-0000-0000-0000CE650000}"/>
    <cellStyle name="Normal 5 2 7 8 2 2" xfId="45450" xr:uid="{00000000-0005-0000-0000-0000CF650000}"/>
    <cellStyle name="Normal 5 2 7 8 3" xfId="32728" xr:uid="{00000000-0005-0000-0000-0000D0650000}"/>
    <cellStyle name="Normal 5 2 7 9" xfId="15917" xr:uid="{00000000-0005-0000-0000-0000D1650000}"/>
    <cellStyle name="Normal 5 2 7 9 2" xfId="41470" xr:uid="{00000000-0005-0000-0000-0000D2650000}"/>
    <cellStyle name="Normal 5 2 7_Degree data" xfId="3817" xr:uid="{00000000-0005-0000-0000-0000D3650000}"/>
    <cellStyle name="Normal 5 2 8" xfId="1719" xr:uid="{00000000-0005-0000-0000-0000D4650000}"/>
    <cellStyle name="Normal 5 2 8 2" xfId="11093" xr:uid="{00000000-0005-0000-0000-0000D5650000}"/>
    <cellStyle name="Normal 5 2 8 2 2" xfId="21097" xr:uid="{00000000-0005-0000-0000-0000D6650000}"/>
    <cellStyle name="Normal 5 2 8 2 2 2" xfId="46650" xr:uid="{00000000-0005-0000-0000-0000D7650000}"/>
    <cellStyle name="Normal 5 2 8 2 3" xfId="36648" xr:uid="{00000000-0005-0000-0000-0000D8650000}"/>
    <cellStyle name="Normal 5 2 8 3" xfId="8436" xr:uid="{00000000-0005-0000-0000-0000D9650000}"/>
    <cellStyle name="Normal 5 2 8 3 2" xfId="33993" xr:uid="{00000000-0005-0000-0000-0000DA650000}"/>
    <cellStyle name="Normal 5 2 8 4" xfId="16090" xr:uid="{00000000-0005-0000-0000-0000DB650000}"/>
    <cellStyle name="Normal 5 2 8 4 2" xfId="41643" xr:uid="{00000000-0005-0000-0000-0000DC650000}"/>
    <cellStyle name="Normal 5 2 8 5" xfId="27580" xr:uid="{00000000-0005-0000-0000-0000DD650000}"/>
    <cellStyle name="Normal 5 2 9" xfId="2617" xr:uid="{00000000-0005-0000-0000-0000DE650000}"/>
    <cellStyle name="Normal 5 2 9 2" xfId="11966" xr:uid="{00000000-0005-0000-0000-0000DF650000}"/>
    <cellStyle name="Normal 5 2 9 2 2" xfId="21980" xr:uid="{00000000-0005-0000-0000-0000E0650000}"/>
    <cellStyle name="Normal 5 2 9 2 2 2" xfId="47533" xr:uid="{00000000-0005-0000-0000-0000E1650000}"/>
    <cellStyle name="Normal 5 2 9 2 3" xfId="37521" xr:uid="{00000000-0005-0000-0000-0000E2650000}"/>
    <cellStyle name="Normal 5 2 9 3" xfId="8589" xr:uid="{00000000-0005-0000-0000-0000E3650000}"/>
    <cellStyle name="Normal 5 2 9 3 2" xfId="34146" xr:uid="{00000000-0005-0000-0000-0000E4650000}"/>
    <cellStyle name="Normal 5 2 9 4" xfId="16973" xr:uid="{00000000-0005-0000-0000-0000E5650000}"/>
    <cellStyle name="Normal 5 2 9 4 2" xfId="42526" xr:uid="{00000000-0005-0000-0000-0000E6650000}"/>
    <cellStyle name="Normal 5 2 9 5" xfId="28463" xr:uid="{00000000-0005-0000-0000-0000E7650000}"/>
    <cellStyle name="Normal 5 3" xfId="94" xr:uid="{00000000-0005-0000-0000-0000E8650000}"/>
    <cellStyle name="Normal 5 3 10" xfId="4098" xr:uid="{00000000-0005-0000-0000-0000E9650000}"/>
    <cellStyle name="Normal 5 3 10 2" xfId="5556" xr:uid="{00000000-0005-0000-0000-0000EA650000}"/>
    <cellStyle name="Normal 5 3 10 2 2" xfId="14383" xr:uid="{00000000-0005-0000-0000-0000EB650000}"/>
    <cellStyle name="Normal 5 3 10 2 2 2" xfId="39938" xr:uid="{00000000-0005-0000-0000-0000EC650000}"/>
    <cellStyle name="Normal 5 3 10 2 3" xfId="24634" xr:uid="{00000000-0005-0000-0000-0000ED650000}"/>
    <cellStyle name="Normal 5 3 10 2 3 2" xfId="50187" xr:uid="{00000000-0005-0000-0000-0000EE650000}"/>
    <cellStyle name="Normal 5 3 10 2 4" xfId="31117" xr:uid="{00000000-0005-0000-0000-0000EF650000}"/>
    <cellStyle name="Normal 5 3 10 3" xfId="7000" xr:uid="{00000000-0005-0000-0000-0000F0650000}"/>
    <cellStyle name="Normal 5 3 10 3 2" xfId="23187" xr:uid="{00000000-0005-0000-0000-0000F1650000}"/>
    <cellStyle name="Normal 5 3 10 3 2 2" xfId="48740" xr:uid="{00000000-0005-0000-0000-0000F2650000}"/>
    <cellStyle name="Normal 5 3 10 3 3" xfId="32557" xr:uid="{00000000-0005-0000-0000-0000F3650000}"/>
    <cellStyle name="Normal 5 3 10 4" xfId="18180" xr:uid="{00000000-0005-0000-0000-0000F4650000}"/>
    <cellStyle name="Normal 5 3 10 4 2" xfId="43733" xr:uid="{00000000-0005-0000-0000-0000F5650000}"/>
    <cellStyle name="Normal 5 3 10 5" xfId="29670" xr:uid="{00000000-0005-0000-0000-0000F6650000}"/>
    <cellStyle name="Normal 5 3 11" xfId="1392" xr:uid="{00000000-0005-0000-0000-0000F7650000}"/>
    <cellStyle name="Normal 5 3 11 2" xfId="10769" xr:uid="{00000000-0005-0000-0000-0000F8650000}"/>
    <cellStyle name="Normal 5 3 11 2 2" xfId="36324" xr:uid="{00000000-0005-0000-0000-0000F9650000}"/>
    <cellStyle name="Normal 5 3 11 3" xfId="20773" xr:uid="{00000000-0005-0000-0000-0000FA650000}"/>
    <cellStyle name="Normal 5 3 11 3 2" xfId="46326" xr:uid="{00000000-0005-0000-0000-0000FB650000}"/>
    <cellStyle name="Normal 5 3 11 4" xfId="27256" xr:uid="{00000000-0005-0000-0000-0000FC650000}"/>
    <cellStyle name="Normal 5 3 12" xfId="5526" xr:uid="{00000000-0005-0000-0000-0000FD650000}"/>
    <cellStyle name="Normal 5 3 12 2" xfId="14353" xr:uid="{00000000-0005-0000-0000-0000FE650000}"/>
    <cellStyle name="Normal 5 3 12 2 2" xfId="39908" xr:uid="{00000000-0005-0000-0000-0000FF650000}"/>
    <cellStyle name="Normal 5 3 12 3" xfId="24604" xr:uid="{00000000-0005-0000-0000-000000660000}"/>
    <cellStyle name="Normal 5 3 12 3 2" xfId="50157" xr:uid="{00000000-0005-0000-0000-000001660000}"/>
    <cellStyle name="Normal 5 3 12 4" xfId="31087" xr:uid="{00000000-0005-0000-0000-000002660000}"/>
    <cellStyle name="Normal 5 3 13" xfId="6970" xr:uid="{00000000-0005-0000-0000-000003660000}"/>
    <cellStyle name="Normal 5 3 13 2" xfId="19576" xr:uid="{00000000-0005-0000-0000-000004660000}"/>
    <cellStyle name="Normal 5 3 13 2 2" xfId="45129" xr:uid="{00000000-0005-0000-0000-000005660000}"/>
    <cellStyle name="Normal 5 3 13 3" xfId="32527" xr:uid="{00000000-0005-0000-0000-000006660000}"/>
    <cellStyle name="Normal 5 3 14" xfId="15766" xr:uid="{00000000-0005-0000-0000-000007660000}"/>
    <cellStyle name="Normal 5 3 14 2" xfId="41319" xr:uid="{00000000-0005-0000-0000-000008660000}"/>
    <cellStyle name="Normal 5 3 15" xfId="26059" xr:uid="{00000000-0005-0000-0000-000009660000}"/>
    <cellStyle name="Normal 5 3 2" xfId="152" xr:uid="{00000000-0005-0000-0000-00000A660000}"/>
    <cellStyle name="Normal 5 3 2 10" xfId="1417" xr:uid="{00000000-0005-0000-0000-00000B660000}"/>
    <cellStyle name="Normal 5 3 2 10 2" xfId="10794" xr:uid="{00000000-0005-0000-0000-00000C660000}"/>
    <cellStyle name="Normal 5 3 2 10 2 2" xfId="36349" xr:uid="{00000000-0005-0000-0000-00000D660000}"/>
    <cellStyle name="Normal 5 3 2 10 3" xfId="20798" xr:uid="{00000000-0005-0000-0000-00000E660000}"/>
    <cellStyle name="Normal 5 3 2 10 3 2" xfId="46351" xr:uid="{00000000-0005-0000-0000-00000F660000}"/>
    <cellStyle name="Normal 5 3 2 10 4" xfId="27281" xr:uid="{00000000-0005-0000-0000-000010660000}"/>
    <cellStyle name="Normal 5 3 2 11" xfId="5601" xr:uid="{00000000-0005-0000-0000-000011660000}"/>
    <cellStyle name="Normal 5 3 2 11 2" xfId="14428" xr:uid="{00000000-0005-0000-0000-000012660000}"/>
    <cellStyle name="Normal 5 3 2 11 2 2" xfId="39983" xr:uid="{00000000-0005-0000-0000-000013660000}"/>
    <cellStyle name="Normal 5 3 2 11 3" xfId="24679" xr:uid="{00000000-0005-0000-0000-000014660000}"/>
    <cellStyle name="Normal 5 3 2 11 3 2" xfId="50232" xr:uid="{00000000-0005-0000-0000-000015660000}"/>
    <cellStyle name="Normal 5 3 2 11 4" xfId="31162" xr:uid="{00000000-0005-0000-0000-000016660000}"/>
    <cellStyle name="Normal 5 3 2 12" xfId="7045" xr:uid="{00000000-0005-0000-0000-000017660000}"/>
    <cellStyle name="Normal 5 3 2 12 2" xfId="19611" xr:uid="{00000000-0005-0000-0000-000018660000}"/>
    <cellStyle name="Normal 5 3 2 12 2 2" xfId="45164" xr:uid="{00000000-0005-0000-0000-000019660000}"/>
    <cellStyle name="Normal 5 3 2 12 3" xfId="32602" xr:uid="{00000000-0005-0000-0000-00001A660000}"/>
    <cellStyle name="Normal 5 3 2 13" xfId="15791" xr:uid="{00000000-0005-0000-0000-00001B660000}"/>
    <cellStyle name="Normal 5 3 2 13 2" xfId="41344" xr:uid="{00000000-0005-0000-0000-00001C660000}"/>
    <cellStyle name="Normal 5 3 2 14" xfId="26094" xr:uid="{00000000-0005-0000-0000-00001D660000}"/>
    <cellStyle name="Normal 5 3 2 2" xfId="264" xr:uid="{00000000-0005-0000-0000-00001E660000}"/>
    <cellStyle name="Normal 5 3 2 2 10" xfId="7102" xr:uid="{00000000-0005-0000-0000-00001F660000}"/>
    <cellStyle name="Normal 5 3 2 2 10 2" xfId="19715" xr:uid="{00000000-0005-0000-0000-000020660000}"/>
    <cellStyle name="Normal 5 3 2 2 10 2 2" xfId="45268" xr:uid="{00000000-0005-0000-0000-000021660000}"/>
    <cellStyle name="Normal 5 3 2 2 10 3" xfId="32659" xr:uid="{00000000-0005-0000-0000-000022660000}"/>
    <cellStyle name="Normal 5 3 2 2 11" xfId="15848" xr:uid="{00000000-0005-0000-0000-000023660000}"/>
    <cellStyle name="Normal 5 3 2 2 11 2" xfId="41401" xr:uid="{00000000-0005-0000-0000-000024660000}"/>
    <cellStyle name="Normal 5 3 2 2 12" xfId="26198" xr:uid="{00000000-0005-0000-0000-000025660000}"/>
    <cellStyle name="Normal 5 3 2 2 2" xfId="586" xr:uid="{00000000-0005-0000-0000-000026660000}"/>
    <cellStyle name="Normal 5 3 2 2 2 10" xfId="26515" xr:uid="{00000000-0005-0000-0000-000027660000}"/>
    <cellStyle name="Normal 5 3 2 2 2 2" xfId="799" xr:uid="{00000000-0005-0000-0000-000028660000}"/>
    <cellStyle name="Normal 5 3 2 2 2 2 2" xfId="3284" xr:uid="{00000000-0005-0000-0000-000029660000}"/>
    <cellStyle name="Normal 5 3 2 2 2 2 2 2" xfId="12426" xr:uid="{00000000-0005-0000-0000-00002A660000}"/>
    <cellStyle name="Normal 5 3 2 2 2 2 2 2 2" xfId="22645" xr:uid="{00000000-0005-0000-0000-00002B660000}"/>
    <cellStyle name="Normal 5 3 2 2 2 2 2 2 2 2" xfId="48198" xr:uid="{00000000-0005-0000-0000-00002C660000}"/>
    <cellStyle name="Normal 5 3 2 2 2 2 2 2 3" xfId="37981" xr:uid="{00000000-0005-0000-0000-00002D660000}"/>
    <cellStyle name="Normal 5 3 2 2 2 2 2 3" xfId="8848" xr:uid="{00000000-0005-0000-0000-00002E660000}"/>
    <cellStyle name="Normal 5 3 2 2 2 2 2 3 2" xfId="34405" xr:uid="{00000000-0005-0000-0000-00002F660000}"/>
    <cellStyle name="Normal 5 3 2 2 2 2 2 4" xfId="17638" xr:uid="{00000000-0005-0000-0000-000030660000}"/>
    <cellStyle name="Normal 5 3 2 2 2 2 2 4 2" xfId="43191" xr:uid="{00000000-0005-0000-0000-000031660000}"/>
    <cellStyle name="Normal 5 3 2 2 2 2 2 5" xfId="29128" xr:uid="{00000000-0005-0000-0000-000032660000}"/>
    <cellStyle name="Normal 5 3 2 2 2 2 3" xfId="4613" xr:uid="{00000000-0005-0000-0000-000033660000}"/>
    <cellStyle name="Normal 5 3 2 2 2 2 3 2" xfId="13451" xr:uid="{00000000-0005-0000-0000-000034660000}"/>
    <cellStyle name="Normal 5 3 2 2 2 2 3 2 2" xfId="23702" xr:uid="{00000000-0005-0000-0000-000035660000}"/>
    <cellStyle name="Normal 5 3 2 2 2 2 3 2 2 2" xfId="49255" xr:uid="{00000000-0005-0000-0000-000036660000}"/>
    <cellStyle name="Normal 5 3 2 2 2 2 3 2 3" xfId="39006" xr:uid="{00000000-0005-0000-0000-000037660000}"/>
    <cellStyle name="Normal 5 3 2 2 2 2 3 3" xfId="9872" xr:uid="{00000000-0005-0000-0000-000038660000}"/>
    <cellStyle name="Normal 5 3 2 2 2 2 3 3 2" xfId="35429" xr:uid="{00000000-0005-0000-0000-000039660000}"/>
    <cellStyle name="Normal 5 3 2 2 2 2 3 4" xfId="18695" xr:uid="{00000000-0005-0000-0000-00003A660000}"/>
    <cellStyle name="Normal 5 3 2 2 2 2 3 4 2" xfId="44248" xr:uid="{00000000-0005-0000-0000-00003B660000}"/>
    <cellStyle name="Normal 5 3 2 2 2 2 3 5" xfId="30185" xr:uid="{00000000-0005-0000-0000-00003C660000}"/>
    <cellStyle name="Normal 5 3 2 2 2 2 4" xfId="2393" xr:uid="{00000000-0005-0000-0000-00003D660000}"/>
    <cellStyle name="Normal 5 3 2 2 2 2 4 2" xfId="11758" xr:uid="{00000000-0005-0000-0000-00003E660000}"/>
    <cellStyle name="Normal 5 3 2 2 2 2 4 2 2" xfId="37313" xr:uid="{00000000-0005-0000-0000-00003F660000}"/>
    <cellStyle name="Normal 5 3 2 2 2 2 4 3" xfId="21762" xr:uid="{00000000-0005-0000-0000-000040660000}"/>
    <cellStyle name="Normal 5 3 2 2 2 2 4 3 2" xfId="47315" xr:uid="{00000000-0005-0000-0000-000041660000}"/>
    <cellStyle name="Normal 5 3 2 2 2 2 4 4" xfId="28245" xr:uid="{00000000-0005-0000-0000-000042660000}"/>
    <cellStyle name="Normal 5 3 2 2 2 2 5" xfId="6069" xr:uid="{00000000-0005-0000-0000-000043660000}"/>
    <cellStyle name="Normal 5 3 2 2 2 2 5 2" xfId="14896" xr:uid="{00000000-0005-0000-0000-000044660000}"/>
    <cellStyle name="Normal 5 3 2 2 2 2 5 2 2" xfId="40451" xr:uid="{00000000-0005-0000-0000-000045660000}"/>
    <cellStyle name="Normal 5 3 2 2 2 2 5 3" xfId="25147" xr:uid="{00000000-0005-0000-0000-000046660000}"/>
    <cellStyle name="Normal 5 3 2 2 2 2 5 3 2" xfId="50700" xr:uid="{00000000-0005-0000-0000-000047660000}"/>
    <cellStyle name="Normal 5 3 2 2 2 2 5 4" xfId="31630" xr:uid="{00000000-0005-0000-0000-000048660000}"/>
    <cellStyle name="Normal 5 3 2 2 2 2 6" xfId="7514" xr:uid="{00000000-0005-0000-0000-000049660000}"/>
    <cellStyle name="Normal 5 3 2 2 2 2 6 2" xfId="20244" xr:uid="{00000000-0005-0000-0000-00004A660000}"/>
    <cellStyle name="Normal 5 3 2 2 2 2 6 2 2" xfId="45797" xr:uid="{00000000-0005-0000-0000-00004B660000}"/>
    <cellStyle name="Normal 5 3 2 2 2 2 6 3" xfId="33071" xr:uid="{00000000-0005-0000-0000-00004C660000}"/>
    <cellStyle name="Normal 5 3 2 2 2 2 7" xfId="16755" xr:uid="{00000000-0005-0000-0000-00004D660000}"/>
    <cellStyle name="Normal 5 3 2 2 2 2 7 2" xfId="42308" xr:uid="{00000000-0005-0000-0000-00004E660000}"/>
    <cellStyle name="Normal 5 3 2 2 2 2 8" xfId="26727" xr:uid="{00000000-0005-0000-0000-00004F660000}"/>
    <cellStyle name="Normal 5 3 2 2 2 3" xfId="1358" xr:uid="{00000000-0005-0000-0000-000050660000}"/>
    <cellStyle name="Normal 5 3 2 2 2 3 2" xfId="3787" xr:uid="{00000000-0005-0000-0000-000051660000}"/>
    <cellStyle name="Normal 5 3 2 2 2 3 2 2" xfId="12923" xr:uid="{00000000-0005-0000-0000-000052660000}"/>
    <cellStyle name="Normal 5 3 2 2 2 3 2 2 2" xfId="23142" xr:uid="{00000000-0005-0000-0000-000053660000}"/>
    <cellStyle name="Normal 5 3 2 2 2 3 2 2 2 2" xfId="48695" xr:uid="{00000000-0005-0000-0000-000054660000}"/>
    <cellStyle name="Normal 5 3 2 2 2 3 2 2 3" xfId="38478" xr:uid="{00000000-0005-0000-0000-000055660000}"/>
    <cellStyle name="Normal 5 3 2 2 2 3 2 3" xfId="9344" xr:uid="{00000000-0005-0000-0000-000056660000}"/>
    <cellStyle name="Normal 5 3 2 2 2 3 2 3 2" xfId="34901" xr:uid="{00000000-0005-0000-0000-000057660000}"/>
    <cellStyle name="Normal 5 3 2 2 2 3 2 4" xfId="18135" xr:uid="{00000000-0005-0000-0000-000058660000}"/>
    <cellStyle name="Normal 5 3 2 2 2 3 2 4 2" xfId="43688" xr:uid="{00000000-0005-0000-0000-000059660000}"/>
    <cellStyle name="Normal 5 3 2 2 2 3 2 5" xfId="29625" xr:uid="{00000000-0005-0000-0000-00005A660000}"/>
    <cellStyle name="Normal 5 3 2 2 2 3 3" xfId="4962" xr:uid="{00000000-0005-0000-0000-00005B660000}"/>
    <cellStyle name="Normal 5 3 2 2 2 3 3 2" xfId="13799" xr:uid="{00000000-0005-0000-0000-00005C660000}"/>
    <cellStyle name="Normal 5 3 2 2 2 3 3 2 2" xfId="24050" xr:uid="{00000000-0005-0000-0000-00005D660000}"/>
    <cellStyle name="Normal 5 3 2 2 2 3 3 2 2 2" xfId="49603" xr:uid="{00000000-0005-0000-0000-00005E660000}"/>
    <cellStyle name="Normal 5 3 2 2 2 3 3 2 3" xfId="39354" xr:uid="{00000000-0005-0000-0000-00005F660000}"/>
    <cellStyle name="Normal 5 3 2 2 2 3 3 3" xfId="10220" xr:uid="{00000000-0005-0000-0000-000060660000}"/>
    <cellStyle name="Normal 5 3 2 2 2 3 3 3 2" xfId="35777" xr:uid="{00000000-0005-0000-0000-000061660000}"/>
    <cellStyle name="Normal 5 3 2 2 2 3 3 4" xfId="19043" xr:uid="{00000000-0005-0000-0000-000062660000}"/>
    <cellStyle name="Normal 5 3 2 2 2 3 3 4 2" xfId="44596" xr:uid="{00000000-0005-0000-0000-000063660000}"/>
    <cellStyle name="Normal 5 3 2 2 2 3 3 5" xfId="30533" xr:uid="{00000000-0005-0000-0000-000064660000}"/>
    <cellStyle name="Normal 5 3 2 2 2 3 4" xfId="2181" xr:uid="{00000000-0005-0000-0000-000065660000}"/>
    <cellStyle name="Normal 5 3 2 2 2 3 4 2" xfId="11546" xr:uid="{00000000-0005-0000-0000-000066660000}"/>
    <cellStyle name="Normal 5 3 2 2 2 3 4 2 2" xfId="37101" xr:uid="{00000000-0005-0000-0000-000067660000}"/>
    <cellStyle name="Normal 5 3 2 2 2 3 4 3" xfId="21550" xr:uid="{00000000-0005-0000-0000-000068660000}"/>
    <cellStyle name="Normal 5 3 2 2 2 3 4 3 2" xfId="47103" xr:uid="{00000000-0005-0000-0000-000069660000}"/>
    <cellStyle name="Normal 5 3 2 2 2 3 4 4" xfId="28033" xr:uid="{00000000-0005-0000-0000-00006A660000}"/>
    <cellStyle name="Normal 5 3 2 2 2 3 5" xfId="6417" xr:uid="{00000000-0005-0000-0000-00006B660000}"/>
    <cellStyle name="Normal 5 3 2 2 2 3 5 2" xfId="15244" xr:uid="{00000000-0005-0000-0000-00006C660000}"/>
    <cellStyle name="Normal 5 3 2 2 2 3 5 2 2" xfId="40799" xr:uid="{00000000-0005-0000-0000-00006D660000}"/>
    <cellStyle name="Normal 5 3 2 2 2 3 5 3" xfId="25495" xr:uid="{00000000-0005-0000-0000-00006E660000}"/>
    <cellStyle name="Normal 5 3 2 2 2 3 5 3 2" xfId="51048" xr:uid="{00000000-0005-0000-0000-00006F660000}"/>
    <cellStyle name="Normal 5 3 2 2 2 3 5 4" xfId="31978" xr:uid="{00000000-0005-0000-0000-000070660000}"/>
    <cellStyle name="Normal 5 3 2 2 2 3 6" xfId="7863" xr:uid="{00000000-0005-0000-0000-000071660000}"/>
    <cellStyle name="Normal 5 3 2 2 2 3 6 2" xfId="20741" xr:uid="{00000000-0005-0000-0000-000072660000}"/>
    <cellStyle name="Normal 5 3 2 2 2 3 6 2 2" xfId="46294" xr:uid="{00000000-0005-0000-0000-000073660000}"/>
    <cellStyle name="Normal 5 3 2 2 2 3 6 3" xfId="33420" xr:uid="{00000000-0005-0000-0000-000074660000}"/>
    <cellStyle name="Normal 5 3 2 2 2 3 7" xfId="16543" xr:uid="{00000000-0005-0000-0000-000075660000}"/>
    <cellStyle name="Normal 5 3 2 2 2 3 7 2" xfId="42096" xr:uid="{00000000-0005-0000-0000-000076660000}"/>
    <cellStyle name="Normal 5 3 2 2 2 3 8" xfId="27224" xr:uid="{00000000-0005-0000-0000-000077660000}"/>
    <cellStyle name="Normal 5 3 2 2 2 4" xfId="3072" xr:uid="{00000000-0005-0000-0000-000078660000}"/>
    <cellStyle name="Normal 5 3 2 2 2 4 2" xfId="5450" xr:uid="{00000000-0005-0000-0000-000079660000}"/>
    <cellStyle name="Normal 5 3 2 2 2 4 2 2" xfId="14287" xr:uid="{00000000-0005-0000-0000-00007A660000}"/>
    <cellStyle name="Normal 5 3 2 2 2 4 2 2 2" xfId="24538" xr:uid="{00000000-0005-0000-0000-00007B660000}"/>
    <cellStyle name="Normal 5 3 2 2 2 4 2 2 2 2" xfId="50091" xr:uid="{00000000-0005-0000-0000-00007C660000}"/>
    <cellStyle name="Normal 5 3 2 2 2 4 2 2 3" xfId="39842" xr:uid="{00000000-0005-0000-0000-00007D660000}"/>
    <cellStyle name="Normal 5 3 2 2 2 4 2 3" xfId="10708" xr:uid="{00000000-0005-0000-0000-00007E660000}"/>
    <cellStyle name="Normal 5 3 2 2 2 4 2 3 2" xfId="36265" xr:uid="{00000000-0005-0000-0000-00007F660000}"/>
    <cellStyle name="Normal 5 3 2 2 2 4 2 4" xfId="19531" xr:uid="{00000000-0005-0000-0000-000080660000}"/>
    <cellStyle name="Normal 5 3 2 2 2 4 2 4 2" xfId="45084" xr:uid="{00000000-0005-0000-0000-000081660000}"/>
    <cellStyle name="Normal 5 3 2 2 2 4 2 5" xfId="31021" xr:uid="{00000000-0005-0000-0000-000082660000}"/>
    <cellStyle name="Normal 5 3 2 2 2 4 3" xfId="6905" xr:uid="{00000000-0005-0000-0000-000083660000}"/>
    <cellStyle name="Normal 5 3 2 2 2 4 3 2" xfId="15732" xr:uid="{00000000-0005-0000-0000-000084660000}"/>
    <cellStyle name="Normal 5 3 2 2 2 4 3 2 2" xfId="41287" xr:uid="{00000000-0005-0000-0000-000085660000}"/>
    <cellStyle name="Normal 5 3 2 2 2 4 3 3" xfId="25983" xr:uid="{00000000-0005-0000-0000-000086660000}"/>
    <cellStyle name="Normal 5 3 2 2 2 4 3 3 2" xfId="51536" xr:uid="{00000000-0005-0000-0000-000087660000}"/>
    <cellStyle name="Normal 5 3 2 2 2 4 3 4" xfId="32466" xr:uid="{00000000-0005-0000-0000-000088660000}"/>
    <cellStyle name="Normal 5 3 2 2 2 4 4" xfId="8351" xr:uid="{00000000-0005-0000-0000-000089660000}"/>
    <cellStyle name="Normal 5 3 2 2 2 4 4 2" xfId="22433" xr:uid="{00000000-0005-0000-0000-00008A660000}"/>
    <cellStyle name="Normal 5 3 2 2 2 4 4 2 2" xfId="47986" xr:uid="{00000000-0005-0000-0000-00008B660000}"/>
    <cellStyle name="Normal 5 3 2 2 2 4 4 3" xfId="33908" xr:uid="{00000000-0005-0000-0000-00008C660000}"/>
    <cellStyle name="Normal 5 3 2 2 2 4 5" xfId="17426" xr:uid="{00000000-0005-0000-0000-00008D660000}"/>
    <cellStyle name="Normal 5 3 2 2 2 4 5 2" xfId="42979" xr:uid="{00000000-0005-0000-0000-00008E660000}"/>
    <cellStyle name="Normal 5 3 2 2 2 4 6" xfId="28916" xr:uid="{00000000-0005-0000-0000-00008F660000}"/>
    <cellStyle name="Normal 5 3 2 2 2 5" xfId="4406" xr:uid="{00000000-0005-0000-0000-000090660000}"/>
    <cellStyle name="Normal 5 3 2 2 2 5 2" xfId="13244" xr:uid="{00000000-0005-0000-0000-000091660000}"/>
    <cellStyle name="Normal 5 3 2 2 2 5 2 2" xfId="23495" xr:uid="{00000000-0005-0000-0000-000092660000}"/>
    <cellStyle name="Normal 5 3 2 2 2 5 2 2 2" xfId="49048" xr:uid="{00000000-0005-0000-0000-000093660000}"/>
    <cellStyle name="Normal 5 3 2 2 2 5 2 3" xfId="38799" xr:uid="{00000000-0005-0000-0000-000094660000}"/>
    <cellStyle name="Normal 5 3 2 2 2 5 3" xfId="9665" xr:uid="{00000000-0005-0000-0000-000095660000}"/>
    <cellStyle name="Normal 5 3 2 2 2 5 3 2" xfId="35222" xr:uid="{00000000-0005-0000-0000-000096660000}"/>
    <cellStyle name="Normal 5 3 2 2 2 5 4" xfId="18488" xr:uid="{00000000-0005-0000-0000-000097660000}"/>
    <cellStyle name="Normal 5 3 2 2 2 5 4 2" xfId="44041" xr:uid="{00000000-0005-0000-0000-000098660000}"/>
    <cellStyle name="Normal 5 3 2 2 2 5 5" xfId="29978" xr:uid="{00000000-0005-0000-0000-000099660000}"/>
    <cellStyle name="Normal 5 3 2 2 2 6" xfId="1678" xr:uid="{00000000-0005-0000-0000-00009A660000}"/>
    <cellStyle name="Normal 5 3 2 2 2 6 2" xfId="11055" xr:uid="{00000000-0005-0000-0000-00009B660000}"/>
    <cellStyle name="Normal 5 3 2 2 2 6 2 2" xfId="36610" xr:uid="{00000000-0005-0000-0000-00009C660000}"/>
    <cellStyle name="Normal 5 3 2 2 2 6 3" xfId="21059" xr:uid="{00000000-0005-0000-0000-00009D660000}"/>
    <cellStyle name="Normal 5 3 2 2 2 6 3 2" xfId="46612" xr:uid="{00000000-0005-0000-0000-00009E660000}"/>
    <cellStyle name="Normal 5 3 2 2 2 6 4" xfId="27542" xr:uid="{00000000-0005-0000-0000-00009F660000}"/>
    <cellStyle name="Normal 5 3 2 2 2 7" xfId="5862" xr:uid="{00000000-0005-0000-0000-0000A0660000}"/>
    <cellStyle name="Normal 5 3 2 2 2 7 2" xfId="14689" xr:uid="{00000000-0005-0000-0000-0000A1660000}"/>
    <cellStyle name="Normal 5 3 2 2 2 7 2 2" xfId="40244" xr:uid="{00000000-0005-0000-0000-0000A2660000}"/>
    <cellStyle name="Normal 5 3 2 2 2 7 3" xfId="24940" xr:uid="{00000000-0005-0000-0000-0000A3660000}"/>
    <cellStyle name="Normal 5 3 2 2 2 7 3 2" xfId="50493" xr:uid="{00000000-0005-0000-0000-0000A4660000}"/>
    <cellStyle name="Normal 5 3 2 2 2 7 4" xfId="31423" xr:uid="{00000000-0005-0000-0000-0000A5660000}"/>
    <cellStyle name="Normal 5 3 2 2 2 8" xfId="7306" xr:uid="{00000000-0005-0000-0000-0000A6660000}"/>
    <cellStyle name="Normal 5 3 2 2 2 8 2" xfId="20032" xr:uid="{00000000-0005-0000-0000-0000A7660000}"/>
    <cellStyle name="Normal 5 3 2 2 2 8 2 2" xfId="45585" xr:uid="{00000000-0005-0000-0000-0000A8660000}"/>
    <cellStyle name="Normal 5 3 2 2 2 8 3" xfId="32863" xr:uid="{00000000-0005-0000-0000-0000A9660000}"/>
    <cellStyle name="Normal 5 3 2 2 2 9" xfId="16052" xr:uid="{00000000-0005-0000-0000-0000AA660000}"/>
    <cellStyle name="Normal 5 3 2 2 2 9 2" xfId="41605" xr:uid="{00000000-0005-0000-0000-0000AB660000}"/>
    <cellStyle name="Normal 5 3 2 2 2_Degree data" xfId="3867" xr:uid="{00000000-0005-0000-0000-0000AC660000}"/>
    <cellStyle name="Normal 5 3 2 2 3" xfId="382" xr:uid="{00000000-0005-0000-0000-0000AD660000}"/>
    <cellStyle name="Normal 5 3 2 2 3 2" xfId="2868" xr:uid="{00000000-0005-0000-0000-0000AE660000}"/>
    <cellStyle name="Normal 5 3 2 2 3 2 2" xfId="12156" xr:uid="{00000000-0005-0000-0000-0000AF660000}"/>
    <cellStyle name="Normal 5 3 2 2 3 2 2 2" xfId="22229" xr:uid="{00000000-0005-0000-0000-0000B0660000}"/>
    <cellStyle name="Normal 5 3 2 2 3 2 2 2 2" xfId="47782" xr:uid="{00000000-0005-0000-0000-0000B1660000}"/>
    <cellStyle name="Normal 5 3 2 2 3 2 2 3" xfId="37711" xr:uid="{00000000-0005-0000-0000-0000B2660000}"/>
    <cellStyle name="Normal 5 3 2 2 3 2 3" xfId="8624" xr:uid="{00000000-0005-0000-0000-0000B3660000}"/>
    <cellStyle name="Normal 5 3 2 2 3 2 3 2" xfId="34181" xr:uid="{00000000-0005-0000-0000-0000B4660000}"/>
    <cellStyle name="Normal 5 3 2 2 3 2 4" xfId="17222" xr:uid="{00000000-0005-0000-0000-0000B5660000}"/>
    <cellStyle name="Normal 5 3 2 2 3 2 4 2" xfId="42775" xr:uid="{00000000-0005-0000-0000-0000B6660000}"/>
    <cellStyle name="Normal 5 3 2 2 3 2 5" xfId="28712" xr:uid="{00000000-0005-0000-0000-0000B7660000}"/>
    <cellStyle name="Normal 5 3 2 2 3 3" xfId="4612" xr:uid="{00000000-0005-0000-0000-0000B8660000}"/>
    <cellStyle name="Normal 5 3 2 2 3 3 2" xfId="13450" xr:uid="{00000000-0005-0000-0000-0000B9660000}"/>
    <cellStyle name="Normal 5 3 2 2 3 3 2 2" xfId="23701" xr:uid="{00000000-0005-0000-0000-0000BA660000}"/>
    <cellStyle name="Normal 5 3 2 2 3 3 2 2 2" xfId="49254" xr:uid="{00000000-0005-0000-0000-0000BB660000}"/>
    <cellStyle name="Normal 5 3 2 2 3 3 2 3" xfId="39005" xr:uid="{00000000-0005-0000-0000-0000BC660000}"/>
    <cellStyle name="Normal 5 3 2 2 3 3 3" xfId="9871" xr:uid="{00000000-0005-0000-0000-0000BD660000}"/>
    <cellStyle name="Normal 5 3 2 2 3 3 3 2" xfId="35428" xr:uid="{00000000-0005-0000-0000-0000BE660000}"/>
    <cellStyle name="Normal 5 3 2 2 3 3 4" xfId="18694" xr:uid="{00000000-0005-0000-0000-0000BF660000}"/>
    <cellStyle name="Normal 5 3 2 2 3 3 4 2" xfId="44247" xr:uid="{00000000-0005-0000-0000-0000C0660000}"/>
    <cellStyle name="Normal 5 3 2 2 3 3 5" xfId="30184" xr:uid="{00000000-0005-0000-0000-0000C1660000}"/>
    <cellStyle name="Normal 5 3 2 2 3 4" xfId="1977" xr:uid="{00000000-0005-0000-0000-0000C2660000}"/>
    <cellStyle name="Normal 5 3 2 2 3 4 2" xfId="11342" xr:uid="{00000000-0005-0000-0000-0000C3660000}"/>
    <cellStyle name="Normal 5 3 2 2 3 4 2 2" xfId="36897" xr:uid="{00000000-0005-0000-0000-0000C4660000}"/>
    <cellStyle name="Normal 5 3 2 2 3 4 3" xfId="21346" xr:uid="{00000000-0005-0000-0000-0000C5660000}"/>
    <cellStyle name="Normal 5 3 2 2 3 4 3 2" xfId="46899" xr:uid="{00000000-0005-0000-0000-0000C6660000}"/>
    <cellStyle name="Normal 5 3 2 2 3 4 4" xfId="27829" xr:uid="{00000000-0005-0000-0000-0000C7660000}"/>
    <cellStyle name="Normal 5 3 2 2 3 5" xfId="6068" xr:uid="{00000000-0005-0000-0000-0000C8660000}"/>
    <cellStyle name="Normal 5 3 2 2 3 5 2" xfId="14895" xr:uid="{00000000-0005-0000-0000-0000C9660000}"/>
    <cellStyle name="Normal 5 3 2 2 3 5 2 2" xfId="40450" xr:uid="{00000000-0005-0000-0000-0000CA660000}"/>
    <cellStyle name="Normal 5 3 2 2 3 5 3" xfId="25146" xr:uid="{00000000-0005-0000-0000-0000CB660000}"/>
    <cellStyle name="Normal 5 3 2 2 3 5 3 2" xfId="50699" xr:uid="{00000000-0005-0000-0000-0000CC660000}"/>
    <cellStyle name="Normal 5 3 2 2 3 5 4" xfId="31629" xr:uid="{00000000-0005-0000-0000-0000CD660000}"/>
    <cellStyle name="Normal 5 3 2 2 3 6" xfId="7513" xr:uid="{00000000-0005-0000-0000-0000CE660000}"/>
    <cellStyle name="Normal 5 3 2 2 3 6 2" xfId="19828" xr:uid="{00000000-0005-0000-0000-0000CF660000}"/>
    <cellStyle name="Normal 5 3 2 2 3 6 2 2" xfId="45381" xr:uid="{00000000-0005-0000-0000-0000D0660000}"/>
    <cellStyle name="Normal 5 3 2 2 3 6 3" xfId="33070" xr:uid="{00000000-0005-0000-0000-0000D1660000}"/>
    <cellStyle name="Normal 5 3 2 2 3 7" xfId="16339" xr:uid="{00000000-0005-0000-0000-0000D2660000}"/>
    <cellStyle name="Normal 5 3 2 2 3 7 2" xfId="41892" xr:uid="{00000000-0005-0000-0000-0000D3660000}"/>
    <cellStyle name="Normal 5 3 2 2 3 8" xfId="26311" xr:uid="{00000000-0005-0000-0000-0000D4660000}"/>
    <cellStyle name="Normal 5 3 2 2 4" xfId="798" xr:uid="{00000000-0005-0000-0000-0000D5660000}"/>
    <cellStyle name="Normal 5 3 2 2 4 2" xfId="3283" xr:uid="{00000000-0005-0000-0000-0000D6660000}"/>
    <cellStyle name="Normal 5 3 2 2 4 2 2" xfId="12425" xr:uid="{00000000-0005-0000-0000-0000D7660000}"/>
    <cellStyle name="Normal 5 3 2 2 4 2 2 2" xfId="22644" xr:uid="{00000000-0005-0000-0000-0000D8660000}"/>
    <cellStyle name="Normal 5 3 2 2 4 2 2 2 2" xfId="48197" xr:uid="{00000000-0005-0000-0000-0000D9660000}"/>
    <cellStyle name="Normal 5 3 2 2 4 2 2 3" xfId="37980" xr:uid="{00000000-0005-0000-0000-0000DA660000}"/>
    <cellStyle name="Normal 5 3 2 2 4 2 3" xfId="8847" xr:uid="{00000000-0005-0000-0000-0000DB660000}"/>
    <cellStyle name="Normal 5 3 2 2 4 2 3 2" xfId="34404" xr:uid="{00000000-0005-0000-0000-0000DC660000}"/>
    <cellStyle name="Normal 5 3 2 2 4 2 4" xfId="17637" xr:uid="{00000000-0005-0000-0000-0000DD660000}"/>
    <cellStyle name="Normal 5 3 2 2 4 2 4 2" xfId="43190" xr:uid="{00000000-0005-0000-0000-0000DE660000}"/>
    <cellStyle name="Normal 5 3 2 2 4 2 5" xfId="29127" xr:uid="{00000000-0005-0000-0000-0000DF660000}"/>
    <cellStyle name="Normal 5 3 2 2 4 3" xfId="4961" xr:uid="{00000000-0005-0000-0000-0000E0660000}"/>
    <cellStyle name="Normal 5 3 2 2 4 3 2" xfId="13798" xr:uid="{00000000-0005-0000-0000-0000E1660000}"/>
    <cellStyle name="Normal 5 3 2 2 4 3 2 2" xfId="24049" xr:uid="{00000000-0005-0000-0000-0000E2660000}"/>
    <cellStyle name="Normal 5 3 2 2 4 3 2 2 2" xfId="49602" xr:uid="{00000000-0005-0000-0000-0000E3660000}"/>
    <cellStyle name="Normal 5 3 2 2 4 3 2 3" xfId="39353" xr:uid="{00000000-0005-0000-0000-0000E4660000}"/>
    <cellStyle name="Normal 5 3 2 2 4 3 3" xfId="10219" xr:uid="{00000000-0005-0000-0000-0000E5660000}"/>
    <cellStyle name="Normal 5 3 2 2 4 3 3 2" xfId="35776" xr:uid="{00000000-0005-0000-0000-0000E6660000}"/>
    <cellStyle name="Normal 5 3 2 2 4 3 4" xfId="19042" xr:uid="{00000000-0005-0000-0000-0000E7660000}"/>
    <cellStyle name="Normal 5 3 2 2 4 3 4 2" xfId="44595" xr:uid="{00000000-0005-0000-0000-0000E8660000}"/>
    <cellStyle name="Normal 5 3 2 2 4 3 5" xfId="30532" xr:uid="{00000000-0005-0000-0000-0000E9660000}"/>
    <cellStyle name="Normal 5 3 2 2 4 4" xfId="2392" xr:uid="{00000000-0005-0000-0000-0000EA660000}"/>
    <cellStyle name="Normal 5 3 2 2 4 4 2" xfId="11757" xr:uid="{00000000-0005-0000-0000-0000EB660000}"/>
    <cellStyle name="Normal 5 3 2 2 4 4 2 2" xfId="37312" xr:uid="{00000000-0005-0000-0000-0000EC660000}"/>
    <cellStyle name="Normal 5 3 2 2 4 4 3" xfId="21761" xr:uid="{00000000-0005-0000-0000-0000ED660000}"/>
    <cellStyle name="Normal 5 3 2 2 4 4 3 2" xfId="47314" xr:uid="{00000000-0005-0000-0000-0000EE660000}"/>
    <cellStyle name="Normal 5 3 2 2 4 4 4" xfId="28244" xr:uid="{00000000-0005-0000-0000-0000EF660000}"/>
    <cellStyle name="Normal 5 3 2 2 4 5" xfId="6416" xr:uid="{00000000-0005-0000-0000-0000F0660000}"/>
    <cellStyle name="Normal 5 3 2 2 4 5 2" xfId="15243" xr:uid="{00000000-0005-0000-0000-0000F1660000}"/>
    <cellStyle name="Normal 5 3 2 2 4 5 2 2" xfId="40798" xr:uid="{00000000-0005-0000-0000-0000F2660000}"/>
    <cellStyle name="Normal 5 3 2 2 4 5 3" xfId="25494" xr:uid="{00000000-0005-0000-0000-0000F3660000}"/>
    <cellStyle name="Normal 5 3 2 2 4 5 3 2" xfId="51047" xr:uid="{00000000-0005-0000-0000-0000F4660000}"/>
    <cellStyle name="Normal 5 3 2 2 4 5 4" xfId="31977" xr:uid="{00000000-0005-0000-0000-0000F5660000}"/>
    <cellStyle name="Normal 5 3 2 2 4 6" xfId="7862" xr:uid="{00000000-0005-0000-0000-0000F6660000}"/>
    <cellStyle name="Normal 5 3 2 2 4 6 2" xfId="20243" xr:uid="{00000000-0005-0000-0000-0000F7660000}"/>
    <cellStyle name="Normal 5 3 2 2 4 6 2 2" xfId="45796" xr:uid="{00000000-0005-0000-0000-0000F8660000}"/>
    <cellStyle name="Normal 5 3 2 2 4 6 3" xfId="33419" xr:uid="{00000000-0005-0000-0000-0000F9660000}"/>
    <cellStyle name="Normal 5 3 2 2 4 7" xfId="16754" xr:uid="{00000000-0005-0000-0000-0000FA660000}"/>
    <cellStyle name="Normal 5 3 2 2 4 7 2" xfId="42307" xr:uid="{00000000-0005-0000-0000-0000FB660000}"/>
    <cellStyle name="Normal 5 3 2 2 4 8" xfId="26726" xr:uid="{00000000-0005-0000-0000-0000FC660000}"/>
    <cellStyle name="Normal 5 3 2 2 5" xfId="1154" xr:uid="{00000000-0005-0000-0000-0000FD660000}"/>
    <cellStyle name="Normal 5 3 2 2 5 2" xfId="3583" xr:uid="{00000000-0005-0000-0000-0000FE660000}"/>
    <cellStyle name="Normal 5 3 2 2 5 2 2" xfId="12719" xr:uid="{00000000-0005-0000-0000-0000FF660000}"/>
    <cellStyle name="Normal 5 3 2 2 5 2 2 2" xfId="22938" xr:uid="{00000000-0005-0000-0000-000000670000}"/>
    <cellStyle name="Normal 5 3 2 2 5 2 2 2 2" xfId="48491" xr:uid="{00000000-0005-0000-0000-000001670000}"/>
    <cellStyle name="Normal 5 3 2 2 5 2 2 3" xfId="38274" xr:uid="{00000000-0005-0000-0000-000002670000}"/>
    <cellStyle name="Normal 5 3 2 2 5 2 3" xfId="9140" xr:uid="{00000000-0005-0000-0000-000003670000}"/>
    <cellStyle name="Normal 5 3 2 2 5 2 3 2" xfId="34697" xr:uid="{00000000-0005-0000-0000-000004670000}"/>
    <cellStyle name="Normal 5 3 2 2 5 2 4" xfId="17931" xr:uid="{00000000-0005-0000-0000-000005670000}"/>
    <cellStyle name="Normal 5 3 2 2 5 2 4 2" xfId="43484" xr:uid="{00000000-0005-0000-0000-000006670000}"/>
    <cellStyle name="Normal 5 3 2 2 5 2 5" xfId="29421" xr:uid="{00000000-0005-0000-0000-000007670000}"/>
    <cellStyle name="Normal 5 3 2 2 5 3" xfId="5246" xr:uid="{00000000-0005-0000-0000-000008670000}"/>
    <cellStyle name="Normal 5 3 2 2 5 3 2" xfId="14083" xr:uid="{00000000-0005-0000-0000-000009670000}"/>
    <cellStyle name="Normal 5 3 2 2 5 3 2 2" xfId="24334" xr:uid="{00000000-0005-0000-0000-00000A670000}"/>
    <cellStyle name="Normal 5 3 2 2 5 3 2 2 2" xfId="49887" xr:uid="{00000000-0005-0000-0000-00000B670000}"/>
    <cellStyle name="Normal 5 3 2 2 5 3 2 3" xfId="39638" xr:uid="{00000000-0005-0000-0000-00000C670000}"/>
    <cellStyle name="Normal 5 3 2 2 5 3 3" xfId="10504" xr:uid="{00000000-0005-0000-0000-00000D670000}"/>
    <cellStyle name="Normal 5 3 2 2 5 3 3 2" xfId="36061" xr:uid="{00000000-0005-0000-0000-00000E670000}"/>
    <cellStyle name="Normal 5 3 2 2 5 3 4" xfId="19327" xr:uid="{00000000-0005-0000-0000-00000F670000}"/>
    <cellStyle name="Normal 5 3 2 2 5 3 4 2" xfId="44880" xr:uid="{00000000-0005-0000-0000-000010670000}"/>
    <cellStyle name="Normal 5 3 2 2 5 3 5" xfId="30817" xr:uid="{00000000-0005-0000-0000-000011670000}"/>
    <cellStyle name="Normal 5 3 2 2 5 4" xfId="1861" xr:uid="{00000000-0005-0000-0000-000012670000}"/>
    <cellStyle name="Normal 5 3 2 2 5 4 2" xfId="11229" xr:uid="{00000000-0005-0000-0000-000013670000}"/>
    <cellStyle name="Normal 5 3 2 2 5 4 2 2" xfId="36784" xr:uid="{00000000-0005-0000-0000-000014670000}"/>
    <cellStyle name="Normal 5 3 2 2 5 4 3" xfId="21233" xr:uid="{00000000-0005-0000-0000-000015670000}"/>
    <cellStyle name="Normal 5 3 2 2 5 4 3 2" xfId="46786" xr:uid="{00000000-0005-0000-0000-000016670000}"/>
    <cellStyle name="Normal 5 3 2 2 5 4 4" xfId="27716" xr:uid="{00000000-0005-0000-0000-000017670000}"/>
    <cellStyle name="Normal 5 3 2 2 5 5" xfId="6701" xr:uid="{00000000-0005-0000-0000-000018670000}"/>
    <cellStyle name="Normal 5 3 2 2 5 5 2" xfId="15528" xr:uid="{00000000-0005-0000-0000-000019670000}"/>
    <cellStyle name="Normal 5 3 2 2 5 5 2 2" xfId="41083" xr:uid="{00000000-0005-0000-0000-00001A670000}"/>
    <cellStyle name="Normal 5 3 2 2 5 5 3" xfId="25779" xr:uid="{00000000-0005-0000-0000-00001B670000}"/>
    <cellStyle name="Normal 5 3 2 2 5 5 3 2" xfId="51332" xr:uid="{00000000-0005-0000-0000-00001C670000}"/>
    <cellStyle name="Normal 5 3 2 2 5 5 4" xfId="32262" xr:uid="{00000000-0005-0000-0000-00001D670000}"/>
    <cellStyle name="Normal 5 3 2 2 5 6" xfId="8147" xr:uid="{00000000-0005-0000-0000-00001E670000}"/>
    <cellStyle name="Normal 5 3 2 2 5 6 2" xfId="20537" xr:uid="{00000000-0005-0000-0000-00001F670000}"/>
    <cellStyle name="Normal 5 3 2 2 5 6 2 2" xfId="46090" xr:uid="{00000000-0005-0000-0000-000020670000}"/>
    <cellStyle name="Normal 5 3 2 2 5 6 3" xfId="33704" xr:uid="{00000000-0005-0000-0000-000021670000}"/>
    <cellStyle name="Normal 5 3 2 2 5 7" xfId="16226" xr:uid="{00000000-0005-0000-0000-000022670000}"/>
    <cellStyle name="Normal 5 3 2 2 5 7 2" xfId="41779" xr:uid="{00000000-0005-0000-0000-000023670000}"/>
    <cellStyle name="Normal 5 3 2 2 5 8" xfId="27020" xr:uid="{00000000-0005-0000-0000-000024670000}"/>
    <cellStyle name="Normal 5 3 2 2 6" xfId="2755" xr:uid="{00000000-0005-0000-0000-000025670000}"/>
    <cellStyle name="Normal 5 3 2 2 6 2" xfId="12072" xr:uid="{00000000-0005-0000-0000-000026670000}"/>
    <cellStyle name="Normal 5 3 2 2 6 2 2" xfId="22116" xr:uid="{00000000-0005-0000-0000-000027670000}"/>
    <cellStyle name="Normal 5 3 2 2 6 2 2 2" xfId="47669" xr:uid="{00000000-0005-0000-0000-000028670000}"/>
    <cellStyle name="Normal 5 3 2 2 6 2 3" xfId="37627" xr:uid="{00000000-0005-0000-0000-000029670000}"/>
    <cellStyle name="Normal 5 3 2 2 6 3" xfId="6939" xr:uid="{00000000-0005-0000-0000-00002A670000}"/>
    <cellStyle name="Normal 5 3 2 2 6 3 2" xfId="32497" xr:uid="{00000000-0005-0000-0000-00002B670000}"/>
    <cellStyle name="Normal 5 3 2 2 6 4" xfId="17109" xr:uid="{00000000-0005-0000-0000-00002C670000}"/>
    <cellStyle name="Normal 5 3 2 2 6 4 2" xfId="42662" xr:uid="{00000000-0005-0000-0000-00002D670000}"/>
    <cellStyle name="Normal 5 3 2 2 6 5" xfId="28599" xr:uid="{00000000-0005-0000-0000-00002E670000}"/>
    <cellStyle name="Normal 5 3 2 2 7" xfId="4202" xr:uid="{00000000-0005-0000-0000-00002F670000}"/>
    <cellStyle name="Normal 5 3 2 2 7 2" xfId="13040" xr:uid="{00000000-0005-0000-0000-000030670000}"/>
    <cellStyle name="Normal 5 3 2 2 7 2 2" xfId="23291" xr:uid="{00000000-0005-0000-0000-000031670000}"/>
    <cellStyle name="Normal 5 3 2 2 7 2 2 2" xfId="48844" xr:uid="{00000000-0005-0000-0000-000032670000}"/>
    <cellStyle name="Normal 5 3 2 2 7 2 3" xfId="38595" xr:uid="{00000000-0005-0000-0000-000033670000}"/>
    <cellStyle name="Normal 5 3 2 2 7 3" xfId="9461" xr:uid="{00000000-0005-0000-0000-000034670000}"/>
    <cellStyle name="Normal 5 3 2 2 7 3 2" xfId="35018" xr:uid="{00000000-0005-0000-0000-000035670000}"/>
    <cellStyle name="Normal 5 3 2 2 7 4" xfId="18284" xr:uid="{00000000-0005-0000-0000-000036670000}"/>
    <cellStyle name="Normal 5 3 2 2 7 4 2" xfId="43837" xr:uid="{00000000-0005-0000-0000-000037670000}"/>
    <cellStyle name="Normal 5 3 2 2 7 5" xfId="29774" xr:uid="{00000000-0005-0000-0000-000038670000}"/>
    <cellStyle name="Normal 5 3 2 2 8" xfId="1474" xr:uid="{00000000-0005-0000-0000-000039670000}"/>
    <cellStyle name="Normal 5 3 2 2 8 2" xfId="10851" xr:uid="{00000000-0005-0000-0000-00003A670000}"/>
    <cellStyle name="Normal 5 3 2 2 8 2 2" xfId="36406" xr:uid="{00000000-0005-0000-0000-00003B670000}"/>
    <cellStyle name="Normal 5 3 2 2 8 3" xfId="20855" xr:uid="{00000000-0005-0000-0000-00003C670000}"/>
    <cellStyle name="Normal 5 3 2 2 8 3 2" xfId="46408" xr:uid="{00000000-0005-0000-0000-00003D670000}"/>
    <cellStyle name="Normal 5 3 2 2 8 4" xfId="27338" xr:uid="{00000000-0005-0000-0000-00003E670000}"/>
    <cellStyle name="Normal 5 3 2 2 9" xfId="5658" xr:uid="{00000000-0005-0000-0000-00003F670000}"/>
    <cellStyle name="Normal 5 3 2 2 9 2" xfId="14485" xr:uid="{00000000-0005-0000-0000-000040670000}"/>
    <cellStyle name="Normal 5 3 2 2 9 2 2" xfId="40040" xr:uid="{00000000-0005-0000-0000-000041670000}"/>
    <cellStyle name="Normal 5 3 2 2 9 3" xfId="24736" xr:uid="{00000000-0005-0000-0000-000042670000}"/>
    <cellStyle name="Normal 5 3 2 2 9 3 2" xfId="50289" xr:uid="{00000000-0005-0000-0000-000043670000}"/>
    <cellStyle name="Normal 5 3 2 2 9 4" xfId="31219" xr:uid="{00000000-0005-0000-0000-000044670000}"/>
    <cellStyle name="Normal 5 3 2 2_Degree data" xfId="3902" xr:uid="{00000000-0005-0000-0000-000045670000}"/>
    <cellStyle name="Normal 5 3 2 3" xfId="218" xr:uid="{00000000-0005-0000-0000-000046670000}"/>
    <cellStyle name="Normal 5 3 2 3 10" xfId="16009" xr:uid="{00000000-0005-0000-0000-000047670000}"/>
    <cellStyle name="Normal 5 3 2 3 10 2" xfId="41562" xr:uid="{00000000-0005-0000-0000-000048670000}"/>
    <cellStyle name="Normal 5 3 2 3 11" xfId="26155" xr:uid="{00000000-0005-0000-0000-000049670000}"/>
    <cellStyle name="Normal 5 3 2 3 2" xfId="543" xr:uid="{00000000-0005-0000-0000-00004A670000}"/>
    <cellStyle name="Normal 5 3 2 3 2 2" xfId="3029" xr:uid="{00000000-0005-0000-0000-00004B670000}"/>
    <cellStyle name="Normal 5 3 2 3 2 2 2" xfId="12217" xr:uid="{00000000-0005-0000-0000-00004C670000}"/>
    <cellStyle name="Normal 5 3 2 3 2 2 2 2" xfId="22390" xr:uid="{00000000-0005-0000-0000-00004D670000}"/>
    <cellStyle name="Normal 5 3 2 3 2 2 2 2 2" xfId="47943" xr:uid="{00000000-0005-0000-0000-00004E670000}"/>
    <cellStyle name="Normal 5 3 2 3 2 2 2 3" xfId="37772" xr:uid="{00000000-0005-0000-0000-00004F670000}"/>
    <cellStyle name="Normal 5 3 2 3 2 2 3" xfId="8505" xr:uid="{00000000-0005-0000-0000-000050670000}"/>
    <cellStyle name="Normal 5 3 2 3 2 2 3 2" xfId="34062" xr:uid="{00000000-0005-0000-0000-000051670000}"/>
    <cellStyle name="Normal 5 3 2 3 2 2 4" xfId="17383" xr:uid="{00000000-0005-0000-0000-000052670000}"/>
    <cellStyle name="Normal 5 3 2 3 2 2 4 2" xfId="42936" xr:uid="{00000000-0005-0000-0000-000053670000}"/>
    <cellStyle name="Normal 5 3 2 3 2 2 5" xfId="28873" xr:uid="{00000000-0005-0000-0000-000054670000}"/>
    <cellStyle name="Normal 5 3 2 3 2 3" xfId="4614" xr:uid="{00000000-0005-0000-0000-000055670000}"/>
    <cellStyle name="Normal 5 3 2 3 2 3 2" xfId="13452" xr:uid="{00000000-0005-0000-0000-000056670000}"/>
    <cellStyle name="Normal 5 3 2 3 2 3 2 2" xfId="23703" xr:uid="{00000000-0005-0000-0000-000057670000}"/>
    <cellStyle name="Normal 5 3 2 3 2 3 2 2 2" xfId="49256" xr:uid="{00000000-0005-0000-0000-000058670000}"/>
    <cellStyle name="Normal 5 3 2 3 2 3 2 3" xfId="39007" xr:uid="{00000000-0005-0000-0000-000059670000}"/>
    <cellStyle name="Normal 5 3 2 3 2 3 3" xfId="9873" xr:uid="{00000000-0005-0000-0000-00005A670000}"/>
    <cellStyle name="Normal 5 3 2 3 2 3 3 2" xfId="35430" xr:uid="{00000000-0005-0000-0000-00005B670000}"/>
    <cellStyle name="Normal 5 3 2 3 2 3 4" xfId="18696" xr:uid="{00000000-0005-0000-0000-00005C670000}"/>
    <cellStyle name="Normal 5 3 2 3 2 3 4 2" xfId="44249" xr:uid="{00000000-0005-0000-0000-00005D670000}"/>
    <cellStyle name="Normal 5 3 2 3 2 3 5" xfId="30186" xr:uid="{00000000-0005-0000-0000-00005E670000}"/>
    <cellStyle name="Normal 5 3 2 3 2 4" xfId="2138" xr:uid="{00000000-0005-0000-0000-00005F670000}"/>
    <cellStyle name="Normal 5 3 2 3 2 4 2" xfId="11503" xr:uid="{00000000-0005-0000-0000-000060670000}"/>
    <cellStyle name="Normal 5 3 2 3 2 4 2 2" xfId="37058" xr:uid="{00000000-0005-0000-0000-000061670000}"/>
    <cellStyle name="Normal 5 3 2 3 2 4 3" xfId="21507" xr:uid="{00000000-0005-0000-0000-000062670000}"/>
    <cellStyle name="Normal 5 3 2 3 2 4 3 2" xfId="47060" xr:uid="{00000000-0005-0000-0000-000063670000}"/>
    <cellStyle name="Normal 5 3 2 3 2 4 4" xfId="27990" xr:uid="{00000000-0005-0000-0000-000064670000}"/>
    <cellStyle name="Normal 5 3 2 3 2 5" xfId="6070" xr:uid="{00000000-0005-0000-0000-000065670000}"/>
    <cellStyle name="Normal 5 3 2 3 2 5 2" xfId="14897" xr:uid="{00000000-0005-0000-0000-000066670000}"/>
    <cellStyle name="Normal 5 3 2 3 2 5 2 2" xfId="40452" xr:uid="{00000000-0005-0000-0000-000067670000}"/>
    <cellStyle name="Normal 5 3 2 3 2 5 3" xfId="25148" xr:uid="{00000000-0005-0000-0000-000068670000}"/>
    <cellStyle name="Normal 5 3 2 3 2 5 3 2" xfId="50701" xr:uid="{00000000-0005-0000-0000-000069670000}"/>
    <cellStyle name="Normal 5 3 2 3 2 5 4" xfId="31631" xr:uid="{00000000-0005-0000-0000-00006A670000}"/>
    <cellStyle name="Normal 5 3 2 3 2 6" xfId="7515" xr:uid="{00000000-0005-0000-0000-00006B670000}"/>
    <cellStyle name="Normal 5 3 2 3 2 6 2" xfId="19989" xr:uid="{00000000-0005-0000-0000-00006C670000}"/>
    <cellStyle name="Normal 5 3 2 3 2 6 2 2" xfId="45542" xr:uid="{00000000-0005-0000-0000-00006D670000}"/>
    <cellStyle name="Normal 5 3 2 3 2 6 3" xfId="33072" xr:uid="{00000000-0005-0000-0000-00006E670000}"/>
    <cellStyle name="Normal 5 3 2 3 2 7" xfId="16500" xr:uid="{00000000-0005-0000-0000-00006F670000}"/>
    <cellStyle name="Normal 5 3 2 3 2 7 2" xfId="42053" xr:uid="{00000000-0005-0000-0000-000070670000}"/>
    <cellStyle name="Normal 5 3 2 3 2 8" xfId="26472" xr:uid="{00000000-0005-0000-0000-000071670000}"/>
    <cellStyle name="Normal 5 3 2 3 3" xfId="800" xr:uid="{00000000-0005-0000-0000-000072670000}"/>
    <cellStyle name="Normal 5 3 2 3 3 2" xfId="3285" xr:uid="{00000000-0005-0000-0000-000073670000}"/>
    <cellStyle name="Normal 5 3 2 3 3 2 2" xfId="12427" xr:uid="{00000000-0005-0000-0000-000074670000}"/>
    <cellStyle name="Normal 5 3 2 3 3 2 2 2" xfId="22646" xr:uid="{00000000-0005-0000-0000-000075670000}"/>
    <cellStyle name="Normal 5 3 2 3 3 2 2 2 2" xfId="48199" xr:uid="{00000000-0005-0000-0000-000076670000}"/>
    <cellStyle name="Normal 5 3 2 3 3 2 2 3" xfId="37982" xr:uid="{00000000-0005-0000-0000-000077670000}"/>
    <cellStyle name="Normal 5 3 2 3 3 2 3" xfId="8849" xr:uid="{00000000-0005-0000-0000-000078670000}"/>
    <cellStyle name="Normal 5 3 2 3 3 2 3 2" xfId="34406" xr:uid="{00000000-0005-0000-0000-000079670000}"/>
    <cellStyle name="Normal 5 3 2 3 3 2 4" xfId="17639" xr:uid="{00000000-0005-0000-0000-00007A670000}"/>
    <cellStyle name="Normal 5 3 2 3 3 2 4 2" xfId="43192" xr:uid="{00000000-0005-0000-0000-00007B670000}"/>
    <cellStyle name="Normal 5 3 2 3 3 2 5" xfId="29129" xr:uid="{00000000-0005-0000-0000-00007C670000}"/>
    <cellStyle name="Normal 5 3 2 3 3 3" xfId="4963" xr:uid="{00000000-0005-0000-0000-00007D670000}"/>
    <cellStyle name="Normal 5 3 2 3 3 3 2" xfId="13800" xr:uid="{00000000-0005-0000-0000-00007E670000}"/>
    <cellStyle name="Normal 5 3 2 3 3 3 2 2" xfId="24051" xr:uid="{00000000-0005-0000-0000-00007F670000}"/>
    <cellStyle name="Normal 5 3 2 3 3 3 2 2 2" xfId="49604" xr:uid="{00000000-0005-0000-0000-000080670000}"/>
    <cellStyle name="Normal 5 3 2 3 3 3 2 3" xfId="39355" xr:uid="{00000000-0005-0000-0000-000081670000}"/>
    <cellStyle name="Normal 5 3 2 3 3 3 3" xfId="10221" xr:uid="{00000000-0005-0000-0000-000082670000}"/>
    <cellStyle name="Normal 5 3 2 3 3 3 3 2" xfId="35778" xr:uid="{00000000-0005-0000-0000-000083670000}"/>
    <cellStyle name="Normal 5 3 2 3 3 3 4" xfId="19044" xr:uid="{00000000-0005-0000-0000-000084670000}"/>
    <cellStyle name="Normal 5 3 2 3 3 3 4 2" xfId="44597" xr:uid="{00000000-0005-0000-0000-000085670000}"/>
    <cellStyle name="Normal 5 3 2 3 3 3 5" xfId="30534" xr:uid="{00000000-0005-0000-0000-000086670000}"/>
    <cellStyle name="Normal 5 3 2 3 3 4" xfId="2394" xr:uid="{00000000-0005-0000-0000-000087670000}"/>
    <cellStyle name="Normal 5 3 2 3 3 4 2" xfId="11759" xr:uid="{00000000-0005-0000-0000-000088670000}"/>
    <cellStyle name="Normal 5 3 2 3 3 4 2 2" xfId="37314" xr:uid="{00000000-0005-0000-0000-000089670000}"/>
    <cellStyle name="Normal 5 3 2 3 3 4 3" xfId="21763" xr:uid="{00000000-0005-0000-0000-00008A670000}"/>
    <cellStyle name="Normal 5 3 2 3 3 4 3 2" xfId="47316" xr:uid="{00000000-0005-0000-0000-00008B670000}"/>
    <cellStyle name="Normal 5 3 2 3 3 4 4" xfId="28246" xr:uid="{00000000-0005-0000-0000-00008C670000}"/>
    <cellStyle name="Normal 5 3 2 3 3 5" xfId="6418" xr:uid="{00000000-0005-0000-0000-00008D670000}"/>
    <cellStyle name="Normal 5 3 2 3 3 5 2" xfId="15245" xr:uid="{00000000-0005-0000-0000-00008E670000}"/>
    <cellStyle name="Normal 5 3 2 3 3 5 2 2" xfId="40800" xr:uid="{00000000-0005-0000-0000-00008F670000}"/>
    <cellStyle name="Normal 5 3 2 3 3 5 3" xfId="25496" xr:uid="{00000000-0005-0000-0000-000090670000}"/>
    <cellStyle name="Normal 5 3 2 3 3 5 3 2" xfId="51049" xr:uid="{00000000-0005-0000-0000-000091670000}"/>
    <cellStyle name="Normal 5 3 2 3 3 5 4" xfId="31979" xr:uid="{00000000-0005-0000-0000-000092670000}"/>
    <cellStyle name="Normal 5 3 2 3 3 6" xfId="7864" xr:uid="{00000000-0005-0000-0000-000093670000}"/>
    <cellStyle name="Normal 5 3 2 3 3 6 2" xfId="20245" xr:uid="{00000000-0005-0000-0000-000094670000}"/>
    <cellStyle name="Normal 5 3 2 3 3 6 2 2" xfId="45798" xr:uid="{00000000-0005-0000-0000-000095670000}"/>
    <cellStyle name="Normal 5 3 2 3 3 6 3" xfId="33421" xr:uid="{00000000-0005-0000-0000-000096670000}"/>
    <cellStyle name="Normal 5 3 2 3 3 7" xfId="16756" xr:uid="{00000000-0005-0000-0000-000097670000}"/>
    <cellStyle name="Normal 5 3 2 3 3 7 2" xfId="42309" xr:uid="{00000000-0005-0000-0000-000098670000}"/>
    <cellStyle name="Normal 5 3 2 3 3 8" xfId="26728" xr:uid="{00000000-0005-0000-0000-000099670000}"/>
    <cellStyle name="Normal 5 3 2 3 4" xfId="1315" xr:uid="{00000000-0005-0000-0000-00009A670000}"/>
    <cellStyle name="Normal 5 3 2 3 4 2" xfId="3744" xr:uid="{00000000-0005-0000-0000-00009B670000}"/>
    <cellStyle name="Normal 5 3 2 3 4 2 2" xfId="12880" xr:uid="{00000000-0005-0000-0000-00009C670000}"/>
    <cellStyle name="Normal 5 3 2 3 4 2 2 2" xfId="23099" xr:uid="{00000000-0005-0000-0000-00009D670000}"/>
    <cellStyle name="Normal 5 3 2 3 4 2 2 2 2" xfId="48652" xr:uid="{00000000-0005-0000-0000-00009E670000}"/>
    <cellStyle name="Normal 5 3 2 3 4 2 2 3" xfId="38435" xr:uid="{00000000-0005-0000-0000-00009F670000}"/>
    <cellStyle name="Normal 5 3 2 3 4 2 3" xfId="9301" xr:uid="{00000000-0005-0000-0000-0000A0670000}"/>
    <cellStyle name="Normal 5 3 2 3 4 2 3 2" xfId="34858" xr:uid="{00000000-0005-0000-0000-0000A1670000}"/>
    <cellStyle name="Normal 5 3 2 3 4 2 4" xfId="18092" xr:uid="{00000000-0005-0000-0000-0000A2670000}"/>
    <cellStyle name="Normal 5 3 2 3 4 2 4 2" xfId="43645" xr:uid="{00000000-0005-0000-0000-0000A3670000}"/>
    <cellStyle name="Normal 5 3 2 3 4 2 5" xfId="29582" xr:uid="{00000000-0005-0000-0000-0000A4670000}"/>
    <cellStyle name="Normal 5 3 2 3 4 3" xfId="5407" xr:uid="{00000000-0005-0000-0000-0000A5670000}"/>
    <cellStyle name="Normal 5 3 2 3 4 3 2" xfId="14244" xr:uid="{00000000-0005-0000-0000-0000A6670000}"/>
    <cellStyle name="Normal 5 3 2 3 4 3 2 2" xfId="24495" xr:uid="{00000000-0005-0000-0000-0000A7670000}"/>
    <cellStyle name="Normal 5 3 2 3 4 3 2 2 2" xfId="50048" xr:uid="{00000000-0005-0000-0000-0000A8670000}"/>
    <cellStyle name="Normal 5 3 2 3 4 3 2 3" xfId="39799" xr:uid="{00000000-0005-0000-0000-0000A9670000}"/>
    <cellStyle name="Normal 5 3 2 3 4 3 3" xfId="10665" xr:uid="{00000000-0005-0000-0000-0000AA670000}"/>
    <cellStyle name="Normal 5 3 2 3 4 3 3 2" xfId="36222" xr:uid="{00000000-0005-0000-0000-0000AB670000}"/>
    <cellStyle name="Normal 5 3 2 3 4 3 4" xfId="19488" xr:uid="{00000000-0005-0000-0000-0000AC670000}"/>
    <cellStyle name="Normal 5 3 2 3 4 3 4 2" xfId="45041" xr:uid="{00000000-0005-0000-0000-0000AD670000}"/>
    <cellStyle name="Normal 5 3 2 3 4 3 5" xfId="30978" xr:uid="{00000000-0005-0000-0000-0000AE670000}"/>
    <cellStyle name="Normal 5 3 2 3 4 4" xfId="1818" xr:uid="{00000000-0005-0000-0000-0000AF670000}"/>
    <cellStyle name="Normal 5 3 2 3 4 4 2" xfId="11186" xr:uid="{00000000-0005-0000-0000-0000B0670000}"/>
    <cellStyle name="Normal 5 3 2 3 4 4 2 2" xfId="36741" xr:uid="{00000000-0005-0000-0000-0000B1670000}"/>
    <cellStyle name="Normal 5 3 2 3 4 4 3" xfId="21190" xr:uid="{00000000-0005-0000-0000-0000B2670000}"/>
    <cellStyle name="Normal 5 3 2 3 4 4 3 2" xfId="46743" xr:uid="{00000000-0005-0000-0000-0000B3670000}"/>
    <cellStyle name="Normal 5 3 2 3 4 4 4" xfId="27673" xr:uid="{00000000-0005-0000-0000-0000B4670000}"/>
    <cellStyle name="Normal 5 3 2 3 4 5" xfId="6862" xr:uid="{00000000-0005-0000-0000-0000B5670000}"/>
    <cellStyle name="Normal 5 3 2 3 4 5 2" xfId="15689" xr:uid="{00000000-0005-0000-0000-0000B6670000}"/>
    <cellStyle name="Normal 5 3 2 3 4 5 2 2" xfId="41244" xr:uid="{00000000-0005-0000-0000-0000B7670000}"/>
    <cellStyle name="Normal 5 3 2 3 4 5 3" xfId="25940" xr:uid="{00000000-0005-0000-0000-0000B8670000}"/>
    <cellStyle name="Normal 5 3 2 3 4 5 3 2" xfId="51493" xr:uid="{00000000-0005-0000-0000-0000B9670000}"/>
    <cellStyle name="Normal 5 3 2 3 4 5 4" xfId="32423" xr:uid="{00000000-0005-0000-0000-0000BA670000}"/>
    <cellStyle name="Normal 5 3 2 3 4 6" xfId="8308" xr:uid="{00000000-0005-0000-0000-0000BB670000}"/>
    <cellStyle name="Normal 5 3 2 3 4 6 2" xfId="20698" xr:uid="{00000000-0005-0000-0000-0000BC670000}"/>
    <cellStyle name="Normal 5 3 2 3 4 6 2 2" xfId="46251" xr:uid="{00000000-0005-0000-0000-0000BD670000}"/>
    <cellStyle name="Normal 5 3 2 3 4 6 3" xfId="33865" xr:uid="{00000000-0005-0000-0000-0000BE670000}"/>
    <cellStyle name="Normal 5 3 2 3 4 7" xfId="16183" xr:uid="{00000000-0005-0000-0000-0000BF670000}"/>
    <cellStyle name="Normal 5 3 2 3 4 7 2" xfId="41736" xr:uid="{00000000-0005-0000-0000-0000C0670000}"/>
    <cellStyle name="Normal 5 3 2 3 4 8" xfId="27181" xr:uid="{00000000-0005-0000-0000-0000C1670000}"/>
    <cellStyle name="Normal 5 3 2 3 5" xfId="2712" xr:uid="{00000000-0005-0000-0000-0000C2670000}"/>
    <cellStyle name="Normal 5 3 2 3 5 2" xfId="12029" xr:uid="{00000000-0005-0000-0000-0000C3670000}"/>
    <cellStyle name="Normal 5 3 2 3 5 2 2" xfId="22073" xr:uid="{00000000-0005-0000-0000-0000C4670000}"/>
    <cellStyle name="Normal 5 3 2 3 5 2 2 2" xfId="47626" xr:uid="{00000000-0005-0000-0000-0000C5670000}"/>
    <cellStyle name="Normal 5 3 2 3 5 2 3" xfId="37584" xr:uid="{00000000-0005-0000-0000-0000C6670000}"/>
    <cellStyle name="Normal 5 3 2 3 5 3" xfId="8490" xr:uid="{00000000-0005-0000-0000-0000C7670000}"/>
    <cellStyle name="Normal 5 3 2 3 5 3 2" xfId="34047" xr:uid="{00000000-0005-0000-0000-0000C8670000}"/>
    <cellStyle name="Normal 5 3 2 3 5 4" xfId="17066" xr:uid="{00000000-0005-0000-0000-0000C9670000}"/>
    <cellStyle name="Normal 5 3 2 3 5 4 2" xfId="42619" xr:uid="{00000000-0005-0000-0000-0000CA670000}"/>
    <cellStyle name="Normal 5 3 2 3 5 5" xfId="28556" xr:uid="{00000000-0005-0000-0000-0000CB670000}"/>
    <cellStyle name="Normal 5 3 2 3 6" xfId="4363" xr:uid="{00000000-0005-0000-0000-0000CC670000}"/>
    <cellStyle name="Normal 5 3 2 3 6 2" xfId="13201" xr:uid="{00000000-0005-0000-0000-0000CD670000}"/>
    <cellStyle name="Normal 5 3 2 3 6 2 2" xfId="23452" xr:uid="{00000000-0005-0000-0000-0000CE670000}"/>
    <cellStyle name="Normal 5 3 2 3 6 2 2 2" xfId="49005" xr:uid="{00000000-0005-0000-0000-0000CF670000}"/>
    <cellStyle name="Normal 5 3 2 3 6 2 3" xfId="38756" xr:uid="{00000000-0005-0000-0000-0000D0670000}"/>
    <cellStyle name="Normal 5 3 2 3 6 3" xfId="9622" xr:uid="{00000000-0005-0000-0000-0000D1670000}"/>
    <cellStyle name="Normal 5 3 2 3 6 3 2" xfId="35179" xr:uid="{00000000-0005-0000-0000-0000D2670000}"/>
    <cellStyle name="Normal 5 3 2 3 6 4" xfId="18445" xr:uid="{00000000-0005-0000-0000-0000D3670000}"/>
    <cellStyle name="Normal 5 3 2 3 6 4 2" xfId="43998" xr:uid="{00000000-0005-0000-0000-0000D4670000}"/>
    <cellStyle name="Normal 5 3 2 3 6 5" xfId="29935" xr:uid="{00000000-0005-0000-0000-0000D5670000}"/>
    <cellStyle name="Normal 5 3 2 3 7" xfId="1635" xr:uid="{00000000-0005-0000-0000-0000D6670000}"/>
    <cellStyle name="Normal 5 3 2 3 7 2" xfId="11012" xr:uid="{00000000-0005-0000-0000-0000D7670000}"/>
    <cellStyle name="Normal 5 3 2 3 7 2 2" xfId="36567" xr:uid="{00000000-0005-0000-0000-0000D8670000}"/>
    <cellStyle name="Normal 5 3 2 3 7 3" xfId="21016" xr:uid="{00000000-0005-0000-0000-0000D9670000}"/>
    <cellStyle name="Normal 5 3 2 3 7 3 2" xfId="46569" xr:uid="{00000000-0005-0000-0000-0000DA670000}"/>
    <cellStyle name="Normal 5 3 2 3 7 4" xfId="27499" xr:uid="{00000000-0005-0000-0000-0000DB670000}"/>
    <cellStyle name="Normal 5 3 2 3 8" xfId="5819" xr:uid="{00000000-0005-0000-0000-0000DC670000}"/>
    <cellStyle name="Normal 5 3 2 3 8 2" xfId="14646" xr:uid="{00000000-0005-0000-0000-0000DD670000}"/>
    <cellStyle name="Normal 5 3 2 3 8 2 2" xfId="40201" xr:uid="{00000000-0005-0000-0000-0000DE670000}"/>
    <cellStyle name="Normal 5 3 2 3 8 3" xfId="24897" xr:uid="{00000000-0005-0000-0000-0000DF670000}"/>
    <cellStyle name="Normal 5 3 2 3 8 3 2" xfId="50450" xr:uid="{00000000-0005-0000-0000-0000E0670000}"/>
    <cellStyle name="Normal 5 3 2 3 8 4" xfId="31380" xr:uid="{00000000-0005-0000-0000-0000E1670000}"/>
    <cellStyle name="Normal 5 3 2 3 9" xfId="7263" xr:uid="{00000000-0005-0000-0000-0000E2670000}"/>
    <cellStyle name="Normal 5 3 2 3 9 2" xfId="19672" xr:uid="{00000000-0005-0000-0000-0000E3670000}"/>
    <cellStyle name="Normal 5 3 2 3 9 2 2" xfId="45225" xr:uid="{00000000-0005-0000-0000-0000E4670000}"/>
    <cellStyle name="Normal 5 3 2 3 9 3" xfId="32820" xr:uid="{00000000-0005-0000-0000-0000E5670000}"/>
    <cellStyle name="Normal 5 3 2 3_Degree data" xfId="3861" xr:uid="{00000000-0005-0000-0000-0000E6670000}"/>
    <cellStyle name="Normal 5 3 2 4" xfId="482" xr:uid="{00000000-0005-0000-0000-0000E7670000}"/>
    <cellStyle name="Normal 5 3 2 4 10" xfId="26411" xr:uid="{00000000-0005-0000-0000-0000E8670000}"/>
    <cellStyle name="Normal 5 3 2 4 2" xfId="801" xr:uid="{00000000-0005-0000-0000-0000E9670000}"/>
    <cellStyle name="Normal 5 3 2 4 2 2" xfId="3286" xr:uid="{00000000-0005-0000-0000-0000EA670000}"/>
    <cellStyle name="Normal 5 3 2 4 2 2 2" xfId="12428" xr:uid="{00000000-0005-0000-0000-0000EB670000}"/>
    <cellStyle name="Normal 5 3 2 4 2 2 2 2" xfId="22647" xr:uid="{00000000-0005-0000-0000-0000EC670000}"/>
    <cellStyle name="Normal 5 3 2 4 2 2 2 2 2" xfId="48200" xr:uid="{00000000-0005-0000-0000-0000ED670000}"/>
    <cellStyle name="Normal 5 3 2 4 2 2 2 3" xfId="37983" xr:uid="{00000000-0005-0000-0000-0000EE670000}"/>
    <cellStyle name="Normal 5 3 2 4 2 2 3" xfId="8850" xr:uid="{00000000-0005-0000-0000-0000EF670000}"/>
    <cellStyle name="Normal 5 3 2 4 2 2 3 2" xfId="34407" xr:uid="{00000000-0005-0000-0000-0000F0670000}"/>
    <cellStyle name="Normal 5 3 2 4 2 2 4" xfId="17640" xr:uid="{00000000-0005-0000-0000-0000F1670000}"/>
    <cellStyle name="Normal 5 3 2 4 2 2 4 2" xfId="43193" xr:uid="{00000000-0005-0000-0000-0000F2670000}"/>
    <cellStyle name="Normal 5 3 2 4 2 2 5" xfId="29130" xr:uid="{00000000-0005-0000-0000-0000F3670000}"/>
    <cellStyle name="Normal 5 3 2 4 2 3" xfId="4615" xr:uid="{00000000-0005-0000-0000-0000F4670000}"/>
    <cellStyle name="Normal 5 3 2 4 2 3 2" xfId="13453" xr:uid="{00000000-0005-0000-0000-0000F5670000}"/>
    <cellStyle name="Normal 5 3 2 4 2 3 2 2" xfId="23704" xr:uid="{00000000-0005-0000-0000-0000F6670000}"/>
    <cellStyle name="Normal 5 3 2 4 2 3 2 2 2" xfId="49257" xr:uid="{00000000-0005-0000-0000-0000F7670000}"/>
    <cellStyle name="Normal 5 3 2 4 2 3 2 3" xfId="39008" xr:uid="{00000000-0005-0000-0000-0000F8670000}"/>
    <cellStyle name="Normal 5 3 2 4 2 3 3" xfId="9874" xr:uid="{00000000-0005-0000-0000-0000F9670000}"/>
    <cellStyle name="Normal 5 3 2 4 2 3 3 2" xfId="35431" xr:uid="{00000000-0005-0000-0000-0000FA670000}"/>
    <cellStyle name="Normal 5 3 2 4 2 3 4" xfId="18697" xr:uid="{00000000-0005-0000-0000-0000FB670000}"/>
    <cellStyle name="Normal 5 3 2 4 2 3 4 2" xfId="44250" xr:uid="{00000000-0005-0000-0000-0000FC670000}"/>
    <cellStyle name="Normal 5 3 2 4 2 3 5" xfId="30187" xr:uid="{00000000-0005-0000-0000-0000FD670000}"/>
    <cellStyle name="Normal 5 3 2 4 2 4" xfId="2395" xr:uid="{00000000-0005-0000-0000-0000FE670000}"/>
    <cellStyle name="Normal 5 3 2 4 2 4 2" xfId="11760" xr:uid="{00000000-0005-0000-0000-0000FF670000}"/>
    <cellStyle name="Normal 5 3 2 4 2 4 2 2" xfId="37315" xr:uid="{00000000-0005-0000-0000-000000680000}"/>
    <cellStyle name="Normal 5 3 2 4 2 4 3" xfId="21764" xr:uid="{00000000-0005-0000-0000-000001680000}"/>
    <cellStyle name="Normal 5 3 2 4 2 4 3 2" xfId="47317" xr:uid="{00000000-0005-0000-0000-000002680000}"/>
    <cellStyle name="Normal 5 3 2 4 2 4 4" xfId="28247" xr:uid="{00000000-0005-0000-0000-000003680000}"/>
    <cellStyle name="Normal 5 3 2 4 2 5" xfId="6071" xr:uid="{00000000-0005-0000-0000-000004680000}"/>
    <cellStyle name="Normal 5 3 2 4 2 5 2" xfId="14898" xr:uid="{00000000-0005-0000-0000-000005680000}"/>
    <cellStyle name="Normal 5 3 2 4 2 5 2 2" xfId="40453" xr:uid="{00000000-0005-0000-0000-000006680000}"/>
    <cellStyle name="Normal 5 3 2 4 2 5 3" xfId="25149" xr:uid="{00000000-0005-0000-0000-000007680000}"/>
    <cellStyle name="Normal 5 3 2 4 2 5 3 2" xfId="50702" xr:uid="{00000000-0005-0000-0000-000008680000}"/>
    <cellStyle name="Normal 5 3 2 4 2 5 4" xfId="31632" xr:uid="{00000000-0005-0000-0000-000009680000}"/>
    <cellStyle name="Normal 5 3 2 4 2 6" xfId="7516" xr:uid="{00000000-0005-0000-0000-00000A680000}"/>
    <cellStyle name="Normal 5 3 2 4 2 6 2" xfId="20246" xr:uid="{00000000-0005-0000-0000-00000B680000}"/>
    <cellStyle name="Normal 5 3 2 4 2 6 2 2" xfId="45799" xr:uid="{00000000-0005-0000-0000-00000C680000}"/>
    <cellStyle name="Normal 5 3 2 4 2 6 3" xfId="33073" xr:uid="{00000000-0005-0000-0000-00000D680000}"/>
    <cellStyle name="Normal 5 3 2 4 2 7" xfId="16757" xr:uid="{00000000-0005-0000-0000-00000E680000}"/>
    <cellStyle name="Normal 5 3 2 4 2 7 2" xfId="42310" xr:uid="{00000000-0005-0000-0000-00000F680000}"/>
    <cellStyle name="Normal 5 3 2 4 2 8" xfId="26729" xr:uid="{00000000-0005-0000-0000-000010680000}"/>
    <cellStyle name="Normal 5 3 2 4 3" xfId="1254" xr:uid="{00000000-0005-0000-0000-000011680000}"/>
    <cellStyle name="Normal 5 3 2 4 3 2" xfId="3683" xr:uid="{00000000-0005-0000-0000-000012680000}"/>
    <cellStyle name="Normal 5 3 2 4 3 2 2" xfId="12819" xr:uid="{00000000-0005-0000-0000-000013680000}"/>
    <cellStyle name="Normal 5 3 2 4 3 2 2 2" xfId="23038" xr:uid="{00000000-0005-0000-0000-000014680000}"/>
    <cellStyle name="Normal 5 3 2 4 3 2 2 2 2" xfId="48591" xr:uid="{00000000-0005-0000-0000-000015680000}"/>
    <cellStyle name="Normal 5 3 2 4 3 2 2 3" xfId="38374" xr:uid="{00000000-0005-0000-0000-000016680000}"/>
    <cellStyle name="Normal 5 3 2 4 3 2 3" xfId="9240" xr:uid="{00000000-0005-0000-0000-000017680000}"/>
    <cellStyle name="Normal 5 3 2 4 3 2 3 2" xfId="34797" xr:uid="{00000000-0005-0000-0000-000018680000}"/>
    <cellStyle name="Normal 5 3 2 4 3 2 4" xfId="18031" xr:uid="{00000000-0005-0000-0000-000019680000}"/>
    <cellStyle name="Normal 5 3 2 4 3 2 4 2" xfId="43584" xr:uid="{00000000-0005-0000-0000-00001A680000}"/>
    <cellStyle name="Normal 5 3 2 4 3 2 5" xfId="29521" xr:uid="{00000000-0005-0000-0000-00001B680000}"/>
    <cellStyle name="Normal 5 3 2 4 3 3" xfId="4964" xr:uid="{00000000-0005-0000-0000-00001C680000}"/>
    <cellStyle name="Normal 5 3 2 4 3 3 2" xfId="13801" xr:uid="{00000000-0005-0000-0000-00001D680000}"/>
    <cellStyle name="Normal 5 3 2 4 3 3 2 2" xfId="24052" xr:uid="{00000000-0005-0000-0000-00001E680000}"/>
    <cellStyle name="Normal 5 3 2 4 3 3 2 2 2" xfId="49605" xr:uid="{00000000-0005-0000-0000-00001F680000}"/>
    <cellStyle name="Normal 5 3 2 4 3 3 2 3" xfId="39356" xr:uid="{00000000-0005-0000-0000-000020680000}"/>
    <cellStyle name="Normal 5 3 2 4 3 3 3" xfId="10222" xr:uid="{00000000-0005-0000-0000-000021680000}"/>
    <cellStyle name="Normal 5 3 2 4 3 3 3 2" xfId="35779" xr:uid="{00000000-0005-0000-0000-000022680000}"/>
    <cellStyle name="Normal 5 3 2 4 3 3 4" xfId="19045" xr:uid="{00000000-0005-0000-0000-000023680000}"/>
    <cellStyle name="Normal 5 3 2 4 3 3 4 2" xfId="44598" xr:uid="{00000000-0005-0000-0000-000024680000}"/>
    <cellStyle name="Normal 5 3 2 4 3 3 5" xfId="30535" xr:uid="{00000000-0005-0000-0000-000025680000}"/>
    <cellStyle name="Normal 5 3 2 4 3 4" xfId="2077" xr:uid="{00000000-0005-0000-0000-000026680000}"/>
    <cellStyle name="Normal 5 3 2 4 3 4 2" xfId="11442" xr:uid="{00000000-0005-0000-0000-000027680000}"/>
    <cellStyle name="Normal 5 3 2 4 3 4 2 2" xfId="36997" xr:uid="{00000000-0005-0000-0000-000028680000}"/>
    <cellStyle name="Normal 5 3 2 4 3 4 3" xfId="21446" xr:uid="{00000000-0005-0000-0000-000029680000}"/>
    <cellStyle name="Normal 5 3 2 4 3 4 3 2" xfId="46999" xr:uid="{00000000-0005-0000-0000-00002A680000}"/>
    <cellStyle name="Normal 5 3 2 4 3 4 4" xfId="27929" xr:uid="{00000000-0005-0000-0000-00002B680000}"/>
    <cellStyle name="Normal 5 3 2 4 3 5" xfId="6419" xr:uid="{00000000-0005-0000-0000-00002C680000}"/>
    <cellStyle name="Normal 5 3 2 4 3 5 2" xfId="15246" xr:uid="{00000000-0005-0000-0000-00002D680000}"/>
    <cellStyle name="Normal 5 3 2 4 3 5 2 2" xfId="40801" xr:uid="{00000000-0005-0000-0000-00002E680000}"/>
    <cellStyle name="Normal 5 3 2 4 3 5 3" xfId="25497" xr:uid="{00000000-0005-0000-0000-00002F680000}"/>
    <cellStyle name="Normal 5 3 2 4 3 5 3 2" xfId="51050" xr:uid="{00000000-0005-0000-0000-000030680000}"/>
    <cellStyle name="Normal 5 3 2 4 3 5 4" xfId="31980" xr:uid="{00000000-0005-0000-0000-000031680000}"/>
    <cellStyle name="Normal 5 3 2 4 3 6" xfId="7865" xr:uid="{00000000-0005-0000-0000-000032680000}"/>
    <cellStyle name="Normal 5 3 2 4 3 6 2" xfId="20637" xr:uid="{00000000-0005-0000-0000-000033680000}"/>
    <cellStyle name="Normal 5 3 2 4 3 6 2 2" xfId="46190" xr:uid="{00000000-0005-0000-0000-000034680000}"/>
    <cellStyle name="Normal 5 3 2 4 3 6 3" xfId="33422" xr:uid="{00000000-0005-0000-0000-000035680000}"/>
    <cellStyle name="Normal 5 3 2 4 3 7" xfId="16439" xr:uid="{00000000-0005-0000-0000-000036680000}"/>
    <cellStyle name="Normal 5 3 2 4 3 7 2" xfId="41992" xr:uid="{00000000-0005-0000-0000-000037680000}"/>
    <cellStyle name="Normal 5 3 2 4 3 8" xfId="27120" xr:uid="{00000000-0005-0000-0000-000038680000}"/>
    <cellStyle name="Normal 5 3 2 4 4" xfId="2968" xr:uid="{00000000-0005-0000-0000-000039680000}"/>
    <cellStyle name="Normal 5 3 2 4 4 2" xfId="5346" xr:uid="{00000000-0005-0000-0000-00003A680000}"/>
    <cellStyle name="Normal 5 3 2 4 4 2 2" xfId="14183" xr:uid="{00000000-0005-0000-0000-00003B680000}"/>
    <cellStyle name="Normal 5 3 2 4 4 2 2 2" xfId="24434" xr:uid="{00000000-0005-0000-0000-00003C680000}"/>
    <cellStyle name="Normal 5 3 2 4 4 2 2 2 2" xfId="49987" xr:uid="{00000000-0005-0000-0000-00003D680000}"/>
    <cellStyle name="Normal 5 3 2 4 4 2 2 3" xfId="39738" xr:uid="{00000000-0005-0000-0000-00003E680000}"/>
    <cellStyle name="Normal 5 3 2 4 4 2 3" xfId="10604" xr:uid="{00000000-0005-0000-0000-00003F680000}"/>
    <cellStyle name="Normal 5 3 2 4 4 2 3 2" xfId="36161" xr:uid="{00000000-0005-0000-0000-000040680000}"/>
    <cellStyle name="Normal 5 3 2 4 4 2 4" xfId="19427" xr:uid="{00000000-0005-0000-0000-000041680000}"/>
    <cellStyle name="Normal 5 3 2 4 4 2 4 2" xfId="44980" xr:uid="{00000000-0005-0000-0000-000042680000}"/>
    <cellStyle name="Normal 5 3 2 4 4 2 5" xfId="30917" xr:uid="{00000000-0005-0000-0000-000043680000}"/>
    <cellStyle name="Normal 5 3 2 4 4 3" xfId="6801" xr:uid="{00000000-0005-0000-0000-000044680000}"/>
    <cellStyle name="Normal 5 3 2 4 4 3 2" xfId="15628" xr:uid="{00000000-0005-0000-0000-000045680000}"/>
    <cellStyle name="Normal 5 3 2 4 4 3 2 2" xfId="41183" xr:uid="{00000000-0005-0000-0000-000046680000}"/>
    <cellStyle name="Normal 5 3 2 4 4 3 3" xfId="25879" xr:uid="{00000000-0005-0000-0000-000047680000}"/>
    <cellStyle name="Normal 5 3 2 4 4 3 3 2" xfId="51432" xr:uid="{00000000-0005-0000-0000-000048680000}"/>
    <cellStyle name="Normal 5 3 2 4 4 3 4" xfId="32362" xr:uid="{00000000-0005-0000-0000-000049680000}"/>
    <cellStyle name="Normal 5 3 2 4 4 4" xfId="8247" xr:uid="{00000000-0005-0000-0000-00004A680000}"/>
    <cellStyle name="Normal 5 3 2 4 4 4 2" xfId="22329" xr:uid="{00000000-0005-0000-0000-00004B680000}"/>
    <cellStyle name="Normal 5 3 2 4 4 4 2 2" xfId="47882" xr:uid="{00000000-0005-0000-0000-00004C680000}"/>
    <cellStyle name="Normal 5 3 2 4 4 4 3" xfId="33804" xr:uid="{00000000-0005-0000-0000-00004D680000}"/>
    <cellStyle name="Normal 5 3 2 4 4 5" xfId="17322" xr:uid="{00000000-0005-0000-0000-00004E680000}"/>
    <cellStyle name="Normal 5 3 2 4 4 5 2" xfId="42875" xr:uid="{00000000-0005-0000-0000-00004F680000}"/>
    <cellStyle name="Normal 5 3 2 4 4 6" xfId="28812" xr:uid="{00000000-0005-0000-0000-000050680000}"/>
    <cellStyle name="Normal 5 3 2 4 5" xfId="4302" xr:uid="{00000000-0005-0000-0000-000051680000}"/>
    <cellStyle name="Normal 5 3 2 4 5 2" xfId="13140" xr:uid="{00000000-0005-0000-0000-000052680000}"/>
    <cellStyle name="Normal 5 3 2 4 5 2 2" xfId="23391" xr:uid="{00000000-0005-0000-0000-000053680000}"/>
    <cellStyle name="Normal 5 3 2 4 5 2 2 2" xfId="48944" xr:uid="{00000000-0005-0000-0000-000054680000}"/>
    <cellStyle name="Normal 5 3 2 4 5 2 3" xfId="38695" xr:uid="{00000000-0005-0000-0000-000055680000}"/>
    <cellStyle name="Normal 5 3 2 4 5 3" xfId="9561" xr:uid="{00000000-0005-0000-0000-000056680000}"/>
    <cellStyle name="Normal 5 3 2 4 5 3 2" xfId="35118" xr:uid="{00000000-0005-0000-0000-000057680000}"/>
    <cellStyle name="Normal 5 3 2 4 5 4" xfId="18384" xr:uid="{00000000-0005-0000-0000-000058680000}"/>
    <cellStyle name="Normal 5 3 2 4 5 4 2" xfId="43937" xr:uid="{00000000-0005-0000-0000-000059680000}"/>
    <cellStyle name="Normal 5 3 2 4 5 5" xfId="29874" xr:uid="{00000000-0005-0000-0000-00005A680000}"/>
    <cellStyle name="Normal 5 3 2 4 6" xfId="1574" xr:uid="{00000000-0005-0000-0000-00005B680000}"/>
    <cellStyle name="Normal 5 3 2 4 6 2" xfId="10951" xr:uid="{00000000-0005-0000-0000-00005C680000}"/>
    <cellStyle name="Normal 5 3 2 4 6 2 2" xfId="36506" xr:uid="{00000000-0005-0000-0000-00005D680000}"/>
    <cellStyle name="Normal 5 3 2 4 6 3" xfId="20955" xr:uid="{00000000-0005-0000-0000-00005E680000}"/>
    <cellStyle name="Normal 5 3 2 4 6 3 2" xfId="46508" xr:uid="{00000000-0005-0000-0000-00005F680000}"/>
    <cellStyle name="Normal 5 3 2 4 6 4" xfId="27438" xr:uid="{00000000-0005-0000-0000-000060680000}"/>
    <cellStyle name="Normal 5 3 2 4 7" xfId="5758" xr:uid="{00000000-0005-0000-0000-000061680000}"/>
    <cellStyle name="Normal 5 3 2 4 7 2" xfId="14585" xr:uid="{00000000-0005-0000-0000-000062680000}"/>
    <cellStyle name="Normal 5 3 2 4 7 2 2" xfId="40140" xr:uid="{00000000-0005-0000-0000-000063680000}"/>
    <cellStyle name="Normal 5 3 2 4 7 3" xfId="24836" xr:uid="{00000000-0005-0000-0000-000064680000}"/>
    <cellStyle name="Normal 5 3 2 4 7 3 2" xfId="50389" xr:uid="{00000000-0005-0000-0000-000065680000}"/>
    <cellStyle name="Normal 5 3 2 4 7 4" xfId="31319" xr:uid="{00000000-0005-0000-0000-000066680000}"/>
    <cellStyle name="Normal 5 3 2 4 8" xfId="7202" xr:uid="{00000000-0005-0000-0000-000067680000}"/>
    <cellStyle name="Normal 5 3 2 4 8 2" xfId="19928" xr:uid="{00000000-0005-0000-0000-000068680000}"/>
    <cellStyle name="Normal 5 3 2 4 8 2 2" xfId="45481" xr:uid="{00000000-0005-0000-0000-000069680000}"/>
    <cellStyle name="Normal 5 3 2 4 8 3" xfId="32759" xr:uid="{00000000-0005-0000-0000-00006A680000}"/>
    <cellStyle name="Normal 5 3 2 4 9" xfId="15948" xr:uid="{00000000-0005-0000-0000-00006B680000}"/>
    <cellStyle name="Normal 5 3 2 4 9 2" xfId="41501" xr:uid="{00000000-0005-0000-0000-00006C680000}"/>
    <cellStyle name="Normal 5 3 2 4_Degree data" xfId="3879" xr:uid="{00000000-0005-0000-0000-00006D680000}"/>
    <cellStyle name="Normal 5 3 2 5" xfId="325" xr:uid="{00000000-0005-0000-0000-00006E680000}"/>
    <cellStyle name="Normal 5 3 2 5 2" xfId="2811" xr:uid="{00000000-0005-0000-0000-00006F680000}"/>
    <cellStyle name="Normal 5 3 2 5 2 2" xfId="12111" xr:uid="{00000000-0005-0000-0000-000070680000}"/>
    <cellStyle name="Normal 5 3 2 5 2 2 2" xfId="22172" xr:uid="{00000000-0005-0000-0000-000071680000}"/>
    <cellStyle name="Normal 5 3 2 5 2 2 2 2" xfId="47725" xr:uid="{00000000-0005-0000-0000-000072680000}"/>
    <cellStyle name="Normal 5 3 2 5 2 2 3" xfId="37666" xr:uid="{00000000-0005-0000-0000-000073680000}"/>
    <cellStyle name="Normal 5 3 2 5 2 3" xfId="8391" xr:uid="{00000000-0005-0000-0000-000074680000}"/>
    <cellStyle name="Normal 5 3 2 5 2 3 2" xfId="33948" xr:uid="{00000000-0005-0000-0000-000075680000}"/>
    <cellStyle name="Normal 5 3 2 5 2 4" xfId="17165" xr:uid="{00000000-0005-0000-0000-000076680000}"/>
    <cellStyle name="Normal 5 3 2 5 2 4 2" xfId="42718" xr:uid="{00000000-0005-0000-0000-000077680000}"/>
    <cellStyle name="Normal 5 3 2 5 2 5" xfId="28655" xr:uid="{00000000-0005-0000-0000-000078680000}"/>
    <cellStyle name="Normal 5 3 2 5 3" xfId="4611" xr:uid="{00000000-0005-0000-0000-000079680000}"/>
    <cellStyle name="Normal 5 3 2 5 3 2" xfId="13449" xr:uid="{00000000-0005-0000-0000-00007A680000}"/>
    <cellStyle name="Normal 5 3 2 5 3 2 2" xfId="23700" xr:uid="{00000000-0005-0000-0000-00007B680000}"/>
    <cellStyle name="Normal 5 3 2 5 3 2 2 2" xfId="49253" xr:uid="{00000000-0005-0000-0000-00007C680000}"/>
    <cellStyle name="Normal 5 3 2 5 3 2 3" xfId="39004" xr:uid="{00000000-0005-0000-0000-00007D680000}"/>
    <cellStyle name="Normal 5 3 2 5 3 3" xfId="9870" xr:uid="{00000000-0005-0000-0000-00007E680000}"/>
    <cellStyle name="Normal 5 3 2 5 3 3 2" xfId="35427" xr:uid="{00000000-0005-0000-0000-00007F680000}"/>
    <cellStyle name="Normal 5 3 2 5 3 4" xfId="18693" xr:uid="{00000000-0005-0000-0000-000080680000}"/>
    <cellStyle name="Normal 5 3 2 5 3 4 2" xfId="44246" xr:uid="{00000000-0005-0000-0000-000081680000}"/>
    <cellStyle name="Normal 5 3 2 5 3 5" xfId="30183" xr:uid="{00000000-0005-0000-0000-000082680000}"/>
    <cellStyle name="Normal 5 3 2 5 4" xfId="1920" xr:uid="{00000000-0005-0000-0000-000083680000}"/>
    <cellStyle name="Normal 5 3 2 5 4 2" xfId="11285" xr:uid="{00000000-0005-0000-0000-000084680000}"/>
    <cellStyle name="Normal 5 3 2 5 4 2 2" xfId="36840" xr:uid="{00000000-0005-0000-0000-000085680000}"/>
    <cellStyle name="Normal 5 3 2 5 4 3" xfId="21289" xr:uid="{00000000-0005-0000-0000-000086680000}"/>
    <cellStyle name="Normal 5 3 2 5 4 3 2" xfId="46842" xr:uid="{00000000-0005-0000-0000-000087680000}"/>
    <cellStyle name="Normal 5 3 2 5 4 4" xfId="27772" xr:uid="{00000000-0005-0000-0000-000088680000}"/>
    <cellStyle name="Normal 5 3 2 5 5" xfId="6067" xr:uid="{00000000-0005-0000-0000-000089680000}"/>
    <cellStyle name="Normal 5 3 2 5 5 2" xfId="14894" xr:uid="{00000000-0005-0000-0000-00008A680000}"/>
    <cellStyle name="Normal 5 3 2 5 5 2 2" xfId="40449" xr:uid="{00000000-0005-0000-0000-00008B680000}"/>
    <cellStyle name="Normal 5 3 2 5 5 3" xfId="25145" xr:uid="{00000000-0005-0000-0000-00008C680000}"/>
    <cellStyle name="Normal 5 3 2 5 5 3 2" xfId="50698" xr:uid="{00000000-0005-0000-0000-00008D680000}"/>
    <cellStyle name="Normal 5 3 2 5 5 4" xfId="31628" xr:uid="{00000000-0005-0000-0000-00008E680000}"/>
    <cellStyle name="Normal 5 3 2 5 6" xfId="7512" xr:uid="{00000000-0005-0000-0000-00008F680000}"/>
    <cellStyle name="Normal 5 3 2 5 6 2" xfId="19771" xr:uid="{00000000-0005-0000-0000-000090680000}"/>
    <cellStyle name="Normal 5 3 2 5 6 2 2" xfId="45324" xr:uid="{00000000-0005-0000-0000-000091680000}"/>
    <cellStyle name="Normal 5 3 2 5 6 3" xfId="33069" xr:uid="{00000000-0005-0000-0000-000092680000}"/>
    <cellStyle name="Normal 5 3 2 5 7" xfId="16282" xr:uid="{00000000-0005-0000-0000-000093680000}"/>
    <cellStyle name="Normal 5 3 2 5 7 2" xfId="41835" xr:uid="{00000000-0005-0000-0000-000094680000}"/>
    <cellStyle name="Normal 5 3 2 5 8" xfId="26254" xr:uid="{00000000-0005-0000-0000-000095680000}"/>
    <cellStyle name="Normal 5 3 2 6" xfId="797" xr:uid="{00000000-0005-0000-0000-000096680000}"/>
    <cellStyle name="Normal 5 3 2 6 2" xfId="3282" xr:uid="{00000000-0005-0000-0000-000097680000}"/>
    <cellStyle name="Normal 5 3 2 6 2 2" xfId="12424" xr:uid="{00000000-0005-0000-0000-000098680000}"/>
    <cellStyle name="Normal 5 3 2 6 2 2 2" xfId="22643" xr:uid="{00000000-0005-0000-0000-000099680000}"/>
    <cellStyle name="Normal 5 3 2 6 2 2 2 2" xfId="48196" xr:uid="{00000000-0005-0000-0000-00009A680000}"/>
    <cellStyle name="Normal 5 3 2 6 2 2 3" xfId="37979" xr:uid="{00000000-0005-0000-0000-00009B680000}"/>
    <cellStyle name="Normal 5 3 2 6 2 3" xfId="8846" xr:uid="{00000000-0005-0000-0000-00009C680000}"/>
    <cellStyle name="Normal 5 3 2 6 2 3 2" xfId="34403" xr:uid="{00000000-0005-0000-0000-00009D680000}"/>
    <cellStyle name="Normal 5 3 2 6 2 4" xfId="17636" xr:uid="{00000000-0005-0000-0000-00009E680000}"/>
    <cellStyle name="Normal 5 3 2 6 2 4 2" xfId="43189" xr:uid="{00000000-0005-0000-0000-00009F680000}"/>
    <cellStyle name="Normal 5 3 2 6 2 5" xfId="29126" xr:uid="{00000000-0005-0000-0000-0000A0680000}"/>
    <cellStyle name="Normal 5 3 2 6 3" xfId="4960" xr:uid="{00000000-0005-0000-0000-0000A1680000}"/>
    <cellStyle name="Normal 5 3 2 6 3 2" xfId="13797" xr:uid="{00000000-0005-0000-0000-0000A2680000}"/>
    <cellStyle name="Normal 5 3 2 6 3 2 2" xfId="24048" xr:uid="{00000000-0005-0000-0000-0000A3680000}"/>
    <cellStyle name="Normal 5 3 2 6 3 2 2 2" xfId="49601" xr:uid="{00000000-0005-0000-0000-0000A4680000}"/>
    <cellStyle name="Normal 5 3 2 6 3 2 3" xfId="39352" xr:uid="{00000000-0005-0000-0000-0000A5680000}"/>
    <cellStyle name="Normal 5 3 2 6 3 3" xfId="10218" xr:uid="{00000000-0005-0000-0000-0000A6680000}"/>
    <cellStyle name="Normal 5 3 2 6 3 3 2" xfId="35775" xr:uid="{00000000-0005-0000-0000-0000A7680000}"/>
    <cellStyle name="Normal 5 3 2 6 3 4" xfId="19041" xr:uid="{00000000-0005-0000-0000-0000A8680000}"/>
    <cellStyle name="Normal 5 3 2 6 3 4 2" xfId="44594" xr:uid="{00000000-0005-0000-0000-0000A9680000}"/>
    <cellStyle name="Normal 5 3 2 6 3 5" xfId="30531" xr:uid="{00000000-0005-0000-0000-0000AA680000}"/>
    <cellStyle name="Normal 5 3 2 6 4" xfId="2391" xr:uid="{00000000-0005-0000-0000-0000AB680000}"/>
    <cellStyle name="Normal 5 3 2 6 4 2" xfId="11756" xr:uid="{00000000-0005-0000-0000-0000AC680000}"/>
    <cellStyle name="Normal 5 3 2 6 4 2 2" xfId="37311" xr:uid="{00000000-0005-0000-0000-0000AD680000}"/>
    <cellStyle name="Normal 5 3 2 6 4 3" xfId="21760" xr:uid="{00000000-0005-0000-0000-0000AE680000}"/>
    <cellStyle name="Normal 5 3 2 6 4 3 2" xfId="47313" xr:uid="{00000000-0005-0000-0000-0000AF680000}"/>
    <cellStyle name="Normal 5 3 2 6 4 4" xfId="28243" xr:uid="{00000000-0005-0000-0000-0000B0680000}"/>
    <cellStyle name="Normal 5 3 2 6 5" xfId="6415" xr:uid="{00000000-0005-0000-0000-0000B1680000}"/>
    <cellStyle name="Normal 5 3 2 6 5 2" xfId="15242" xr:uid="{00000000-0005-0000-0000-0000B2680000}"/>
    <cellStyle name="Normal 5 3 2 6 5 2 2" xfId="40797" xr:uid="{00000000-0005-0000-0000-0000B3680000}"/>
    <cellStyle name="Normal 5 3 2 6 5 3" xfId="25493" xr:uid="{00000000-0005-0000-0000-0000B4680000}"/>
    <cellStyle name="Normal 5 3 2 6 5 3 2" xfId="51046" xr:uid="{00000000-0005-0000-0000-0000B5680000}"/>
    <cellStyle name="Normal 5 3 2 6 5 4" xfId="31976" xr:uid="{00000000-0005-0000-0000-0000B6680000}"/>
    <cellStyle name="Normal 5 3 2 6 6" xfId="7861" xr:uid="{00000000-0005-0000-0000-0000B7680000}"/>
    <cellStyle name="Normal 5 3 2 6 6 2" xfId="20242" xr:uid="{00000000-0005-0000-0000-0000B8680000}"/>
    <cellStyle name="Normal 5 3 2 6 6 2 2" xfId="45795" xr:uid="{00000000-0005-0000-0000-0000B9680000}"/>
    <cellStyle name="Normal 5 3 2 6 6 3" xfId="33418" xr:uid="{00000000-0005-0000-0000-0000BA680000}"/>
    <cellStyle name="Normal 5 3 2 6 7" xfId="16753" xr:uid="{00000000-0005-0000-0000-0000BB680000}"/>
    <cellStyle name="Normal 5 3 2 6 7 2" xfId="42306" xr:uid="{00000000-0005-0000-0000-0000BC680000}"/>
    <cellStyle name="Normal 5 3 2 6 8" xfId="26725" xr:uid="{00000000-0005-0000-0000-0000BD680000}"/>
    <cellStyle name="Normal 5 3 2 7" xfId="1097" xr:uid="{00000000-0005-0000-0000-0000BE680000}"/>
    <cellStyle name="Normal 5 3 2 7 2" xfId="3526" xr:uid="{00000000-0005-0000-0000-0000BF680000}"/>
    <cellStyle name="Normal 5 3 2 7 2 2" xfId="12662" xr:uid="{00000000-0005-0000-0000-0000C0680000}"/>
    <cellStyle name="Normal 5 3 2 7 2 2 2" xfId="22881" xr:uid="{00000000-0005-0000-0000-0000C1680000}"/>
    <cellStyle name="Normal 5 3 2 7 2 2 2 2" xfId="48434" xr:uid="{00000000-0005-0000-0000-0000C2680000}"/>
    <cellStyle name="Normal 5 3 2 7 2 2 3" xfId="38217" xr:uid="{00000000-0005-0000-0000-0000C3680000}"/>
    <cellStyle name="Normal 5 3 2 7 2 3" xfId="9083" xr:uid="{00000000-0005-0000-0000-0000C4680000}"/>
    <cellStyle name="Normal 5 3 2 7 2 3 2" xfId="34640" xr:uid="{00000000-0005-0000-0000-0000C5680000}"/>
    <cellStyle name="Normal 5 3 2 7 2 4" xfId="17874" xr:uid="{00000000-0005-0000-0000-0000C6680000}"/>
    <cellStyle name="Normal 5 3 2 7 2 4 2" xfId="43427" xr:uid="{00000000-0005-0000-0000-0000C7680000}"/>
    <cellStyle name="Normal 5 3 2 7 2 5" xfId="29364" xr:uid="{00000000-0005-0000-0000-0000C8680000}"/>
    <cellStyle name="Normal 5 3 2 7 3" xfId="5189" xr:uid="{00000000-0005-0000-0000-0000C9680000}"/>
    <cellStyle name="Normal 5 3 2 7 3 2" xfId="14026" xr:uid="{00000000-0005-0000-0000-0000CA680000}"/>
    <cellStyle name="Normal 5 3 2 7 3 2 2" xfId="24277" xr:uid="{00000000-0005-0000-0000-0000CB680000}"/>
    <cellStyle name="Normal 5 3 2 7 3 2 2 2" xfId="49830" xr:uid="{00000000-0005-0000-0000-0000CC680000}"/>
    <cellStyle name="Normal 5 3 2 7 3 2 3" xfId="39581" xr:uid="{00000000-0005-0000-0000-0000CD680000}"/>
    <cellStyle name="Normal 5 3 2 7 3 3" xfId="10447" xr:uid="{00000000-0005-0000-0000-0000CE680000}"/>
    <cellStyle name="Normal 5 3 2 7 3 3 2" xfId="36004" xr:uid="{00000000-0005-0000-0000-0000CF680000}"/>
    <cellStyle name="Normal 5 3 2 7 3 4" xfId="19270" xr:uid="{00000000-0005-0000-0000-0000D0680000}"/>
    <cellStyle name="Normal 5 3 2 7 3 4 2" xfId="44823" xr:uid="{00000000-0005-0000-0000-0000D1680000}"/>
    <cellStyle name="Normal 5 3 2 7 3 5" xfId="30760" xr:uid="{00000000-0005-0000-0000-0000D2680000}"/>
    <cellStyle name="Normal 5 3 2 7 4" xfId="1754" xr:uid="{00000000-0005-0000-0000-0000D3680000}"/>
    <cellStyle name="Normal 5 3 2 7 4 2" xfId="11125" xr:uid="{00000000-0005-0000-0000-0000D4680000}"/>
    <cellStyle name="Normal 5 3 2 7 4 2 2" xfId="36680" xr:uid="{00000000-0005-0000-0000-0000D5680000}"/>
    <cellStyle name="Normal 5 3 2 7 4 3" xfId="21129" xr:uid="{00000000-0005-0000-0000-0000D6680000}"/>
    <cellStyle name="Normal 5 3 2 7 4 3 2" xfId="46682" xr:uid="{00000000-0005-0000-0000-0000D7680000}"/>
    <cellStyle name="Normal 5 3 2 7 4 4" xfId="27612" xr:uid="{00000000-0005-0000-0000-0000D8680000}"/>
    <cellStyle name="Normal 5 3 2 7 5" xfId="6644" xr:uid="{00000000-0005-0000-0000-0000D9680000}"/>
    <cellStyle name="Normal 5 3 2 7 5 2" xfId="15471" xr:uid="{00000000-0005-0000-0000-0000DA680000}"/>
    <cellStyle name="Normal 5 3 2 7 5 2 2" xfId="41026" xr:uid="{00000000-0005-0000-0000-0000DB680000}"/>
    <cellStyle name="Normal 5 3 2 7 5 3" xfId="25722" xr:uid="{00000000-0005-0000-0000-0000DC680000}"/>
    <cellStyle name="Normal 5 3 2 7 5 3 2" xfId="51275" xr:uid="{00000000-0005-0000-0000-0000DD680000}"/>
    <cellStyle name="Normal 5 3 2 7 5 4" xfId="32205" xr:uid="{00000000-0005-0000-0000-0000DE680000}"/>
    <cellStyle name="Normal 5 3 2 7 6" xfId="8090" xr:uid="{00000000-0005-0000-0000-0000DF680000}"/>
    <cellStyle name="Normal 5 3 2 7 6 2" xfId="20480" xr:uid="{00000000-0005-0000-0000-0000E0680000}"/>
    <cellStyle name="Normal 5 3 2 7 6 2 2" xfId="46033" xr:uid="{00000000-0005-0000-0000-0000E1680000}"/>
    <cellStyle name="Normal 5 3 2 7 6 3" xfId="33647" xr:uid="{00000000-0005-0000-0000-0000E2680000}"/>
    <cellStyle name="Normal 5 3 2 7 7" xfId="16122" xr:uid="{00000000-0005-0000-0000-0000E3680000}"/>
    <cellStyle name="Normal 5 3 2 7 7 2" xfId="41675" xr:uid="{00000000-0005-0000-0000-0000E4680000}"/>
    <cellStyle name="Normal 5 3 2 7 8" xfId="26963" xr:uid="{00000000-0005-0000-0000-0000E5680000}"/>
    <cellStyle name="Normal 5 3 2 8" xfId="2651" xr:uid="{00000000-0005-0000-0000-0000E6680000}"/>
    <cellStyle name="Normal 5 3 2 8 2" xfId="11972" xr:uid="{00000000-0005-0000-0000-0000E7680000}"/>
    <cellStyle name="Normal 5 3 2 8 2 2" xfId="22012" xr:uid="{00000000-0005-0000-0000-0000E8680000}"/>
    <cellStyle name="Normal 5 3 2 8 2 2 2" xfId="47565" xr:uid="{00000000-0005-0000-0000-0000E9680000}"/>
    <cellStyle name="Normal 5 3 2 8 2 3" xfId="37527" xr:uid="{00000000-0005-0000-0000-0000EA680000}"/>
    <cellStyle name="Normal 5 3 2 8 3" xfId="8412" xr:uid="{00000000-0005-0000-0000-0000EB680000}"/>
    <cellStyle name="Normal 5 3 2 8 3 2" xfId="33969" xr:uid="{00000000-0005-0000-0000-0000EC680000}"/>
    <cellStyle name="Normal 5 3 2 8 4" xfId="17005" xr:uid="{00000000-0005-0000-0000-0000ED680000}"/>
    <cellStyle name="Normal 5 3 2 8 4 2" xfId="42558" xr:uid="{00000000-0005-0000-0000-0000EE680000}"/>
    <cellStyle name="Normal 5 3 2 8 5" xfId="28495" xr:uid="{00000000-0005-0000-0000-0000EF680000}"/>
    <cellStyle name="Normal 5 3 2 9" xfId="4143" xr:uid="{00000000-0005-0000-0000-0000F0680000}"/>
    <cellStyle name="Normal 5 3 2 9 2" xfId="12981" xr:uid="{00000000-0005-0000-0000-0000F1680000}"/>
    <cellStyle name="Normal 5 3 2 9 2 2" xfId="23232" xr:uid="{00000000-0005-0000-0000-0000F2680000}"/>
    <cellStyle name="Normal 5 3 2 9 2 2 2" xfId="48785" xr:uid="{00000000-0005-0000-0000-0000F3680000}"/>
    <cellStyle name="Normal 5 3 2 9 2 3" xfId="38536" xr:uid="{00000000-0005-0000-0000-0000F4680000}"/>
    <cellStyle name="Normal 5 3 2 9 3" xfId="9402" xr:uid="{00000000-0005-0000-0000-0000F5680000}"/>
    <cellStyle name="Normal 5 3 2 9 3 2" xfId="34959" xr:uid="{00000000-0005-0000-0000-0000F6680000}"/>
    <cellStyle name="Normal 5 3 2 9 4" xfId="18225" xr:uid="{00000000-0005-0000-0000-0000F7680000}"/>
    <cellStyle name="Normal 5 3 2 9 4 2" xfId="43778" xr:uid="{00000000-0005-0000-0000-0000F8680000}"/>
    <cellStyle name="Normal 5 3 2 9 5" xfId="29715" xr:uid="{00000000-0005-0000-0000-0000F9680000}"/>
    <cellStyle name="Normal 5 3 2_Degree data" xfId="3865" xr:uid="{00000000-0005-0000-0000-0000FA680000}"/>
    <cellStyle name="Normal 5 3 3" xfId="199" xr:uid="{00000000-0005-0000-0000-0000FB680000}"/>
    <cellStyle name="Normal 5 3 3 10" xfId="7145" xr:uid="{00000000-0005-0000-0000-0000FC680000}"/>
    <cellStyle name="Normal 5 3 3 10 2" xfId="19654" xr:uid="{00000000-0005-0000-0000-0000FD680000}"/>
    <cellStyle name="Normal 5 3 3 10 2 2" xfId="45207" xr:uid="{00000000-0005-0000-0000-0000FE680000}"/>
    <cellStyle name="Normal 5 3 3 10 3" xfId="32702" xr:uid="{00000000-0005-0000-0000-0000FF680000}"/>
    <cellStyle name="Normal 5 3 3 11" xfId="15891" xr:uid="{00000000-0005-0000-0000-000000690000}"/>
    <cellStyle name="Normal 5 3 3 11 2" xfId="41444" xr:uid="{00000000-0005-0000-0000-000001690000}"/>
    <cellStyle name="Normal 5 3 3 12" xfId="26137" xr:uid="{00000000-0005-0000-0000-000002690000}"/>
    <cellStyle name="Normal 5 3 3 2" xfId="525" xr:uid="{00000000-0005-0000-0000-000003690000}"/>
    <cellStyle name="Normal 5 3 3 2 10" xfId="26454" xr:uid="{00000000-0005-0000-0000-000004690000}"/>
    <cellStyle name="Normal 5 3 3 2 2" xfId="803" xr:uid="{00000000-0005-0000-0000-000005690000}"/>
    <cellStyle name="Normal 5 3 3 2 2 2" xfId="3288" xr:uid="{00000000-0005-0000-0000-000006690000}"/>
    <cellStyle name="Normal 5 3 3 2 2 2 2" xfId="12430" xr:uid="{00000000-0005-0000-0000-000007690000}"/>
    <cellStyle name="Normal 5 3 3 2 2 2 2 2" xfId="22649" xr:uid="{00000000-0005-0000-0000-000008690000}"/>
    <cellStyle name="Normal 5 3 3 2 2 2 2 2 2" xfId="48202" xr:uid="{00000000-0005-0000-0000-000009690000}"/>
    <cellStyle name="Normal 5 3 3 2 2 2 2 3" xfId="37985" xr:uid="{00000000-0005-0000-0000-00000A690000}"/>
    <cellStyle name="Normal 5 3 3 2 2 2 3" xfId="8852" xr:uid="{00000000-0005-0000-0000-00000B690000}"/>
    <cellStyle name="Normal 5 3 3 2 2 2 3 2" xfId="34409" xr:uid="{00000000-0005-0000-0000-00000C690000}"/>
    <cellStyle name="Normal 5 3 3 2 2 2 4" xfId="17642" xr:uid="{00000000-0005-0000-0000-00000D690000}"/>
    <cellStyle name="Normal 5 3 3 2 2 2 4 2" xfId="43195" xr:uid="{00000000-0005-0000-0000-00000E690000}"/>
    <cellStyle name="Normal 5 3 3 2 2 2 5" xfId="29132" xr:uid="{00000000-0005-0000-0000-00000F690000}"/>
    <cellStyle name="Normal 5 3 3 2 2 3" xfId="4617" xr:uid="{00000000-0005-0000-0000-000010690000}"/>
    <cellStyle name="Normal 5 3 3 2 2 3 2" xfId="13455" xr:uid="{00000000-0005-0000-0000-000011690000}"/>
    <cellStyle name="Normal 5 3 3 2 2 3 2 2" xfId="23706" xr:uid="{00000000-0005-0000-0000-000012690000}"/>
    <cellStyle name="Normal 5 3 3 2 2 3 2 2 2" xfId="49259" xr:uid="{00000000-0005-0000-0000-000013690000}"/>
    <cellStyle name="Normal 5 3 3 2 2 3 2 3" xfId="39010" xr:uid="{00000000-0005-0000-0000-000014690000}"/>
    <cellStyle name="Normal 5 3 3 2 2 3 3" xfId="9876" xr:uid="{00000000-0005-0000-0000-000015690000}"/>
    <cellStyle name="Normal 5 3 3 2 2 3 3 2" xfId="35433" xr:uid="{00000000-0005-0000-0000-000016690000}"/>
    <cellStyle name="Normal 5 3 3 2 2 3 4" xfId="18699" xr:uid="{00000000-0005-0000-0000-000017690000}"/>
    <cellStyle name="Normal 5 3 3 2 2 3 4 2" xfId="44252" xr:uid="{00000000-0005-0000-0000-000018690000}"/>
    <cellStyle name="Normal 5 3 3 2 2 3 5" xfId="30189" xr:uid="{00000000-0005-0000-0000-000019690000}"/>
    <cellStyle name="Normal 5 3 3 2 2 4" xfId="2397" xr:uid="{00000000-0005-0000-0000-00001A690000}"/>
    <cellStyle name="Normal 5 3 3 2 2 4 2" xfId="11762" xr:uid="{00000000-0005-0000-0000-00001B690000}"/>
    <cellStyle name="Normal 5 3 3 2 2 4 2 2" xfId="37317" xr:uid="{00000000-0005-0000-0000-00001C690000}"/>
    <cellStyle name="Normal 5 3 3 2 2 4 3" xfId="21766" xr:uid="{00000000-0005-0000-0000-00001D690000}"/>
    <cellStyle name="Normal 5 3 3 2 2 4 3 2" xfId="47319" xr:uid="{00000000-0005-0000-0000-00001E690000}"/>
    <cellStyle name="Normal 5 3 3 2 2 4 4" xfId="28249" xr:uid="{00000000-0005-0000-0000-00001F690000}"/>
    <cellStyle name="Normal 5 3 3 2 2 5" xfId="6073" xr:uid="{00000000-0005-0000-0000-000020690000}"/>
    <cellStyle name="Normal 5 3 3 2 2 5 2" xfId="14900" xr:uid="{00000000-0005-0000-0000-000021690000}"/>
    <cellStyle name="Normal 5 3 3 2 2 5 2 2" xfId="40455" xr:uid="{00000000-0005-0000-0000-000022690000}"/>
    <cellStyle name="Normal 5 3 3 2 2 5 3" xfId="25151" xr:uid="{00000000-0005-0000-0000-000023690000}"/>
    <cellStyle name="Normal 5 3 3 2 2 5 3 2" xfId="50704" xr:uid="{00000000-0005-0000-0000-000024690000}"/>
    <cellStyle name="Normal 5 3 3 2 2 5 4" xfId="31634" xr:uid="{00000000-0005-0000-0000-000025690000}"/>
    <cellStyle name="Normal 5 3 3 2 2 6" xfId="7518" xr:uid="{00000000-0005-0000-0000-000026690000}"/>
    <cellStyle name="Normal 5 3 3 2 2 6 2" xfId="20248" xr:uid="{00000000-0005-0000-0000-000027690000}"/>
    <cellStyle name="Normal 5 3 3 2 2 6 2 2" xfId="45801" xr:uid="{00000000-0005-0000-0000-000028690000}"/>
    <cellStyle name="Normal 5 3 3 2 2 6 3" xfId="33075" xr:uid="{00000000-0005-0000-0000-000029690000}"/>
    <cellStyle name="Normal 5 3 3 2 2 7" xfId="16759" xr:uid="{00000000-0005-0000-0000-00002A690000}"/>
    <cellStyle name="Normal 5 3 3 2 2 7 2" xfId="42312" xr:uid="{00000000-0005-0000-0000-00002B690000}"/>
    <cellStyle name="Normal 5 3 3 2 2 8" xfId="26731" xr:uid="{00000000-0005-0000-0000-00002C690000}"/>
    <cellStyle name="Normal 5 3 3 2 3" xfId="1297" xr:uid="{00000000-0005-0000-0000-00002D690000}"/>
    <cellStyle name="Normal 5 3 3 2 3 2" xfId="3726" xr:uid="{00000000-0005-0000-0000-00002E690000}"/>
    <cellStyle name="Normal 5 3 3 2 3 2 2" xfId="12862" xr:uid="{00000000-0005-0000-0000-00002F690000}"/>
    <cellStyle name="Normal 5 3 3 2 3 2 2 2" xfId="23081" xr:uid="{00000000-0005-0000-0000-000030690000}"/>
    <cellStyle name="Normal 5 3 3 2 3 2 2 2 2" xfId="48634" xr:uid="{00000000-0005-0000-0000-000031690000}"/>
    <cellStyle name="Normal 5 3 3 2 3 2 2 3" xfId="38417" xr:uid="{00000000-0005-0000-0000-000032690000}"/>
    <cellStyle name="Normal 5 3 3 2 3 2 3" xfId="9283" xr:uid="{00000000-0005-0000-0000-000033690000}"/>
    <cellStyle name="Normal 5 3 3 2 3 2 3 2" xfId="34840" xr:uid="{00000000-0005-0000-0000-000034690000}"/>
    <cellStyle name="Normal 5 3 3 2 3 2 4" xfId="18074" xr:uid="{00000000-0005-0000-0000-000035690000}"/>
    <cellStyle name="Normal 5 3 3 2 3 2 4 2" xfId="43627" xr:uid="{00000000-0005-0000-0000-000036690000}"/>
    <cellStyle name="Normal 5 3 3 2 3 2 5" xfId="29564" xr:uid="{00000000-0005-0000-0000-000037690000}"/>
    <cellStyle name="Normal 5 3 3 2 3 3" xfId="4966" xr:uid="{00000000-0005-0000-0000-000038690000}"/>
    <cellStyle name="Normal 5 3 3 2 3 3 2" xfId="13803" xr:uid="{00000000-0005-0000-0000-000039690000}"/>
    <cellStyle name="Normal 5 3 3 2 3 3 2 2" xfId="24054" xr:uid="{00000000-0005-0000-0000-00003A690000}"/>
    <cellStyle name="Normal 5 3 3 2 3 3 2 2 2" xfId="49607" xr:uid="{00000000-0005-0000-0000-00003B690000}"/>
    <cellStyle name="Normal 5 3 3 2 3 3 2 3" xfId="39358" xr:uid="{00000000-0005-0000-0000-00003C690000}"/>
    <cellStyle name="Normal 5 3 3 2 3 3 3" xfId="10224" xr:uid="{00000000-0005-0000-0000-00003D690000}"/>
    <cellStyle name="Normal 5 3 3 2 3 3 3 2" xfId="35781" xr:uid="{00000000-0005-0000-0000-00003E690000}"/>
    <cellStyle name="Normal 5 3 3 2 3 3 4" xfId="19047" xr:uid="{00000000-0005-0000-0000-00003F690000}"/>
    <cellStyle name="Normal 5 3 3 2 3 3 4 2" xfId="44600" xr:uid="{00000000-0005-0000-0000-000040690000}"/>
    <cellStyle name="Normal 5 3 3 2 3 3 5" xfId="30537" xr:uid="{00000000-0005-0000-0000-000041690000}"/>
    <cellStyle name="Normal 5 3 3 2 3 4" xfId="2120" xr:uid="{00000000-0005-0000-0000-000042690000}"/>
    <cellStyle name="Normal 5 3 3 2 3 4 2" xfId="11485" xr:uid="{00000000-0005-0000-0000-000043690000}"/>
    <cellStyle name="Normal 5 3 3 2 3 4 2 2" xfId="37040" xr:uid="{00000000-0005-0000-0000-000044690000}"/>
    <cellStyle name="Normal 5 3 3 2 3 4 3" xfId="21489" xr:uid="{00000000-0005-0000-0000-000045690000}"/>
    <cellStyle name="Normal 5 3 3 2 3 4 3 2" xfId="47042" xr:uid="{00000000-0005-0000-0000-000046690000}"/>
    <cellStyle name="Normal 5 3 3 2 3 4 4" xfId="27972" xr:uid="{00000000-0005-0000-0000-000047690000}"/>
    <cellStyle name="Normal 5 3 3 2 3 5" xfId="6421" xr:uid="{00000000-0005-0000-0000-000048690000}"/>
    <cellStyle name="Normal 5 3 3 2 3 5 2" xfId="15248" xr:uid="{00000000-0005-0000-0000-000049690000}"/>
    <cellStyle name="Normal 5 3 3 2 3 5 2 2" xfId="40803" xr:uid="{00000000-0005-0000-0000-00004A690000}"/>
    <cellStyle name="Normal 5 3 3 2 3 5 3" xfId="25499" xr:uid="{00000000-0005-0000-0000-00004B690000}"/>
    <cellStyle name="Normal 5 3 3 2 3 5 3 2" xfId="51052" xr:uid="{00000000-0005-0000-0000-00004C690000}"/>
    <cellStyle name="Normal 5 3 3 2 3 5 4" xfId="31982" xr:uid="{00000000-0005-0000-0000-00004D690000}"/>
    <cellStyle name="Normal 5 3 3 2 3 6" xfId="7867" xr:uid="{00000000-0005-0000-0000-00004E690000}"/>
    <cellStyle name="Normal 5 3 3 2 3 6 2" xfId="20680" xr:uid="{00000000-0005-0000-0000-00004F690000}"/>
    <cellStyle name="Normal 5 3 3 2 3 6 2 2" xfId="46233" xr:uid="{00000000-0005-0000-0000-000050690000}"/>
    <cellStyle name="Normal 5 3 3 2 3 6 3" xfId="33424" xr:uid="{00000000-0005-0000-0000-000051690000}"/>
    <cellStyle name="Normal 5 3 3 2 3 7" xfId="16482" xr:uid="{00000000-0005-0000-0000-000052690000}"/>
    <cellStyle name="Normal 5 3 3 2 3 7 2" xfId="42035" xr:uid="{00000000-0005-0000-0000-000053690000}"/>
    <cellStyle name="Normal 5 3 3 2 3 8" xfId="27163" xr:uid="{00000000-0005-0000-0000-000054690000}"/>
    <cellStyle name="Normal 5 3 3 2 4" xfId="3011" xr:uid="{00000000-0005-0000-0000-000055690000}"/>
    <cellStyle name="Normal 5 3 3 2 4 2" xfId="5389" xr:uid="{00000000-0005-0000-0000-000056690000}"/>
    <cellStyle name="Normal 5 3 3 2 4 2 2" xfId="14226" xr:uid="{00000000-0005-0000-0000-000057690000}"/>
    <cellStyle name="Normal 5 3 3 2 4 2 2 2" xfId="24477" xr:uid="{00000000-0005-0000-0000-000058690000}"/>
    <cellStyle name="Normal 5 3 3 2 4 2 2 2 2" xfId="50030" xr:uid="{00000000-0005-0000-0000-000059690000}"/>
    <cellStyle name="Normal 5 3 3 2 4 2 2 3" xfId="39781" xr:uid="{00000000-0005-0000-0000-00005A690000}"/>
    <cellStyle name="Normal 5 3 3 2 4 2 3" xfId="10647" xr:uid="{00000000-0005-0000-0000-00005B690000}"/>
    <cellStyle name="Normal 5 3 3 2 4 2 3 2" xfId="36204" xr:uid="{00000000-0005-0000-0000-00005C690000}"/>
    <cellStyle name="Normal 5 3 3 2 4 2 4" xfId="19470" xr:uid="{00000000-0005-0000-0000-00005D690000}"/>
    <cellStyle name="Normal 5 3 3 2 4 2 4 2" xfId="45023" xr:uid="{00000000-0005-0000-0000-00005E690000}"/>
    <cellStyle name="Normal 5 3 3 2 4 2 5" xfId="30960" xr:uid="{00000000-0005-0000-0000-00005F690000}"/>
    <cellStyle name="Normal 5 3 3 2 4 3" xfId="6844" xr:uid="{00000000-0005-0000-0000-000060690000}"/>
    <cellStyle name="Normal 5 3 3 2 4 3 2" xfId="15671" xr:uid="{00000000-0005-0000-0000-000061690000}"/>
    <cellStyle name="Normal 5 3 3 2 4 3 2 2" xfId="41226" xr:uid="{00000000-0005-0000-0000-000062690000}"/>
    <cellStyle name="Normal 5 3 3 2 4 3 3" xfId="25922" xr:uid="{00000000-0005-0000-0000-000063690000}"/>
    <cellStyle name="Normal 5 3 3 2 4 3 3 2" xfId="51475" xr:uid="{00000000-0005-0000-0000-000064690000}"/>
    <cellStyle name="Normal 5 3 3 2 4 3 4" xfId="32405" xr:uid="{00000000-0005-0000-0000-000065690000}"/>
    <cellStyle name="Normal 5 3 3 2 4 4" xfId="8290" xr:uid="{00000000-0005-0000-0000-000066690000}"/>
    <cellStyle name="Normal 5 3 3 2 4 4 2" xfId="22372" xr:uid="{00000000-0005-0000-0000-000067690000}"/>
    <cellStyle name="Normal 5 3 3 2 4 4 2 2" xfId="47925" xr:uid="{00000000-0005-0000-0000-000068690000}"/>
    <cellStyle name="Normal 5 3 3 2 4 4 3" xfId="33847" xr:uid="{00000000-0005-0000-0000-000069690000}"/>
    <cellStyle name="Normal 5 3 3 2 4 5" xfId="17365" xr:uid="{00000000-0005-0000-0000-00006A690000}"/>
    <cellStyle name="Normal 5 3 3 2 4 5 2" xfId="42918" xr:uid="{00000000-0005-0000-0000-00006B690000}"/>
    <cellStyle name="Normal 5 3 3 2 4 6" xfId="28855" xr:uid="{00000000-0005-0000-0000-00006C690000}"/>
    <cellStyle name="Normal 5 3 3 2 5" xfId="4345" xr:uid="{00000000-0005-0000-0000-00006D690000}"/>
    <cellStyle name="Normal 5 3 3 2 5 2" xfId="13183" xr:uid="{00000000-0005-0000-0000-00006E690000}"/>
    <cellStyle name="Normal 5 3 3 2 5 2 2" xfId="23434" xr:uid="{00000000-0005-0000-0000-00006F690000}"/>
    <cellStyle name="Normal 5 3 3 2 5 2 2 2" xfId="48987" xr:uid="{00000000-0005-0000-0000-000070690000}"/>
    <cellStyle name="Normal 5 3 3 2 5 2 3" xfId="38738" xr:uid="{00000000-0005-0000-0000-000071690000}"/>
    <cellStyle name="Normal 5 3 3 2 5 3" xfId="9604" xr:uid="{00000000-0005-0000-0000-000072690000}"/>
    <cellStyle name="Normal 5 3 3 2 5 3 2" xfId="35161" xr:uid="{00000000-0005-0000-0000-000073690000}"/>
    <cellStyle name="Normal 5 3 3 2 5 4" xfId="18427" xr:uid="{00000000-0005-0000-0000-000074690000}"/>
    <cellStyle name="Normal 5 3 3 2 5 4 2" xfId="43980" xr:uid="{00000000-0005-0000-0000-000075690000}"/>
    <cellStyle name="Normal 5 3 3 2 5 5" xfId="29917" xr:uid="{00000000-0005-0000-0000-000076690000}"/>
    <cellStyle name="Normal 5 3 3 2 6" xfId="1617" xr:uid="{00000000-0005-0000-0000-000077690000}"/>
    <cellStyle name="Normal 5 3 3 2 6 2" xfId="10994" xr:uid="{00000000-0005-0000-0000-000078690000}"/>
    <cellStyle name="Normal 5 3 3 2 6 2 2" xfId="36549" xr:uid="{00000000-0005-0000-0000-000079690000}"/>
    <cellStyle name="Normal 5 3 3 2 6 3" xfId="20998" xr:uid="{00000000-0005-0000-0000-00007A690000}"/>
    <cellStyle name="Normal 5 3 3 2 6 3 2" xfId="46551" xr:uid="{00000000-0005-0000-0000-00007B690000}"/>
    <cellStyle name="Normal 5 3 3 2 6 4" xfId="27481" xr:uid="{00000000-0005-0000-0000-00007C690000}"/>
    <cellStyle name="Normal 5 3 3 2 7" xfId="5801" xr:uid="{00000000-0005-0000-0000-00007D690000}"/>
    <cellStyle name="Normal 5 3 3 2 7 2" xfId="14628" xr:uid="{00000000-0005-0000-0000-00007E690000}"/>
    <cellStyle name="Normal 5 3 3 2 7 2 2" xfId="40183" xr:uid="{00000000-0005-0000-0000-00007F690000}"/>
    <cellStyle name="Normal 5 3 3 2 7 3" xfId="24879" xr:uid="{00000000-0005-0000-0000-000080690000}"/>
    <cellStyle name="Normal 5 3 3 2 7 3 2" xfId="50432" xr:uid="{00000000-0005-0000-0000-000081690000}"/>
    <cellStyle name="Normal 5 3 3 2 7 4" xfId="31362" xr:uid="{00000000-0005-0000-0000-000082690000}"/>
    <cellStyle name="Normal 5 3 3 2 8" xfId="7245" xr:uid="{00000000-0005-0000-0000-000083690000}"/>
    <cellStyle name="Normal 5 3 3 2 8 2" xfId="19971" xr:uid="{00000000-0005-0000-0000-000084690000}"/>
    <cellStyle name="Normal 5 3 3 2 8 2 2" xfId="45524" xr:uid="{00000000-0005-0000-0000-000085690000}"/>
    <cellStyle name="Normal 5 3 3 2 8 3" xfId="32802" xr:uid="{00000000-0005-0000-0000-000086690000}"/>
    <cellStyle name="Normal 5 3 3 2 9" xfId="15991" xr:uid="{00000000-0005-0000-0000-000087690000}"/>
    <cellStyle name="Normal 5 3 3 2 9 2" xfId="41544" xr:uid="{00000000-0005-0000-0000-000088690000}"/>
    <cellStyle name="Normal 5 3 3 2_Degree data" xfId="3823" xr:uid="{00000000-0005-0000-0000-000089690000}"/>
    <cellStyle name="Normal 5 3 3 3" xfId="425" xr:uid="{00000000-0005-0000-0000-00008A690000}"/>
    <cellStyle name="Normal 5 3 3 3 2" xfId="2911" xr:uid="{00000000-0005-0000-0000-00008B690000}"/>
    <cellStyle name="Normal 5 3 3 3 2 2" xfId="12199" xr:uid="{00000000-0005-0000-0000-00008C690000}"/>
    <cellStyle name="Normal 5 3 3 3 2 2 2" xfId="22272" xr:uid="{00000000-0005-0000-0000-00008D690000}"/>
    <cellStyle name="Normal 5 3 3 3 2 2 2 2" xfId="47825" xr:uid="{00000000-0005-0000-0000-00008E690000}"/>
    <cellStyle name="Normal 5 3 3 3 2 2 3" xfId="37754" xr:uid="{00000000-0005-0000-0000-00008F690000}"/>
    <cellStyle name="Normal 5 3 3 3 2 3" xfId="8510" xr:uid="{00000000-0005-0000-0000-000090690000}"/>
    <cellStyle name="Normal 5 3 3 3 2 3 2" xfId="34067" xr:uid="{00000000-0005-0000-0000-000091690000}"/>
    <cellStyle name="Normal 5 3 3 3 2 4" xfId="17265" xr:uid="{00000000-0005-0000-0000-000092690000}"/>
    <cellStyle name="Normal 5 3 3 3 2 4 2" xfId="42818" xr:uid="{00000000-0005-0000-0000-000093690000}"/>
    <cellStyle name="Normal 5 3 3 3 2 5" xfId="28755" xr:uid="{00000000-0005-0000-0000-000094690000}"/>
    <cellStyle name="Normal 5 3 3 3 3" xfId="4616" xr:uid="{00000000-0005-0000-0000-000095690000}"/>
    <cellStyle name="Normal 5 3 3 3 3 2" xfId="13454" xr:uid="{00000000-0005-0000-0000-000096690000}"/>
    <cellStyle name="Normal 5 3 3 3 3 2 2" xfId="23705" xr:uid="{00000000-0005-0000-0000-000097690000}"/>
    <cellStyle name="Normal 5 3 3 3 3 2 2 2" xfId="49258" xr:uid="{00000000-0005-0000-0000-000098690000}"/>
    <cellStyle name="Normal 5 3 3 3 3 2 3" xfId="39009" xr:uid="{00000000-0005-0000-0000-000099690000}"/>
    <cellStyle name="Normal 5 3 3 3 3 3" xfId="9875" xr:uid="{00000000-0005-0000-0000-00009A690000}"/>
    <cellStyle name="Normal 5 3 3 3 3 3 2" xfId="35432" xr:uid="{00000000-0005-0000-0000-00009B690000}"/>
    <cellStyle name="Normal 5 3 3 3 3 4" xfId="18698" xr:uid="{00000000-0005-0000-0000-00009C690000}"/>
    <cellStyle name="Normal 5 3 3 3 3 4 2" xfId="44251" xr:uid="{00000000-0005-0000-0000-00009D690000}"/>
    <cellStyle name="Normal 5 3 3 3 3 5" xfId="30188" xr:uid="{00000000-0005-0000-0000-00009E690000}"/>
    <cellStyle name="Normal 5 3 3 3 4" xfId="2020" xr:uid="{00000000-0005-0000-0000-00009F690000}"/>
    <cellStyle name="Normal 5 3 3 3 4 2" xfId="11385" xr:uid="{00000000-0005-0000-0000-0000A0690000}"/>
    <cellStyle name="Normal 5 3 3 3 4 2 2" xfId="36940" xr:uid="{00000000-0005-0000-0000-0000A1690000}"/>
    <cellStyle name="Normal 5 3 3 3 4 3" xfId="21389" xr:uid="{00000000-0005-0000-0000-0000A2690000}"/>
    <cellStyle name="Normal 5 3 3 3 4 3 2" xfId="46942" xr:uid="{00000000-0005-0000-0000-0000A3690000}"/>
    <cellStyle name="Normal 5 3 3 3 4 4" xfId="27872" xr:uid="{00000000-0005-0000-0000-0000A4690000}"/>
    <cellStyle name="Normal 5 3 3 3 5" xfId="6072" xr:uid="{00000000-0005-0000-0000-0000A5690000}"/>
    <cellStyle name="Normal 5 3 3 3 5 2" xfId="14899" xr:uid="{00000000-0005-0000-0000-0000A6690000}"/>
    <cellStyle name="Normal 5 3 3 3 5 2 2" xfId="40454" xr:uid="{00000000-0005-0000-0000-0000A7690000}"/>
    <cellStyle name="Normal 5 3 3 3 5 3" xfId="25150" xr:uid="{00000000-0005-0000-0000-0000A8690000}"/>
    <cellStyle name="Normal 5 3 3 3 5 3 2" xfId="50703" xr:uid="{00000000-0005-0000-0000-0000A9690000}"/>
    <cellStyle name="Normal 5 3 3 3 5 4" xfId="31633" xr:uid="{00000000-0005-0000-0000-0000AA690000}"/>
    <cellStyle name="Normal 5 3 3 3 6" xfId="7517" xr:uid="{00000000-0005-0000-0000-0000AB690000}"/>
    <cellStyle name="Normal 5 3 3 3 6 2" xfId="19871" xr:uid="{00000000-0005-0000-0000-0000AC690000}"/>
    <cellStyle name="Normal 5 3 3 3 6 2 2" xfId="45424" xr:uid="{00000000-0005-0000-0000-0000AD690000}"/>
    <cellStyle name="Normal 5 3 3 3 6 3" xfId="33074" xr:uid="{00000000-0005-0000-0000-0000AE690000}"/>
    <cellStyle name="Normal 5 3 3 3 7" xfId="16382" xr:uid="{00000000-0005-0000-0000-0000AF690000}"/>
    <cellStyle name="Normal 5 3 3 3 7 2" xfId="41935" xr:uid="{00000000-0005-0000-0000-0000B0690000}"/>
    <cellStyle name="Normal 5 3 3 3 8" xfId="26354" xr:uid="{00000000-0005-0000-0000-0000B1690000}"/>
    <cellStyle name="Normal 5 3 3 4" xfId="802" xr:uid="{00000000-0005-0000-0000-0000B2690000}"/>
    <cellStyle name="Normal 5 3 3 4 2" xfId="3287" xr:uid="{00000000-0005-0000-0000-0000B3690000}"/>
    <cellStyle name="Normal 5 3 3 4 2 2" xfId="12429" xr:uid="{00000000-0005-0000-0000-0000B4690000}"/>
    <cellStyle name="Normal 5 3 3 4 2 2 2" xfId="22648" xr:uid="{00000000-0005-0000-0000-0000B5690000}"/>
    <cellStyle name="Normal 5 3 3 4 2 2 2 2" xfId="48201" xr:uid="{00000000-0005-0000-0000-0000B6690000}"/>
    <cellStyle name="Normal 5 3 3 4 2 2 3" xfId="37984" xr:uid="{00000000-0005-0000-0000-0000B7690000}"/>
    <cellStyle name="Normal 5 3 3 4 2 3" xfId="8851" xr:uid="{00000000-0005-0000-0000-0000B8690000}"/>
    <cellStyle name="Normal 5 3 3 4 2 3 2" xfId="34408" xr:uid="{00000000-0005-0000-0000-0000B9690000}"/>
    <cellStyle name="Normal 5 3 3 4 2 4" xfId="17641" xr:uid="{00000000-0005-0000-0000-0000BA690000}"/>
    <cellStyle name="Normal 5 3 3 4 2 4 2" xfId="43194" xr:uid="{00000000-0005-0000-0000-0000BB690000}"/>
    <cellStyle name="Normal 5 3 3 4 2 5" xfId="29131" xr:uid="{00000000-0005-0000-0000-0000BC690000}"/>
    <cellStyle name="Normal 5 3 3 4 3" xfId="4965" xr:uid="{00000000-0005-0000-0000-0000BD690000}"/>
    <cellStyle name="Normal 5 3 3 4 3 2" xfId="13802" xr:uid="{00000000-0005-0000-0000-0000BE690000}"/>
    <cellStyle name="Normal 5 3 3 4 3 2 2" xfId="24053" xr:uid="{00000000-0005-0000-0000-0000BF690000}"/>
    <cellStyle name="Normal 5 3 3 4 3 2 2 2" xfId="49606" xr:uid="{00000000-0005-0000-0000-0000C0690000}"/>
    <cellStyle name="Normal 5 3 3 4 3 2 3" xfId="39357" xr:uid="{00000000-0005-0000-0000-0000C1690000}"/>
    <cellStyle name="Normal 5 3 3 4 3 3" xfId="10223" xr:uid="{00000000-0005-0000-0000-0000C2690000}"/>
    <cellStyle name="Normal 5 3 3 4 3 3 2" xfId="35780" xr:uid="{00000000-0005-0000-0000-0000C3690000}"/>
    <cellStyle name="Normal 5 3 3 4 3 4" xfId="19046" xr:uid="{00000000-0005-0000-0000-0000C4690000}"/>
    <cellStyle name="Normal 5 3 3 4 3 4 2" xfId="44599" xr:uid="{00000000-0005-0000-0000-0000C5690000}"/>
    <cellStyle name="Normal 5 3 3 4 3 5" xfId="30536" xr:uid="{00000000-0005-0000-0000-0000C6690000}"/>
    <cellStyle name="Normal 5 3 3 4 4" xfId="2396" xr:uid="{00000000-0005-0000-0000-0000C7690000}"/>
    <cellStyle name="Normal 5 3 3 4 4 2" xfId="11761" xr:uid="{00000000-0005-0000-0000-0000C8690000}"/>
    <cellStyle name="Normal 5 3 3 4 4 2 2" xfId="37316" xr:uid="{00000000-0005-0000-0000-0000C9690000}"/>
    <cellStyle name="Normal 5 3 3 4 4 3" xfId="21765" xr:uid="{00000000-0005-0000-0000-0000CA690000}"/>
    <cellStyle name="Normal 5 3 3 4 4 3 2" xfId="47318" xr:uid="{00000000-0005-0000-0000-0000CB690000}"/>
    <cellStyle name="Normal 5 3 3 4 4 4" xfId="28248" xr:uid="{00000000-0005-0000-0000-0000CC690000}"/>
    <cellStyle name="Normal 5 3 3 4 5" xfId="6420" xr:uid="{00000000-0005-0000-0000-0000CD690000}"/>
    <cellStyle name="Normal 5 3 3 4 5 2" xfId="15247" xr:uid="{00000000-0005-0000-0000-0000CE690000}"/>
    <cellStyle name="Normal 5 3 3 4 5 2 2" xfId="40802" xr:uid="{00000000-0005-0000-0000-0000CF690000}"/>
    <cellStyle name="Normal 5 3 3 4 5 3" xfId="25498" xr:uid="{00000000-0005-0000-0000-0000D0690000}"/>
    <cellStyle name="Normal 5 3 3 4 5 3 2" xfId="51051" xr:uid="{00000000-0005-0000-0000-0000D1690000}"/>
    <cellStyle name="Normal 5 3 3 4 5 4" xfId="31981" xr:uid="{00000000-0005-0000-0000-0000D2690000}"/>
    <cellStyle name="Normal 5 3 3 4 6" xfId="7866" xr:uid="{00000000-0005-0000-0000-0000D3690000}"/>
    <cellStyle name="Normal 5 3 3 4 6 2" xfId="20247" xr:uid="{00000000-0005-0000-0000-0000D4690000}"/>
    <cellStyle name="Normal 5 3 3 4 6 2 2" xfId="45800" xr:uid="{00000000-0005-0000-0000-0000D5690000}"/>
    <cellStyle name="Normal 5 3 3 4 6 3" xfId="33423" xr:uid="{00000000-0005-0000-0000-0000D6690000}"/>
    <cellStyle name="Normal 5 3 3 4 7" xfId="16758" xr:uid="{00000000-0005-0000-0000-0000D7690000}"/>
    <cellStyle name="Normal 5 3 3 4 7 2" xfId="42311" xr:uid="{00000000-0005-0000-0000-0000D8690000}"/>
    <cellStyle name="Normal 5 3 3 4 8" xfId="26730" xr:uid="{00000000-0005-0000-0000-0000D9690000}"/>
    <cellStyle name="Normal 5 3 3 5" xfId="1197" xr:uid="{00000000-0005-0000-0000-0000DA690000}"/>
    <cellStyle name="Normal 5 3 3 5 2" xfId="3626" xr:uid="{00000000-0005-0000-0000-0000DB690000}"/>
    <cellStyle name="Normal 5 3 3 5 2 2" xfId="12762" xr:uid="{00000000-0005-0000-0000-0000DC690000}"/>
    <cellStyle name="Normal 5 3 3 5 2 2 2" xfId="22981" xr:uid="{00000000-0005-0000-0000-0000DD690000}"/>
    <cellStyle name="Normal 5 3 3 5 2 2 2 2" xfId="48534" xr:uid="{00000000-0005-0000-0000-0000DE690000}"/>
    <cellStyle name="Normal 5 3 3 5 2 2 3" xfId="38317" xr:uid="{00000000-0005-0000-0000-0000DF690000}"/>
    <cellStyle name="Normal 5 3 3 5 2 3" xfId="9183" xr:uid="{00000000-0005-0000-0000-0000E0690000}"/>
    <cellStyle name="Normal 5 3 3 5 2 3 2" xfId="34740" xr:uid="{00000000-0005-0000-0000-0000E1690000}"/>
    <cellStyle name="Normal 5 3 3 5 2 4" xfId="17974" xr:uid="{00000000-0005-0000-0000-0000E2690000}"/>
    <cellStyle name="Normal 5 3 3 5 2 4 2" xfId="43527" xr:uid="{00000000-0005-0000-0000-0000E3690000}"/>
    <cellStyle name="Normal 5 3 3 5 2 5" xfId="29464" xr:uid="{00000000-0005-0000-0000-0000E4690000}"/>
    <cellStyle name="Normal 5 3 3 5 3" xfId="5289" xr:uid="{00000000-0005-0000-0000-0000E5690000}"/>
    <cellStyle name="Normal 5 3 3 5 3 2" xfId="14126" xr:uid="{00000000-0005-0000-0000-0000E6690000}"/>
    <cellStyle name="Normal 5 3 3 5 3 2 2" xfId="24377" xr:uid="{00000000-0005-0000-0000-0000E7690000}"/>
    <cellStyle name="Normal 5 3 3 5 3 2 2 2" xfId="49930" xr:uid="{00000000-0005-0000-0000-0000E8690000}"/>
    <cellStyle name="Normal 5 3 3 5 3 2 3" xfId="39681" xr:uid="{00000000-0005-0000-0000-0000E9690000}"/>
    <cellStyle name="Normal 5 3 3 5 3 3" xfId="10547" xr:uid="{00000000-0005-0000-0000-0000EA690000}"/>
    <cellStyle name="Normal 5 3 3 5 3 3 2" xfId="36104" xr:uid="{00000000-0005-0000-0000-0000EB690000}"/>
    <cellStyle name="Normal 5 3 3 5 3 4" xfId="19370" xr:uid="{00000000-0005-0000-0000-0000EC690000}"/>
    <cellStyle name="Normal 5 3 3 5 3 4 2" xfId="44923" xr:uid="{00000000-0005-0000-0000-0000ED690000}"/>
    <cellStyle name="Normal 5 3 3 5 3 5" xfId="30860" xr:uid="{00000000-0005-0000-0000-0000EE690000}"/>
    <cellStyle name="Normal 5 3 3 5 4" xfId="1800" xr:uid="{00000000-0005-0000-0000-0000EF690000}"/>
    <cellStyle name="Normal 5 3 3 5 4 2" xfId="11168" xr:uid="{00000000-0005-0000-0000-0000F0690000}"/>
    <cellStyle name="Normal 5 3 3 5 4 2 2" xfId="36723" xr:uid="{00000000-0005-0000-0000-0000F1690000}"/>
    <cellStyle name="Normal 5 3 3 5 4 3" xfId="21172" xr:uid="{00000000-0005-0000-0000-0000F2690000}"/>
    <cellStyle name="Normal 5 3 3 5 4 3 2" xfId="46725" xr:uid="{00000000-0005-0000-0000-0000F3690000}"/>
    <cellStyle name="Normal 5 3 3 5 4 4" xfId="27655" xr:uid="{00000000-0005-0000-0000-0000F4690000}"/>
    <cellStyle name="Normal 5 3 3 5 5" xfId="6744" xr:uid="{00000000-0005-0000-0000-0000F5690000}"/>
    <cellStyle name="Normal 5 3 3 5 5 2" xfId="15571" xr:uid="{00000000-0005-0000-0000-0000F6690000}"/>
    <cellStyle name="Normal 5 3 3 5 5 2 2" xfId="41126" xr:uid="{00000000-0005-0000-0000-0000F7690000}"/>
    <cellStyle name="Normal 5 3 3 5 5 3" xfId="25822" xr:uid="{00000000-0005-0000-0000-0000F8690000}"/>
    <cellStyle name="Normal 5 3 3 5 5 3 2" xfId="51375" xr:uid="{00000000-0005-0000-0000-0000F9690000}"/>
    <cellStyle name="Normal 5 3 3 5 5 4" xfId="32305" xr:uid="{00000000-0005-0000-0000-0000FA690000}"/>
    <cellStyle name="Normal 5 3 3 5 6" xfId="8190" xr:uid="{00000000-0005-0000-0000-0000FB690000}"/>
    <cellStyle name="Normal 5 3 3 5 6 2" xfId="20580" xr:uid="{00000000-0005-0000-0000-0000FC690000}"/>
    <cellStyle name="Normal 5 3 3 5 6 2 2" xfId="46133" xr:uid="{00000000-0005-0000-0000-0000FD690000}"/>
    <cellStyle name="Normal 5 3 3 5 6 3" xfId="33747" xr:uid="{00000000-0005-0000-0000-0000FE690000}"/>
    <cellStyle name="Normal 5 3 3 5 7" xfId="16165" xr:uid="{00000000-0005-0000-0000-0000FF690000}"/>
    <cellStyle name="Normal 5 3 3 5 7 2" xfId="41718" xr:uid="{00000000-0005-0000-0000-0000006A0000}"/>
    <cellStyle name="Normal 5 3 3 5 8" xfId="27063" xr:uid="{00000000-0005-0000-0000-0000016A0000}"/>
    <cellStyle name="Normal 5 3 3 6" xfId="2694" xr:uid="{00000000-0005-0000-0000-0000026A0000}"/>
    <cellStyle name="Normal 5 3 3 6 2" xfId="12011" xr:uid="{00000000-0005-0000-0000-0000036A0000}"/>
    <cellStyle name="Normal 5 3 3 6 2 2" xfId="22055" xr:uid="{00000000-0005-0000-0000-0000046A0000}"/>
    <cellStyle name="Normal 5 3 3 6 2 2 2" xfId="47608" xr:uid="{00000000-0005-0000-0000-0000056A0000}"/>
    <cellStyle name="Normal 5 3 3 6 2 3" xfId="37566" xr:uid="{00000000-0005-0000-0000-0000066A0000}"/>
    <cellStyle name="Normal 5 3 3 6 3" xfId="8553" xr:uid="{00000000-0005-0000-0000-0000076A0000}"/>
    <cellStyle name="Normal 5 3 3 6 3 2" xfId="34110" xr:uid="{00000000-0005-0000-0000-0000086A0000}"/>
    <cellStyle name="Normal 5 3 3 6 4" xfId="17048" xr:uid="{00000000-0005-0000-0000-0000096A0000}"/>
    <cellStyle name="Normal 5 3 3 6 4 2" xfId="42601" xr:uid="{00000000-0005-0000-0000-00000A6A0000}"/>
    <cellStyle name="Normal 5 3 3 6 5" xfId="28538" xr:uid="{00000000-0005-0000-0000-00000B6A0000}"/>
    <cellStyle name="Normal 5 3 3 7" xfId="4245" xr:uid="{00000000-0005-0000-0000-00000C6A0000}"/>
    <cellStyle name="Normal 5 3 3 7 2" xfId="13083" xr:uid="{00000000-0005-0000-0000-00000D6A0000}"/>
    <cellStyle name="Normal 5 3 3 7 2 2" xfId="23334" xr:uid="{00000000-0005-0000-0000-00000E6A0000}"/>
    <cellStyle name="Normal 5 3 3 7 2 2 2" xfId="48887" xr:uid="{00000000-0005-0000-0000-00000F6A0000}"/>
    <cellStyle name="Normal 5 3 3 7 2 3" xfId="38638" xr:uid="{00000000-0005-0000-0000-0000106A0000}"/>
    <cellStyle name="Normal 5 3 3 7 3" xfId="9504" xr:uid="{00000000-0005-0000-0000-0000116A0000}"/>
    <cellStyle name="Normal 5 3 3 7 3 2" xfId="35061" xr:uid="{00000000-0005-0000-0000-0000126A0000}"/>
    <cellStyle name="Normal 5 3 3 7 4" xfId="18327" xr:uid="{00000000-0005-0000-0000-0000136A0000}"/>
    <cellStyle name="Normal 5 3 3 7 4 2" xfId="43880" xr:uid="{00000000-0005-0000-0000-0000146A0000}"/>
    <cellStyle name="Normal 5 3 3 7 5" xfId="29817" xr:uid="{00000000-0005-0000-0000-0000156A0000}"/>
    <cellStyle name="Normal 5 3 3 8" xfId="1517" xr:uid="{00000000-0005-0000-0000-0000166A0000}"/>
    <cellStyle name="Normal 5 3 3 8 2" xfId="10894" xr:uid="{00000000-0005-0000-0000-0000176A0000}"/>
    <cellStyle name="Normal 5 3 3 8 2 2" xfId="36449" xr:uid="{00000000-0005-0000-0000-0000186A0000}"/>
    <cellStyle name="Normal 5 3 3 8 3" xfId="20898" xr:uid="{00000000-0005-0000-0000-0000196A0000}"/>
    <cellStyle name="Normal 5 3 3 8 3 2" xfId="46451" xr:uid="{00000000-0005-0000-0000-00001A6A0000}"/>
    <cellStyle name="Normal 5 3 3 8 4" xfId="27381" xr:uid="{00000000-0005-0000-0000-00001B6A0000}"/>
    <cellStyle name="Normal 5 3 3 9" xfId="5701" xr:uid="{00000000-0005-0000-0000-00001C6A0000}"/>
    <cellStyle name="Normal 5 3 3 9 2" xfId="14528" xr:uid="{00000000-0005-0000-0000-00001D6A0000}"/>
    <cellStyle name="Normal 5 3 3 9 2 2" xfId="40083" xr:uid="{00000000-0005-0000-0000-00001E6A0000}"/>
    <cellStyle name="Normal 5 3 3 9 3" xfId="24779" xr:uid="{00000000-0005-0000-0000-00001F6A0000}"/>
    <cellStyle name="Normal 5 3 3 9 3 2" xfId="50332" xr:uid="{00000000-0005-0000-0000-0000206A0000}"/>
    <cellStyle name="Normal 5 3 3 9 4" xfId="31262" xr:uid="{00000000-0005-0000-0000-0000216A0000}"/>
    <cellStyle name="Normal 5 3 3_Degree data" xfId="3843" xr:uid="{00000000-0005-0000-0000-0000226A0000}"/>
    <cellStyle name="Normal 5 3 4" xfId="229" xr:uid="{00000000-0005-0000-0000-0000236A0000}"/>
    <cellStyle name="Normal 5 3 4 10" xfId="7067" xr:uid="{00000000-0005-0000-0000-0000246A0000}"/>
    <cellStyle name="Normal 5 3 4 10 2" xfId="19681" xr:uid="{00000000-0005-0000-0000-0000256A0000}"/>
    <cellStyle name="Normal 5 3 4 10 2 2" xfId="45234" xr:uid="{00000000-0005-0000-0000-0000266A0000}"/>
    <cellStyle name="Normal 5 3 4 10 3" xfId="32624" xr:uid="{00000000-0005-0000-0000-0000276A0000}"/>
    <cellStyle name="Normal 5 3 4 11" xfId="15813" xr:uid="{00000000-0005-0000-0000-0000286A0000}"/>
    <cellStyle name="Normal 5 3 4 11 2" xfId="41366" xr:uid="{00000000-0005-0000-0000-0000296A0000}"/>
    <cellStyle name="Normal 5 3 4 12" xfId="26164" xr:uid="{00000000-0005-0000-0000-00002A6A0000}"/>
    <cellStyle name="Normal 5 3 4 2" xfId="552" xr:uid="{00000000-0005-0000-0000-00002B6A0000}"/>
    <cellStyle name="Normal 5 3 4 2 10" xfId="26481" xr:uid="{00000000-0005-0000-0000-00002C6A0000}"/>
    <cellStyle name="Normal 5 3 4 2 2" xfId="805" xr:uid="{00000000-0005-0000-0000-00002D6A0000}"/>
    <cellStyle name="Normal 5 3 4 2 2 2" xfId="3290" xr:uid="{00000000-0005-0000-0000-00002E6A0000}"/>
    <cellStyle name="Normal 5 3 4 2 2 2 2" xfId="12432" xr:uid="{00000000-0005-0000-0000-00002F6A0000}"/>
    <cellStyle name="Normal 5 3 4 2 2 2 2 2" xfId="22651" xr:uid="{00000000-0005-0000-0000-0000306A0000}"/>
    <cellStyle name="Normal 5 3 4 2 2 2 2 2 2" xfId="48204" xr:uid="{00000000-0005-0000-0000-0000316A0000}"/>
    <cellStyle name="Normal 5 3 4 2 2 2 2 3" xfId="37987" xr:uid="{00000000-0005-0000-0000-0000326A0000}"/>
    <cellStyle name="Normal 5 3 4 2 2 2 3" xfId="8854" xr:uid="{00000000-0005-0000-0000-0000336A0000}"/>
    <cellStyle name="Normal 5 3 4 2 2 2 3 2" xfId="34411" xr:uid="{00000000-0005-0000-0000-0000346A0000}"/>
    <cellStyle name="Normal 5 3 4 2 2 2 4" xfId="17644" xr:uid="{00000000-0005-0000-0000-0000356A0000}"/>
    <cellStyle name="Normal 5 3 4 2 2 2 4 2" xfId="43197" xr:uid="{00000000-0005-0000-0000-0000366A0000}"/>
    <cellStyle name="Normal 5 3 4 2 2 2 5" xfId="29134" xr:uid="{00000000-0005-0000-0000-0000376A0000}"/>
    <cellStyle name="Normal 5 3 4 2 2 3" xfId="4619" xr:uid="{00000000-0005-0000-0000-0000386A0000}"/>
    <cellStyle name="Normal 5 3 4 2 2 3 2" xfId="13457" xr:uid="{00000000-0005-0000-0000-0000396A0000}"/>
    <cellStyle name="Normal 5 3 4 2 2 3 2 2" xfId="23708" xr:uid="{00000000-0005-0000-0000-00003A6A0000}"/>
    <cellStyle name="Normal 5 3 4 2 2 3 2 2 2" xfId="49261" xr:uid="{00000000-0005-0000-0000-00003B6A0000}"/>
    <cellStyle name="Normal 5 3 4 2 2 3 2 3" xfId="39012" xr:uid="{00000000-0005-0000-0000-00003C6A0000}"/>
    <cellStyle name="Normal 5 3 4 2 2 3 3" xfId="9878" xr:uid="{00000000-0005-0000-0000-00003D6A0000}"/>
    <cellStyle name="Normal 5 3 4 2 2 3 3 2" xfId="35435" xr:uid="{00000000-0005-0000-0000-00003E6A0000}"/>
    <cellStyle name="Normal 5 3 4 2 2 3 4" xfId="18701" xr:uid="{00000000-0005-0000-0000-00003F6A0000}"/>
    <cellStyle name="Normal 5 3 4 2 2 3 4 2" xfId="44254" xr:uid="{00000000-0005-0000-0000-0000406A0000}"/>
    <cellStyle name="Normal 5 3 4 2 2 3 5" xfId="30191" xr:uid="{00000000-0005-0000-0000-0000416A0000}"/>
    <cellStyle name="Normal 5 3 4 2 2 4" xfId="2399" xr:uid="{00000000-0005-0000-0000-0000426A0000}"/>
    <cellStyle name="Normal 5 3 4 2 2 4 2" xfId="11764" xr:uid="{00000000-0005-0000-0000-0000436A0000}"/>
    <cellStyle name="Normal 5 3 4 2 2 4 2 2" xfId="37319" xr:uid="{00000000-0005-0000-0000-0000446A0000}"/>
    <cellStyle name="Normal 5 3 4 2 2 4 3" xfId="21768" xr:uid="{00000000-0005-0000-0000-0000456A0000}"/>
    <cellStyle name="Normal 5 3 4 2 2 4 3 2" xfId="47321" xr:uid="{00000000-0005-0000-0000-0000466A0000}"/>
    <cellStyle name="Normal 5 3 4 2 2 4 4" xfId="28251" xr:uid="{00000000-0005-0000-0000-0000476A0000}"/>
    <cellStyle name="Normal 5 3 4 2 2 5" xfId="6075" xr:uid="{00000000-0005-0000-0000-0000486A0000}"/>
    <cellStyle name="Normal 5 3 4 2 2 5 2" xfId="14902" xr:uid="{00000000-0005-0000-0000-0000496A0000}"/>
    <cellStyle name="Normal 5 3 4 2 2 5 2 2" xfId="40457" xr:uid="{00000000-0005-0000-0000-00004A6A0000}"/>
    <cellStyle name="Normal 5 3 4 2 2 5 3" xfId="25153" xr:uid="{00000000-0005-0000-0000-00004B6A0000}"/>
    <cellStyle name="Normal 5 3 4 2 2 5 3 2" xfId="50706" xr:uid="{00000000-0005-0000-0000-00004C6A0000}"/>
    <cellStyle name="Normal 5 3 4 2 2 5 4" xfId="31636" xr:uid="{00000000-0005-0000-0000-00004D6A0000}"/>
    <cellStyle name="Normal 5 3 4 2 2 6" xfId="7520" xr:uid="{00000000-0005-0000-0000-00004E6A0000}"/>
    <cellStyle name="Normal 5 3 4 2 2 6 2" xfId="20250" xr:uid="{00000000-0005-0000-0000-00004F6A0000}"/>
    <cellStyle name="Normal 5 3 4 2 2 6 2 2" xfId="45803" xr:uid="{00000000-0005-0000-0000-0000506A0000}"/>
    <cellStyle name="Normal 5 3 4 2 2 6 3" xfId="33077" xr:uid="{00000000-0005-0000-0000-0000516A0000}"/>
    <cellStyle name="Normal 5 3 4 2 2 7" xfId="16761" xr:uid="{00000000-0005-0000-0000-0000526A0000}"/>
    <cellStyle name="Normal 5 3 4 2 2 7 2" xfId="42314" xr:uid="{00000000-0005-0000-0000-0000536A0000}"/>
    <cellStyle name="Normal 5 3 4 2 2 8" xfId="26733" xr:uid="{00000000-0005-0000-0000-0000546A0000}"/>
    <cellStyle name="Normal 5 3 4 2 3" xfId="1324" xr:uid="{00000000-0005-0000-0000-0000556A0000}"/>
    <cellStyle name="Normal 5 3 4 2 3 2" xfId="3753" xr:uid="{00000000-0005-0000-0000-0000566A0000}"/>
    <cellStyle name="Normal 5 3 4 2 3 2 2" xfId="12889" xr:uid="{00000000-0005-0000-0000-0000576A0000}"/>
    <cellStyle name="Normal 5 3 4 2 3 2 2 2" xfId="23108" xr:uid="{00000000-0005-0000-0000-0000586A0000}"/>
    <cellStyle name="Normal 5 3 4 2 3 2 2 2 2" xfId="48661" xr:uid="{00000000-0005-0000-0000-0000596A0000}"/>
    <cellStyle name="Normal 5 3 4 2 3 2 2 3" xfId="38444" xr:uid="{00000000-0005-0000-0000-00005A6A0000}"/>
    <cellStyle name="Normal 5 3 4 2 3 2 3" xfId="9310" xr:uid="{00000000-0005-0000-0000-00005B6A0000}"/>
    <cellStyle name="Normal 5 3 4 2 3 2 3 2" xfId="34867" xr:uid="{00000000-0005-0000-0000-00005C6A0000}"/>
    <cellStyle name="Normal 5 3 4 2 3 2 4" xfId="18101" xr:uid="{00000000-0005-0000-0000-00005D6A0000}"/>
    <cellStyle name="Normal 5 3 4 2 3 2 4 2" xfId="43654" xr:uid="{00000000-0005-0000-0000-00005E6A0000}"/>
    <cellStyle name="Normal 5 3 4 2 3 2 5" xfId="29591" xr:uid="{00000000-0005-0000-0000-00005F6A0000}"/>
    <cellStyle name="Normal 5 3 4 2 3 3" xfId="4968" xr:uid="{00000000-0005-0000-0000-0000606A0000}"/>
    <cellStyle name="Normal 5 3 4 2 3 3 2" xfId="13805" xr:uid="{00000000-0005-0000-0000-0000616A0000}"/>
    <cellStyle name="Normal 5 3 4 2 3 3 2 2" xfId="24056" xr:uid="{00000000-0005-0000-0000-0000626A0000}"/>
    <cellStyle name="Normal 5 3 4 2 3 3 2 2 2" xfId="49609" xr:uid="{00000000-0005-0000-0000-0000636A0000}"/>
    <cellStyle name="Normal 5 3 4 2 3 3 2 3" xfId="39360" xr:uid="{00000000-0005-0000-0000-0000646A0000}"/>
    <cellStyle name="Normal 5 3 4 2 3 3 3" xfId="10226" xr:uid="{00000000-0005-0000-0000-0000656A0000}"/>
    <cellStyle name="Normal 5 3 4 2 3 3 3 2" xfId="35783" xr:uid="{00000000-0005-0000-0000-0000666A0000}"/>
    <cellStyle name="Normal 5 3 4 2 3 3 4" xfId="19049" xr:uid="{00000000-0005-0000-0000-0000676A0000}"/>
    <cellStyle name="Normal 5 3 4 2 3 3 4 2" xfId="44602" xr:uid="{00000000-0005-0000-0000-0000686A0000}"/>
    <cellStyle name="Normal 5 3 4 2 3 3 5" xfId="30539" xr:uid="{00000000-0005-0000-0000-0000696A0000}"/>
    <cellStyle name="Normal 5 3 4 2 3 4" xfId="2147" xr:uid="{00000000-0005-0000-0000-00006A6A0000}"/>
    <cellStyle name="Normal 5 3 4 2 3 4 2" xfId="11512" xr:uid="{00000000-0005-0000-0000-00006B6A0000}"/>
    <cellStyle name="Normal 5 3 4 2 3 4 2 2" xfId="37067" xr:uid="{00000000-0005-0000-0000-00006C6A0000}"/>
    <cellStyle name="Normal 5 3 4 2 3 4 3" xfId="21516" xr:uid="{00000000-0005-0000-0000-00006D6A0000}"/>
    <cellStyle name="Normal 5 3 4 2 3 4 3 2" xfId="47069" xr:uid="{00000000-0005-0000-0000-00006E6A0000}"/>
    <cellStyle name="Normal 5 3 4 2 3 4 4" xfId="27999" xr:uid="{00000000-0005-0000-0000-00006F6A0000}"/>
    <cellStyle name="Normal 5 3 4 2 3 5" xfId="6423" xr:uid="{00000000-0005-0000-0000-0000706A0000}"/>
    <cellStyle name="Normal 5 3 4 2 3 5 2" xfId="15250" xr:uid="{00000000-0005-0000-0000-0000716A0000}"/>
    <cellStyle name="Normal 5 3 4 2 3 5 2 2" xfId="40805" xr:uid="{00000000-0005-0000-0000-0000726A0000}"/>
    <cellStyle name="Normal 5 3 4 2 3 5 3" xfId="25501" xr:uid="{00000000-0005-0000-0000-0000736A0000}"/>
    <cellStyle name="Normal 5 3 4 2 3 5 3 2" xfId="51054" xr:uid="{00000000-0005-0000-0000-0000746A0000}"/>
    <cellStyle name="Normal 5 3 4 2 3 5 4" xfId="31984" xr:uid="{00000000-0005-0000-0000-0000756A0000}"/>
    <cellStyle name="Normal 5 3 4 2 3 6" xfId="7869" xr:uid="{00000000-0005-0000-0000-0000766A0000}"/>
    <cellStyle name="Normal 5 3 4 2 3 6 2" xfId="20707" xr:uid="{00000000-0005-0000-0000-0000776A0000}"/>
    <cellStyle name="Normal 5 3 4 2 3 6 2 2" xfId="46260" xr:uid="{00000000-0005-0000-0000-0000786A0000}"/>
    <cellStyle name="Normal 5 3 4 2 3 6 3" xfId="33426" xr:uid="{00000000-0005-0000-0000-0000796A0000}"/>
    <cellStyle name="Normal 5 3 4 2 3 7" xfId="16509" xr:uid="{00000000-0005-0000-0000-00007A6A0000}"/>
    <cellStyle name="Normal 5 3 4 2 3 7 2" xfId="42062" xr:uid="{00000000-0005-0000-0000-00007B6A0000}"/>
    <cellStyle name="Normal 5 3 4 2 3 8" xfId="27190" xr:uid="{00000000-0005-0000-0000-00007C6A0000}"/>
    <cellStyle name="Normal 5 3 4 2 4" xfId="3038" xr:uid="{00000000-0005-0000-0000-00007D6A0000}"/>
    <cellStyle name="Normal 5 3 4 2 4 2" xfId="5416" xr:uid="{00000000-0005-0000-0000-00007E6A0000}"/>
    <cellStyle name="Normal 5 3 4 2 4 2 2" xfId="14253" xr:uid="{00000000-0005-0000-0000-00007F6A0000}"/>
    <cellStyle name="Normal 5 3 4 2 4 2 2 2" xfId="24504" xr:uid="{00000000-0005-0000-0000-0000806A0000}"/>
    <cellStyle name="Normal 5 3 4 2 4 2 2 2 2" xfId="50057" xr:uid="{00000000-0005-0000-0000-0000816A0000}"/>
    <cellStyle name="Normal 5 3 4 2 4 2 2 3" xfId="39808" xr:uid="{00000000-0005-0000-0000-0000826A0000}"/>
    <cellStyle name="Normal 5 3 4 2 4 2 3" xfId="10674" xr:uid="{00000000-0005-0000-0000-0000836A0000}"/>
    <cellStyle name="Normal 5 3 4 2 4 2 3 2" xfId="36231" xr:uid="{00000000-0005-0000-0000-0000846A0000}"/>
    <cellStyle name="Normal 5 3 4 2 4 2 4" xfId="19497" xr:uid="{00000000-0005-0000-0000-0000856A0000}"/>
    <cellStyle name="Normal 5 3 4 2 4 2 4 2" xfId="45050" xr:uid="{00000000-0005-0000-0000-0000866A0000}"/>
    <cellStyle name="Normal 5 3 4 2 4 2 5" xfId="30987" xr:uid="{00000000-0005-0000-0000-0000876A0000}"/>
    <cellStyle name="Normal 5 3 4 2 4 3" xfId="6871" xr:uid="{00000000-0005-0000-0000-0000886A0000}"/>
    <cellStyle name="Normal 5 3 4 2 4 3 2" xfId="15698" xr:uid="{00000000-0005-0000-0000-0000896A0000}"/>
    <cellStyle name="Normal 5 3 4 2 4 3 2 2" xfId="41253" xr:uid="{00000000-0005-0000-0000-00008A6A0000}"/>
    <cellStyle name="Normal 5 3 4 2 4 3 3" xfId="25949" xr:uid="{00000000-0005-0000-0000-00008B6A0000}"/>
    <cellStyle name="Normal 5 3 4 2 4 3 3 2" xfId="51502" xr:uid="{00000000-0005-0000-0000-00008C6A0000}"/>
    <cellStyle name="Normal 5 3 4 2 4 3 4" xfId="32432" xr:uid="{00000000-0005-0000-0000-00008D6A0000}"/>
    <cellStyle name="Normal 5 3 4 2 4 4" xfId="8317" xr:uid="{00000000-0005-0000-0000-00008E6A0000}"/>
    <cellStyle name="Normal 5 3 4 2 4 4 2" xfId="22399" xr:uid="{00000000-0005-0000-0000-00008F6A0000}"/>
    <cellStyle name="Normal 5 3 4 2 4 4 2 2" xfId="47952" xr:uid="{00000000-0005-0000-0000-0000906A0000}"/>
    <cellStyle name="Normal 5 3 4 2 4 4 3" xfId="33874" xr:uid="{00000000-0005-0000-0000-0000916A0000}"/>
    <cellStyle name="Normal 5 3 4 2 4 5" xfId="17392" xr:uid="{00000000-0005-0000-0000-0000926A0000}"/>
    <cellStyle name="Normal 5 3 4 2 4 5 2" xfId="42945" xr:uid="{00000000-0005-0000-0000-0000936A0000}"/>
    <cellStyle name="Normal 5 3 4 2 4 6" xfId="28882" xr:uid="{00000000-0005-0000-0000-0000946A0000}"/>
    <cellStyle name="Normal 5 3 4 2 5" xfId="4372" xr:uid="{00000000-0005-0000-0000-0000956A0000}"/>
    <cellStyle name="Normal 5 3 4 2 5 2" xfId="13210" xr:uid="{00000000-0005-0000-0000-0000966A0000}"/>
    <cellStyle name="Normal 5 3 4 2 5 2 2" xfId="23461" xr:uid="{00000000-0005-0000-0000-0000976A0000}"/>
    <cellStyle name="Normal 5 3 4 2 5 2 2 2" xfId="49014" xr:uid="{00000000-0005-0000-0000-0000986A0000}"/>
    <cellStyle name="Normal 5 3 4 2 5 2 3" xfId="38765" xr:uid="{00000000-0005-0000-0000-0000996A0000}"/>
    <cellStyle name="Normal 5 3 4 2 5 3" xfId="9631" xr:uid="{00000000-0005-0000-0000-00009A6A0000}"/>
    <cellStyle name="Normal 5 3 4 2 5 3 2" xfId="35188" xr:uid="{00000000-0005-0000-0000-00009B6A0000}"/>
    <cellStyle name="Normal 5 3 4 2 5 4" xfId="18454" xr:uid="{00000000-0005-0000-0000-00009C6A0000}"/>
    <cellStyle name="Normal 5 3 4 2 5 4 2" xfId="44007" xr:uid="{00000000-0005-0000-0000-00009D6A0000}"/>
    <cellStyle name="Normal 5 3 4 2 5 5" xfId="29944" xr:uid="{00000000-0005-0000-0000-00009E6A0000}"/>
    <cellStyle name="Normal 5 3 4 2 6" xfId="1644" xr:uid="{00000000-0005-0000-0000-00009F6A0000}"/>
    <cellStyle name="Normal 5 3 4 2 6 2" xfId="11021" xr:uid="{00000000-0005-0000-0000-0000A06A0000}"/>
    <cellStyle name="Normal 5 3 4 2 6 2 2" xfId="36576" xr:uid="{00000000-0005-0000-0000-0000A16A0000}"/>
    <cellStyle name="Normal 5 3 4 2 6 3" xfId="21025" xr:uid="{00000000-0005-0000-0000-0000A26A0000}"/>
    <cellStyle name="Normal 5 3 4 2 6 3 2" xfId="46578" xr:uid="{00000000-0005-0000-0000-0000A36A0000}"/>
    <cellStyle name="Normal 5 3 4 2 6 4" xfId="27508" xr:uid="{00000000-0005-0000-0000-0000A46A0000}"/>
    <cellStyle name="Normal 5 3 4 2 7" xfId="5828" xr:uid="{00000000-0005-0000-0000-0000A56A0000}"/>
    <cellStyle name="Normal 5 3 4 2 7 2" xfId="14655" xr:uid="{00000000-0005-0000-0000-0000A66A0000}"/>
    <cellStyle name="Normal 5 3 4 2 7 2 2" xfId="40210" xr:uid="{00000000-0005-0000-0000-0000A76A0000}"/>
    <cellStyle name="Normal 5 3 4 2 7 3" xfId="24906" xr:uid="{00000000-0005-0000-0000-0000A86A0000}"/>
    <cellStyle name="Normal 5 3 4 2 7 3 2" xfId="50459" xr:uid="{00000000-0005-0000-0000-0000A96A0000}"/>
    <cellStyle name="Normal 5 3 4 2 7 4" xfId="31389" xr:uid="{00000000-0005-0000-0000-0000AA6A0000}"/>
    <cellStyle name="Normal 5 3 4 2 8" xfId="7272" xr:uid="{00000000-0005-0000-0000-0000AB6A0000}"/>
    <cellStyle name="Normal 5 3 4 2 8 2" xfId="19998" xr:uid="{00000000-0005-0000-0000-0000AC6A0000}"/>
    <cellStyle name="Normal 5 3 4 2 8 2 2" xfId="45551" xr:uid="{00000000-0005-0000-0000-0000AD6A0000}"/>
    <cellStyle name="Normal 5 3 4 2 8 3" xfId="32829" xr:uid="{00000000-0005-0000-0000-0000AE6A0000}"/>
    <cellStyle name="Normal 5 3 4 2 9" xfId="16018" xr:uid="{00000000-0005-0000-0000-0000AF6A0000}"/>
    <cellStyle name="Normal 5 3 4 2 9 2" xfId="41571" xr:uid="{00000000-0005-0000-0000-0000B06A0000}"/>
    <cellStyle name="Normal 5 3 4 2_Degree data" xfId="3912" xr:uid="{00000000-0005-0000-0000-0000B16A0000}"/>
    <cellStyle name="Normal 5 3 4 3" xfId="347" xr:uid="{00000000-0005-0000-0000-0000B26A0000}"/>
    <cellStyle name="Normal 5 3 4 3 2" xfId="2833" xr:uid="{00000000-0005-0000-0000-0000B36A0000}"/>
    <cellStyle name="Normal 5 3 4 3 2 2" xfId="12121" xr:uid="{00000000-0005-0000-0000-0000B46A0000}"/>
    <cellStyle name="Normal 5 3 4 3 2 2 2" xfId="22194" xr:uid="{00000000-0005-0000-0000-0000B56A0000}"/>
    <cellStyle name="Normal 5 3 4 3 2 2 2 2" xfId="47747" xr:uid="{00000000-0005-0000-0000-0000B66A0000}"/>
    <cellStyle name="Normal 5 3 4 3 2 2 3" xfId="37676" xr:uid="{00000000-0005-0000-0000-0000B76A0000}"/>
    <cellStyle name="Normal 5 3 4 3 2 3" xfId="8526" xr:uid="{00000000-0005-0000-0000-0000B86A0000}"/>
    <cellStyle name="Normal 5 3 4 3 2 3 2" xfId="34083" xr:uid="{00000000-0005-0000-0000-0000B96A0000}"/>
    <cellStyle name="Normal 5 3 4 3 2 4" xfId="17187" xr:uid="{00000000-0005-0000-0000-0000BA6A0000}"/>
    <cellStyle name="Normal 5 3 4 3 2 4 2" xfId="42740" xr:uid="{00000000-0005-0000-0000-0000BB6A0000}"/>
    <cellStyle name="Normal 5 3 4 3 2 5" xfId="28677" xr:uid="{00000000-0005-0000-0000-0000BC6A0000}"/>
    <cellStyle name="Normal 5 3 4 3 3" xfId="4618" xr:uid="{00000000-0005-0000-0000-0000BD6A0000}"/>
    <cellStyle name="Normal 5 3 4 3 3 2" xfId="13456" xr:uid="{00000000-0005-0000-0000-0000BE6A0000}"/>
    <cellStyle name="Normal 5 3 4 3 3 2 2" xfId="23707" xr:uid="{00000000-0005-0000-0000-0000BF6A0000}"/>
    <cellStyle name="Normal 5 3 4 3 3 2 2 2" xfId="49260" xr:uid="{00000000-0005-0000-0000-0000C06A0000}"/>
    <cellStyle name="Normal 5 3 4 3 3 2 3" xfId="39011" xr:uid="{00000000-0005-0000-0000-0000C16A0000}"/>
    <cellStyle name="Normal 5 3 4 3 3 3" xfId="9877" xr:uid="{00000000-0005-0000-0000-0000C26A0000}"/>
    <cellStyle name="Normal 5 3 4 3 3 3 2" xfId="35434" xr:uid="{00000000-0005-0000-0000-0000C36A0000}"/>
    <cellStyle name="Normal 5 3 4 3 3 4" xfId="18700" xr:uid="{00000000-0005-0000-0000-0000C46A0000}"/>
    <cellStyle name="Normal 5 3 4 3 3 4 2" xfId="44253" xr:uid="{00000000-0005-0000-0000-0000C56A0000}"/>
    <cellStyle name="Normal 5 3 4 3 3 5" xfId="30190" xr:uid="{00000000-0005-0000-0000-0000C66A0000}"/>
    <cellStyle name="Normal 5 3 4 3 4" xfId="1942" xr:uid="{00000000-0005-0000-0000-0000C76A0000}"/>
    <cellStyle name="Normal 5 3 4 3 4 2" xfId="11307" xr:uid="{00000000-0005-0000-0000-0000C86A0000}"/>
    <cellStyle name="Normal 5 3 4 3 4 2 2" xfId="36862" xr:uid="{00000000-0005-0000-0000-0000C96A0000}"/>
    <cellStyle name="Normal 5 3 4 3 4 3" xfId="21311" xr:uid="{00000000-0005-0000-0000-0000CA6A0000}"/>
    <cellStyle name="Normal 5 3 4 3 4 3 2" xfId="46864" xr:uid="{00000000-0005-0000-0000-0000CB6A0000}"/>
    <cellStyle name="Normal 5 3 4 3 4 4" xfId="27794" xr:uid="{00000000-0005-0000-0000-0000CC6A0000}"/>
    <cellStyle name="Normal 5 3 4 3 5" xfId="6074" xr:uid="{00000000-0005-0000-0000-0000CD6A0000}"/>
    <cellStyle name="Normal 5 3 4 3 5 2" xfId="14901" xr:uid="{00000000-0005-0000-0000-0000CE6A0000}"/>
    <cellStyle name="Normal 5 3 4 3 5 2 2" xfId="40456" xr:uid="{00000000-0005-0000-0000-0000CF6A0000}"/>
    <cellStyle name="Normal 5 3 4 3 5 3" xfId="25152" xr:uid="{00000000-0005-0000-0000-0000D06A0000}"/>
    <cellStyle name="Normal 5 3 4 3 5 3 2" xfId="50705" xr:uid="{00000000-0005-0000-0000-0000D16A0000}"/>
    <cellStyle name="Normal 5 3 4 3 5 4" xfId="31635" xr:uid="{00000000-0005-0000-0000-0000D26A0000}"/>
    <cellStyle name="Normal 5 3 4 3 6" xfId="7519" xr:uid="{00000000-0005-0000-0000-0000D36A0000}"/>
    <cellStyle name="Normal 5 3 4 3 6 2" xfId="19793" xr:uid="{00000000-0005-0000-0000-0000D46A0000}"/>
    <cellStyle name="Normal 5 3 4 3 6 2 2" xfId="45346" xr:uid="{00000000-0005-0000-0000-0000D56A0000}"/>
    <cellStyle name="Normal 5 3 4 3 6 3" xfId="33076" xr:uid="{00000000-0005-0000-0000-0000D66A0000}"/>
    <cellStyle name="Normal 5 3 4 3 7" xfId="16304" xr:uid="{00000000-0005-0000-0000-0000D76A0000}"/>
    <cellStyle name="Normal 5 3 4 3 7 2" xfId="41857" xr:uid="{00000000-0005-0000-0000-0000D86A0000}"/>
    <cellStyle name="Normal 5 3 4 3 8" xfId="26276" xr:uid="{00000000-0005-0000-0000-0000D96A0000}"/>
    <cellStyle name="Normal 5 3 4 4" xfId="804" xr:uid="{00000000-0005-0000-0000-0000DA6A0000}"/>
    <cellStyle name="Normal 5 3 4 4 2" xfId="3289" xr:uid="{00000000-0005-0000-0000-0000DB6A0000}"/>
    <cellStyle name="Normal 5 3 4 4 2 2" xfId="12431" xr:uid="{00000000-0005-0000-0000-0000DC6A0000}"/>
    <cellStyle name="Normal 5 3 4 4 2 2 2" xfId="22650" xr:uid="{00000000-0005-0000-0000-0000DD6A0000}"/>
    <cellStyle name="Normal 5 3 4 4 2 2 2 2" xfId="48203" xr:uid="{00000000-0005-0000-0000-0000DE6A0000}"/>
    <cellStyle name="Normal 5 3 4 4 2 2 3" xfId="37986" xr:uid="{00000000-0005-0000-0000-0000DF6A0000}"/>
    <cellStyle name="Normal 5 3 4 4 2 3" xfId="8853" xr:uid="{00000000-0005-0000-0000-0000E06A0000}"/>
    <cellStyle name="Normal 5 3 4 4 2 3 2" xfId="34410" xr:uid="{00000000-0005-0000-0000-0000E16A0000}"/>
    <cellStyle name="Normal 5 3 4 4 2 4" xfId="17643" xr:uid="{00000000-0005-0000-0000-0000E26A0000}"/>
    <cellStyle name="Normal 5 3 4 4 2 4 2" xfId="43196" xr:uid="{00000000-0005-0000-0000-0000E36A0000}"/>
    <cellStyle name="Normal 5 3 4 4 2 5" xfId="29133" xr:uid="{00000000-0005-0000-0000-0000E46A0000}"/>
    <cellStyle name="Normal 5 3 4 4 3" xfId="4967" xr:uid="{00000000-0005-0000-0000-0000E56A0000}"/>
    <cellStyle name="Normal 5 3 4 4 3 2" xfId="13804" xr:uid="{00000000-0005-0000-0000-0000E66A0000}"/>
    <cellStyle name="Normal 5 3 4 4 3 2 2" xfId="24055" xr:uid="{00000000-0005-0000-0000-0000E76A0000}"/>
    <cellStyle name="Normal 5 3 4 4 3 2 2 2" xfId="49608" xr:uid="{00000000-0005-0000-0000-0000E86A0000}"/>
    <cellStyle name="Normal 5 3 4 4 3 2 3" xfId="39359" xr:uid="{00000000-0005-0000-0000-0000E96A0000}"/>
    <cellStyle name="Normal 5 3 4 4 3 3" xfId="10225" xr:uid="{00000000-0005-0000-0000-0000EA6A0000}"/>
    <cellStyle name="Normal 5 3 4 4 3 3 2" xfId="35782" xr:uid="{00000000-0005-0000-0000-0000EB6A0000}"/>
    <cellStyle name="Normal 5 3 4 4 3 4" xfId="19048" xr:uid="{00000000-0005-0000-0000-0000EC6A0000}"/>
    <cellStyle name="Normal 5 3 4 4 3 4 2" xfId="44601" xr:uid="{00000000-0005-0000-0000-0000ED6A0000}"/>
    <cellStyle name="Normal 5 3 4 4 3 5" xfId="30538" xr:uid="{00000000-0005-0000-0000-0000EE6A0000}"/>
    <cellStyle name="Normal 5 3 4 4 4" xfId="2398" xr:uid="{00000000-0005-0000-0000-0000EF6A0000}"/>
    <cellStyle name="Normal 5 3 4 4 4 2" xfId="11763" xr:uid="{00000000-0005-0000-0000-0000F06A0000}"/>
    <cellStyle name="Normal 5 3 4 4 4 2 2" xfId="37318" xr:uid="{00000000-0005-0000-0000-0000F16A0000}"/>
    <cellStyle name="Normal 5 3 4 4 4 3" xfId="21767" xr:uid="{00000000-0005-0000-0000-0000F26A0000}"/>
    <cellStyle name="Normal 5 3 4 4 4 3 2" xfId="47320" xr:uid="{00000000-0005-0000-0000-0000F36A0000}"/>
    <cellStyle name="Normal 5 3 4 4 4 4" xfId="28250" xr:uid="{00000000-0005-0000-0000-0000F46A0000}"/>
    <cellStyle name="Normal 5 3 4 4 5" xfId="6422" xr:uid="{00000000-0005-0000-0000-0000F56A0000}"/>
    <cellStyle name="Normal 5 3 4 4 5 2" xfId="15249" xr:uid="{00000000-0005-0000-0000-0000F66A0000}"/>
    <cellStyle name="Normal 5 3 4 4 5 2 2" xfId="40804" xr:uid="{00000000-0005-0000-0000-0000F76A0000}"/>
    <cellStyle name="Normal 5 3 4 4 5 3" xfId="25500" xr:uid="{00000000-0005-0000-0000-0000F86A0000}"/>
    <cellStyle name="Normal 5 3 4 4 5 3 2" xfId="51053" xr:uid="{00000000-0005-0000-0000-0000F96A0000}"/>
    <cellStyle name="Normal 5 3 4 4 5 4" xfId="31983" xr:uid="{00000000-0005-0000-0000-0000FA6A0000}"/>
    <cellStyle name="Normal 5 3 4 4 6" xfId="7868" xr:uid="{00000000-0005-0000-0000-0000FB6A0000}"/>
    <cellStyle name="Normal 5 3 4 4 6 2" xfId="20249" xr:uid="{00000000-0005-0000-0000-0000FC6A0000}"/>
    <cellStyle name="Normal 5 3 4 4 6 2 2" xfId="45802" xr:uid="{00000000-0005-0000-0000-0000FD6A0000}"/>
    <cellStyle name="Normal 5 3 4 4 6 3" xfId="33425" xr:uid="{00000000-0005-0000-0000-0000FE6A0000}"/>
    <cellStyle name="Normal 5 3 4 4 7" xfId="16760" xr:uid="{00000000-0005-0000-0000-0000FF6A0000}"/>
    <cellStyle name="Normal 5 3 4 4 7 2" xfId="42313" xr:uid="{00000000-0005-0000-0000-0000006B0000}"/>
    <cellStyle name="Normal 5 3 4 4 8" xfId="26732" xr:uid="{00000000-0005-0000-0000-0000016B0000}"/>
    <cellStyle name="Normal 5 3 4 5" xfId="1119" xr:uid="{00000000-0005-0000-0000-0000026B0000}"/>
    <cellStyle name="Normal 5 3 4 5 2" xfId="3548" xr:uid="{00000000-0005-0000-0000-0000036B0000}"/>
    <cellStyle name="Normal 5 3 4 5 2 2" xfId="12684" xr:uid="{00000000-0005-0000-0000-0000046B0000}"/>
    <cellStyle name="Normal 5 3 4 5 2 2 2" xfId="22903" xr:uid="{00000000-0005-0000-0000-0000056B0000}"/>
    <cellStyle name="Normal 5 3 4 5 2 2 2 2" xfId="48456" xr:uid="{00000000-0005-0000-0000-0000066B0000}"/>
    <cellStyle name="Normal 5 3 4 5 2 2 3" xfId="38239" xr:uid="{00000000-0005-0000-0000-0000076B0000}"/>
    <cellStyle name="Normal 5 3 4 5 2 3" xfId="9105" xr:uid="{00000000-0005-0000-0000-0000086B0000}"/>
    <cellStyle name="Normal 5 3 4 5 2 3 2" xfId="34662" xr:uid="{00000000-0005-0000-0000-0000096B0000}"/>
    <cellStyle name="Normal 5 3 4 5 2 4" xfId="17896" xr:uid="{00000000-0005-0000-0000-00000A6B0000}"/>
    <cellStyle name="Normal 5 3 4 5 2 4 2" xfId="43449" xr:uid="{00000000-0005-0000-0000-00000B6B0000}"/>
    <cellStyle name="Normal 5 3 4 5 2 5" xfId="29386" xr:uid="{00000000-0005-0000-0000-00000C6B0000}"/>
    <cellStyle name="Normal 5 3 4 5 3" xfId="5211" xr:uid="{00000000-0005-0000-0000-00000D6B0000}"/>
    <cellStyle name="Normal 5 3 4 5 3 2" xfId="14048" xr:uid="{00000000-0005-0000-0000-00000E6B0000}"/>
    <cellStyle name="Normal 5 3 4 5 3 2 2" xfId="24299" xr:uid="{00000000-0005-0000-0000-00000F6B0000}"/>
    <cellStyle name="Normal 5 3 4 5 3 2 2 2" xfId="49852" xr:uid="{00000000-0005-0000-0000-0000106B0000}"/>
    <cellStyle name="Normal 5 3 4 5 3 2 3" xfId="39603" xr:uid="{00000000-0005-0000-0000-0000116B0000}"/>
    <cellStyle name="Normal 5 3 4 5 3 3" xfId="10469" xr:uid="{00000000-0005-0000-0000-0000126B0000}"/>
    <cellStyle name="Normal 5 3 4 5 3 3 2" xfId="36026" xr:uid="{00000000-0005-0000-0000-0000136B0000}"/>
    <cellStyle name="Normal 5 3 4 5 3 4" xfId="19292" xr:uid="{00000000-0005-0000-0000-0000146B0000}"/>
    <cellStyle name="Normal 5 3 4 5 3 4 2" xfId="44845" xr:uid="{00000000-0005-0000-0000-0000156B0000}"/>
    <cellStyle name="Normal 5 3 4 5 3 5" xfId="30782" xr:uid="{00000000-0005-0000-0000-0000166B0000}"/>
    <cellStyle name="Normal 5 3 4 5 4" xfId="1827" xr:uid="{00000000-0005-0000-0000-0000176B0000}"/>
    <cellStyle name="Normal 5 3 4 5 4 2" xfId="11195" xr:uid="{00000000-0005-0000-0000-0000186B0000}"/>
    <cellStyle name="Normal 5 3 4 5 4 2 2" xfId="36750" xr:uid="{00000000-0005-0000-0000-0000196B0000}"/>
    <cellStyle name="Normal 5 3 4 5 4 3" xfId="21199" xr:uid="{00000000-0005-0000-0000-00001A6B0000}"/>
    <cellStyle name="Normal 5 3 4 5 4 3 2" xfId="46752" xr:uid="{00000000-0005-0000-0000-00001B6B0000}"/>
    <cellStyle name="Normal 5 3 4 5 4 4" xfId="27682" xr:uid="{00000000-0005-0000-0000-00001C6B0000}"/>
    <cellStyle name="Normal 5 3 4 5 5" xfId="6666" xr:uid="{00000000-0005-0000-0000-00001D6B0000}"/>
    <cellStyle name="Normal 5 3 4 5 5 2" xfId="15493" xr:uid="{00000000-0005-0000-0000-00001E6B0000}"/>
    <cellStyle name="Normal 5 3 4 5 5 2 2" xfId="41048" xr:uid="{00000000-0005-0000-0000-00001F6B0000}"/>
    <cellStyle name="Normal 5 3 4 5 5 3" xfId="25744" xr:uid="{00000000-0005-0000-0000-0000206B0000}"/>
    <cellStyle name="Normal 5 3 4 5 5 3 2" xfId="51297" xr:uid="{00000000-0005-0000-0000-0000216B0000}"/>
    <cellStyle name="Normal 5 3 4 5 5 4" xfId="32227" xr:uid="{00000000-0005-0000-0000-0000226B0000}"/>
    <cellStyle name="Normal 5 3 4 5 6" xfId="8112" xr:uid="{00000000-0005-0000-0000-0000236B0000}"/>
    <cellStyle name="Normal 5 3 4 5 6 2" xfId="20502" xr:uid="{00000000-0005-0000-0000-0000246B0000}"/>
    <cellStyle name="Normal 5 3 4 5 6 2 2" xfId="46055" xr:uid="{00000000-0005-0000-0000-0000256B0000}"/>
    <cellStyle name="Normal 5 3 4 5 6 3" xfId="33669" xr:uid="{00000000-0005-0000-0000-0000266B0000}"/>
    <cellStyle name="Normal 5 3 4 5 7" xfId="16192" xr:uid="{00000000-0005-0000-0000-0000276B0000}"/>
    <cellStyle name="Normal 5 3 4 5 7 2" xfId="41745" xr:uid="{00000000-0005-0000-0000-0000286B0000}"/>
    <cellStyle name="Normal 5 3 4 5 8" xfId="26985" xr:uid="{00000000-0005-0000-0000-0000296B0000}"/>
    <cellStyle name="Normal 5 3 4 6" xfId="2721" xr:uid="{00000000-0005-0000-0000-00002A6B0000}"/>
    <cellStyle name="Normal 5 3 4 6 2" xfId="12038" xr:uid="{00000000-0005-0000-0000-00002B6B0000}"/>
    <cellStyle name="Normal 5 3 4 6 2 2" xfId="22082" xr:uid="{00000000-0005-0000-0000-00002C6B0000}"/>
    <cellStyle name="Normal 5 3 4 6 2 2 2" xfId="47635" xr:uid="{00000000-0005-0000-0000-00002D6B0000}"/>
    <cellStyle name="Normal 5 3 4 6 2 3" xfId="37593" xr:uid="{00000000-0005-0000-0000-00002E6B0000}"/>
    <cellStyle name="Normal 5 3 4 6 3" xfId="8633" xr:uid="{00000000-0005-0000-0000-00002F6B0000}"/>
    <cellStyle name="Normal 5 3 4 6 3 2" xfId="34190" xr:uid="{00000000-0005-0000-0000-0000306B0000}"/>
    <cellStyle name="Normal 5 3 4 6 4" xfId="17075" xr:uid="{00000000-0005-0000-0000-0000316B0000}"/>
    <cellStyle name="Normal 5 3 4 6 4 2" xfId="42628" xr:uid="{00000000-0005-0000-0000-0000326B0000}"/>
    <cellStyle name="Normal 5 3 4 6 5" xfId="28565" xr:uid="{00000000-0005-0000-0000-0000336B0000}"/>
    <cellStyle name="Normal 5 3 4 7" xfId="4167" xr:uid="{00000000-0005-0000-0000-0000346B0000}"/>
    <cellStyle name="Normal 5 3 4 7 2" xfId="13005" xr:uid="{00000000-0005-0000-0000-0000356B0000}"/>
    <cellStyle name="Normal 5 3 4 7 2 2" xfId="23256" xr:uid="{00000000-0005-0000-0000-0000366B0000}"/>
    <cellStyle name="Normal 5 3 4 7 2 2 2" xfId="48809" xr:uid="{00000000-0005-0000-0000-0000376B0000}"/>
    <cellStyle name="Normal 5 3 4 7 2 3" xfId="38560" xr:uid="{00000000-0005-0000-0000-0000386B0000}"/>
    <cellStyle name="Normal 5 3 4 7 3" xfId="9426" xr:uid="{00000000-0005-0000-0000-0000396B0000}"/>
    <cellStyle name="Normal 5 3 4 7 3 2" xfId="34983" xr:uid="{00000000-0005-0000-0000-00003A6B0000}"/>
    <cellStyle name="Normal 5 3 4 7 4" xfId="18249" xr:uid="{00000000-0005-0000-0000-00003B6B0000}"/>
    <cellStyle name="Normal 5 3 4 7 4 2" xfId="43802" xr:uid="{00000000-0005-0000-0000-00003C6B0000}"/>
    <cellStyle name="Normal 5 3 4 7 5" xfId="29739" xr:uid="{00000000-0005-0000-0000-00003D6B0000}"/>
    <cellStyle name="Normal 5 3 4 8" xfId="1439" xr:uid="{00000000-0005-0000-0000-00003E6B0000}"/>
    <cellStyle name="Normal 5 3 4 8 2" xfId="10816" xr:uid="{00000000-0005-0000-0000-00003F6B0000}"/>
    <cellStyle name="Normal 5 3 4 8 2 2" xfId="36371" xr:uid="{00000000-0005-0000-0000-0000406B0000}"/>
    <cellStyle name="Normal 5 3 4 8 3" xfId="20820" xr:uid="{00000000-0005-0000-0000-0000416B0000}"/>
    <cellStyle name="Normal 5 3 4 8 3 2" xfId="46373" xr:uid="{00000000-0005-0000-0000-0000426B0000}"/>
    <cellStyle name="Normal 5 3 4 8 4" xfId="27303" xr:uid="{00000000-0005-0000-0000-0000436B0000}"/>
    <cellStyle name="Normal 5 3 4 9" xfId="5623" xr:uid="{00000000-0005-0000-0000-0000446B0000}"/>
    <cellStyle name="Normal 5 3 4 9 2" xfId="14450" xr:uid="{00000000-0005-0000-0000-0000456B0000}"/>
    <cellStyle name="Normal 5 3 4 9 2 2" xfId="40005" xr:uid="{00000000-0005-0000-0000-0000466B0000}"/>
    <cellStyle name="Normal 5 3 4 9 3" xfId="24701" xr:uid="{00000000-0005-0000-0000-0000476B0000}"/>
    <cellStyle name="Normal 5 3 4 9 3 2" xfId="50254" xr:uid="{00000000-0005-0000-0000-0000486B0000}"/>
    <cellStyle name="Normal 5 3 4 9 4" xfId="31184" xr:uid="{00000000-0005-0000-0000-0000496B0000}"/>
    <cellStyle name="Normal 5 3 4_Degree data" xfId="3871" xr:uid="{00000000-0005-0000-0000-00004A6B0000}"/>
    <cellStyle name="Normal 5 3 5" xfId="447" xr:uid="{00000000-0005-0000-0000-00004B6B0000}"/>
    <cellStyle name="Normal 5 3 5 10" xfId="26376" xr:uid="{00000000-0005-0000-0000-00004C6B0000}"/>
    <cellStyle name="Normal 5 3 5 2" xfId="806" xr:uid="{00000000-0005-0000-0000-00004D6B0000}"/>
    <cellStyle name="Normal 5 3 5 2 2" xfId="3291" xr:uid="{00000000-0005-0000-0000-00004E6B0000}"/>
    <cellStyle name="Normal 5 3 5 2 2 2" xfId="12433" xr:uid="{00000000-0005-0000-0000-00004F6B0000}"/>
    <cellStyle name="Normal 5 3 5 2 2 2 2" xfId="22652" xr:uid="{00000000-0005-0000-0000-0000506B0000}"/>
    <cellStyle name="Normal 5 3 5 2 2 2 2 2" xfId="48205" xr:uid="{00000000-0005-0000-0000-0000516B0000}"/>
    <cellStyle name="Normal 5 3 5 2 2 2 3" xfId="37988" xr:uid="{00000000-0005-0000-0000-0000526B0000}"/>
    <cellStyle name="Normal 5 3 5 2 2 3" xfId="8855" xr:uid="{00000000-0005-0000-0000-0000536B0000}"/>
    <cellStyle name="Normal 5 3 5 2 2 3 2" xfId="34412" xr:uid="{00000000-0005-0000-0000-0000546B0000}"/>
    <cellStyle name="Normal 5 3 5 2 2 4" xfId="17645" xr:uid="{00000000-0005-0000-0000-0000556B0000}"/>
    <cellStyle name="Normal 5 3 5 2 2 4 2" xfId="43198" xr:uid="{00000000-0005-0000-0000-0000566B0000}"/>
    <cellStyle name="Normal 5 3 5 2 2 5" xfId="29135" xr:uid="{00000000-0005-0000-0000-0000576B0000}"/>
    <cellStyle name="Normal 5 3 5 2 3" xfId="4620" xr:uid="{00000000-0005-0000-0000-0000586B0000}"/>
    <cellStyle name="Normal 5 3 5 2 3 2" xfId="13458" xr:uid="{00000000-0005-0000-0000-0000596B0000}"/>
    <cellStyle name="Normal 5 3 5 2 3 2 2" xfId="23709" xr:uid="{00000000-0005-0000-0000-00005A6B0000}"/>
    <cellStyle name="Normal 5 3 5 2 3 2 2 2" xfId="49262" xr:uid="{00000000-0005-0000-0000-00005B6B0000}"/>
    <cellStyle name="Normal 5 3 5 2 3 2 3" xfId="39013" xr:uid="{00000000-0005-0000-0000-00005C6B0000}"/>
    <cellStyle name="Normal 5 3 5 2 3 3" xfId="9879" xr:uid="{00000000-0005-0000-0000-00005D6B0000}"/>
    <cellStyle name="Normal 5 3 5 2 3 3 2" xfId="35436" xr:uid="{00000000-0005-0000-0000-00005E6B0000}"/>
    <cellStyle name="Normal 5 3 5 2 3 4" xfId="18702" xr:uid="{00000000-0005-0000-0000-00005F6B0000}"/>
    <cellStyle name="Normal 5 3 5 2 3 4 2" xfId="44255" xr:uid="{00000000-0005-0000-0000-0000606B0000}"/>
    <cellStyle name="Normal 5 3 5 2 3 5" xfId="30192" xr:uid="{00000000-0005-0000-0000-0000616B0000}"/>
    <cellStyle name="Normal 5 3 5 2 4" xfId="2400" xr:uid="{00000000-0005-0000-0000-0000626B0000}"/>
    <cellStyle name="Normal 5 3 5 2 4 2" xfId="11765" xr:uid="{00000000-0005-0000-0000-0000636B0000}"/>
    <cellStyle name="Normal 5 3 5 2 4 2 2" xfId="37320" xr:uid="{00000000-0005-0000-0000-0000646B0000}"/>
    <cellStyle name="Normal 5 3 5 2 4 3" xfId="21769" xr:uid="{00000000-0005-0000-0000-0000656B0000}"/>
    <cellStyle name="Normal 5 3 5 2 4 3 2" xfId="47322" xr:uid="{00000000-0005-0000-0000-0000666B0000}"/>
    <cellStyle name="Normal 5 3 5 2 4 4" xfId="28252" xr:uid="{00000000-0005-0000-0000-0000676B0000}"/>
    <cellStyle name="Normal 5 3 5 2 5" xfId="6076" xr:uid="{00000000-0005-0000-0000-0000686B0000}"/>
    <cellStyle name="Normal 5 3 5 2 5 2" xfId="14903" xr:uid="{00000000-0005-0000-0000-0000696B0000}"/>
    <cellStyle name="Normal 5 3 5 2 5 2 2" xfId="40458" xr:uid="{00000000-0005-0000-0000-00006A6B0000}"/>
    <cellStyle name="Normal 5 3 5 2 5 3" xfId="25154" xr:uid="{00000000-0005-0000-0000-00006B6B0000}"/>
    <cellStyle name="Normal 5 3 5 2 5 3 2" xfId="50707" xr:uid="{00000000-0005-0000-0000-00006C6B0000}"/>
    <cellStyle name="Normal 5 3 5 2 5 4" xfId="31637" xr:uid="{00000000-0005-0000-0000-00006D6B0000}"/>
    <cellStyle name="Normal 5 3 5 2 6" xfId="7521" xr:uid="{00000000-0005-0000-0000-00006E6B0000}"/>
    <cellStyle name="Normal 5 3 5 2 6 2" xfId="20251" xr:uid="{00000000-0005-0000-0000-00006F6B0000}"/>
    <cellStyle name="Normal 5 3 5 2 6 2 2" xfId="45804" xr:uid="{00000000-0005-0000-0000-0000706B0000}"/>
    <cellStyle name="Normal 5 3 5 2 6 3" xfId="33078" xr:uid="{00000000-0005-0000-0000-0000716B0000}"/>
    <cellStyle name="Normal 5 3 5 2 7" xfId="16762" xr:uid="{00000000-0005-0000-0000-0000726B0000}"/>
    <cellStyle name="Normal 5 3 5 2 7 2" xfId="42315" xr:uid="{00000000-0005-0000-0000-0000736B0000}"/>
    <cellStyle name="Normal 5 3 5 2 8" xfId="26734" xr:uid="{00000000-0005-0000-0000-0000746B0000}"/>
    <cellStyle name="Normal 5 3 5 3" xfId="1219" xr:uid="{00000000-0005-0000-0000-0000756B0000}"/>
    <cellStyle name="Normal 5 3 5 3 2" xfId="3648" xr:uid="{00000000-0005-0000-0000-0000766B0000}"/>
    <cellStyle name="Normal 5 3 5 3 2 2" xfId="12784" xr:uid="{00000000-0005-0000-0000-0000776B0000}"/>
    <cellStyle name="Normal 5 3 5 3 2 2 2" xfId="23003" xr:uid="{00000000-0005-0000-0000-0000786B0000}"/>
    <cellStyle name="Normal 5 3 5 3 2 2 2 2" xfId="48556" xr:uid="{00000000-0005-0000-0000-0000796B0000}"/>
    <cellStyle name="Normal 5 3 5 3 2 2 3" xfId="38339" xr:uid="{00000000-0005-0000-0000-00007A6B0000}"/>
    <cellStyle name="Normal 5 3 5 3 2 3" xfId="9205" xr:uid="{00000000-0005-0000-0000-00007B6B0000}"/>
    <cellStyle name="Normal 5 3 5 3 2 3 2" xfId="34762" xr:uid="{00000000-0005-0000-0000-00007C6B0000}"/>
    <cellStyle name="Normal 5 3 5 3 2 4" xfId="17996" xr:uid="{00000000-0005-0000-0000-00007D6B0000}"/>
    <cellStyle name="Normal 5 3 5 3 2 4 2" xfId="43549" xr:uid="{00000000-0005-0000-0000-00007E6B0000}"/>
    <cellStyle name="Normal 5 3 5 3 2 5" xfId="29486" xr:uid="{00000000-0005-0000-0000-00007F6B0000}"/>
    <cellStyle name="Normal 5 3 5 3 3" xfId="4969" xr:uid="{00000000-0005-0000-0000-0000806B0000}"/>
    <cellStyle name="Normal 5 3 5 3 3 2" xfId="13806" xr:uid="{00000000-0005-0000-0000-0000816B0000}"/>
    <cellStyle name="Normal 5 3 5 3 3 2 2" xfId="24057" xr:uid="{00000000-0005-0000-0000-0000826B0000}"/>
    <cellStyle name="Normal 5 3 5 3 3 2 2 2" xfId="49610" xr:uid="{00000000-0005-0000-0000-0000836B0000}"/>
    <cellStyle name="Normal 5 3 5 3 3 2 3" xfId="39361" xr:uid="{00000000-0005-0000-0000-0000846B0000}"/>
    <cellStyle name="Normal 5 3 5 3 3 3" xfId="10227" xr:uid="{00000000-0005-0000-0000-0000856B0000}"/>
    <cellStyle name="Normal 5 3 5 3 3 3 2" xfId="35784" xr:uid="{00000000-0005-0000-0000-0000866B0000}"/>
    <cellStyle name="Normal 5 3 5 3 3 4" xfId="19050" xr:uid="{00000000-0005-0000-0000-0000876B0000}"/>
    <cellStyle name="Normal 5 3 5 3 3 4 2" xfId="44603" xr:uid="{00000000-0005-0000-0000-0000886B0000}"/>
    <cellStyle name="Normal 5 3 5 3 3 5" xfId="30540" xr:uid="{00000000-0005-0000-0000-0000896B0000}"/>
    <cellStyle name="Normal 5 3 5 3 4" xfId="2042" xr:uid="{00000000-0005-0000-0000-00008A6B0000}"/>
    <cellStyle name="Normal 5 3 5 3 4 2" xfId="11407" xr:uid="{00000000-0005-0000-0000-00008B6B0000}"/>
    <cellStyle name="Normal 5 3 5 3 4 2 2" xfId="36962" xr:uid="{00000000-0005-0000-0000-00008C6B0000}"/>
    <cellStyle name="Normal 5 3 5 3 4 3" xfId="21411" xr:uid="{00000000-0005-0000-0000-00008D6B0000}"/>
    <cellStyle name="Normal 5 3 5 3 4 3 2" xfId="46964" xr:uid="{00000000-0005-0000-0000-00008E6B0000}"/>
    <cellStyle name="Normal 5 3 5 3 4 4" xfId="27894" xr:uid="{00000000-0005-0000-0000-00008F6B0000}"/>
    <cellStyle name="Normal 5 3 5 3 5" xfId="6424" xr:uid="{00000000-0005-0000-0000-0000906B0000}"/>
    <cellStyle name="Normal 5 3 5 3 5 2" xfId="15251" xr:uid="{00000000-0005-0000-0000-0000916B0000}"/>
    <cellStyle name="Normal 5 3 5 3 5 2 2" xfId="40806" xr:uid="{00000000-0005-0000-0000-0000926B0000}"/>
    <cellStyle name="Normal 5 3 5 3 5 3" xfId="25502" xr:uid="{00000000-0005-0000-0000-0000936B0000}"/>
    <cellStyle name="Normal 5 3 5 3 5 3 2" xfId="51055" xr:uid="{00000000-0005-0000-0000-0000946B0000}"/>
    <cellStyle name="Normal 5 3 5 3 5 4" xfId="31985" xr:uid="{00000000-0005-0000-0000-0000956B0000}"/>
    <cellStyle name="Normal 5 3 5 3 6" xfId="7870" xr:uid="{00000000-0005-0000-0000-0000966B0000}"/>
    <cellStyle name="Normal 5 3 5 3 6 2" xfId="20602" xr:uid="{00000000-0005-0000-0000-0000976B0000}"/>
    <cellStyle name="Normal 5 3 5 3 6 2 2" xfId="46155" xr:uid="{00000000-0005-0000-0000-0000986B0000}"/>
    <cellStyle name="Normal 5 3 5 3 6 3" xfId="33427" xr:uid="{00000000-0005-0000-0000-0000996B0000}"/>
    <cellStyle name="Normal 5 3 5 3 7" xfId="16404" xr:uid="{00000000-0005-0000-0000-00009A6B0000}"/>
    <cellStyle name="Normal 5 3 5 3 7 2" xfId="41957" xr:uid="{00000000-0005-0000-0000-00009B6B0000}"/>
    <cellStyle name="Normal 5 3 5 3 8" xfId="27085" xr:uid="{00000000-0005-0000-0000-00009C6B0000}"/>
    <cellStyle name="Normal 5 3 5 4" xfId="2933" xr:uid="{00000000-0005-0000-0000-00009D6B0000}"/>
    <cellStyle name="Normal 5 3 5 4 2" xfId="5311" xr:uid="{00000000-0005-0000-0000-00009E6B0000}"/>
    <cellStyle name="Normal 5 3 5 4 2 2" xfId="14148" xr:uid="{00000000-0005-0000-0000-00009F6B0000}"/>
    <cellStyle name="Normal 5 3 5 4 2 2 2" xfId="24399" xr:uid="{00000000-0005-0000-0000-0000A06B0000}"/>
    <cellStyle name="Normal 5 3 5 4 2 2 2 2" xfId="49952" xr:uid="{00000000-0005-0000-0000-0000A16B0000}"/>
    <cellStyle name="Normal 5 3 5 4 2 2 3" xfId="39703" xr:uid="{00000000-0005-0000-0000-0000A26B0000}"/>
    <cellStyle name="Normal 5 3 5 4 2 3" xfId="10569" xr:uid="{00000000-0005-0000-0000-0000A36B0000}"/>
    <cellStyle name="Normal 5 3 5 4 2 3 2" xfId="36126" xr:uid="{00000000-0005-0000-0000-0000A46B0000}"/>
    <cellStyle name="Normal 5 3 5 4 2 4" xfId="19392" xr:uid="{00000000-0005-0000-0000-0000A56B0000}"/>
    <cellStyle name="Normal 5 3 5 4 2 4 2" xfId="44945" xr:uid="{00000000-0005-0000-0000-0000A66B0000}"/>
    <cellStyle name="Normal 5 3 5 4 2 5" xfId="30882" xr:uid="{00000000-0005-0000-0000-0000A76B0000}"/>
    <cellStyle name="Normal 5 3 5 4 3" xfId="6766" xr:uid="{00000000-0005-0000-0000-0000A86B0000}"/>
    <cellStyle name="Normal 5 3 5 4 3 2" xfId="15593" xr:uid="{00000000-0005-0000-0000-0000A96B0000}"/>
    <cellStyle name="Normal 5 3 5 4 3 2 2" xfId="41148" xr:uid="{00000000-0005-0000-0000-0000AA6B0000}"/>
    <cellStyle name="Normal 5 3 5 4 3 3" xfId="25844" xr:uid="{00000000-0005-0000-0000-0000AB6B0000}"/>
    <cellStyle name="Normal 5 3 5 4 3 3 2" xfId="51397" xr:uid="{00000000-0005-0000-0000-0000AC6B0000}"/>
    <cellStyle name="Normal 5 3 5 4 3 4" xfId="32327" xr:uid="{00000000-0005-0000-0000-0000AD6B0000}"/>
    <cellStyle name="Normal 5 3 5 4 4" xfId="8212" xr:uid="{00000000-0005-0000-0000-0000AE6B0000}"/>
    <cellStyle name="Normal 5 3 5 4 4 2" xfId="22294" xr:uid="{00000000-0005-0000-0000-0000AF6B0000}"/>
    <cellStyle name="Normal 5 3 5 4 4 2 2" xfId="47847" xr:uid="{00000000-0005-0000-0000-0000B06B0000}"/>
    <cellStyle name="Normal 5 3 5 4 4 3" xfId="33769" xr:uid="{00000000-0005-0000-0000-0000B16B0000}"/>
    <cellStyle name="Normal 5 3 5 4 5" xfId="17287" xr:uid="{00000000-0005-0000-0000-0000B26B0000}"/>
    <cellStyle name="Normal 5 3 5 4 5 2" xfId="42840" xr:uid="{00000000-0005-0000-0000-0000B36B0000}"/>
    <cellStyle name="Normal 5 3 5 4 6" xfId="28777" xr:uid="{00000000-0005-0000-0000-0000B46B0000}"/>
    <cellStyle name="Normal 5 3 5 5" xfId="4267" xr:uid="{00000000-0005-0000-0000-0000B56B0000}"/>
    <cellStyle name="Normal 5 3 5 5 2" xfId="13105" xr:uid="{00000000-0005-0000-0000-0000B66B0000}"/>
    <cellStyle name="Normal 5 3 5 5 2 2" xfId="23356" xr:uid="{00000000-0005-0000-0000-0000B76B0000}"/>
    <cellStyle name="Normal 5 3 5 5 2 2 2" xfId="48909" xr:uid="{00000000-0005-0000-0000-0000B86B0000}"/>
    <cellStyle name="Normal 5 3 5 5 2 3" xfId="38660" xr:uid="{00000000-0005-0000-0000-0000B96B0000}"/>
    <cellStyle name="Normal 5 3 5 5 3" xfId="9526" xr:uid="{00000000-0005-0000-0000-0000BA6B0000}"/>
    <cellStyle name="Normal 5 3 5 5 3 2" xfId="35083" xr:uid="{00000000-0005-0000-0000-0000BB6B0000}"/>
    <cellStyle name="Normal 5 3 5 5 4" xfId="18349" xr:uid="{00000000-0005-0000-0000-0000BC6B0000}"/>
    <cellStyle name="Normal 5 3 5 5 4 2" xfId="43902" xr:uid="{00000000-0005-0000-0000-0000BD6B0000}"/>
    <cellStyle name="Normal 5 3 5 5 5" xfId="29839" xr:uid="{00000000-0005-0000-0000-0000BE6B0000}"/>
    <cellStyle name="Normal 5 3 5 6" xfId="1539" xr:uid="{00000000-0005-0000-0000-0000BF6B0000}"/>
    <cellStyle name="Normal 5 3 5 6 2" xfId="10916" xr:uid="{00000000-0005-0000-0000-0000C06B0000}"/>
    <cellStyle name="Normal 5 3 5 6 2 2" xfId="36471" xr:uid="{00000000-0005-0000-0000-0000C16B0000}"/>
    <cellStyle name="Normal 5 3 5 6 3" xfId="20920" xr:uid="{00000000-0005-0000-0000-0000C26B0000}"/>
    <cellStyle name="Normal 5 3 5 6 3 2" xfId="46473" xr:uid="{00000000-0005-0000-0000-0000C36B0000}"/>
    <cellStyle name="Normal 5 3 5 6 4" xfId="27403" xr:uid="{00000000-0005-0000-0000-0000C46B0000}"/>
    <cellStyle name="Normal 5 3 5 7" xfId="5723" xr:uid="{00000000-0005-0000-0000-0000C56B0000}"/>
    <cellStyle name="Normal 5 3 5 7 2" xfId="14550" xr:uid="{00000000-0005-0000-0000-0000C66B0000}"/>
    <cellStyle name="Normal 5 3 5 7 2 2" xfId="40105" xr:uid="{00000000-0005-0000-0000-0000C76B0000}"/>
    <cellStyle name="Normal 5 3 5 7 3" xfId="24801" xr:uid="{00000000-0005-0000-0000-0000C86B0000}"/>
    <cellStyle name="Normal 5 3 5 7 3 2" xfId="50354" xr:uid="{00000000-0005-0000-0000-0000C96B0000}"/>
    <cellStyle name="Normal 5 3 5 7 4" xfId="31284" xr:uid="{00000000-0005-0000-0000-0000CA6B0000}"/>
    <cellStyle name="Normal 5 3 5 8" xfId="7167" xr:uid="{00000000-0005-0000-0000-0000CB6B0000}"/>
    <cellStyle name="Normal 5 3 5 8 2" xfId="19893" xr:uid="{00000000-0005-0000-0000-0000CC6B0000}"/>
    <cellStyle name="Normal 5 3 5 8 2 2" xfId="45446" xr:uid="{00000000-0005-0000-0000-0000CD6B0000}"/>
    <cellStyle name="Normal 5 3 5 8 3" xfId="32724" xr:uid="{00000000-0005-0000-0000-0000CE6B0000}"/>
    <cellStyle name="Normal 5 3 5 9" xfId="15913" xr:uid="{00000000-0005-0000-0000-0000CF6B0000}"/>
    <cellStyle name="Normal 5 3 5 9 2" xfId="41466" xr:uid="{00000000-0005-0000-0000-0000D06B0000}"/>
    <cellStyle name="Normal 5 3 5_Degree data" xfId="3875" xr:uid="{00000000-0005-0000-0000-0000D16B0000}"/>
    <cellStyle name="Normal 5 3 6" xfId="300" xr:uid="{00000000-0005-0000-0000-0000D26B0000}"/>
    <cellStyle name="Normal 5 3 6 10" xfId="26229" xr:uid="{00000000-0005-0000-0000-0000D36B0000}"/>
    <cellStyle name="Normal 5 3 6 2" xfId="807" xr:uid="{00000000-0005-0000-0000-0000D46B0000}"/>
    <cellStyle name="Normal 5 3 6 2 2" xfId="3292" xr:uid="{00000000-0005-0000-0000-0000D56B0000}"/>
    <cellStyle name="Normal 5 3 6 2 2 2" xfId="12434" xr:uid="{00000000-0005-0000-0000-0000D66B0000}"/>
    <cellStyle name="Normal 5 3 6 2 2 2 2" xfId="22653" xr:uid="{00000000-0005-0000-0000-0000D76B0000}"/>
    <cellStyle name="Normal 5 3 6 2 2 2 2 2" xfId="48206" xr:uid="{00000000-0005-0000-0000-0000D86B0000}"/>
    <cellStyle name="Normal 5 3 6 2 2 2 3" xfId="37989" xr:uid="{00000000-0005-0000-0000-0000D96B0000}"/>
    <cellStyle name="Normal 5 3 6 2 2 3" xfId="8856" xr:uid="{00000000-0005-0000-0000-0000DA6B0000}"/>
    <cellStyle name="Normal 5 3 6 2 2 3 2" xfId="34413" xr:uid="{00000000-0005-0000-0000-0000DB6B0000}"/>
    <cellStyle name="Normal 5 3 6 2 2 4" xfId="17646" xr:uid="{00000000-0005-0000-0000-0000DC6B0000}"/>
    <cellStyle name="Normal 5 3 6 2 2 4 2" xfId="43199" xr:uid="{00000000-0005-0000-0000-0000DD6B0000}"/>
    <cellStyle name="Normal 5 3 6 2 2 5" xfId="29136" xr:uid="{00000000-0005-0000-0000-0000DE6B0000}"/>
    <cellStyle name="Normal 5 3 6 2 3" xfId="4621" xr:uid="{00000000-0005-0000-0000-0000DF6B0000}"/>
    <cellStyle name="Normal 5 3 6 2 3 2" xfId="13459" xr:uid="{00000000-0005-0000-0000-0000E06B0000}"/>
    <cellStyle name="Normal 5 3 6 2 3 2 2" xfId="23710" xr:uid="{00000000-0005-0000-0000-0000E16B0000}"/>
    <cellStyle name="Normal 5 3 6 2 3 2 2 2" xfId="49263" xr:uid="{00000000-0005-0000-0000-0000E26B0000}"/>
    <cellStyle name="Normal 5 3 6 2 3 2 3" xfId="39014" xr:uid="{00000000-0005-0000-0000-0000E36B0000}"/>
    <cellStyle name="Normal 5 3 6 2 3 3" xfId="9880" xr:uid="{00000000-0005-0000-0000-0000E46B0000}"/>
    <cellStyle name="Normal 5 3 6 2 3 3 2" xfId="35437" xr:uid="{00000000-0005-0000-0000-0000E56B0000}"/>
    <cellStyle name="Normal 5 3 6 2 3 4" xfId="18703" xr:uid="{00000000-0005-0000-0000-0000E66B0000}"/>
    <cellStyle name="Normal 5 3 6 2 3 4 2" xfId="44256" xr:uid="{00000000-0005-0000-0000-0000E76B0000}"/>
    <cellStyle name="Normal 5 3 6 2 3 5" xfId="30193" xr:uid="{00000000-0005-0000-0000-0000E86B0000}"/>
    <cellStyle name="Normal 5 3 6 2 4" xfId="2401" xr:uid="{00000000-0005-0000-0000-0000E96B0000}"/>
    <cellStyle name="Normal 5 3 6 2 4 2" xfId="11766" xr:uid="{00000000-0005-0000-0000-0000EA6B0000}"/>
    <cellStyle name="Normal 5 3 6 2 4 2 2" xfId="37321" xr:uid="{00000000-0005-0000-0000-0000EB6B0000}"/>
    <cellStyle name="Normal 5 3 6 2 4 3" xfId="21770" xr:uid="{00000000-0005-0000-0000-0000EC6B0000}"/>
    <cellStyle name="Normal 5 3 6 2 4 3 2" xfId="47323" xr:uid="{00000000-0005-0000-0000-0000ED6B0000}"/>
    <cellStyle name="Normal 5 3 6 2 4 4" xfId="28253" xr:uid="{00000000-0005-0000-0000-0000EE6B0000}"/>
    <cellStyle name="Normal 5 3 6 2 5" xfId="6077" xr:uid="{00000000-0005-0000-0000-0000EF6B0000}"/>
    <cellStyle name="Normal 5 3 6 2 5 2" xfId="14904" xr:uid="{00000000-0005-0000-0000-0000F06B0000}"/>
    <cellStyle name="Normal 5 3 6 2 5 2 2" xfId="40459" xr:uid="{00000000-0005-0000-0000-0000F16B0000}"/>
    <cellStyle name="Normal 5 3 6 2 5 3" xfId="25155" xr:uid="{00000000-0005-0000-0000-0000F26B0000}"/>
    <cellStyle name="Normal 5 3 6 2 5 3 2" xfId="50708" xr:uid="{00000000-0005-0000-0000-0000F36B0000}"/>
    <cellStyle name="Normal 5 3 6 2 5 4" xfId="31638" xr:uid="{00000000-0005-0000-0000-0000F46B0000}"/>
    <cellStyle name="Normal 5 3 6 2 6" xfId="7522" xr:uid="{00000000-0005-0000-0000-0000F56B0000}"/>
    <cellStyle name="Normal 5 3 6 2 6 2" xfId="20252" xr:uid="{00000000-0005-0000-0000-0000F66B0000}"/>
    <cellStyle name="Normal 5 3 6 2 6 2 2" xfId="45805" xr:uid="{00000000-0005-0000-0000-0000F76B0000}"/>
    <cellStyle name="Normal 5 3 6 2 6 3" xfId="33079" xr:uid="{00000000-0005-0000-0000-0000F86B0000}"/>
    <cellStyle name="Normal 5 3 6 2 7" xfId="16763" xr:uid="{00000000-0005-0000-0000-0000F96B0000}"/>
    <cellStyle name="Normal 5 3 6 2 7 2" xfId="42316" xr:uid="{00000000-0005-0000-0000-0000FA6B0000}"/>
    <cellStyle name="Normal 5 3 6 2 8" xfId="26735" xr:uid="{00000000-0005-0000-0000-0000FB6B0000}"/>
    <cellStyle name="Normal 5 3 6 3" xfId="1072" xr:uid="{00000000-0005-0000-0000-0000FC6B0000}"/>
    <cellStyle name="Normal 5 3 6 3 2" xfId="3501" xr:uid="{00000000-0005-0000-0000-0000FD6B0000}"/>
    <cellStyle name="Normal 5 3 6 3 2 2" xfId="12637" xr:uid="{00000000-0005-0000-0000-0000FE6B0000}"/>
    <cellStyle name="Normal 5 3 6 3 2 2 2" xfId="22856" xr:uid="{00000000-0005-0000-0000-0000FF6B0000}"/>
    <cellStyle name="Normal 5 3 6 3 2 2 2 2" xfId="48409" xr:uid="{00000000-0005-0000-0000-0000006C0000}"/>
    <cellStyle name="Normal 5 3 6 3 2 2 3" xfId="38192" xr:uid="{00000000-0005-0000-0000-0000016C0000}"/>
    <cellStyle name="Normal 5 3 6 3 2 3" xfId="9059" xr:uid="{00000000-0005-0000-0000-0000026C0000}"/>
    <cellStyle name="Normal 5 3 6 3 2 3 2" xfId="34616" xr:uid="{00000000-0005-0000-0000-0000036C0000}"/>
    <cellStyle name="Normal 5 3 6 3 2 4" xfId="17849" xr:uid="{00000000-0005-0000-0000-0000046C0000}"/>
    <cellStyle name="Normal 5 3 6 3 2 4 2" xfId="43402" xr:uid="{00000000-0005-0000-0000-0000056C0000}"/>
    <cellStyle name="Normal 5 3 6 3 2 5" xfId="29339" xr:uid="{00000000-0005-0000-0000-0000066C0000}"/>
    <cellStyle name="Normal 5 3 6 3 3" xfId="4970" xr:uid="{00000000-0005-0000-0000-0000076C0000}"/>
    <cellStyle name="Normal 5 3 6 3 3 2" xfId="13807" xr:uid="{00000000-0005-0000-0000-0000086C0000}"/>
    <cellStyle name="Normal 5 3 6 3 3 2 2" xfId="24058" xr:uid="{00000000-0005-0000-0000-0000096C0000}"/>
    <cellStyle name="Normal 5 3 6 3 3 2 2 2" xfId="49611" xr:uid="{00000000-0005-0000-0000-00000A6C0000}"/>
    <cellStyle name="Normal 5 3 6 3 3 2 3" xfId="39362" xr:uid="{00000000-0005-0000-0000-00000B6C0000}"/>
    <cellStyle name="Normal 5 3 6 3 3 3" xfId="10228" xr:uid="{00000000-0005-0000-0000-00000C6C0000}"/>
    <cellStyle name="Normal 5 3 6 3 3 3 2" xfId="35785" xr:uid="{00000000-0005-0000-0000-00000D6C0000}"/>
    <cellStyle name="Normal 5 3 6 3 3 4" xfId="19051" xr:uid="{00000000-0005-0000-0000-00000E6C0000}"/>
    <cellStyle name="Normal 5 3 6 3 3 4 2" xfId="44604" xr:uid="{00000000-0005-0000-0000-00000F6C0000}"/>
    <cellStyle name="Normal 5 3 6 3 3 5" xfId="30541" xr:uid="{00000000-0005-0000-0000-0000106C0000}"/>
    <cellStyle name="Normal 5 3 6 3 4" xfId="1705" xr:uid="{00000000-0005-0000-0000-0000116C0000}"/>
    <cellStyle name="Normal 5 3 6 3 4 2" xfId="11082" xr:uid="{00000000-0005-0000-0000-0000126C0000}"/>
    <cellStyle name="Normal 5 3 6 3 4 2 2" xfId="36637" xr:uid="{00000000-0005-0000-0000-0000136C0000}"/>
    <cellStyle name="Normal 5 3 6 3 4 3" xfId="21086" xr:uid="{00000000-0005-0000-0000-0000146C0000}"/>
    <cellStyle name="Normal 5 3 6 3 4 3 2" xfId="46639" xr:uid="{00000000-0005-0000-0000-0000156C0000}"/>
    <cellStyle name="Normal 5 3 6 3 4 4" xfId="27569" xr:uid="{00000000-0005-0000-0000-0000166C0000}"/>
    <cellStyle name="Normal 5 3 6 3 5" xfId="6425" xr:uid="{00000000-0005-0000-0000-0000176C0000}"/>
    <cellStyle name="Normal 5 3 6 3 5 2" xfId="15252" xr:uid="{00000000-0005-0000-0000-0000186C0000}"/>
    <cellStyle name="Normal 5 3 6 3 5 2 2" xfId="40807" xr:uid="{00000000-0005-0000-0000-0000196C0000}"/>
    <cellStyle name="Normal 5 3 6 3 5 3" xfId="25503" xr:uid="{00000000-0005-0000-0000-00001A6C0000}"/>
    <cellStyle name="Normal 5 3 6 3 5 3 2" xfId="51056" xr:uid="{00000000-0005-0000-0000-00001B6C0000}"/>
    <cellStyle name="Normal 5 3 6 3 5 4" xfId="31986" xr:uid="{00000000-0005-0000-0000-00001C6C0000}"/>
    <cellStyle name="Normal 5 3 6 3 6" xfId="7871" xr:uid="{00000000-0005-0000-0000-00001D6C0000}"/>
    <cellStyle name="Normal 5 3 6 3 6 2" xfId="20455" xr:uid="{00000000-0005-0000-0000-00001E6C0000}"/>
    <cellStyle name="Normal 5 3 6 3 6 2 2" xfId="46008" xr:uid="{00000000-0005-0000-0000-00001F6C0000}"/>
    <cellStyle name="Normal 5 3 6 3 6 3" xfId="33428" xr:uid="{00000000-0005-0000-0000-0000206C0000}"/>
    <cellStyle name="Normal 5 3 6 3 7" xfId="16079" xr:uid="{00000000-0005-0000-0000-0000216C0000}"/>
    <cellStyle name="Normal 5 3 6 3 7 2" xfId="41632" xr:uid="{00000000-0005-0000-0000-0000226C0000}"/>
    <cellStyle name="Normal 5 3 6 3 8" xfId="26938" xr:uid="{00000000-0005-0000-0000-0000236C0000}"/>
    <cellStyle name="Normal 5 3 6 4" xfId="2786" xr:uid="{00000000-0005-0000-0000-0000246C0000}"/>
    <cellStyle name="Normal 5 3 6 4 2" xfId="5164" xr:uid="{00000000-0005-0000-0000-0000256C0000}"/>
    <cellStyle name="Normal 5 3 6 4 2 2" xfId="14001" xr:uid="{00000000-0005-0000-0000-0000266C0000}"/>
    <cellStyle name="Normal 5 3 6 4 2 2 2" xfId="24252" xr:uid="{00000000-0005-0000-0000-0000276C0000}"/>
    <cellStyle name="Normal 5 3 6 4 2 2 2 2" xfId="49805" xr:uid="{00000000-0005-0000-0000-0000286C0000}"/>
    <cellStyle name="Normal 5 3 6 4 2 2 3" xfId="39556" xr:uid="{00000000-0005-0000-0000-0000296C0000}"/>
    <cellStyle name="Normal 5 3 6 4 2 3" xfId="10422" xr:uid="{00000000-0005-0000-0000-00002A6C0000}"/>
    <cellStyle name="Normal 5 3 6 4 2 3 2" xfId="35979" xr:uid="{00000000-0005-0000-0000-00002B6C0000}"/>
    <cellStyle name="Normal 5 3 6 4 2 4" xfId="19245" xr:uid="{00000000-0005-0000-0000-00002C6C0000}"/>
    <cellStyle name="Normal 5 3 6 4 2 4 2" xfId="44798" xr:uid="{00000000-0005-0000-0000-00002D6C0000}"/>
    <cellStyle name="Normal 5 3 6 4 2 5" xfId="30735" xr:uid="{00000000-0005-0000-0000-00002E6C0000}"/>
    <cellStyle name="Normal 5 3 6 4 3" xfId="6619" xr:uid="{00000000-0005-0000-0000-00002F6C0000}"/>
    <cellStyle name="Normal 5 3 6 4 3 2" xfId="15446" xr:uid="{00000000-0005-0000-0000-0000306C0000}"/>
    <cellStyle name="Normal 5 3 6 4 3 2 2" xfId="41001" xr:uid="{00000000-0005-0000-0000-0000316C0000}"/>
    <cellStyle name="Normal 5 3 6 4 3 3" xfId="25697" xr:uid="{00000000-0005-0000-0000-0000326C0000}"/>
    <cellStyle name="Normal 5 3 6 4 3 3 2" xfId="51250" xr:uid="{00000000-0005-0000-0000-0000336C0000}"/>
    <cellStyle name="Normal 5 3 6 4 3 4" xfId="32180" xr:uid="{00000000-0005-0000-0000-0000346C0000}"/>
    <cellStyle name="Normal 5 3 6 4 4" xfId="8065" xr:uid="{00000000-0005-0000-0000-0000356C0000}"/>
    <cellStyle name="Normal 5 3 6 4 4 2" xfId="22147" xr:uid="{00000000-0005-0000-0000-0000366C0000}"/>
    <cellStyle name="Normal 5 3 6 4 4 2 2" xfId="47700" xr:uid="{00000000-0005-0000-0000-0000376C0000}"/>
    <cellStyle name="Normal 5 3 6 4 4 3" xfId="33622" xr:uid="{00000000-0005-0000-0000-0000386C0000}"/>
    <cellStyle name="Normal 5 3 6 4 5" xfId="17140" xr:uid="{00000000-0005-0000-0000-0000396C0000}"/>
    <cellStyle name="Normal 5 3 6 4 5 2" xfId="42693" xr:uid="{00000000-0005-0000-0000-00003A6C0000}"/>
    <cellStyle name="Normal 5 3 6 4 6" xfId="28630" xr:uid="{00000000-0005-0000-0000-00003B6C0000}"/>
    <cellStyle name="Normal 5 3 6 5" xfId="4118" xr:uid="{00000000-0005-0000-0000-00003C6C0000}"/>
    <cellStyle name="Normal 5 3 6 5 2" xfId="12956" xr:uid="{00000000-0005-0000-0000-00003D6C0000}"/>
    <cellStyle name="Normal 5 3 6 5 2 2" xfId="23207" xr:uid="{00000000-0005-0000-0000-00003E6C0000}"/>
    <cellStyle name="Normal 5 3 6 5 2 2 2" xfId="48760" xr:uid="{00000000-0005-0000-0000-00003F6C0000}"/>
    <cellStyle name="Normal 5 3 6 5 2 3" xfId="38511" xr:uid="{00000000-0005-0000-0000-0000406C0000}"/>
    <cellStyle name="Normal 5 3 6 5 3" xfId="9377" xr:uid="{00000000-0005-0000-0000-0000416C0000}"/>
    <cellStyle name="Normal 5 3 6 5 3 2" xfId="34934" xr:uid="{00000000-0005-0000-0000-0000426C0000}"/>
    <cellStyle name="Normal 5 3 6 5 4" xfId="18200" xr:uid="{00000000-0005-0000-0000-0000436C0000}"/>
    <cellStyle name="Normal 5 3 6 5 4 2" xfId="43753" xr:uid="{00000000-0005-0000-0000-0000446C0000}"/>
    <cellStyle name="Normal 5 3 6 5 5" xfId="29690" xr:uid="{00000000-0005-0000-0000-0000456C0000}"/>
    <cellStyle name="Normal 5 3 6 6" xfId="1895" xr:uid="{00000000-0005-0000-0000-0000466C0000}"/>
    <cellStyle name="Normal 5 3 6 6 2" xfId="11260" xr:uid="{00000000-0005-0000-0000-0000476C0000}"/>
    <cellStyle name="Normal 5 3 6 6 2 2" xfId="36815" xr:uid="{00000000-0005-0000-0000-0000486C0000}"/>
    <cellStyle name="Normal 5 3 6 6 3" xfId="21264" xr:uid="{00000000-0005-0000-0000-0000496C0000}"/>
    <cellStyle name="Normal 5 3 6 6 3 2" xfId="46817" xr:uid="{00000000-0005-0000-0000-00004A6C0000}"/>
    <cellStyle name="Normal 5 3 6 6 4" xfId="27747" xr:uid="{00000000-0005-0000-0000-00004B6C0000}"/>
    <cellStyle name="Normal 5 3 6 7" xfId="5576" xr:uid="{00000000-0005-0000-0000-00004C6C0000}"/>
    <cellStyle name="Normal 5 3 6 7 2" xfId="14403" xr:uid="{00000000-0005-0000-0000-00004D6C0000}"/>
    <cellStyle name="Normal 5 3 6 7 2 2" xfId="39958" xr:uid="{00000000-0005-0000-0000-00004E6C0000}"/>
    <cellStyle name="Normal 5 3 6 7 3" xfId="24654" xr:uid="{00000000-0005-0000-0000-00004F6C0000}"/>
    <cellStyle name="Normal 5 3 6 7 3 2" xfId="50207" xr:uid="{00000000-0005-0000-0000-0000506C0000}"/>
    <cellStyle name="Normal 5 3 6 7 4" xfId="31137" xr:uid="{00000000-0005-0000-0000-0000516C0000}"/>
    <cellStyle name="Normal 5 3 6 8" xfId="7020" xr:uid="{00000000-0005-0000-0000-0000526C0000}"/>
    <cellStyle name="Normal 5 3 6 8 2" xfId="19746" xr:uid="{00000000-0005-0000-0000-0000536C0000}"/>
    <cellStyle name="Normal 5 3 6 8 2 2" xfId="45299" xr:uid="{00000000-0005-0000-0000-0000546C0000}"/>
    <cellStyle name="Normal 5 3 6 8 3" xfId="32577" xr:uid="{00000000-0005-0000-0000-0000556C0000}"/>
    <cellStyle name="Normal 5 3 6 9" xfId="16257" xr:uid="{00000000-0005-0000-0000-0000566C0000}"/>
    <cellStyle name="Normal 5 3 6 9 2" xfId="41810" xr:uid="{00000000-0005-0000-0000-0000576C0000}"/>
    <cellStyle name="Normal 5 3 6_Degree data" xfId="3903" xr:uid="{00000000-0005-0000-0000-0000586C0000}"/>
    <cellStyle name="Normal 5 3 7" xfId="796" xr:uid="{00000000-0005-0000-0000-0000596C0000}"/>
    <cellStyle name="Normal 5 3 7 2" xfId="3281" xr:uid="{00000000-0005-0000-0000-00005A6C0000}"/>
    <cellStyle name="Normal 5 3 7 2 2" xfId="12423" xr:uid="{00000000-0005-0000-0000-00005B6C0000}"/>
    <cellStyle name="Normal 5 3 7 2 2 2" xfId="22642" xr:uid="{00000000-0005-0000-0000-00005C6C0000}"/>
    <cellStyle name="Normal 5 3 7 2 2 2 2" xfId="48195" xr:uid="{00000000-0005-0000-0000-00005D6C0000}"/>
    <cellStyle name="Normal 5 3 7 2 2 3" xfId="37978" xr:uid="{00000000-0005-0000-0000-00005E6C0000}"/>
    <cellStyle name="Normal 5 3 7 2 3" xfId="8845" xr:uid="{00000000-0005-0000-0000-00005F6C0000}"/>
    <cellStyle name="Normal 5 3 7 2 3 2" xfId="34402" xr:uid="{00000000-0005-0000-0000-0000606C0000}"/>
    <cellStyle name="Normal 5 3 7 2 4" xfId="17635" xr:uid="{00000000-0005-0000-0000-0000616C0000}"/>
    <cellStyle name="Normal 5 3 7 2 4 2" xfId="43188" xr:uid="{00000000-0005-0000-0000-0000626C0000}"/>
    <cellStyle name="Normal 5 3 7 2 5" xfId="29125" xr:uid="{00000000-0005-0000-0000-0000636C0000}"/>
    <cellStyle name="Normal 5 3 7 3" xfId="4610" xr:uid="{00000000-0005-0000-0000-0000646C0000}"/>
    <cellStyle name="Normal 5 3 7 3 2" xfId="13448" xr:uid="{00000000-0005-0000-0000-0000656C0000}"/>
    <cellStyle name="Normal 5 3 7 3 2 2" xfId="23699" xr:uid="{00000000-0005-0000-0000-0000666C0000}"/>
    <cellStyle name="Normal 5 3 7 3 2 2 2" xfId="49252" xr:uid="{00000000-0005-0000-0000-0000676C0000}"/>
    <cellStyle name="Normal 5 3 7 3 2 3" xfId="39003" xr:uid="{00000000-0005-0000-0000-0000686C0000}"/>
    <cellStyle name="Normal 5 3 7 3 3" xfId="9869" xr:uid="{00000000-0005-0000-0000-0000696C0000}"/>
    <cellStyle name="Normal 5 3 7 3 3 2" xfId="35426" xr:uid="{00000000-0005-0000-0000-00006A6C0000}"/>
    <cellStyle name="Normal 5 3 7 3 4" xfId="18692" xr:uid="{00000000-0005-0000-0000-00006B6C0000}"/>
    <cellStyle name="Normal 5 3 7 3 4 2" xfId="44245" xr:uid="{00000000-0005-0000-0000-00006C6C0000}"/>
    <cellStyle name="Normal 5 3 7 3 5" xfId="30182" xr:uid="{00000000-0005-0000-0000-00006D6C0000}"/>
    <cellStyle name="Normal 5 3 7 4" xfId="2390" xr:uid="{00000000-0005-0000-0000-00006E6C0000}"/>
    <cellStyle name="Normal 5 3 7 4 2" xfId="11755" xr:uid="{00000000-0005-0000-0000-00006F6C0000}"/>
    <cellStyle name="Normal 5 3 7 4 2 2" xfId="37310" xr:uid="{00000000-0005-0000-0000-0000706C0000}"/>
    <cellStyle name="Normal 5 3 7 4 3" xfId="21759" xr:uid="{00000000-0005-0000-0000-0000716C0000}"/>
    <cellStyle name="Normal 5 3 7 4 3 2" xfId="47312" xr:uid="{00000000-0005-0000-0000-0000726C0000}"/>
    <cellStyle name="Normal 5 3 7 4 4" xfId="28242" xr:uid="{00000000-0005-0000-0000-0000736C0000}"/>
    <cellStyle name="Normal 5 3 7 5" xfId="6066" xr:uid="{00000000-0005-0000-0000-0000746C0000}"/>
    <cellStyle name="Normal 5 3 7 5 2" xfId="14893" xr:uid="{00000000-0005-0000-0000-0000756C0000}"/>
    <cellStyle name="Normal 5 3 7 5 2 2" xfId="40448" xr:uid="{00000000-0005-0000-0000-0000766C0000}"/>
    <cellStyle name="Normal 5 3 7 5 3" xfId="25144" xr:uid="{00000000-0005-0000-0000-0000776C0000}"/>
    <cellStyle name="Normal 5 3 7 5 3 2" xfId="50697" xr:uid="{00000000-0005-0000-0000-0000786C0000}"/>
    <cellStyle name="Normal 5 3 7 5 4" xfId="31627" xr:uid="{00000000-0005-0000-0000-0000796C0000}"/>
    <cellStyle name="Normal 5 3 7 6" xfId="7511" xr:uid="{00000000-0005-0000-0000-00007A6C0000}"/>
    <cellStyle name="Normal 5 3 7 6 2" xfId="20241" xr:uid="{00000000-0005-0000-0000-00007B6C0000}"/>
    <cellStyle name="Normal 5 3 7 6 2 2" xfId="45794" xr:uid="{00000000-0005-0000-0000-00007C6C0000}"/>
    <cellStyle name="Normal 5 3 7 6 3" xfId="33068" xr:uid="{00000000-0005-0000-0000-00007D6C0000}"/>
    <cellStyle name="Normal 5 3 7 7" xfId="16752" xr:uid="{00000000-0005-0000-0000-00007E6C0000}"/>
    <cellStyle name="Normal 5 3 7 7 2" xfId="42305" xr:uid="{00000000-0005-0000-0000-00007F6C0000}"/>
    <cellStyle name="Normal 5 3 7 8" xfId="26724" xr:uid="{00000000-0005-0000-0000-0000806C0000}"/>
    <cellStyle name="Normal 5 3 8" xfId="1052" xr:uid="{00000000-0005-0000-0000-0000816C0000}"/>
    <cellStyle name="Normal 5 3 8 2" xfId="3481" xr:uid="{00000000-0005-0000-0000-0000826C0000}"/>
    <cellStyle name="Normal 5 3 8 2 2" xfId="12617" xr:uid="{00000000-0005-0000-0000-0000836C0000}"/>
    <cellStyle name="Normal 5 3 8 2 2 2" xfId="22836" xr:uid="{00000000-0005-0000-0000-0000846C0000}"/>
    <cellStyle name="Normal 5 3 8 2 2 2 2" xfId="48389" xr:uid="{00000000-0005-0000-0000-0000856C0000}"/>
    <cellStyle name="Normal 5 3 8 2 2 3" xfId="38172" xr:uid="{00000000-0005-0000-0000-0000866C0000}"/>
    <cellStyle name="Normal 5 3 8 2 3" xfId="9039" xr:uid="{00000000-0005-0000-0000-0000876C0000}"/>
    <cellStyle name="Normal 5 3 8 2 3 2" xfId="34596" xr:uid="{00000000-0005-0000-0000-0000886C0000}"/>
    <cellStyle name="Normal 5 3 8 2 4" xfId="17829" xr:uid="{00000000-0005-0000-0000-0000896C0000}"/>
    <cellStyle name="Normal 5 3 8 2 4 2" xfId="43382" xr:uid="{00000000-0005-0000-0000-00008A6C0000}"/>
    <cellStyle name="Normal 5 3 8 2 5" xfId="29319" xr:uid="{00000000-0005-0000-0000-00008B6C0000}"/>
    <cellStyle name="Normal 5 3 8 3" xfId="4959" xr:uid="{00000000-0005-0000-0000-00008C6C0000}"/>
    <cellStyle name="Normal 5 3 8 3 2" xfId="13796" xr:uid="{00000000-0005-0000-0000-00008D6C0000}"/>
    <cellStyle name="Normal 5 3 8 3 2 2" xfId="24047" xr:uid="{00000000-0005-0000-0000-00008E6C0000}"/>
    <cellStyle name="Normal 5 3 8 3 2 2 2" xfId="49600" xr:uid="{00000000-0005-0000-0000-00008F6C0000}"/>
    <cellStyle name="Normal 5 3 8 3 2 3" xfId="39351" xr:uid="{00000000-0005-0000-0000-0000906C0000}"/>
    <cellStyle name="Normal 5 3 8 3 3" xfId="10217" xr:uid="{00000000-0005-0000-0000-0000916C0000}"/>
    <cellStyle name="Normal 5 3 8 3 3 2" xfId="35774" xr:uid="{00000000-0005-0000-0000-0000926C0000}"/>
    <cellStyle name="Normal 5 3 8 3 4" xfId="19040" xr:uid="{00000000-0005-0000-0000-0000936C0000}"/>
    <cellStyle name="Normal 5 3 8 3 4 2" xfId="44593" xr:uid="{00000000-0005-0000-0000-0000946C0000}"/>
    <cellStyle name="Normal 5 3 8 3 5" xfId="30530" xr:uid="{00000000-0005-0000-0000-0000956C0000}"/>
    <cellStyle name="Normal 5 3 8 4" xfId="1715" xr:uid="{00000000-0005-0000-0000-0000966C0000}"/>
    <cellStyle name="Normal 5 3 8 4 2" xfId="11089" xr:uid="{00000000-0005-0000-0000-0000976C0000}"/>
    <cellStyle name="Normal 5 3 8 4 2 2" xfId="36644" xr:uid="{00000000-0005-0000-0000-0000986C0000}"/>
    <cellStyle name="Normal 5 3 8 4 3" xfId="21093" xr:uid="{00000000-0005-0000-0000-0000996C0000}"/>
    <cellStyle name="Normal 5 3 8 4 3 2" xfId="46646" xr:uid="{00000000-0005-0000-0000-00009A6C0000}"/>
    <cellStyle name="Normal 5 3 8 4 4" xfId="27576" xr:uid="{00000000-0005-0000-0000-00009B6C0000}"/>
    <cellStyle name="Normal 5 3 8 5" xfId="6414" xr:uid="{00000000-0005-0000-0000-00009C6C0000}"/>
    <cellStyle name="Normal 5 3 8 5 2" xfId="15241" xr:uid="{00000000-0005-0000-0000-00009D6C0000}"/>
    <cellStyle name="Normal 5 3 8 5 2 2" xfId="40796" xr:uid="{00000000-0005-0000-0000-00009E6C0000}"/>
    <cellStyle name="Normal 5 3 8 5 3" xfId="25492" xr:uid="{00000000-0005-0000-0000-00009F6C0000}"/>
    <cellStyle name="Normal 5 3 8 5 3 2" xfId="51045" xr:uid="{00000000-0005-0000-0000-0000A06C0000}"/>
    <cellStyle name="Normal 5 3 8 5 4" xfId="31975" xr:uid="{00000000-0005-0000-0000-0000A16C0000}"/>
    <cellStyle name="Normal 5 3 8 6" xfId="7860" xr:uid="{00000000-0005-0000-0000-0000A26C0000}"/>
    <cellStyle name="Normal 5 3 8 6 2" xfId="20435" xr:uid="{00000000-0005-0000-0000-0000A36C0000}"/>
    <cellStyle name="Normal 5 3 8 6 2 2" xfId="45988" xr:uid="{00000000-0005-0000-0000-0000A46C0000}"/>
    <cellStyle name="Normal 5 3 8 6 3" xfId="33417" xr:uid="{00000000-0005-0000-0000-0000A56C0000}"/>
    <cellStyle name="Normal 5 3 8 7" xfId="16086" xr:uid="{00000000-0005-0000-0000-0000A66C0000}"/>
    <cellStyle name="Normal 5 3 8 7 2" xfId="41639" xr:uid="{00000000-0005-0000-0000-0000A76C0000}"/>
    <cellStyle name="Normal 5 3 8 8" xfId="26918" xr:uid="{00000000-0005-0000-0000-0000A86C0000}"/>
    <cellStyle name="Normal 5 3 9" xfId="2613" xr:uid="{00000000-0005-0000-0000-0000A96C0000}"/>
    <cellStyle name="Normal 5 3 9 2" xfId="5144" xr:uid="{00000000-0005-0000-0000-0000AA6C0000}"/>
    <cellStyle name="Normal 5 3 9 2 2" xfId="13981" xr:uid="{00000000-0005-0000-0000-0000AB6C0000}"/>
    <cellStyle name="Normal 5 3 9 2 2 2" xfId="24232" xr:uid="{00000000-0005-0000-0000-0000AC6C0000}"/>
    <cellStyle name="Normal 5 3 9 2 2 2 2" xfId="49785" xr:uid="{00000000-0005-0000-0000-0000AD6C0000}"/>
    <cellStyle name="Normal 5 3 9 2 2 3" xfId="39536" xr:uid="{00000000-0005-0000-0000-0000AE6C0000}"/>
    <cellStyle name="Normal 5 3 9 2 3" xfId="10402" xr:uid="{00000000-0005-0000-0000-0000AF6C0000}"/>
    <cellStyle name="Normal 5 3 9 2 3 2" xfId="35959" xr:uid="{00000000-0005-0000-0000-0000B06C0000}"/>
    <cellStyle name="Normal 5 3 9 2 4" xfId="19225" xr:uid="{00000000-0005-0000-0000-0000B16C0000}"/>
    <cellStyle name="Normal 5 3 9 2 4 2" xfId="44778" xr:uid="{00000000-0005-0000-0000-0000B26C0000}"/>
    <cellStyle name="Normal 5 3 9 2 5" xfId="30715" xr:uid="{00000000-0005-0000-0000-0000B36C0000}"/>
    <cellStyle name="Normal 5 3 9 3" xfId="6599" xr:uid="{00000000-0005-0000-0000-0000B46C0000}"/>
    <cellStyle name="Normal 5 3 9 3 2" xfId="15426" xr:uid="{00000000-0005-0000-0000-0000B56C0000}"/>
    <cellStyle name="Normal 5 3 9 3 2 2" xfId="40981" xr:uid="{00000000-0005-0000-0000-0000B66C0000}"/>
    <cellStyle name="Normal 5 3 9 3 3" xfId="25677" xr:uid="{00000000-0005-0000-0000-0000B76C0000}"/>
    <cellStyle name="Normal 5 3 9 3 3 2" xfId="51230" xr:uid="{00000000-0005-0000-0000-0000B86C0000}"/>
    <cellStyle name="Normal 5 3 9 3 4" xfId="32160" xr:uid="{00000000-0005-0000-0000-0000B96C0000}"/>
    <cellStyle name="Normal 5 3 9 4" xfId="8045" xr:uid="{00000000-0005-0000-0000-0000BA6C0000}"/>
    <cellStyle name="Normal 5 3 9 4 2" xfId="21976" xr:uid="{00000000-0005-0000-0000-0000BB6C0000}"/>
    <cellStyle name="Normal 5 3 9 4 2 2" xfId="47529" xr:uid="{00000000-0005-0000-0000-0000BC6C0000}"/>
    <cellStyle name="Normal 5 3 9 4 3" xfId="33602" xr:uid="{00000000-0005-0000-0000-0000BD6C0000}"/>
    <cellStyle name="Normal 5 3 9 5" xfId="16969" xr:uid="{00000000-0005-0000-0000-0000BE6C0000}"/>
    <cellStyle name="Normal 5 3 9 5 2" xfId="42522" xr:uid="{00000000-0005-0000-0000-0000BF6C0000}"/>
    <cellStyle name="Normal 5 3 9 6" xfId="28459" xr:uid="{00000000-0005-0000-0000-0000C06C0000}"/>
    <cellStyle name="Normal 5 3_Degree data" xfId="3892" xr:uid="{00000000-0005-0000-0000-0000C16C0000}"/>
    <cellStyle name="Normal 5 4" xfId="146" xr:uid="{00000000-0005-0000-0000-0000C26C0000}"/>
    <cellStyle name="Normal 5 4 10" xfId="1414" xr:uid="{00000000-0005-0000-0000-0000C36C0000}"/>
    <cellStyle name="Normal 5 4 10 2" xfId="10791" xr:uid="{00000000-0005-0000-0000-0000C46C0000}"/>
    <cellStyle name="Normal 5 4 10 2 2" xfId="36346" xr:uid="{00000000-0005-0000-0000-0000C56C0000}"/>
    <cellStyle name="Normal 5 4 10 3" xfId="20795" xr:uid="{00000000-0005-0000-0000-0000C66C0000}"/>
    <cellStyle name="Normal 5 4 10 3 2" xfId="46348" xr:uid="{00000000-0005-0000-0000-0000C76C0000}"/>
    <cellStyle name="Normal 5 4 10 4" xfId="27278" xr:uid="{00000000-0005-0000-0000-0000C86C0000}"/>
    <cellStyle name="Normal 5 4 11" xfId="5525" xr:uid="{00000000-0005-0000-0000-0000C96C0000}"/>
    <cellStyle name="Normal 5 4 11 2" xfId="14352" xr:uid="{00000000-0005-0000-0000-0000CA6C0000}"/>
    <cellStyle name="Normal 5 4 11 2 2" xfId="39907" xr:uid="{00000000-0005-0000-0000-0000CB6C0000}"/>
    <cellStyle name="Normal 5 4 11 3" xfId="24603" xr:uid="{00000000-0005-0000-0000-0000CC6C0000}"/>
    <cellStyle name="Normal 5 4 11 3 2" xfId="50156" xr:uid="{00000000-0005-0000-0000-0000CD6C0000}"/>
    <cellStyle name="Normal 5 4 11 4" xfId="31086" xr:uid="{00000000-0005-0000-0000-0000CE6C0000}"/>
    <cellStyle name="Normal 5 4 12" xfId="6966" xr:uid="{00000000-0005-0000-0000-0000CF6C0000}"/>
    <cellStyle name="Normal 5 4 12 2" xfId="19610" xr:uid="{00000000-0005-0000-0000-0000D06C0000}"/>
    <cellStyle name="Normal 5 4 12 2 2" xfId="45163" xr:uid="{00000000-0005-0000-0000-0000D16C0000}"/>
    <cellStyle name="Normal 5 4 12 3" xfId="32524" xr:uid="{00000000-0005-0000-0000-0000D26C0000}"/>
    <cellStyle name="Normal 5 4 13" xfId="15788" xr:uid="{00000000-0005-0000-0000-0000D36C0000}"/>
    <cellStyle name="Normal 5 4 13 2" xfId="41341" xr:uid="{00000000-0005-0000-0000-0000D46C0000}"/>
    <cellStyle name="Normal 5 4 14" xfId="26093" xr:uid="{00000000-0005-0000-0000-0000D56C0000}"/>
    <cellStyle name="Normal 5 4 2" xfId="196" xr:uid="{00000000-0005-0000-0000-0000D66C0000}"/>
    <cellStyle name="Normal 5 4 2 10" xfId="7144" xr:uid="{00000000-0005-0000-0000-0000D76C0000}"/>
    <cellStyle name="Normal 5 4 2 10 2" xfId="19653" xr:uid="{00000000-0005-0000-0000-0000D86C0000}"/>
    <cellStyle name="Normal 5 4 2 10 2 2" xfId="45206" xr:uid="{00000000-0005-0000-0000-0000D96C0000}"/>
    <cellStyle name="Normal 5 4 2 10 3" xfId="32701" xr:uid="{00000000-0005-0000-0000-0000DA6C0000}"/>
    <cellStyle name="Normal 5 4 2 11" xfId="15890" xr:uid="{00000000-0005-0000-0000-0000DB6C0000}"/>
    <cellStyle name="Normal 5 4 2 11 2" xfId="41443" xr:uid="{00000000-0005-0000-0000-0000DC6C0000}"/>
    <cellStyle name="Normal 5 4 2 12" xfId="26136" xr:uid="{00000000-0005-0000-0000-0000DD6C0000}"/>
    <cellStyle name="Normal 5 4 2 2" xfId="524" xr:uid="{00000000-0005-0000-0000-0000DE6C0000}"/>
    <cellStyle name="Normal 5 4 2 2 10" xfId="26453" xr:uid="{00000000-0005-0000-0000-0000DF6C0000}"/>
    <cellStyle name="Normal 5 4 2 2 2" xfId="810" xr:uid="{00000000-0005-0000-0000-0000E06C0000}"/>
    <cellStyle name="Normal 5 4 2 2 2 2" xfId="3295" xr:uid="{00000000-0005-0000-0000-0000E16C0000}"/>
    <cellStyle name="Normal 5 4 2 2 2 2 2" xfId="12437" xr:uid="{00000000-0005-0000-0000-0000E26C0000}"/>
    <cellStyle name="Normal 5 4 2 2 2 2 2 2" xfId="22656" xr:uid="{00000000-0005-0000-0000-0000E36C0000}"/>
    <cellStyle name="Normal 5 4 2 2 2 2 2 2 2" xfId="48209" xr:uid="{00000000-0005-0000-0000-0000E46C0000}"/>
    <cellStyle name="Normal 5 4 2 2 2 2 2 3" xfId="37992" xr:uid="{00000000-0005-0000-0000-0000E56C0000}"/>
    <cellStyle name="Normal 5 4 2 2 2 2 3" xfId="8859" xr:uid="{00000000-0005-0000-0000-0000E66C0000}"/>
    <cellStyle name="Normal 5 4 2 2 2 2 3 2" xfId="34416" xr:uid="{00000000-0005-0000-0000-0000E76C0000}"/>
    <cellStyle name="Normal 5 4 2 2 2 2 4" xfId="17649" xr:uid="{00000000-0005-0000-0000-0000E86C0000}"/>
    <cellStyle name="Normal 5 4 2 2 2 2 4 2" xfId="43202" xr:uid="{00000000-0005-0000-0000-0000E96C0000}"/>
    <cellStyle name="Normal 5 4 2 2 2 2 5" xfId="29139" xr:uid="{00000000-0005-0000-0000-0000EA6C0000}"/>
    <cellStyle name="Normal 5 4 2 2 2 3" xfId="4624" xr:uid="{00000000-0005-0000-0000-0000EB6C0000}"/>
    <cellStyle name="Normal 5 4 2 2 2 3 2" xfId="13462" xr:uid="{00000000-0005-0000-0000-0000EC6C0000}"/>
    <cellStyle name="Normal 5 4 2 2 2 3 2 2" xfId="23713" xr:uid="{00000000-0005-0000-0000-0000ED6C0000}"/>
    <cellStyle name="Normal 5 4 2 2 2 3 2 2 2" xfId="49266" xr:uid="{00000000-0005-0000-0000-0000EE6C0000}"/>
    <cellStyle name="Normal 5 4 2 2 2 3 2 3" xfId="39017" xr:uid="{00000000-0005-0000-0000-0000EF6C0000}"/>
    <cellStyle name="Normal 5 4 2 2 2 3 3" xfId="9883" xr:uid="{00000000-0005-0000-0000-0000F06C0000}"/>
    <cellStyle name="Normal 5 4 2 2 2 3 3 2" xfId="35440" xr:uid="{00000000-0005-0000-0000-0000F16C0000}"/>
    <cellStyle name="Normal 5 4 2 2 2 3 4" xfId="18706" xr:uid="{00000000-0005-0000-0000-0000F26C0000}"/>
    <cellStyle name="Normal 5 4 2 2 2 3 4 2" xfId="44259" xr:uid="{00000000-0005-0000-0000-0000F36C0000}"/>
    <cellStyle name="Normal 5 4 2 2 2 3 5" xfId="30196" xr:uid="{00000000-0005-0000-0000-0000F46C0000}"/>
    <cellStyle name="Normal 5 4 2 2 2 4" xfId="2404" xr:uid="{00000000-0005-0000-0000-0000F56C0000}"/>
    <cellStyle name="Normal 5 4 2 2 2 4 2" xfId="11769" xr:uid="{00000000-0005-0000-0000-0000F66C0000}"/>
    <cellStyle name="Normal 5 4 2 2 2 4 2 2" xfId="37324" xr:uid="{00000000-0005-0000-0000-0000F76C0000}"/>
    <cellStyle name="Normal 5 4 2 2 2 4 3" xfId="21773" xr:uid="{00000000-0005-0000-0000-0000F86C0000}"/>
    <cellStyle name="Normal 5 4 2 2 2 4 3 2" xfId="47326" xr:uid="{00000000-0005-0000-0000-0000F96C0000}"/>
    <cellStyle name="Normal 5 4 2 2 2 4 4" xfId="28256" xr:uid="{00000000-0005-0000-0000-0000FA6C0000}"/>
    <cellStyle name="Normal 5 4 2 2 2 5" xfId="6080" xr:uid="{00000000-0005-0000-0000-0000FB6C0000}"/>
    <cellStyle name="Normal 5 4 2 2 2 5 2" xfId="14907" xr:uid="{00000000-0005-0000-0000-0000FC6C0000}"/>
    <cellStyle name="Normal 5 4 2 2 2 5 2 2" xfId="40462" xr:uid="{00000000-0005-0000-0000-0000FD6C0000}"/>
    <cellStyle name="Normal 5 4 2 2 2 5 3" xfId="25158" xr:uid="{00000000-0005-0000-0000-0000FE6C0000}"/>
    <cellStyle name="Normal 5 4 2 2 2 5 3 2" xfId="50711" xr:uid="{00000000-0005-0000-0000-0000FF6C0000}"/>
    <cellStyle name="Normal 5 4 2 2 2 5 4" xfId="31641" xr:uid="{00000000-0005-0000-0000-0000006D0000}"/>
    <cellStyle name="Normal 5 4 2 2 2 6" xfId="7525" xr:uid="{00000000-0005-0000-0000-0000016D0000}"/>
    <cellStyle name="Normal 5 4 2 2 2 6 2" xfId="20255" xr:uid="{00000000-0005-0000-0000-0000026D0000}"/>
    <cellStyle name="Normal 5 4 2 2 2 6 2 2" xfId="45808" xr:uid="{00000000-0005-0000-0000-0000036D0000}"/>
    <cellStyle name="Normal 5 4 2 2 2 6 3" xfId="33082" xr:uid="{00000000-0005-0000-0000-0000046D0000}"/>
    <cellStyle name="Normal 5 4 2 2 2 7" xfId="16766" xr:uid="{00000000-0005-0000-0000-0000056D0000}"/>
    <cellStyle name="Normal 5 4 2 2 2 7 2" xfId="42319" xr:uid="{00000000-0005-0000-0000-0000066D0000}"/>
    <cellStyle name="Normal 5 4 2 2 2 8" xfId="26738" xr:uid="{00000000-0005-0000-0000-0000076D0000}"/>
    <cellStyle name="Normal 5 4 2 2 3" xfId="1296" xr:uid="{00000000-0005-0000-0000-0000086D0000}"/>
    <cellStyle name="Normal 5 4 2 2 3 2" xfId="3725" xr:uid="{00000000-0005-0000-0000-0000096D0000}"/>
    <cellStyle name="Normal 5 4 2 2 3 2 2" xfId="12861" xr:uid="{00000000-0005-0000-0000-00000A6D0000}"/>
    <cellStyle name="Normal 5 4 2 2 3 2 2 2" xfId="23080" xr:uid="{00000000-0005-0000-0000-00000B6D0000}"/>
    <cellStyle name="Normal 5 4 2 2 3 2 2 2 2" xfId="48633" xr:uid="{00000000-0005-0000-0000-00000C6D0000}"/>
    <cellStyle name="Normal 5 4 2 2 3 2 2 3" xfId="38416" xr:uid="{00000000-0005-0000-0000-00000D6D0000}"/>
    <cellStyle name="Normal 5 4 2 2 3 2 3" xfId="9282" xr:uid="{00000000-0005-0000-0000-00000E6D0000}"/>
    <cellStyle name="Normal 5 4 2 2 3 2 3 2" xfId="34839" xr:uid="{00000000-0005-0000-0000-00000F6D0000}"/>
    <cellStyle name="Normal 5 4 2 2 3 2 4" xfId="18073" xr:uid="{00000000-0005-0000-0000-0000106D0000}"/>
    <cellStyle name="Normal 5 4 2 2 3 2 4 2" xfId="43626" xr:uid="{00000000-0005-0000-0000-0000116D0000}"/>
    <cellStyle name="Normal 5 4 2 2 3 2 5" xfId="29563" xr:uid="{00000000-0005-0000-0000-0000126D0000}"/>
    <cellStyle name="Normal 5 4 2 2 3 3" xfId="4973" xr:uid="{00000000-0005-0000-0000-0000136D0000}"/>
    <cellStyle name="Normal 5 4 2 2 3 3 2" xfId="13810" xr:uid="{00000000-0005-0000-0000-0000146D0000}"/>
    <cellStyle name="Normal 5 4 2 2 3 3 2 2" xfId="24061" xr:uid="{00000000-0005-0000-0000-0000156D0000}"/>
    <cellStyle name="Normal 5 4 2 2 3 3 2 2 2" xfId="49614" xr:uid="{00000000-0005-0000-0000-0000166D0000}"/>
    <cellStyle name="Normal 5 4 2 2 3 3 2 3" xfId="39365" xr:uid="{00000000-0005-0000-0000-0000176D0000}"/>
    <cellStyle name="Normal 5 4 2 2 3 3 3" xfId="10231" xr:uid="{00000000-0005-0000-0000-0000186D0000}"/>
    <cellStyle name="Normal 5 4 2 2 3 3 3 2" xfId="35788" xr:uid="{00000000-0005-0000-0000-0000196D0000}"/>
    <cellStyle name="Normal 5 4 2 2 3 3 4" xfId="19054" xr:uid="{00000000-0005-0000-0000-00001A6D0000}"/>
    <cellStyle name="Normal 5 4 2 2 3 3 4 2" xfId="44607" xr:uid="{00000000-0005-0000-0000-00001B6D0000}"/>
    <cellStyle name="Normal 5 4 2 2 3 3 5" xfId="30544" xr:uid="{00000000-0005-0000-0000-00001C6D0000}"/>
    <cellStyle name="Normal 5 4 2 2 3 4" xfId="2119" xr:uid="{00000000-0005-0000-0000-00001D6D0000}"/>
    <cellStyle name="Normal 5 4 2 2 3 4 2" xfId="11484" xr:uid="{00000000-0005-0000-0000-00001E6D0000}"/>
    <cellStyle name="Normal 5 4 2 2 3 4 2 2" xfId="37039" xr:uid="{00000000-0005-0000-0000-00001F6D0000}"/>
    <cellStyle name="Normal 5 4 2 2 3 4 3" xfId="21488" xr:uid="{00000000-0005-0000-0000-0000206D0000}"/>
    <cellStyle name="Normal 5 4 2 2 3 4 3 2" xfId="47041" xr:uid="{00000000-0005-0000-0000-0000216D0000}"/>
    <cellStyle name="Normal 5 4 2 2 3 4 4" xfId="27971" xr:uid="{00000000-0005-0000-0000-0000226D0000}"/>
    <cellStyle name="Normal 5 4 2 2 3 5" xfId="6428" xr:uid="{00000000-0005-0000-0000-0000236D0000}"/>
    <cellStyle name="Normal 5 4 2 2 3 5 2" xfId="15255" xr:uid="{00000000-0005-0000-0000-0000246D0000}"/>
    <cellStyle name="Normal 5 4 2 2 3 5 2 2" xfId="40810" xr:uid="{00000000-0005-0000-0000-0000256D0000}"/>
    <cellStyle name="Normal 5 4 2 2 3 5 3" xfId="25506" xr:uid="{00000000-0005-0000-0000-0000266D0000}"/>
    <cellStyle name="Normal 5 4 2 2 3 5 3 2" xfId="51059" xr:uid="{00000000-0005-0000-0000-0000276D0000}"/>
    <cellStyle name="Normal 5 4 2 2 3 5 4" xfId="31989" xr:uid="{00000000-0005-0000-0000-0000286D0000}"/>
    <cellStyle name="Normal 5 4 2 2 3 6" xfId="7874" xr:uid="{00000000-0005-0000-0000-0000296D0000}"/>
    <cellStyle name="Normal 5 4 2 2 3 6 2" xfId="20679" xr:uid="{00000000-0005-0000-0000-00002A6D0000}"/>
    <cellStyle name="Normal 5 4 2 2 3 6 2 2" xfId="46232" xr:uid="{00000000-0005-0000-0000-00002B6D0000}"/>
    <cellStyle name="Normal 5 4 2 2 3 6 3" xfId="33431" xr:uid="{00000000-0005-0000-0000-00002C6D0000}"/>
    <cellStyle name="Normal 5 4 2 2 3 7" xfId="16481" xr:uid="{00000000-0005-0000-0000-00002D6D0000}"/>
    <cellStyle name="Normal 5 4 2 2 3 7 2" xfId="42034" xr:uid="{00000000-0005-0000-0000-00002E6D0000}"/>
    <cellStyle name="Normal 5 4 2 2 3 8" xfId="27162" xr:uid="{00000000-0005-0000-0000-00002F6D0000}"/>
    <cellStyle name="Normal 5 4 2 2 4" xfId="3010" xr:uid="{00000000-0005-0000-0000-0000306D0000}"/>
    <cellStyle name="Normal 5 4 2 2 4 2" xfId="5388" xr:uid="{00000000-0005-0000-0000-0000316D0000}"/>
    <cellStyle name="Normal 5 4 2 2 4 2 2" xfId="14225" xr:uid="{00000000-0005-0000-0000-0000326D0000}"/>
    <cellStyle name="Normal 5 4 2 2 4 2 2 2" xfId="24476" xr:uid="{00000000-0005-0000-0000-0000336D0000}"/>
    <cellStyle name="Normal 5 4 2 2 4 2 2 2 2" xfId="50029" xr:uid="{00000000-0005-0000-0000-0000346D0000}"/>
    <cellStyle name="Normal 5 4 2 2 4 2 2 3" xfId="39780" xr:uid="{00000000-0005-0000-0000-0000356D0000}"/>
    <cellStyle name="Normal 5 4 2 2 4 2 3" xfId="10646" xr:uid="{00000000-0005-0000-0000-0000366D0000}"/>
    <cellStyle name="Normal 5 4 2 2 4 2 3 2" xfId="36203" xr:uid="{00000000-0005-0000-0000-0000376D0000}"/>
    <cellStyle name="Normal 5 4 2 2 4 2 4" xfId="19469" xr:uid="{00000000-0005-0000-0000-0000386D0000}"/>
    <cellStyle name="Normal 5 4 2 2 4 2 4 2" xfId="45022" xr:uid="{00000000-0005-0000-0000-0000396D0000}"/>
    <cellStyle name="Normal 5 4 2 2 4 2 5" xfId="30959" xr:uid="{00000000-0005-0000-0000-00003A6D0000}"/>
    <cellStyle name="Normal 5 4 2 2 4 3" xfId="6843" xr:uid="{00000000-0005-0000-0000-00003B6D0000}"/>
    <cellStyle name="Normal 5 4 2 2 4 3 2" xfId="15670" xr:uid="{00000000-0005-0000-0000-00003C6D0000}"/>
    <cellStyle name="Normal 5 4 2 2 4 3 2 2" xfId="41225" xr:uid="{00000000-0005-0000-0000-00003D6D0000}"/>
    <cellStyle name="Normal 5 4 2 2 4 3 3" xfId="25921" xr:uid="{00000000-0005-0000-0000-00003E6D0000}"/>
    <cellStyle name="Normal 5 4 2 2 4 3 3 2" xfId="51474" xr:uid="{00000000-0005-0000-0000-00003F6D0000}"/>
    <cellStyle name="Normal 5 4 2 2 4 3 4" xfId="32404" xr:uid="{00000000-0005-0000-0000-0000406D0000}"/>
    <cellStyle name="Normal 5 4 2 2 4 4" xfId="8289" xr:uid="{00000000-0005-0000-0000-0000416D0000}"/>
    <cellStyle name="Normal 5 4 2 2 4 4 2" xfId="22371" xr:uid="{00000000-0005-0000-0000-0000426D0000}"/>
    <cellStyle name="Normal 5 4 2 2 4 4 2 2" xfId="47924" xr:uid="{00000000-0005-0000-0000-0000436D0000}"/>
    <cellStyle name="Normal 5 4 2 2 4 4 3" xfId="33846" xr:uid="{00000000-0005-0000-0000-0000446D0000}"/>
    <cellStyle name="Normal 5 4 2 2 4 5" xfId="17364" xr:uid="{00000000-0005-0000-0000-0000456D0000}"/>
    <cellStyle name="Normal 5 4 2 2 4 5 2" xfId="42917" xr:uid="{00000000-0005-0000-0000-0000466D0000}"/>
    <cellStyle name="Normal 5 4 2 2 4 6" xfId="28854" xr:uid="{00000000-0005-0000-0000-0000476D0000}"/>
    <cellStyle name="Normal 5 4 2 2 5" xfId="4344" xr:uid="{00000000-0005-0000-0000-0000486D0000}"/>
    <cellStyle name="Normal 5 4 2 2 5 2" xfId="13182" xr:uid="{00000000-0005-0000-0000-0000496D0000}"/>
    <cellStyle name="Normal 5 4 2 2 5 2 2" xfId="23433" xr:uid="{00000000-0005-0000-0000-00004A6D0000}"/>
    <cellStyle name="Normal 5 4 2 2 5 2 2 2" xfId="48986" xr:uid="{00000000-0005-0000-0000-00004B6D0000}"/>
    <cellStyle name="Normal 5 4 2 2 5 2 3" xfId="38737" xr:uid="{00000000-0005-0000-0000-00004C6D0000}"/>
    <cellStyle name="Normal 5 4 2 2 5 3" xfId="9603" xr:uid="{00000000-0005-0000-0000-00004D6D0000}"/>
    <cellStyle name="Normal 5 4 2 2 5 3 2" xfId="35160" xr:uid="{00000000-0005-0000-0000-00004E6D0000}"/>
    <cellStyle name="Normal 5 4 2 2 5 4" xfId="18426" xr:uid="{00000000-0005-0000-0000-00004F6D0000}"/>
    <cellStyle name="Normal 5 4 2 2 5 4 2" xfId="43979" xr:uid="{00000000-0005-0000-0000-0000506D0000}"/>
    <cellStyle name="Normal 5 4 2 2 5 5" xfId="29916" xr:uid="{00000000-0005-0000-0000-0000516D0000}"/>
    <cellStyle name="Normal 5 4 2 2 6" xfId="1616" xr:uid="{00000000-0005-0000-0000-0000526D0000}"/>
    <cellStyle name="Normal 5 4 2 2 6 2" xfId="10993" xr:uid="{00000000-0005-0000-0000-0000536D0000}"/>
    <cellStyle name="Normal 5 4 2 2 6 2 2" xfId="36548" xr:uid="{00000000-0005-0000-0000-0000546D0000}"/>
    <cellStyle name="Normal 5 4 2 2 6 3" xfId="20997" xr:uid="{00000000-0005-0000-0000-0000556D0000}"/>
    <cellStyle name="Normal 5 4 2 2 6 3 2" xfId="46550" xr:uid="{00000000-0005-0000-0000-0000566D0000}"/>
    <cellStyle name="Normal 5 4 2 2 6 4" xfId="27480" xr:uid="{00000000-0005-0000-0000-0000576D0000}"/>
    <cellStyle name="Normal 5 4 2 2 7" xfId="5800" xr:uid="{00000000-0005-0000-0000-0000586D0000}"/>
    <cellStyle name="Normal 5 4 2 2 7 2" xfId="14627" xr:uid="{00000000-0005-0000-0000-0000596D0000}"/>
    <cellStyle name="Normal 5 4 2 2 7 2 2" xfId="40182" xr:uid="{00000000-0005-0000-0000-00005A6D0000}"/>
    <cellStyle name="Normal 5 4 2 2 7 3" xfId="24878" xr:uid="{00000000-0005-0000-0000-00005B6D0000}"/>
    <cellStyle name="Normal 5 4 2 2 7 3 2" xfId="50431" xr:uid="{00000000-0005-0000-0000-00005C6D0000}"/>
    <cellStyle name="Normal 5 4 2 2 7 4" xfId="31361" xr:uid="{00000000-0005-0000-0000-00005D6D0000}"/>
    <cellStyle name="Normal 5 4 2 2 8" xfId="7244" xr:uid="{00000000-0005-0000-0000-00005E6D0000}"/>
    <cellStyle name="Normal 5 4 2 2 8 2" xfId="19970" xr:uid="{00000000-0005-0000-0000-00005F6D0000}"/>
    <cellStyle name="Normal 5 4 2 2 8 2 2" xfId="45523" xr:uid="{00000000-0005-0000-0000-0000606D0000}"/>
    <cellStyle name="Normal 5 4 2 2 8 3" xfId="32801" xr:uid="{00000000-0005-0000-0000-0000616D0000}"/>
    <cellStyle name="Normal 5 4 2 2 9" xfId="15990" xr:uid="{00000000-0005-0000-0000-0000626D0000}"/>
    <cellStyle name="Normal 5 4 2 2 9 2" xfId="41543" xr:uid="{00000000-0005-0000-0000-0000636D0000}"/>
    <cellStyle name="Normal 5 4 2 2_Degree data" xfId="3859" xr:uid="{00000000-0005-0000-0000-0000646D0000}"/>
    <cellStyle name="Normal 5 4 2 3" xfId="424" xr:uid="{00000000-0005-0000-0000-0000656D0000}"/>
    <cellStyle name="Normal 5 4 2 3 2" xfId="2910" xr:uid="{00000000-0005-0000-0000-0000666D0000}"/>
    <cellStyle name="Normal 5 4 2 3 2 2" xfId="12198" xr:uid="{00000000-0005-0000-0000-0000676D0000}"/>
    <cellStyle name="Normal 5 4 2 3 2 2 2" xfId="22271" xr:uid="{00000000-0005-0000-0000-0000686D0000}"/>
    <cellStyle name="Normal 5 4 2 3 2 2 2 2" xfId="47824" xr:uid="{00000000-0005-0000-0000-0000696D0000}"/>
    <cellStyle name="Normal 5 4 2 3 2 2 3" xfId="37753" xr:uid="{00000000-0005-0000-0000-00006A6D0000}"/>
    <cellStyle name="Normal 5 4 2 3 2 3" xfId="8620" xr:uid="{00000000-0005-0000-0000-00006B6D0000}"/>
    <cellStyle name="Normal 5 4 2 3 2 3 2" xfId="34177" xr:uid="{00000000-0005-0000-0000-00006C6D0000}"/>
    <cellStyle name="Normal 5 4 2 3 2 4" xfId="17264" xr:uid="{00000000-0005-0000-0000-00006D6D0000}"/>
    <cellStyle name="Normal 5 4 2 3 2 4 2" xfId="42817" xr:uid="{00000000-0005-0000-0000-00006E6D0000}"/>
    <cellStyle name="Normal 5 4 2 3 2 5" xfId="28754" xr:uid="{00000000-0005-0000-0000-00006F6D0000}"/>
    <cellStyle name="Normal 5 4 2 3 3" xfId="4623" xr:uid="{00000000-0005-0000-0000-0000706D0000}"/>
    <cellStyle name="Normal 5 4 2 3 3 2" xfId="13461" xr:uid="{00000000-0005-0000-0000-0000716D0000}"/>
    <cellStyle name="Normal 5 4 2 3 3 2 2" xfId="23712" xr:uid="{00000000-0005-0000-0000-0000726D0000}"/>
    <cellStyle name="Normal 5 4 2 3 3 2 2 2" xfId="49265" xr:uid="{00000000-0005-0000-0000-0000736D0000}"/>
    <cellStyle name="Normal 5 4 2 3 3 2 3" xfId="39016" xr:uid="{00000000-0005-0000-0000-0000746D0000}"/>
    <cellStyle name="Normal 5 4 2 3 3 3" xfId="9882" xr:uid="{00000000-0005-0000-0000-0000756D0000}"/>
    <cellStyle name="Normal 5 4 2 3 3 3 2" xfId="35439" xr:uid="{00000000-0005-0000-0000-0000766D0000}"/>
    <cellStyle name="Normal 5 4 2 3 3 4" xfId="18705" xr:uid="{00000000-0005-0000-0000-0000776D0000}"/>
    <cellStyle name="Normal 5 4 2 3 3 4 2" xfId="44258" xr:uid="{00000000-0005-0000-0000-0000786D0000}"/>
    <cellStyle name="Normal 5 4 2 3 3 5" xfId="30195" xr:uid="{00000000-0005-0000-0000-0000796D0000}"/>
    <cellStyle name="Normal 5 4 2 3 4" xfId="2019" xr:uid="{00000000-0005-0000-0000-00007A6D0000}"/>
    <cellStyle name="Normal 5 4 2 3 4 2" xfId="11384" xr:uid="{00000000-0005-0000-0000-00007B6D0000}"/>
    <cellStyle name="Normal 5 4 2 3 4 2 2" xfId="36939" xr:uid="{00000000-0005-0000-0000-00007C6D0000}"/>
    <cellStyle name="Normal 5 4 2 3 4 3" xfId="21388" xr:uid="{00000000-0005-0000-0000-00007D6D0000}"/>
    <cellStyle name="Normal 5 4 2 3 4 3 2" xfId="46941" xr:uid="{00000000-0005-0000-0000-00007E6D0000}"/>
    <cellStyle name="Normal 5 4 2 3 4 4" xfId="27871" xr:uid="{00000000-0005-0000-0000-00007F6D0000}"/>
    <cellStyle name="Normal 5 4 2 3 5" xfId="6079" xr:uid="{00000000-0005-0000-0000-0000806D0000}"/>
    <cellStyle name="Normal 5 4 2 3 5 2" xfId="14906" xr:uid="{00000000-0005-0000-0000-0000816D0000}"/>
    <cellStyle name="Normal 5 4 2 3 5 2 2" xfId="40461" xr:uid="{00000000-0005-0000-0000-0000826D0000}"/>
    <cellStyle name="Normal 5 4 2 3 5 3" xfId="25157" xr:uid="{00000000-0005-0000-0000-0000836D0000}"/>
    <cellStyle name="Normal 5 4 2 3 5 3 2" xfId="50710" xr:uid="{00000000-0005-0000-0000-0000846D0000}"/>
    <cellStyle name="Normal 5 4 2 3 5 4" xfId="31640" xr:uid="{00000000-0005-0000-0000-0000856D0000}"/>
    <cellStyle name="Normal 5 4 2 3 6" xfId="7524" xr:uid="{00000000-0005-0000-0000-0000866D0000}"/>
    <cellStyle name="Normal 5 4 2 3 6 2" xfId="19870" xr:uid="{00000000-0005-0000-0000-0000876D0000}"/>
    <cellStyle name="Normal 5 4 2 3 6 2 2" xfId="45423" xr:uid="{00000000-0005-0000-0000-0000886D0000}"/>
    <cellStyle name="Normal 5 4 2 3 6 3" xfId="33081" xr:uid="{00000000-0005-0000-0000-0000896D0000}"/>
    <cellStyle name="Normal 5 4 2 3 7" xfId="16381" xr:uid="{00000000-0005-0000-0000-00008A6D0000}"/>
    <cellStyle name="Normal 5 4 2 3 7 2" xfId="41934" xr:uid="{00000000-0005-0000-0000-00008B6D0000}"/>
    <cellStyle name="Normal 5 4 2 3 8" xfId="26353" xr:uid="{00000000-0005-0000-0000-00008C6D0000}"/>
    <cellStyle name="Normal 5 4 2 4" xfId="809" xr:uid="{00000000-0005-0000-0000-00008D6D0000}"/>
    <cellStyle name="Normal 5 4 2 4 2" xfId="3294" xr:uid="{00000000-0005-0000-0000-00008E6D0000}"/>
    <cellStyle name="Normal 5 4 2 4 2 2" xfId="12436" xr:uid="{00000000-0005-0000-0000-00008F6D0000}"/>
    <cellStyle name="Normal 5 4 2 4 2 2 2" xfId="22655" xr:uid="{00000000-0005-0000-0000-0000906D0000}"/>
    <cellStyle name="Normal 5 4 2 4 2 2 2 2" xfId="48208" xr:uid="{00000000-0005-0000-0000-0000916D0000}"/>
    <cellStyle name="Normal 5 4 2 4 2 2 3" xfId="37991" xr:uid="{00000000-0005-0000-0000-0000926D0000}"/>
    <cellStyle name="Normal 5 4 2 4 2 3" xfId="8858" xr:uid="{00000000-0005-0000-0000-0000936D0000}"/>
    <cellStyle name="Normal 5 4 2 4 2 3 2" xfId="34415" xr:uid="{00000000-0005-0000-0000-0000946D0000}"/>
    <cellStyle name="Normal 5 4 2 4 2 4" xfId="17648" xr:uid="{00000000-0005-0000-0000-0000956D0000}"/>
    <cellStyle name="Normal 5 4 2 4 2 4 2" xfId="43201" xr:uid="{00000000-0005-0000-0000-0000966D0000}"/>
    <cellStyle name="Normal 5 4 2 4 2 5" xfId="29138" xr:uid="{00000000-0005-0000-0000-0000976D0000}"/>
    <cellStyle name="Normal 5 4 2 4 3" xfId="4972" xr:uid="{00000000-0005-0000-0000-0000986D0000}"/>
    <cellStyle name="Normal 5 4 2 4 3 2" xfId="13809" xr:uid="{00000000-0005-0000-0000-0000996D0000}"/>
    <cellStyle name="Normal 5 4 2 4 3 2 2" xfId="24060" xr:uid="{00000000-0005-0000-0000-00009A6D0000}"/>
    <cellStyle name="Normal 5 4 2 4 3 2 2 2" xfId="49613" xr:uid="{00000000-0005-0000-0000-00009B6D0000}"/>
    <cellStyle name="Normal 5 4 2 4 3 2 3" xfId="39364" xr:uid="{00000000-0005-0000-0000-00009C6D0000}"/>
    <cellStyle name="Normal 5 4 2 4 3 3" xfId="10230" xr:uid="{00000000-0005-0000-0000-00009D6D0000}"/>
    <cellStyle name="Normal 5 4 2 4 3 3 2" xfId="35787" xr:uid="{00000000-0005-0000-0000-00009E6D0000}"/>
    <cellStyle name="Normal 5 4 2 4 3 4" xfId="19053" xr:uid="{00000000-0005-0000-0000-00009F6D0000}"/>
    <cellStyle name="Normal 5 4 2 4 3 4 2" xfId="44606" xr:uid="{00000000-0005-0000-0000-0000A06D0000}"/>
    <cellStyle name="Normal 5 4 2 4 3 5" xfId="30543" xr:uid="{00000000-0005-0000-0000-0000A16D0000}"/>
    <cellStyle name="Normal 5 4 2 4 4" xfId="2403" xr:uid="{00000000-0005-0000-0000-0000A26D0000}"/>
    <cellStyle name="Normal 5 4 2 4 4 2" xfId="11768" xr:uid="{00000000-0005-0000-0000-0000A36D0000}"/>
    <cellStyle name="Normal 5 4 2 4 4 2 2" xfId="37323" xr:uid="{00000000-0005-0000-0000-0000A46D0000}"/>
    <cellStyle name="Normal 5 4 2 4 4 3" xfId="21772" xr:uid="{00000000-0005-0000-0000-0000A56D0000}"/>
    <cellStyle name="Normal 5 4 2 4 4 3 2" xfId="47325" xr:uid="{00000000-0005-0000-0000-0000A66D0000}"/>
    <cellStyle name="Normal 5 4 2 4 4 4" xfId="28255" xr:uid="{00000000-0005-0000-0000-0000A76D0000}"/>
    <cellStyle name="Normal 5 4 2 4 5" xfId="6427" xr:uid="{00000000-0005-0000-0000-0000A86D0000}"/>
    <cellStyle name="Normal 5 4 2 4 5 2" xfId="15254" xr:uid="{00000000-0005-0000-0000-0000A96D0000}"/>
    <cellStyle name="Normal 5 4 2 4 5 2 2" xfId="40809" xr:uid="{00000000-0005-0000-0000-0000AA6D0000}"/>
    <cellStyle name="Normal 5 4 2 4 5 3" xfId="25505" xr:uid="{00000000-0005-0000-0000-0000AB6D0000}"/>
    <cellStyle name="Normal 5 4 2 4 5 3 2" xfId="51058" xr:uid="{00000000-0005-0000-0000-0000AC6D0000}"/>
    <cellStyle name="Normal 5 4 2 4 5 4" xfId="31988" xr:uid="{00000000-0005-0000-0000-0000AD6D0000}"/>
    <cellStyle name="Normal 5 4 2 4 6" xfId="7873" xr:uid="{00000000-0005-0000-0000-0000AE6D0000}"/>
    <cellStyle name="Normal 5 4 2 4 6 2" xfId="20254" xr:uid="{00000000-0005-0000-0000-0000AF6D0000}"/>
    <cellStyle name="Normal 5 4 2 4 6 2 2" xfId="45807" xr:uid="{00000000-0005-0000-0000-0000B06D0000}"/>
    <cellStyle name="Normal 5 4 2 4 6 3" xfId="33430" xr:uid="{00000000-0005-0000-0000-0000B16D0000}"/>
    <cellStyle name="Normal 5 4 2 4 7" xfId="16765" xr:uid="{00000000-0005-0000-0000-0000B26D0000}"/>
    <cellStyle name="Normal 5 4 2 4 7 2" xfId="42318" xr:uid="{00000000-0005-0000-0000-0000B36D0000}"/>
    <cellStyle name="Normal 5 4 2 4 8" xfId="26737" xr:uid="{00000000-0005-0000-0000-0000B46D0000}"/>
    <cellStyle name="Normal 5 4 2 5" xfId="1196" xr:uid="{00000000-0005-0000-0000-0000B56D0000}"/>
    <cellStyle name="Normal 5 4 2 5 2" xfId="3625" xr:uid="{00000000-0005-0000-0000-0000B66D0000}"/>
    <cellStyle name="Normal 5 4 2 5 2 2" xfId="12761" xr:uid="{00000000-0005-0000-0000-0000B76D0000}"/>
    <cellStyle name="Normal 5 4 2 5 2 2 2" xfId="22980" xr:uid="{00000000-0005-0000-0000-0000B86D0000}"/>
    <cellStyle name="Normal 5 4 2 5 2 2 2 2" xfId="48533" xr:uid="{00000000-0005-0000-0000-0000B96D0000}"/>
    <cellStyle name="Normal 5 4 2 5 2 2 3" xfId="38316" xr:uid="{00000000-0005-0000-0000-0000BA6D0000}"/>
    <cellStyle name="Normal 5 4 2 5 2 3" xfId="9182" xr:uid="{00000000-0005-0000-0000-0000BB6D0000}"/>
    <cellStyle name="Normal 5 4 2 5 2 3 2" xfId="34739" xr:uid="{00000000-0005-0000-0000-0000BC6D0000}"/>
    <cellStyle name="Normal 5 4 2 5 2 4" xfId="17973" xr:uid="{00000000-0005-0000-0000-0000BD6D0000}"/>
    <cellStyle name="Normal 5 4 2 5 2 4 2" xfId="43526" xr:uid="{00000000-0005-0000-0000-0000BE6D0000}"/>
    <cellStyle name="Normal 5 4 2 5 2 5" xfId="29463" xr:uid="{00000000-0005-0000-0000-0000BF6D0000}"/>
    <cellStyle name="Normal 5 4 2 5 3" xfId="5288" xr:uid="{00000000-0005-0000-0000-0000C06D0000}"/>
    <cellStyle name="Normal 5 4 2 5 3 2" xfId="14125" xr:uid="{00000000-0005-0000-0000-0000C16D0000}"/>
    <cellStyle name="Normal 5 4 2 5 3 2 2" xfId="24376" xr:uid="{00000000-0005-0000-0000-0000C26D0000}"/>
    <cellStyle name="Normal 5 4 2 5 3 2 2 2" xfId="49929" xr:uid="{00000000-0005-0000-0000-0000C36D0000}"/>
    <cellStyle name="Normal 5 4 2 5 3 2 3" xfId="39680" xr:uid="{00000000-0005-0000-0000-0000C46D0000}"/>
    <cellStyle name="Normal 5 4 2 5 3 3" xfId="10546" xr:uid="{00000000-0005-0000-0000-0000C56D0000}"/>
    <cellStyle name="Normal 5 4 2 5 3 3 2" xfId="36103" xr:uid="{00000000-0005-0000-0000-0000C66D0000}"/>
    <cellStyle name="Normal 5 4 2 5 3 4" xfId="19369" xr:uid="{00000000-0005-0000-0000-0000C76D0000}"/>
    <cellStyle name="Normal 5 4 2 5 3 4 2" xfId="44922" xr:uid="{00000000-0005-0000-0000-0000C86D0000}"/>
    <cellStyle name="Normal 5 4 2 5 3 5" xfId="30859" xr:uid="{00000000-0005-0000-0000-0000C96D0000}"/>
    <cellStyle name="Normal 5 4 2 5 4" xfId="1798" xr:uid="{00000000-0005-0000-0000-0000CA6D0000}"/>
    <cellStyle name="Normal 5 4 2 5 4 2" xfId="11167" xr:uid="{00000000-0005-0000-0000-0000CB6D0000}"/>
    <cellStyle name="Normal 5 4 2 5 4 2 2" xfId="36722" xr:uid="{00000000-0005-0000-0000-0000CC6D0000}"/>
    <cellStyle name="Normal 5 4 2 5 4 3" xfId="21171" xr:uid="{00000000-0005-0000-0000-0000CD6D0000}"/>
    <cellStyle name="Normal 5 4 2 5 4 3 2" xfId="46724" xr:uid="{00000000-0005-0000-0000-0000CE6D0000}"/>
    <cellStyle name="Normal 5 4 2 5 4 4" xfId="27654" xr:uid="{00000000-0005-0000-0000-0000CF6D0000}"/>
    <cellStyle name="Normal 5 4 2 5 5" xfId="6743" xr:uid="{00000000-0005-0000-0000-0000D06D0000}"/>
    <cellStyle name="Normal 5 4 2 5 5 2" xfId="15570" xr:uid="{00000000-0005-0000-0000-0000D16D0000}"/>
    <cellStyle name="Normal 5 4 2 5 5 2 2" xfId="41125" xr:uid="{00000000-0005-0000-0000-0000D26D0000}"/>
    <cellStyle name="Normal 5 4 2 5 5 3" xfId="25821" xr:uid="{00000000-0005-0000-0000-0000D36D0000}"/>
    <cellStyle name="Normal 5 4 2 5 5 3 2" xfId="51374" xr:uid="{00000000-0005-0000-0000-0000D46D0000}"/>
    <cellStyle name="Normal 5 4 2 5 5 4" xfId="32304" xr:uid="{00000000-0005-0000-0000-0000D56D0000}"/>
    <cellStyle name="Normal 5 4 2 5 6" xfId="8189" xr:uid="{00000000-0005-0000-0000-0000D66D0000}"/>
    <cellStyle name="Normal 5 4 2 5 6 2" xfId="20579" xr:uid="{00000000-0005-0000-0000-0000D76D0000}"/>
    <cellStyle name="Normal 5 4 2 5 6 2 2" xfId="46132" xr:uid="{00000000-0005-0000-0000-0000D86D0000}"/>
    <cellStyle name="Normal 5 4 2 5 6 3" xfId="33746" xr:uid="{00000000-0005-0000-0000-0000D96D0000}"/>
    <cellStyle name="Normal 5 4 2 5 7" xfId="16164" xr:uid="{00000000-0005-0000-0000-0000DA6D0000}"/>
    <cellStyle name="Normal 5 4 2 5 7 2" xfId="41717" xr:uid="{00000000-0005-0000-0000-0000DB6D0000}"/>
    <cellStyle name="Normal 5 4 2 5 8" xfId="27062" xr:uid="{00000000-0005-0000-0000-0000DC6D0000}"/>
    <cellStyle name="Normal 5 4 2 6" xfId="2693" xr:uid="{00000000-0005-0000-0000-0000DD6D0000}"/>
    <cellStyle name="Normal 5 4 2 6 2" xfId="12010" xr:uid="{00000000-0005-0000-0000-0000DE6D0000}"/>
    <cellStyle name="Normal 5 4 2 6 2 2" xfId="22054" xr:uid="{00000000-0005-0000-0000-0000DF6D0000}"/>
    <cellStyle name="Normal 5 4 2 6 2 2 2" xfId="47607" xr:uid="{00000000-0005-0000-0000-0000E06D0000}"/>
    <cellStyle name="Normal 5 4 2 6 2 3" xfId="37565" xr:uid="{00000000-0005-0000-0000-0000E16D0000}"/>
    <cellStyle name="Normal 5 4 2 6 3" xfId="8608" xr:uid="{00000000-0005-0000-0000-0000E26D0000}"/>
    <cellStyle name="Normal 5 4 2 6 3 2" xfId="34165" xr:uid="{00000000-0005-0000-0000-0000E36D0000}"/>
    <cellStyle name="Normal 5 4 2 6 4" xfId="17047" xr:uid="{00000000-0005-0000-0000-0000E46D0000}"/>
    <cellStyle name="Normal 5 4 2 6 4 2" xfId="42600" xr:uid="{00000000-0005-0000-0000-0000E56D0000}"/>
    <cellStyle name="Normal 5 4 2 6 5" xfId="28537" xr:uid="{00000000-0005-0000-0000-0000E66D0000}"/>
    <cellStyle name="Normal 5 4 2 7" xfId="4244" xr:uid="{00000000-0005-0000-0000-0000E76D0000}"/>
    <cellStyle name="Normal 5 4 2 7 2" xfId="13082" xr:uid="{00000000-0005-0000-0000-0000E86D0000}"/>
    <cellStyle name="Normal 5 4 2 7 2 2" xfId="23333" xr:uid="{00000000-0005-0000-0000-0000E96D0000}"/>
    <cellStyle name="Normal 5 4 2 7 2 2 2" xfId="48886" xr:uid="{00000000-0005-0000-0000-0000EA6D0000}"/>
    <cellStyle name="Normal 5 4 2 7 2 3" xfId="38637" xr:uid="{00000000-0005-0000-0000-0000EB6D0000}"/>
    <cellStyle name="Normal 5 4 2 7 3" xfId="9503" xr:uid="{00000000-0005-0000-0000-0000EC6D0000}"/>
    <cellStyle name="Normal 5 4 2 7 3 2" xfId="35060" xr:uid="{00000000-0005-0000-0000-0000ED6D0000}"/>
    <cellStyle name="Normal 5 4 2 7 4" xfId="18326" xr:uid="{00000000-0005-0000-0000-0000EE6D0000}"/>
    <cellStyle name="Normal 5 4 2 7 4 2" xfId="43879" xr:uid="{00000000-0005-0000-0000-0000EF6D0000}"/>
    <cellStyle name="Normal 5 4 2 7 5" xfId="29816" xr:uid="{00000000-0005-0000-0000-0000F06D0000}"/>
    <cellStyle name="Normal 5 4 2 8" xfId="1516" xr:uid="{00000000-0005-0000-0000-0000F16D0000}"/>
    <cellStyle name="Normal 5 4 2 8 2" xfId="10893" xr:uid="{00000000-0005-0000-0000-0000F26D0000}"/>
    <cellStyle name="Normal 5 4 2 8 2 2" xfId="36448" xr:uid="{00000000-0005-0000-0000-0000F36D0000}"/>
    <cellStyle name="Normal 5 4 2 8 3" xfId="20897" xr:uid="{00000000-0005-0000-0000-0000F46D0000}"/>
    <cellStyle name="Normal 5 4 2 8 3 2" xfId="46450" xr:uid="{00000000-0005-0000-0000-0000F56D0000}"/>
    <cellStyle name="Normal 5 4 2 8 4" xfId="27380" xr:uid="{00000000-0005-0000-0000-0000F66D0000}"/>
    <cellStyle name="Normal 5 4 2 9" xfId="5700" xr:uid="{00000000-0005-0000-0000-0000F76D0000}"/>
    <cellStyle name="Normal 5 4 2 9 2" xfId="14527" xr:uid="{00000000-0005-0000-0000-0000F86D0000}"/>
    <cellStyle name="Normal 5 4 2 9 2 2" xfId="40082" xr:uid="{00000000-0005-0000-0000-0000F96D0000}"/>
    <cellStyle name="Normal 5 4 2 9 3" xfId="24778" xr:uid="{00000000-0005-0000-0000-0000FA6D0000}"/>
    <cellStyle name="Normal 5 4 2 9 3 2" xfId="50331" xr:uid="{00000000-0005-0000-0000-0000FB6D0000}"/>
    <cellStyle name="Normal 5 4 2 9 4" xfId="31261" xr:uid="{00000000-0005-0000-0000-0000FC6D0000}"/>
    <cellStyle name="Normal 5 4 2_Degree data" xfId="3854" xr:uid="{00000000-0005-0000-0000-0000FD6D0000}"/>
    <cellStyle name="Normal 5 4 3" xfId="262" xr:uid="{00000000-0005-0000-0000-0000FE6D0000}"/>
    <cellStyle name="Normal 5 4 3 10" xfId="7101" xr:uid="{00000000-0005-0000-0000-0000FF6D0000}"/>
    <cellStyle name="Normal 5 4 3 10 2" xfId="19714" xr:uid="{00000000-0005-0000-0000-0000006E0000}"/>
    <cellStyle name="Normal 5 4 3 10 2 2" xfId="45267" xr:uid="{00000000-0005-0000-0000-0000016E0000}"/>
    <cellStyle name="Normal 5 4 3 10 3" xfId="32658" xr:uid="{00000000-0005-0000-0000-0000026E0000}"/>
    <cellStyle name="Normal 5 4 3 11" xfId="15847" xr:uid="{00000000-0005-0000-0000-0000036E0000}"/>
    <cellStyle name="Normal 5 4 3 11 2" xfId="41400" xr:uid="{00000000-0005-0000-0000-0000046E0000}"/>
    <cellStyle name="Normal 5 4 3 12" xfId="26197" xr:uid="{00000000-0005-0000-0000-0000056E0000}"/>
    <cellStyle name="Normal 5 4 3 2" xfId="585" xr:uid="{00000000-0005-0000-0000-0000066E0000}"/>
    <cellStyle name="Normal 5 4 3 2 10" xfId="26514" xr:uid="{00000000-0005-0000-0000-0000076E0000}"/>
    <cellStyle name="Normal 5 4 3 2 2" xfId="812" xr:uid="{00000000-0005-0000-0000-0000086E0000}"/>
    <cellStyle name="Normal 5 4 3 2 2 2" xfId="3297" xr:uid="{00000000-0005-0000-0000-0000096E0000}"/>
    <cellStyle name="Normal 5 4 3 2 2 2 2" xfId="12439" xr:uid="{00000000-0005-0000-0000-00000A6E0000}"/>
    <cellStyle name="Normal 5 4 3 2 2 2 2 2" xfId="22658" xr:uid="{00000000-0005-0000-0000-00000B6E0000}"/>
    <cellStyle name="Normal 5 4 3 2 2 2 2 2 2" xfId="48211" xr:uid="{00000000-0005-0000-0000-00000C6E0000}"/>
    <cellStyle name="Normal 5 4 3 2 2 2 2 3" xfId="37994" xr:uid="{00000000-0005-0000-0000-00000D6E0000}"/>
    <cellStyle name="Normal 5 4 3 2 2 2 3" xfId="8861" xr:uid="{00000000-0005-0000-0000-00000E6E0000}"/>
    <cellStyle name="Normal 5 4 3 2 2 2 3 2" xfId="34418" xr:uid="{00000000-0005-0000-0000-00000F6E0000}"/>
    <cellStyle name="Normal 5 4 3 2 2 2 4" xfId="17651" xr:uid="{00000000-0005-0000-0000-0000106E0000}"/>
    <cellStyle name="Normal 5 4 3 2 2 2 4 2" xfId="43204" xr:uid="{00000000-0005-0000-0000-0000116E0000}"/>
    <cellStyle name="Normal 5 4 3 2 2 2 5" xfId="29141" xr:uid="{00000000-0005-0000-0000-0000126E0000}"/>
    <cellStyle name="Normal 5 4 3 2 2 3" xfId="4626" xr:uid="{00000000-0005-0000-0000-0000136E0000}"/>
    <cellStyle name="Normal 5 4 3 2 2 3 2" xfId="13464" xr:uid="{00000000-0005-0000-0000-0000146E0000}"/>
    <cellStyle name="Normal 5 4 3 2 2 3 2 2" xfId="23715" xr:uid="{00000000-0005-0000-0000-0000156E0000}"/>
    <cellStyle name="Normal 5 4 3 2 2 3 2 2 2" xfId="49268" xr:uid="{00000000-0005-0000-0000-0000166E0000}"/>
    <cellStyle name="Normal 5 4 3 2 2 3 2 3" xfId="39019" xr:uid="{00000000-0005-0000-0000-0000176E0000}"/>
    <cellStyle name="Normal 5 4 3 2 2 3 3" xfId="9885" xr:uid="{00000000-0005-0000-0000-0000186E0000}"/>
    <cellStyle name="Normal 5 4 3 2 2 3 3 2" xfId="35442" xr:uid="{00000000-0005-0000-0000-0000196E0000}"/>
    <cellStyle name="Normal 5 4 3 2 2 3 4" xfId="18708" xr:uid="{00000000-0005-0000-0000-00001A6E0000}"/>
    <cellStyle name="Normal 5 4 3 2 2 3 4 2" xfId="44261" xr:uid="{00000000-0005-0000-0000-00001B6E0000}"/>
    <cellStyle name="Normal 5 4 3 2 2 3 5" xfId="30198" xr:uid="{00000000-0005-0000-0000-00001C6E0000}"/>
    <cellStyle name="Normal 5 4 3 2 2 4" xfId="2406" xr:uid="{00000000-0005-0000-0000-00001D6E0000}"/>
    <cellStyle name="Normal 5 4 3 2 2 4 2" xfId="11771" xr:uid="{00000000-0005-0000-0000-00001E6E0000}"/>
    <cellStyle name="Normal 5 4 3 2 2 4 2 2" xfId="37326" xr:uid="{00000000-0005-0000-0000-00001F6E0000}"/>
    <cellStyle name="Normal 5 4 3 2 2 4 3" xfId="21775" xr:uid="{00000000-0005-0000-0000-0000206E0000}"/>
    <cellStyle name="Normal 5 4 3 2 2 4 3 2" xfId="47328" xr:uid="{00000000-0005-0000-0000-0000216E0000}"/>
    <cellStyle name="Normal 5 4 3 2 2 4 4" xfId="28258" xr:uid="{00000000-0005-0000-0000-0000226E0000}"/>
    <cellStyle name="Normal 5 4 3 2 2 5" xfId="6082" xr:uid="{00000000-0005-0000-0000-0000236E0000}"/>
    <cellStyle name="Normal 5 4 3 2 2 5 2" xfId="14909" xr:uid="{00000000-0005-0000-0000-0000246E0000}"/>
    <cellStyle name="Normal 5 4 3 2 2 5 2 2" xfId="40464" xr:uid="{00000000-0005-0000-0000-0000256E0000}"/>
    <cellStyle name="Normal 5 4 3 2 2 5 3" xfId="25160" xr:uid="{00000000-0005-0000-0000-0000266E0000}"/>
    <cellStyle name="Normal 5 4 3 2 2 5 3 2" xfId="50713" xr:uid="{00000000-0005-0000-0000-0000276E0000}"/>
    <cellStyle name="Normal 5 4 3 2 2 5 4" xfId="31643" xr:uid="{00000000-0005-0000-0000-0000286E0000}"/>
    <cellStyle name="Normal 5 4 3 2 2 6" xfId="7527" xr:uid="{00000000-0005-0000-0000-0000296E0000}"/>
    <cellStyle name="Normal 5 4 3 2 2 6 2" xfId="20257" xr:uid="{00000000-0005-0000-0000-00002A6E0000}"/>
    <cellStyle name="Normal 5 4 3 2 2 6 2 2" xfId="45810" xr:uid="{00000000-0005-0000-0000-00002B6E0000}"/>
    <cellStyle name="Normal 5 4 3 2 2 6 3" xfId="33084" xr:uid="{00000000-0005-0000-0000-00002C6E0000}"/>
    <cellStyle name="Normal 5 4 3 2 2 7" xfId="16768" xr:uid="{00000000-0005-0000-0000-00002D6E0000}"/>
    <cellStyle name="Normal 5 4 3 2 2 7 2" xfId="42321" xr:uid="{00000000-0005-0000-0000-00002E6E0000}"/>
    <cellStyle name="Normal 5 4 3 2 2 8" xfId="26740" xr:uid="{00000000-0005-0000-0000-00002F6E0000}"/>
    <cellStyle name="Normal 5 4 3 2 3" xfId="1357" xr:uid="{00000000-0005-0000-0000-0000306E0000}"/>
    <cellStyle name="Normal 5 4 3 2 3 2" xfId="3786" xr:uid="{00000000-0005-0000-0000-0000316E0000}"/>
    <cellStyle name="Normal 5 4 3 2 3 2 2" xfId="12922" xr:uid="{00000000-0005-0000-0000-0000326E0000}"/>
    <cellStyle name="Normal 5 4 3 2 3 2 2 2" xfId="23141" xr:uid="{00000000-0005-0000-0000-0000336E0000}"/>
    <cellStyle name="Normal 5 4 3 2 3 2 2 2 2" xfId="48694" xr:uid="{00000000-0005-0000-0000-0000346E0000}"/>
    <cellStyle name="Normal 5 4 3 2 3 2 2 3" xfId="38477" xr:uid="{00000000-0005-0000-0000-0000356E0000}"/>
    <cellStyle name="Normal 5 4 3 2 3 2 3" xfId="9343" xr:uid="{00000000-0005-0000-0000-0000366E0000}"/>
    <cellStyle name="Normal 5 4 3 2 3 2 3 2" xfId="34900" xr:uid="{00000000-0005-0000-0000-0000376E0000}"/>
    <cellStyle name="Normal 5 4 3 2 3 2 4" xfId="18134" xr:uid="{00000000-0005-0000-0000-0000386E0000}"/>
    <cellStyle name="Normal 5 4 3 2 3 2 4 2" xfId="43687" xr:uid="{00000000-0005-0000-0000-0000396E0000}"/>
    <cellStyle name="Normal 5 4 3 2 3 2 5" xfId="29624" xr:uid="{00000000-0005-0000-0000-00003A6E0000}"/>
    <cellStyle name="Normal 5 4 3 2 3 3" xfId="4975" xr:uid="{00000000-0005-0000-0000-00003B6E0000}"/>
    <cellStyle name="Normal 5 4 3 2 3 3 2" xfId="13812" xr:uid="{00000000-0005-0000-0000-00003C6E0000}"/>
    <cellStyle name="Normal 5 4 3 2 3 3 2 2" xfId="24063" xr:uid="{00000000-0005-0000-0000-00003D6E0000}"/>
    <cellStyle name="Normal 5 4 3 2 3 3 2 2 2" xfId="49616" xr:uid="{00000000-0005-0000-0000-00003E6E0000}"/>
    <cellStyle name="Normal 5 4 3 2 3 3 2 3" xfId="39367" xr:uid="{00000000-0005-0000-0000-00003F6E0000}"/>
    <cellStyle name="Normal 5 4 3 2 3 3 3" xfId="10233" xr:uid="{00000000-0005-0000-0000-0000406E0000}"/>
    <cellStyle name="Normal 5 4 3 2 3 3 3 2" xfId="35790" xr:uid="{00000000-0005-0000-0000-0000416E0000}"/>
    <cellStyle name="Normal 5 4 3 2 3 3 4" xfId="19056" xr:uid="{00000000-0005-0000-0000-0000426E0000}"/>
    <cellStyle name="Normal 5 4 3 2 3 3 4 2" xfId="44609" xr:uid="{00000000-0005-0000-0000-0000436E0000}"/>
    <cellStyle name="Normal 5 4 3 2 3 3 5" xfId="30546" xr:uid="{00000000-0005-0000-0000-0000446E0000}"/>
    <cellStyle name="Normal 5 4 3 2 3 4" xfId="2180" xr:uid="{00000000-0005-0000-0000-0000456E0000}"/>
    <cellStyle name="Normal 5 4 3 2 3 4 2" xfId="11545" xr:uid="{00000000-0005-0000-0000-0000466E0000}"/>
    <cellStyle name="Normal 5 4 3 2 3 4 2 2" xfId="37100" xr:uid="{00000000-0005-0000-0000-0000476E0000}"/>
    <cellStyle name="Normal 5 4 3 2 3 4 3" xfId="21549" xr:uid="{00000000-0005-0000-0000-0000486E0000}"/>
    <cellStyle name="Normal 5 4 3 2 3 4 3 2" xfId="47102" xr:uid="{00000000-0005-0000-0000-0000496E0000}"/>
    <cellStyle name="Normal 5 4 3 2 3 4 4" xfId="28032" xr:uid="{00000000-0005-0000-0000-00004A6E0000}"/>
    <cellStyle name="Normal 5 4 3 2 3 5" xfId="6430" xr:uid="{00000000-0005-0000-0000-00004B6E0000}"/>
    <cellStyle name="Normal 5 4 3 2 3 5 2" xfId="15257" xr:uid="{00000000-0005-0000-0000-00004C6E0000}"/>
    <cellStyle name="Normal 5 4 3 2 3 5 2 2" xfId="40812" xr:uid="{00000000-0005-0000-0000-00004D6E0000}"/>
    <cellStyle name="Normal 5 4 3 2 3 5 3" xfId="25508" xr:uid="{00000000-0005-0000-0000-00004E6E0000}"/>
    <cellStyle name="Normal 5 4 3 2 3 5 3 2" xfId="51061" xr:uid="{00000000-0005-0000-0000-00004F6E0000}"/>
    <cellStyle name="Normal 5 4 3 2 3 5 4" xfId="31991" xr:uid="{00000000-0005-0000-0000-0000506E0000}"/>
    <cellStyle name="Normal 5 4 3 2 3 6" xfId="7876" xr:uid="{00000000-0005-0000-0000-0000516E0000}"/>
    <cellStyle name="Normal 5 4 3 2 3 6 2" xfId="20740" xr:uid="{00000000-0005-0000-0000-0000526E0000}"/>
    <cellStyle name="Normal 5 4 3 2 3 6 2 2" xfId="46293" xr:uid="{00000000-0005-0000-0000-0000536E0000}"/>
    <cellStyle name="Normal 5 4 3 2 3 6 3" xfId="33433" xr:uid="{00000000-0005-0000-0000-0000546E0000}"/>
    <cellStyle name="Normal 5 4 3 2 3 7" xfId="16542" xr:uid="{00000000-0005-0000-0000-0000556E0000}"/>
    <cellStyle name="Normal 5 4 3 2 3 7 2" xfId="42095" xr:uid="{00000000-0005-0000-0000-0000566E0000}"/>
    <cellStyle name="Normal 5 4 3 2 3 8" xfId="27223" xr:uid="{00000000-0005-0000-0000-0000576E0000}"/>
    <cellStyle name="Normal 5 4 3 2 4" xfId="3071" xr:uid="{00000000-0005-0000-0000-0000586E0000}"/>
    <cellStyle name="Normal 5 4 3 2 4 2" xfId="5449" xr:uid="{00000000-0005-0000-0000-0000596E0000}"/>
    <cellStyle name="Normal 5 4 3 2 4 2 2" xfId="14286" xr:uid="{00000000-0005-0000-0000-00005A6E0000}"/>
    <cellStyle name="Normal 5 4 3 2 4 2 2 2" xfId="24537" xr:uid="{00000000-0005-0000-0000-00005B6E0000}"/>
    <cellStyle name="Normal 5 4 3 2 4 2 2 2 2" xfId="50090" xr:uid="{00000000-0005-0000-0000-00005C6E0000}"/>
    <cellStyle name="Normal 5 4 3 2 4 2 2 3" xfId="39841" xr:uid="{00000000-0005-0000-0000-00005D6E0000}"/>
    <cellStyle name="Normal 5 4 3 2 4 2 3" xfId="10707" xr:uid="{00000000-0005-0000-0000-00005E6E0000}"/>
    <cellStyle name="Normal 5 4 3 2 4 2 3 2" xfId="36264" xr:uid="{00000000-0005-0000-0000-00005F6E0000}"/>
    <cellStyle name="Normal 5 4 3 2 4 2 4" xfId="19530" xr:uid="{00000000-0005-0000-0000-0000606E0000}"/>
    <cellStyle name="Normal 5 4 3 2 4 2 4 2" xfId="45083" xr:uid="{00000000-0005-0000-0000-0000616E0000}"/>
    <cellStyle name="Normal 5 4 3 2 4 2 5" xfId="31020" xr:uid="{00000000-0005-0000-0000-0000626E0000}"/>
    <cellStyle name="Normal 5 4 3 2 4 3" xfId="6904" xr:uid="{00000000-0005-0000-0000-0000636E0000}"/>
    <cellStyle name="Normal 5 4 3 2 4 3 2" xfId="15731" xr:uid="{00000000-0005-0000-0000-0000646E0000}"/>
    <cellStyle name="Normal 5 4 3 2 4 3 2 2" xfId="41286" xr:uid="{00000000-0005-0000-0000-0000656E0000}"/>
    <cellStyle name="Normal 5 4 3 2 4 3 3" xfId="25982" xr:uid="{00000000-0005-0000-0000-0000666E0000}"/>
    <cellStyle name="Normal 5 4 3 2 4 3 3 2" xfId="51535" xr:uid="{00000000-0005-0000-0000-0000676E0000}"/>
    <cellStyle name="Normal 5 4 3 2 4 3 4" xfId="32465" xr:uid="{00000000-0005-0000-0000-0000686E0000}"/>
    <cellStyle name="Normal 5 4 3 2 4 4" xfId="8350" xr:uid="{00000000-0005-0000-0000-0000696E0000}"/>
    <cellStyle name="Normal 5 4 3 2 4 4 2" xfId="22432" xr:uid="{00000000-0005-0000-0000-00006A6E0000}"/>
    <cellStyle name="Normal 5 4 3 2 4 4 2 2" xfId="47985" xr:uid="{00000000-0005-0000-0000-00006B6E0000}"/>
    <cellStyle name="Normal 5 4 3 2 4 4 3" xfId="33907" xr:uid="{00000000-0005-0000-0000-00006C6E0000}"/>
    <cellStyle name="Normal 5 4 3 2 4 5" xfId="17425" xr:uid="{00000000-0005-0000-0000-00006D6E0000}"/>
    <cellStyle name="Normal 5 4 3 2 4 5 2" xfId="42978" xr:uid="{00000000-0005-0000-0000-00006E6E0000}"/>
    <cellStyle name="Normal 5 4 3 2 4 6" xfId="28915" xr:uid="{00000000-0005-0000-0000-00006F6E0000}"/>
    <cellStyle name="Normal 5 4 3 2 5" xfId="4405" xr:uid="{00000000-0005-0000-0000-0000706E0000}"/>
    <cellStyle name="Normal 5 4 3 2 5 2" xfId="13243" xr:uid="{00000000-0005-0000-0000-0000716E0000}"/>
    <cellStyle name="Normal 5 4 3 2 5 2 2" xfId="23494" xr:uid="{00000000-0005-0000-0000-0000726E0000}"/>
    <cellStyle name="Normal 5 4 3 2 5 2 2 2" xfId="49047" xr:uid="{00000000-0005-0000-0000-0000736E0000}"/>
    <cellStyle name="Normal 5 4 3 2 5 2 3" xfId="38798" xr:uid="{00000000-0005-0000-0000-0000746E0000}"/>
    <cellStyle name="Normal 5 4 3 2 5 3" xfId="9664" xr:uid="{00000000-0005-0000-0000-0000756E0000}"/>
    <cellStyle name="Normal 5 4 3 2 5 3 2" xfId="35221" xr:uid="{00000000-0005-0000-0000-0000766E0000}"/>
    <cellStyle name="Normal 5 4 3 2 5 4" xfId="18487" xr:uid="{00000000-0005-0000-0000-0000776E0000}"/>
    <cellStyle name="Normal 5 4 3 2 5 4 2" xfId="44040" xr:uid="{00000000-0005-0000-0000-0000786E0000}"/>
    <cellStyle name="Normal 5 4 3 2 5 5" xfId="29977" xr:uid="{00000000-0005-0000-0000-0000796E0000}"/>
    <cellStyle name="Normal 5 4 3 2 6" xfId="1677" xr:uid="{00000000-0005-0000-0000-00007A6E0000}"/>
    <cellStyle name="Normal 5 4 3 2 6 2" xfId="11054" xr:uid="{00000000-0005-0000-0000-00007B6E0000}"/>
    <cellStyle name="Normal 5 4 3 2 6 2 2" xfId="36609" xr:uid="{00000000-0005-0000-0000-00007C6E0000}"/>
    <cellStyle name="Normal 5 4 3 2 6 3" xfId="21058" xr:uid="{00000000-0005-0000-0000-00007D6E0000}"/>
    <cellStyle name="Normal 5 4 3 2 6 3 2" xfId="46611" xr:uid="{00000000-0005-0000-0000-00007E6E0000}"/>
    <cellStyle name="Normal 5 4 3 2 6 4" xfId="27541" xr:uid="{00000000-0005-0000-0000-00007F6E0000}"/>
    <cellStyle name="Normal 5 4 3 2 7" xfId="5861" xr:uid="{00000000-0005-0000-0000-0000806E0000}"/>
    <cellStyle name="Normal 5 4 3 2 7 2" xfId="14688" xr:uid="{00000000-0005-0000-0000-0000816E0000}"/>
    <cellStyle name="Normal 5 4 3 2 7 2 2" xfId="40243" xr:uid="{00000000-0005-0000-0000-0000826E0000}"/>
    <cellStyle name="Normal 5 4 3 2 7 3" xfId="24939" xr:uid="{00000000-0005-0000-0000-0000836E0000}"/>
    <cellStyle name="Normal 5 4 3 2 7 3 2" xfId="50492" xr:uid="{00000000-0005-0000-0000-0000846E0000}"/>
    <cellStyle name="Normal 5 4 3 2 7 4" xfId="31422" xr:uid="{00000000-0005-0000-0000-0000856E0000}"/>
    <cellStyle name="Normal 5 4 3 2 8" xfId="7305" xr:uid="{00000000-0005-0000-0000-0000866E0000}"/>
    <cellStyle name="Normal 5 4 3 2 8 2" xfId="20031" xr:uid="{00000000-0005-0000-0000-0000876E0000}"/>
    <cellStyle name="Normal 5 4 3 2 8 2 2" xfId="45584" xr:uid="{00000000-0005-0000-0000-0000886E0000}"/>
    <cellStyle name="Normal 5 4 3 2 8 3" xfId="32862" xr:uid="{00000000-0005-0000-0000-0000896E0000}"/>
    <cellStyle name="Normal 5 4 3 2 9" xfId="16051" xr:uid="{00000000-0005-0000-0000-00008A6E0000}"/>
    <cellStyle name="Normal 5 4 3 2 9 2" xfId="41604" xr:uid="{00000000-0005-0000-0000-00008B6E0000}"/>
    <cellStyle name="Normal 5 4 3 2_Degree data" xfId="3463" xr:uid="{00000000-0005-0000-0000-00008C6E0000}"/>
    <cellStyle name="Normal 5 4 3 3" xfId="381" xr:uid="{00000000-0005-0000-0000-00008D6E0000}"/>
    <cellStyle name="Normal 5 4 3 3 2" xfId="2867" xr:uid="{00000000-0005-0000-0000-00008E6E0000}"/>
    <cellStyle name="Normal 5 4 3 3 2 2" xfId="12155" xr:uid="{00000000-0005-0000-0000-00008F6E0000}"/>
    <cellStyle name="Normal 5 4 3 3 2 2 2" xfId="22228" xr:uid="{00000000-0005-0000-0000-0000906E0000}"/>
    <cellStyle name="Normal 5 4 3 3 2 2 2 2" xfId="47781" xr:uid="{00000000-0005-0000-0000-0000916E0000}"/>
    <cellStyle name="Normal 5 4 3 3 2 2 3" xfId="37710" xr:uid="{00000000-0005-0000-0000-0000926E0000}"/>
    <cellStyle name="Normal 5 4 3 3 2 3" xfId="8458" xr:uid="{00000000-0005-0000-0000-0000936E0000}"/>
    <cellStyle name="Normal 5 4 3 3 2 3 2" xfId="34015" xr:uid="{00000000-0005-0000-0000-0000946E0000}"/>
    <cellStyle name="Normal 5 4 3 3 2 4" xfId="17221" xr:uid="{00000000-0005-0000-0000-0000956E0000}"/>
    <cellStyle name="Normal 5 4 3 3 2 4 2" xfId="42774" xr:uid="{00000000-0005-0000-0000-0000966E0000}"/>
    <cellStyle name="Normal 5 4 3 3 2 5" xfId="28711" xr:uid="{00000000-0005-0000-0000-0000976E0000}"/>
    <cellStyle name="Normal 5 4 3 3 3" xfId="4625" xr:uid="{00000000-0005-0000-0000-0000986E0000}"/>
    <cellStyle name="Normal 5 4 3 3 3 2" xfId="13463" xr:uid="{00000000-0005-0000-0000-0000996E0000}"/>
    <cellStyle name="Normal 5 4 3 3 3 2 2" xfId="23714" xr:uid="{00000000-0005-0000-0000-00009A6E0000}"/>
    <cellStyle name="Normal 5 4 3 3 3 2 2 2" xfId="49267" xr:uid="{00000000-0005-0000-0000-00009B6E0000}"/>
    <cellStyle name="Normal 5 4 3 3 3 2 3" xfId="39018" xr:uid="{00000000-0005-0000-0000-00009C6E0000}"/>
    <cellStyle name="Normal 5 4 3 3 3 3" xfId="9884" xr:uid="{00000000-0005-0000-0000-00009D6E0000}"/>
    <cellStyle name="Normal 5 4 3 3 3 3 2" xfId="35441" xr:uid="{00000000-0005-0000-0000-00009E6E0000}"/>
    <cellStyle name="Normal 5 4 3 3 3 4" xfId="18707" xr:uid="{00000000-0005-0000-0000-00009F6E0000}"/>
    <cellStyle name="Normal 5 4 3 3 3 4 2" xfId="44260" xr:uid="{00000000-0005-0000-0000-0000A06E0000}"/>
    <cellStyle name="Normal 5 4 3 3 3 5" xfId="30197" xr:uid="{00000000-0005-0000-0000-0000A16E0000}"/>
    <cellStyle name="Normal 5 4 3 3 4" xfId="1976" xr:uid="{00000000-0005-0000-0000-0000A26E0000}"/>
    <cellStyle name="Normal 5 4 3 3 4 2" xfId="11341" xr:uid="{00000000-0005-0000-0000-0000A36E0000}"/>
    <cellStyle name="Normal 5 4 3 3 4 2 2" xfId="36896" xr:uid="{00000000-0005-0000-0000-0000A46E0000}"/>
    <cellStyle name="Normal 5 4 3 3 4 3" xfId="21345" xr:uid="{00000000-0005-0000-0000-0000A56E0000}"/>
    <cellStyle name="Normal 5 4 3 3 4 3 2" xfId="46898" xr:uid="{00000000-0005-0000-0000-0000A66E0000}"/>
    <cellStyle name="Normal 5 4 3 3 4 4" xfId="27828" xr:uid="{00000000-0005-0000-0000-0000A76E0000}"/>
    <cellStyle name="Normal 5 4 3 3 5" xfId="6081" xr:uid="{00000000-0005-0000-0000-0000A86E0000}"/>
    <cellStyle name="Normal 5 4 3 3 5 2" xfId="14908" xr:uid="{00000000-0005-0000-0000-0000A96E0000}"/>
    <cellStyle name="Normal 5 4 3 3 5 2 2" xfId="40463" xr:uid="{00000000-0005-0000-0000-0000AA6E0000}"/>
    <cellStyle name="Normal 5 4 3 3 5 3" xfId="25159" xr:uid="{00000000-0005-0000-0000-0000AB6E0000}"/>
    <cellStyle name="Normal 5 4 3 3 5 3 2" xfId="50712" xr:uid="{00000000-0005-0000-0000-0000AC6E0000}"/>
    <cellStyle name="Normal 5 4 3 3 5 4" xfId="31642" xr:uid="{00000000-0005-0000-0000-0000AD6E0000}"/>
    <cellStyle name="Normal 5 4 3 3 6" xfId="7526" xr:uid="{00000000-0005-0000-0000-0000AE6E0000}"/>
    <cellStyle name="Normal 5 4 3 3 6 2" xfId="19827" xr:uid="{00000000-0005-0000-0000-0000AF6E0000}"/>
    <cellStyle name="Normal 5 4 3 3 6 2 2" xfId="45380" xr:uid="{00000000-0005-0000-0000-0000B06E0000}"/>
    <cellStyle name="Normal 5 4 3 3 6 3" xfId="33083" xr:uid="{00000000-0005-0000-0000-0000B16E0000}"/>
    <cellStyle name="Normal 5 4 3 3 7" xfId="16338" xr:uid="{00000000-0005-0000-0000-0000B26E0000}"/>
    <cellStyle name="Normal 5 4 3 3 7 2" xfId="41891" xr:uid="{00000000-0005-0000-0000-0000B36E0000}"/>
    <cellStyle name="Normal 5 4 3 3 8" xfId="26310" xr:uid="{00000000-0005-0000-0000-0000B46E0000}"/>
    <cellStyle name="Normal 5 4 3 4" xfId="811" xr:uid="{00000000-0005-0000-0000-0000B56E0000}"/>
    <cellStyle name="Normal 5 4 3 4 2" xfId="3296" xr:uid="{00000000-0005-0000-0000-0000B66E0000}"/>
    <cellStyle name="Normal 5 4 3 4 2 2" xfId="12438" xr:uid="{00000000-0005-0000-0000-0000B76E0000}"/>
    <cellStyle name="Normal 5 4 3 4 2 2 2" xfId="22657" xr:uid="{00000000-0005-0000-0000-0000B86E0000}"/>
    <cellStyle name="Normal 5 4 3 4 2 2 2 2" xfId="48210" xr:uid="{00000000-0005-0000-0000-0000B96E0000}"/>
    <cellStyle name="Normal 5 4 3 4 2 2 3" xfId="37993" xr:uid="{00000000-0005-0000-0000-0000BA6E0000}"/>
    <cellStyle name="Normal 5 4 3 4 2 3" xfId="8860" xr:uid="{00000000-0005-0000-0000-0000BB6E0000}"/>
    <cellStyle name="Normal 5 4 3 4 2 3 2" xfId="34417" xr:uid="{00000000-0005-0000-0000-0000BC6E0000}"/>
    <cellStyle name="Normal 5 4 3 4 2 4" xfId="17650" xr:uid="{00000000-0005-0000-0000-0000BD6E0000}"/>
    <cellStyle name="Normal 5 4 3 4 2 4 2" xfId="43203" xr:uid="{00000000-0005-0000-0000-0000BE6E0000}"/>
    <cellStyle name="Normal 5 4 3 4 2 5" xfId="29140" xr:uid="{00000000-0005-0000-0000-0000BF6E0000}"/>
    <cellStyle name="Normal 5 4 3 4 3" xfId="4974" xr:uid="{00000000-0005-0000-0000-0000C06E0000}"/>
    <cellStyle name="Normal 5 4 3 4 3 2" xfId="13811" xr:uid="{00000000-0005-0000-0000-0000C16E0000}"/>
    <cellStyle name="Normal 5 4 3 4 3 2 2" xfId="24062" xr:uid="{00000000-0005-0000-0000-0000C26E0000}"/>
    <cellStyle name="Normal 5 4 3 4 3 2 2 2" xfId="49615" xr:uid="{00000000-0005-0000-0000-0000C36E0000}"/>
    <cellStyle name="Normal 5 4 3 4 3 2 3" xfId="39366" xr:uid="{00000000-0005-0000-0000-0000C46E0000}"/>
    <cellStyle name="Normal 5 4 3 4 3 3" xfId="10232" xr:uid="{00000000-0005-0000-0000-0000C56E0000}"/>
    <cellStyle name="Normal 5 4 3 4 3 3 2" xfId="35789" xr:uid="{00000000-0005-0000-0000-0000C66E0000}"/>
    <cellStyle name="Normal 5 4 3 4 3 4" xfId="19055" xr:uid="{00000000-0005-0000-0000-0000C76E0000}"/>
    <cellStyle name="Normal 5 4 3 4 3 4 2" xfId="44608" xr:uid="{00000000-0005-0000-0000-0000C86E0000}"/>
    <cellStyle name="Normal 5 4 3 4 3 5" xfId="30545" xr:uid="{00000000-0005-0000-0000-0000C96E0000}"/>
    <cellStyle name="Normal 5 4 3 4 4" xfId="2405" xr:uid="{00000000-0005-0000-0000-0000CA6E0000}"/>
    <cellStyle name="Normal 5 4 3 4 4 2" xfId="11770" xr:uid="{00000000-0005-0000-0000-0000CB6E0000}"/>
    <cellStyle name="Normal 5 4 3 4 4 2 2" xfId="37325" xr:uid="{00000000-0005-0000-0000-0000CC6E0000}"/>
    <cellStyle name="Normal 5 4 3 4 4 3" xfId="21774" xr:uid="{00000000-0005-0000-0000-0000CD6E0000}"/>
    <cellStyle name="Normal 5 4 3 4 4 3 2" xfId="47327" xr:uid="{00000000-0005-0000-0000-0000CE6E0000}"/>
    <cellStyle name="Normal 5 4 3 4 4 4" xfId="28257" xr:uid="{00000000-0005-0000-0000-0000CF6E0000}"/>
    <cellStyle name="Normal 5 4 3 4 5" xfId="6429" xr:uid="{00000000-0005-0000-0000-0000D06E0000}"/>
    <cellStyle name="Normal 5 4 3 4 5 2" xfId="15256" xr:uid="{00000000-0005-0000-0000-0000D16E0000}"/>
    <cellStyle name="Normal 5 4 3 4 5 2 2" xfId="40811" xr:uid="{00000000-0005-0000-0000-0000D26E0000}"/>
    <cellStyle name="Normal 5 4 3 4 5 3" xfId="25507" xr:uid="{00000000-0005-0000-0000-0000D36E0000}"/>
    <cellStyle name="Normal 5 4 3 4 5 3 2" xfId="51060" xr:uid="{00000000-0005-0000-0000-0000D46E0000}"/>
    <cellStyle name="Normal 5 4 3 4 5 4" xfId="31990" xr:uid="{00000000-0005-0000-0000-0000D56E0000}"/>
    <cellStyle name="Normal 5 4 3 4 6" xfId="7875" xr:uid="{00000000-0005-0000-0000-0000D66E0000}"/>
    <cellStyle name="Normal 5 4 3 4 6 2" xfId="20256" xr:uid="{00000000-0005-0000-0000-0000D76E0000}"/>
    <cellStyle name="Normal 5 4 3 4 6 2 2" xfId="45809" xr:uid="{00000000-0005-0000-0000-0000D86E0000}"/>
    <cellStyle name="Normal 5 4 3 4 6 3" xfId="33432" xr:uid="{00000000-0005-0000-0000-0000D96E0000}"/>
    <cellStyle name="Normal 5 4 3 4 7" xfId="16767" xr:uid="{00000000-0005-0000-0000-0000DA6E0000}"/>
    <cellStyle name="Normal 5 4 3 4 7 2" xfId="42320" xr:uid="{00000000-0005-0000-0000-0000DB6E0000}"/>
    <cellStyle name="Normal 5 4 3 4 8" xfId="26739" xr:uid="{00000000-0005-0000-0000-0000DC6E0000}"/>
    <cellStyle name="Normal 5 4 3 5" xfId="1153" xr:uid="{00000000-0005-0000-0000-0000DD6E0000}"/>
    <cellStyle name="Normal 5 4 3 5 2" xfId="3582" xr:uid="{00000000-0005-0000-0000-0000DE6E0000}"/>
    <cellStyle name="Normal 5 4 3 5 2 2" xfId="12718" xr:uid="{00000000-0005-0000-0000-0000DF6E0000}"/>
    <cellStyle name="Normal 5 4 3 5 2 2 2" xfId="22937" xr:uid="{00000000-0005-0000-0000-0000E06E0000}"/>
    <cellStyle name="Normal 5 4 3 5 2 2 2 2" xfId="48490" xr:uid="{00000000-0005-0000-0000-0000E16E0000}"/>
    <cellStyle name="Normal 5 4 3 5 2 2 3" xfId="38273" xr:uid="{00000000-0005-0000-0000-0000E26E0000}"/>
    <cellStyle name="Normal 5 4 3 5 2 3" xfId="9139" xr:uid="{00000000-0005-0000-0000-0000E36E0000}"/>
    <cellStyle name="Normal 5 4 3 5 2 3 2" xfId="34696" xr:uid="{00000000-0005-0000-0000-0000E46E0000}"/>
    <cellStyle name="Normal 5 4 3 5 2 4" xfId="17930" xr:uid="{00000000-0005-0000-0000-0000E56E0000}"/>
    <cellStyle name="Normal 5 4 3 5 2 4 2" xfId="43483" xr:uid="{00000000-0005-0000-0000-0000E66E0000}"/>
    <cellStyle name="Normal 5 4 3 5 2 5" xfId="29420" xr:uid="{00000000-0005-0000-0000-0000E76E0000}"/>
    <cellStyle name="Normal 5 4 3 5 3" xfId="5245" xr:uid="{00000000-0005-0000-0000-0000E86E0000}"/>
    <cellStyle name="Normal 5 4 3 5 3 2" xfId="14082" xr:uid="{00000000-0005-0000-0000-0000E96E0000}"/>
    <cellStyle name="Normal 5 4 3 5 3 2 2" xfId="24333" xr:uid="{00000000-0005-0000-0000-0000EA6E0000}"/>
    <cellStyle name="Normal 5 4 3 5 3 2 2 2" xfId="49886" xr:uid="{00000000-0005-0000-0000-0000EB6E0000}"/>
    <cellStyle name="Normal 5 4 3 5 3 2 3" xfId="39637" xr:uid="{00000000-0005-0000-0000-0000EC6E0000}"/>
    <cellStyle name="Normal 5 4 3 5 3 3" xfId="10503" xr:uid="{00000000-0005-0000-0000-0000ED6E0000}"/>
    <cellStyle name="Normal 5 4 3 5 3 3 2" xfId="36060" xr:uid="{00000000-0005-0000-0000-0000EE6E0000}"/>
    <cellStyle name="Normal 5 4 3 5 3 4" xfId="19326" xr:uid="{00000000-0005-0000-0000-0000EF6E0000}"/>
    <cellStyle name="Normal 5 4 3 5 3 4 2" xfId="44879" xr:uid="{00000000-0005-0000-0000-0000F06E0000}"/>
    <cellStyle name="Normal 5 4 3 5 3 5" xfId="30816" xr:uid="{00000000-0005-0000-0000-0000F16E0000}"/>
    <cellStyle name="Normal 5 4 3 5 4" xfId="1860" xr:uid="{00000000-0005-0000-0000-0000F26E0000}"/>
    <cellStyle name="Normal 5 4 3 5 4 2" xfId="11228" xr:uid="{00000000-0005-0000-0000-0000F36E0000}"/>
    <cellStyle name="Normal 5 4 3 5 4 2 2" xfId="36783" xr:uid="{00000000-0005-0000-0000-0000F46E0000}"/>
    <cellStyle name="Normal 5 4 3 5 4 3" xfId="21232" xr:uid="{00000000-0005-0000-0000-0000F56E0000}"/>
    <cellStyle name="Normal 5 4 3 5 4 3 2" xfId="46785" xr:uid="{00000000-0005-0000-0000-0000F66E0000}"/>
    <cellStyle name="Normal 5 4 3 5 4 4" xfId="27715" xr:uid="{00000000-0005-0000-0000-0000F76E0000}"/>
    <cellStyle name="Normal 5 4 3 5 5" xfId="6700" xr:uid="{00000000-0005-0000-0000-0000F86E0000}"/>
    <cellStyle name="Normal 5 4 3 5 5 2" xfId="15527" xr:uid="{00000000-0005-0000-0000-0000F96E0000}"/>
    <cellStyle name="Normal 5 4 3 5 5 2 2" xfId="41082" xr:uid="{00000000-0005-0000-0000-0000FA6E0000}"/>
    <cellStyle name="Normal 5 4 3 5 5 3" xfId="25778" xr:uid="{00000000-0005-0000-0000-0000FB6E0000}"/>
    <cellStyle name="Normal 5 4 3 5 5 3 2" xfId="51331" xr:uid="{00000000-0005-0000-0000-0000FC6E0000}"/>
    <cellStyle name="Normal 5 4 3 5 5 4" xfId="32261" xr:uid="{00000000-0005-0000-0000-0000FD6E0000}"/>
    <cellStyle name="Normal 5 4 3 5 6" xfId="8146" xr:uid="{00000000-0005-0000-0000-0000FE6E0000}"/>
    <cellStyle name="Normal 5 4 3 5 6 2" xfId="20536" xr:uid="{00000000-0005-0000-0000-0000FF6E0000}"/>
    <cellStyle name="Normal 5 4 3 5 6 2 2" xfId="46089" xr:uid="{00000000-0005-0000-0000-0000006F0000}"/>
    <cellStyle name="Normal 5 4 3 5 6 3" xfId="33703" xr:uid="{00000000-0005-0000-0000-0000016F0000}"/>
    <cellStyle name="Normal 5 4 3 5 7" xfId="16225" xr:uid="{00000000-0005-0000-0000-0000026F0000}"/>
    <cellStyle name="Normal 5 4 3 5 7 2" xfId="41778" xr:uid="{00000000-0005-0000-0000-0000036F0000}"/>
    <cellStyle name="Normal 5 4 3 5 8" xfId="27019" xr:uid="{00000000-0005-0000-0000-0000046F0000}"/>
    <cellStyle name="Normal 5 4 3 6" xfId="2754" xr:uid="{00000000-0005-0000-0000-0000056F0000}"/>
    <cellStyle name="Normal 5 4 3 6 2" xfId="12071" xr:uid="{00000000-0005-0000-0000-0000066F0000}"/>
    <cellStyle name="Normal 5 4 3 6 2 2" xfId="22115" xr:uid="{00000000-0005-0000-0000-0000076F0000}"/>
    <cellStyle name="Normal 5 4 3 6 2 2 2" xfId="47668" xr:uid="{00000000-0005-0000-0000-0000086F0000}"/>
    <cellStyle name="Normal 5 4 3 6 2 3" xfId="37626" xr:uid="{00000000-0005-0000-0000-0000096F0000}"/>
    <cellStyle name="Normal 5 4 3 6 3" xfId="8379" xr:uid="{00000000-0005-0000-0000-00000A6F0000}"/>
    <cellStyle name="Normal 5 4 3 6 3 2" xfId="33936" xr:uid="{00000000-0005-0000-0000-00000B6F0000}"/>
    <cellStyle name="Normal 5 4 3 6 4" xfId="17108" xr:uid="{00000000-0005-0000-0000-00000C6F0000}"/>
    <cellStyle name="Normal 5 4 3 6 4 2" xfId="42661" xr:uid="{00000000-0005-0000-0000-00000D6F0000}"/>
    <cellStyle name="Normal 5 4 3 6 5" xfId="28598" xr:uid="{00000000-0005-0000-0000-00000E6F0000}"/>
    <cellStyle name="Normal 5 4 3 7" xfId="4201" xr:uid="{00000000-0005-0000-0000-00000F6F0000}"/>
    <cellStyle name="Normal 5 4 3 7 2" xfId="13039" xr:uid="{00000000-0005-0000-0000-0000106F0000}"/>
    <cellStyle name="Normal 5 4 3 7 2 2" xfId="23290" xr:uid="{00000000-0005-0000-0000-0000116F0000}"/>
    <cellStyle name="Normal 5 4 3 7 2 2 2" xfId="48843" xr:uid="{00000000-0005-0000-0000-0000126F0000}"/>
    <cellStyle name="Normal 5 4 3 7 2 3" xfId="38594" xr:uid="{00000000-0005-0000-0000-0000136F0000}"/>
    <cellStyle name="Normal 5 4 3 7 3" xfId="9460" xr:uid="{00000000-0005-0000-0000-0000146F0000}"/>
    <cellStyle name="Normal 5 4 3 7 3 2" xfId="35017" xr:uid="{00000000-0005-0000-0000-0000156F0000}"/>
    <cellStyle name="Normal 5 4 3 7 4" xfId="18283" xr:uid="{00000000-0005-0000-0000-0000166F0000}"/>
    <cellStyle name="Normal 5 4 3 7 4 2" xfId="43836" xr:uid="{00000000-0005-0000-0000-0000176F0000}"/>
    <cellStyle name="Normal 5 4 3 7 5" xfId="29773" xr:uid="{00000000-0005-0000-0000-0000186F0000}"/>
    <cellStyle name="Normal 5 4 3 8" xfId="1473" xr:uid="{00000000-0005-0000-0000-0000196F0000}"/>
    <cellStyle name="Normal 5 4 3 8 2" xfId="10850" xr:uid="{00000000-0005-0000-0000-00001A6F0000}"/>
    <cellStyle name="Normal 5 4 3 8 2 2" xfId="36405" xr:uid="{00000000-0005-0000-0000-00001B6F0000}"/>
    <cellStyle name="Normal 5 4 3 8 3" xfId="20854" xr:uid="{00000000-0005-0000-0000-00001C6F0000}"/>
    <cellStyle name="Normal 5 4 3 8 3 2" xfId="46407" xr:uid="{00000000-0005-0000-0000-00001D6F0000}"/>
    <cellStyle name="Normal 5 4 3 8 4" xfId="27337" xr:uid="{00000000-0005-0000-0000-00001E6F0000}"/>
    <cellStyle name="Normal 5 4 3 9" xfId="5657" xr:uid="{00000000-0005-0000-0000-00001F6F0000}"/>
    <cellStyle name="Normal 5 4 3 9 2" xfId="14484" xr:uid="{00000000-0005-0000-0000-0000206F0000}"/>
    <cellStyle name="Normal 5 4 3 9 2 2" xfId="40039" xr:uid="{00000000-0005-0000-0000-0000216F0000}"/>
    <cellStyle name="Normal 5 4 3 9 3" xfId="24735" xr:uid="{00000000-0005-0000-0000-0000226F0000}"/>
    <cellStyle name="Normal 5 4 3 9 3 2" xfId="50288" xr:uid="{00000000-0005-0000-0000-0000236F0000}"/>
    <cellStyle name="Normal 5 4 3 9 4" xfId="31218" xr:uid="{00000000-0005-0000-0000-0000246F0000}"/>
    <cellStyle name="Normal 5 4 3_Degree data" xfId="3836" xr:uid="{00000000-0005-0000-0000-0000256F0000}"/>
    <cellStyle name="Normal 5 4 4" xfId="481" xr:uid="{00000000-0005-0000-0000-0000266F0000}"/>
    <cellStyle name="Normal 5 4 4 10" xfId="26410" xr:uid="{00000000-0005-0000-0000-0000276F0000}"/>
    <cellStyle name="Normal 5 4 4 2" xfId="813" xr:uid="{00000000-0005-0000-0000-0000286F0000}"/>
    <cellStyle name="Normal 5 4 4 2 2" xfId="3298" xr:uid="{00000000-0005-0000-0000-0000296F0000}"/>
    <cellStyle name="Normal 5 4 4 2 2 2" xfId="12440" xr:uid="{00000000-0005-0000-0000-00002A6F0000}"/>
    <cellStyle name="Normal 5 4 4 2 2 2 2" xfId="22659" xr:uid="{00000000-0005-0000-0000-00002B6F0000}"/>
    <cellStyle name="Normal 5 4 4 2 2 2 2 2" xfId="48212" xr:uid="{00000000-0005-0000-0000-00002C6F0000}"/>
    <cellStyle name="Normal 5 4 4 2 2 2 3" xfId="37995" xr:uid="{00000000-0005-0000-0000-00002D6F0000}"/>
    <cellStyle name="Normal 5 4 4 2 2 3" xfId="8862" xr:uid="{00000000-0005-0000-0000-00002E6F0000}"/>
    <cellStyle name="Normal 5 4 4 2 2 3 2" xfId="34419" xr:uid="{00000000-0005-0000-0000-00002F6F0000}"/>
    <cellStyle name="Normal 5 4 4 2 2 4" xfId="17652" xr:uid="{00000000-0005-0000-0000-0000306F0000}"/>
    <cellStyle name="Normal 5 4 4 2 2 4 2" xfId="43205" xr:uid="{00000000-0005-0000-0000-0000316F0000}"/>
    <cellStyle name="Normal 5 4 4 2 2 5" xfId="29142" xr:uid="{00000000-0005-0000-0000-0000326F0000}"/>
    <cellStyle name="Normal 5 4 4 2 3" xfId="4627" xr:uid="{00000000-0005-0000-0000-0000336F0000}"/>
    <cellStyle name="Normal 5 4 4 2 3 2" xfId="13465" xr:uid="{00000000-0005-0000-0000-0000346F0000}"/>
    <cellStyle name="Normal 5 4 4 2 3 2 2" xfId="23716" xr:uid="{00000000-0005-0000-0000-0000356F0000}"/>
    <cellStyle name="Normal 5 4 4 2 3 2 2 2" xfId="49269" xr:uid="{00000000-0005-0000-0000-0000366F0000}"/>
    <cellStyle name="Normal 5 4 4 2 3 2 3" xfId="39020" xr:uid="{00000000-0005-0000-0000-0000376F0000}"/>
    <cellStyle name="Normal 5 4 4 2 3 3" xfId="9886" xr:uid="{00000000-0005-0000-0000-0000386F0000}"/>
    <cellStyle name="Normal 5 4 4 2 3 3 2" xfId="35443" xr:uid="{00000000-0005-0000-0000-0000396F0000}"/>
    <cellStyle name="Normal 5 4 4 2 3 4" xfId="18709" xr:uid="{00000000-0005-0000-0000-00003A6F0000}"/>
    <cellStyle name="Normal 5 4 4 2 3 4 2" xfId="44262" xr:uid="{00000000-0005-0000-0000-00003B6F0000}"/>
    <cellStyle name="Normal 5 4 4 2 3 5" xfId="30199" xr:uid="{00000000-0005-0000-0000-00003C6F0000}"/>
    <cellStyle name="Normal 5 4 4 2 4" xfId="2407" xr:uid="{00000000-0005-0000-0000-00003D6F0000}"/>
    <cellStyle name="Normal 5 4 4 2 4 2" xfId="11772" xr:uid="{00000000-0005-0000-0000-00003E6F0000}"/>
    <cellStyle name="Normal 5 4 4 2 4 2 2" xfId="37327" xr:uid="{00000000-0005-0000-0000-00003F6F0000}"/>
    <cellStyle name="Normal 5 4 4 2 4 3" xfId="21776" xr:uid="{00000000-0005-0000-0000-0000406F0000}"/>
    <cellStyle name="Normal 5 4 4 2 4 3 2" xfId="47329" xr:uid="{00000000-0005-0000-0000-0000416F0000}"/>
    <cellStyle name="Normal 5 4 4 2 4 4" xfId="28259" xr:uid="{00000000-0005-0000-0000-0000426F0000}"/>
    <cellStyle name="Normal 5 4 4 2 5" xfId="6083" xr:uid="{00000000-0005-0000-0000-0000436F0000}"/>
    <cellStyle name="Normal 5 4 4 2 5 2" xfId="14910" xr:uid="{00000000-0005-0000-0000-0000446F0000}"/>
    <cellStyle name="Normal 5 4 4 2 5 2 2" xfId="40465" xr:uid="{00000000-0005-0000-0000-0000456F0000}"/>
    <cellStyle name="Normal 5 4 4 2 5 3" xfId="25161" xr:uid="{00000000-0005-0000-0000-0000466F0000}"/>
    <cellStyle name="Normal 5 4 4 2 5 3 2" xfId="50714" xr:uid="{00000000-0005-0000-0000-0000476F0000}"/>
    <cellStyle name="Normal 5 4 4 2 5 4" xfId="31644" xr:uid="{00000000-0005-0000-0000-0000486F0000}"/>
    <cellStyle name="Normal 5 4 4 2 6" xfId="7528" xr:uid="{00000000-0005-0000-0000-0000496F0000}"/>
    <cellStyle name="Normal 5 4 4 2 6 2" xfId="20258" xr:uid="{00000000-0005-0000-0000-00004A6F0000}"/>
    <cellStyle name="Normal 5 4 4 2 6 2 2" xfId="45811" xr:uid="{00000000-0005-0000-0000-00004B6F0000}"/>
    <cellStyle name="Normal 5 4 4 2 6 3" xfId="33085" xr:uid="{00000000-0005-0000-0000-00004C6F0000}"/>
    <cellStyle name="Normal 5 4 4 2 7" xfId="16769" xr:uid="{00000000-0005-0000-0000-00004D6F0000}"/>
    <cellStyle name="Normal 5 4 4 2 7 2" xfId="42322" xr:uid="{00000000-0005-0000-0000-00004E6F0000}"/>
    <cellStyle name="Normal 5 4 4 2 8" xfId="26741" xr:uid="{00000000-0005-0000-0000-00004F6F0000}"/>
    <cellStyle name="Normal 5 4 4 3" xfId="1253" xr:uid="{00000000-0005-0000-0000-0000506F0000}"/>
    <cellStyle name="Normal 5 4 4 3 2" xfId="3682" xr:uid="{00000000-0005-0000-0000-0000516F0000}"/>
    <cellStyle name="Normal 5 4 4 3 2 2" xfId="12818" xr:uid="{00000000-0005-0000-0000-0000526F0000}"/>
    <cellStyle name="Normal 5 4 4 3 2 2 2" xfId="23037" xr:uid="{00000000-0005-0000-0000-0000536F0000}"/>
    <cellStyle name="Normal 5 4 4 3 2 2 2 2" xfId="48590" xr:uid="{00000000-0005-0000-0000-0000546F0000}"/>
    <cellStyle name="Normal 5 4 4 3 2 2 3" xfId="38373" xr:uid="{00000000-0005-0000-0000-0000556F0000}"/>
    <cellStyle name="Normal 5 4 4 3 2 3" xfId="9239" xr:uid="{00000000-0005-0000-0000-0000566F0000}"/>
    <cellStyle name="Normal 5 4 4 3 2 3 2" xfId="34796" xr:uid="{00000000-0005-0000-0000-0000576F0000}"/>
    <cellStyle name="Normal 5 4 4 3 2 4" xfId="18030" xr:uid="{00000000-0005-0000-0000-0000586F0000}"/>
    <cellStyle name="Normal 5 4 4 3 2 4 2" xfId="43583" xr:uid="{00000000-0005-0000-0000-0000596F0000}"/>
    <cellStyle name="Normal 5 4 4 3 2 5" xfId="29520" xr:uid="{00000000-0005-0000-0000-00005A6F0000}"/>
    <cellStyle name="Normal 5 4 4 3 3" xfId="4976" xr:uid="{00000000-0005-0000-0000-00005B6F0000}"/>
    <cellStyle name="Normal 5 4 4 3 3 2" xfId="13813" xr:uid="{00000000-0005-0000-0000-00005C6F0000}"/>
    <cellStyle name="Normal 5 4 4 3 3 2 2" xfId="24064" xr:uid="{00000000-0005-0000-0000-00005D6F0000}"/>
    <cellStyle name="Normal 5 4 4 3 3 2 2 2" xfId="49617" xr:uid="{00000000-0005-0000-0000-00005E6F0000}"/>
    <cellStyle name="Normal 5 4 4 3 3 2 3" xfId="39368" xr:uid="{00000000-0005-0000-0000-00005F6F0000}"/>
    <cellStyle name="Normal 5 4 4 3 3 3" xfId="10234" xr:uid="{00000000-0005-0000-0000-0000606F0000}"/>
    <cellStyle name="Normal 5 4 4 3 3 3 2" xfId="35791" xr:uid="{00000000-0005-0000-0000-0000616F0000}"/>
    <cellStyle name="Normal 5 4 4 3 3 4" xfId="19057" xr:uid="{00000000-0005-0000-0000-0000626F0000}"/>
    <cellStyle name="Normal 5 4 4 3 3 4 2" xfId="44610" xr:uid="{00000000-0005-0000-0000-0000636F0000}"/>
    <cellStyle name="Normal 5 4 4 3 3 5" xfId="30547" xr:uid="{00000000-0005-0000-0000-0000646F0000}"/>
    <cellStyle name="Normal 5 4 4 3 4" xfId="2076" xr:uid="{00000000-0005-0000-0000-0000656F0000}"/>
    <cellStyle name="Normal 5 4 4 3 4 2" xfId="11441" xr:uid="{00000000-0005-0000-0000-0000666F0000}"/>
    <cellStyle name="Normal 5 4 4 3 4 2 2" xfId="36996" xr:uid="{00000000-0005-0000-0000-0000676F0000}"/>
    <cellStyle name="Normal 5 4 4 3 4 3" xfId="21445" xr:uid="{00000000-0005-0000-0000-0000686F0000}"/>
    <cellStyle name="Normal 5 4 4 3 4 3 2" xfId="46998" xr:uid="{00000000-0005-0000-0000-0000696F0000}"/>
    <cellStyle name="Normal 5 4 4 3 4 4" xfId="27928" xr:uid="{00000000-0005-0000-0000-00006A6F0000}"/>
    <cellStyle name="Normal 5 4 4 3 5" xfId="6431" xr:uid="{00000000-0005-0000-0000-00006B6F0000}"/>
    <cellStyle name="Normal 5 4 4 3 5 2" xfId="15258" xr:uid="{00000000-0005-0000-0000-00006C6F0000}"/>
    <cellStyle name="Normal 5 4 4 3 5 2 2" xfId="40813" xr:uid="{00000000-0005-0000-0000-00006D6F0000}"/>
    <cellStyle name="Normal 5 4 4 3 5 3" xfId="25509" xr:uid="{00000000-0005-0000-0000-00006E6F0000}"/>
    <cellStyle name="Normal 5 4 4 3 5 3 2" xfId="51062" xr:uid="{00000000-0005-0000-0000-00006F6F0000}"/>
    <cellStyle name="Normal 5 4 4 3 5 4" xfId="31992" xr:uid="{00000000-0005-0000-0000-0000706F0000}"/>
    <cellStyle name="Normal 5 4 4 3 6" xfId="7877" xr:uid="{00000000-0005-0000-0000-0000716F0000}"/>
    <cellStyle name="Normal 5 4 4 3 6 2" xfId="20636" xr:uid="{00000000-0005-0000-0000-0000726F0000}"/>
    <cellStyle name="Normal 5 4 4 3 6 2 2" xfId="46189" xr:uid="{00000000-0005-0000-0000-0000736F0000}"/>
    <cellStyle name="Normal 5 4 4 3 6 3" xfId="33434" xr:uid="{00000000-0005-0000-0000-0000746F0000}"/>
    <cellStyle name="Normal 5 4 4 3 7" xfId="16438" xr:uid="{00000000-0005-0000-0000-0000756F0000}"/>
    <cellStyle name="Normal 5 4 4 3 7 2" xfId="41991" xr:uid="{00000000-0005-0000-0000-0000766F0000}"/>
    <cellStyle name="Normal 5 4 4 3 8" xfId="27119" xr:uid="{00000000-0005-0000-0000-0000776F0000}"/>
    <cellStyle name="Normal 5 4 4 4" xfId="2967" xr:uid="{00000000-0005-0000-0000-0000786F0000}"/>
    <cellStyle name="Normal 5 4 4 4 2" xfId="5345" xr:uid="{00000000-0005-0000-0000-0000796F0000}"/>
    <cellStyle name="Normal 5 4 4 4 2 2" xfId="14182" xr:uid="{00000000-0005-0000-0000-00007A6F0000}"/>
    <cellStyle name="Normal 5 4 4 4 2 2 2" xfId="24433" xr:uid="{00000000-0005-0000-0000-00007B6F0000}"/>
    <cellStyle name="Normal 5 4 4 4 2 2 2 2" xfId="49986" xr:uid="{00000000-0005-0000-0000-00007C6F0000}"/>
    <cellStyle name="Normal 5 4 4 4 2 2 3" xfId="39737" xr:uid="{00000000-0005-0000-0000-00007D6F0000}"/>
    <cellStyle name="Normal 5 4 4 4 2 3" xfId="10603" xr:uid="{00000000-0005-0000-0000-00007E6F0000}"/>
    <cellStyle name="Normal 5 4 4 4 2 3 2" xfId="36160" xr:uid="{00000000-0005-0000-0000-00007F6F0000}"/>
    <cellStyle name="Normal 5 4 4 4 2 4" xfId="19426" xr:uid="{00000000-0005-0000-0000-0000806F0000}"/>
    <cellStyle name="Normal 5 4 4 4 2 4 2" xfId="44979" xr:uid="{00000000-0005-0000-0000-0000816F0000}"/>
    <cellStyle name="Normal 5 4 4 4 2 5" xfId="30916" xr:uid="{00000000-0005-0000-0000-0000826F0000}"/>
    <cellStyle name="Normal 5 4 4 4 3" xfId="6800" xr:uid="{00000000-0005-0000-0000-0000836F0000}"/>
    <cellStyle name="Normal 5 4 4 4 3 2" xfId="15627" xr:uid="{00000000-0005-0000-0000-0000846F0000}"/>
    <cellStyle name="Normal 5 4 4 4 3 2 2" xfId="41182" xr:uid="{00000000-0005-0000-0000-0000856F0000}"/>
    <cellStyle name="Normal 5 4 4 4 3 3" xfId="25878" xr:uid="{00000000-0005-0000-0000-0000866F0000}"/>
    <cellStyle name="Normal 5 4 4 4 3 3 2" xfId="51431" xr:uid="{00000000-0005-0000-0000-0000876F0000}"/>
    <cellStyle name="Normal 5 4 4 4 3 4" xfId="32361" xr:uid="{00000000-0005-0000-0000-0000886F0000}"/>
    <cellStyle name="Normal 5 4 4 4 4" xfId="8246" xr:uid="{00000000-0005-0000-0000-0000896F0000}"/>
    <cellStyle name="Normal 5 4 4 4 4 2" xfId="22328" xr:uid="{00000000-0005-0000-0000-00008A6F0000}"/>
    <cellStyle name="Normal 5 4 4 4 4 2 2" xfId="47881" xr:uid="{00000000-0005-0000-0000-00008B6F0000}"/>
    <cellStyle name="Normal 5 4 4 4 4 3" xfId="33803" xr:uid="{00000000-0005-0000-0000-00008C6F0000}"/>
    <cellStyle name="Normal 5 4 4 4 5" xfId="17321" xr:uid="{00000000-0005-0000-0000-00008D6F0000}"/>
    <cellStyle name="Normal 5 4 4 4 5 2" xfId="42874" xr:uid="{00000000-0005-0000-0000-00008E6F0000}"/>
    <cellStyle name="Normal 5 4 4 4 6" xfId="28811" xr:uid="{00000000-0005-0000-0000-00008F6F0000}"/>
    <cellStyle name="Normal 5 4 4 5" xfId="4301" xr:uid="{00000000-0005-0000-0000-0000906F0000}"/>
    <cellStyle name="Normal 5 4 4 5 2" xfId="13139" xr:uid="{00000000-0005-0000-0000-0000916F0000}"/>
    <cellStyle name="Normal 5 4 4 5 2 2" xfId="23390" xr:uid="{00000000-0005-0000-0000-0000926F0000}"/>
    <cellStyle name="Normal 5 4 4 5 2 2 2" xfId="48943" xr:uid="{00000000-0005-0000-0000-0000936F0000}"/>
    <cellStyle name="Normal 5 4 4 5 2 3" xfId="38694" xr:uid="{00000000-0005-0000-0000-0000946F0000}"/>
    <cellStyle name="Normal 5 4 4 5 3" xfId="9560" xr:uid="{00000000-0005-0000-0000-0000956F0000}"/>
    <cellStyle name="Normal 5 4 4 5 3 2" xfId="35117" xr:uid="{00000000-0005-0000-0000-0000966F0000}"/>
    <cellStyle name="Normal 5 4 4 5 4" xfId="18383" xr:uid="{00000000-0005-0000-0000-0000976F0000}"/>
    <cellStyle name="Normal 5 4 4 5 4 2" xfId="43936" xr:uid="{00000000-0005-0000-0000-0000986F0000}"/>
    <cellStyle name="Normal 5 4 4 5 5" xfId="29873" xr:uid="{00000000-0005-0000-0000-0000996F0000}"/>
    <cellStyle name="Normal 5 4 4 6" xfId="1573" xr:uid="{00000000-0005-0000-0000-00009A6F0000}"/>
    <cellStyle name="Normal 5 4 4 6 2" xfId="10950" xr:uid="{00000000-0005-0000-0000-00009B6F0000}"/>
    <cellStyle name="Normal 5 4 4 6 2 2" xfId="36505" xr:uid="{00000000-0005-0000-0000-00009C6F0000}"/>
    <cellStyle name="Normal 5 4 4 6 3" xfId="20954" xr:uid="{00000000-0005-0000-0000-00009D6F0000}"/>
    <cellStyle name="Normal 5 4 4 6 3 2" xfId="46507" xr:uid="{00000000-0005-0000-0000-00009E6F0000}"/>
    <cellStyle name="Normal 5 4 4 6 4" xfId="27437" xr:uid="{00000000-0005-0000-0000-00009F6F0000}"/>
    <cellStyle name="Normal 5 4 4 7" xfId="5757" xr:uid="{00000000-0005-0000-0000-0000A06F0000}"/>
    <cellStyle name="Normal 5 4 4 7 2" xfId="14584" xr:uid="{00000000-0005-0000-0000-0000A16F0000}"/>
    <cellStyle name="Normal 5 4 4 7 2 2" xfId="40139" xr:uid="{00000000-0005-0000-0000-0000A26F0000}"/>
    <cellStyle name="Normal 5 4 4 7 3" xfId="24835" xr:uid="{00000000-0005-0000-0000-0000A36F0000}"/>
    <cellStyle name="Normal 5 4 4 7 3 2" xfId="50388" xr:uid="{00000000-0005-0000-0000-0000A46F0000}"/>
    <cellStyle name="Normal 5 4 4 7 4" xfId="31318" xr:uid="{00000000-0005-0000-0000-0000A56F0000}"/>
    <cellStyle name="Normal 5 4 4 8" xfId="7201" xr:uid="{00000000-0005-0000-0000-0000A66F0000}"/>
    <cellStyle name="Normal 5 4 4 8 2" xfId="19927" xr:uid="{00000000-0005-0000-0000-0000A76F0000}"/>
    <cellStyle name="Normal 5 4 4 8 2 2" xfId="45480" xr:uid="{00000000-0005-0000-0000-0000A86F0000}"/>
    <cellStyle name="Normal 5 4 4 8 3" xfId="32758" xr:uid="{00000000-0005-0000-0000-0000A96F0000}"/>
    <cellStyle name="Normal 5 4 4 9" xfId="15947" xr:uid="{00000000-0005-0000-0000-0000AA6F0000}"/>
    <cellStyle name="Normal 5 4 4 9 2" xfId="41500" xr:uid="{00000000-0005-0000-0000-0000AB6F0000}"/>
    <cellStyle name="Normal 5 4 4_Degree data" xfId="3842" xr:uid="{00000000-0005-0000-0000-0000AC6F0000}"/>
    <cellStyle name="Normal 5 4 5" xfId="322" xr:uid="{00000000-0005-0000-0000-0000AD6F0000}"/>
    <cellStyle name="Normal 5 4 5 10" xfId="26251" xr:uid="{00000000-0005-0000-0000-0000AE6F0000}"/>
    <cellStyle name="Normal 5 4 5 2" xfId="814" xr:uid="{00000000-0005-0000-0000-0000AF6F0000}"/>
    <cellStyle name="Normal 5 4 5 2 2" xfId="3299" xr:uid="{00000000-0005-0000-0000-0000B06F0000}"/>
    <cellStyle name="Normal 5 4 5 2 2 2" xfId="12441" xr:uid="{00000000-0005-0000-0000-0000B16F0000}"/>
    <cellStyle name="Normal 5 4 5 2 2 2 2" xfId="22660" xr:uid="{00000000-0005-0000-0000-0000B26F0000}"/>
    <cellStyle name="Normal 5 4 5 2 2 2 2 2" xfId="48213" xr:uid="{00000000-0005-0000-0000-0000B36F0000}"/>
    <cellStyle name="Normal 5 4 5 2 2 2 3" xfId="37996" xr:uid="{00000000-0005-0000-0000-0000B46F0000}"/>
    <cellStyle name="Normal 5 4 5 2 2 3" xfId="8863" xr:uid="{00000000-0005-0000-0000-0000B56F0000}"/>
    <cellStyle name="Normal 5 4 5 2 2 3 2" xfId="34420" xr:uid="{00000000-0005-0000-0000-0000B66F0000}"/>
    <cellStyle name="Normal 5 4 5 2 2 4" xfId="17653" xr:uid="{00000000-0005-0000-0000-0000B76F0000}"/>
    <cellStyle name="Normal 5 4 5 2 2 4 2" xfId="43206" xr:uid="{00000000-0005-0000-0000-0000B86F0000}"/>
    <cellStyle name="Normal 5 4 5 2 2 5" xfId="29143" xr:uid="{00000000-0005-0000-0000-0000B96F0000}"/>
    <cellStyle name="Normal 5 4 5 2 3" xfId="4628" xr:uid="{00000000-0005-0000-0000-0000BA6F0000}"/>
    <cellStyle name="Normal 5 4 5 2 3 2" xfId="13466" xr:uid="{00000000-0005-0000-0000-0000BB6F0000}"/>
    <cellStyle name="Normal 5 4 5 2 3 2 2" xfId="23717" xr:uid="{00000000-0005-0000-0000-0000BC6F0000}"/>
    <cellStyle name="Normal 5 4 5 2 3 2 2 2" xfId="49270" xr:uid="{00000000-0005-0000-0000-0000BD6F0000}"/>
    <cellStyle name="Normal 5 4 5 2 3 2 3" xfId="39021" xr:uid="{00000000-0005-0000-0000-0000BE6F0000}"/>
    <cellStyle name="Normal 5 4 5 2 3 3" xfId="9887" xr:uid="{00000000-0005-0000-0000-0000BF6F0000}"/>
    <cellStyle name="Normal 5 4 5 2 3 3 2" xfId="35444" xr:uid="{00000000-0005-0000-0000-0000C06F0000}"/>
    <cellStyle name="Normal 5 4 5 2 3 4" xfId="18710" xr:uid="{00000000-0005-0000-0000-0000C16F0000}"/>
    <cellStyle name="Normal 5 4 5 2 3 4 2" xfId="44263" xr:uid="{00000000-0005-0000-0000-0000C26F0000}"/>
    <cellStyle name="Normal 5 4 5 2 3 5" xfId="30200" xr:uid="{00000000-0005-0000-0000-0000C36F0000}"/>
    <cellStyle name="Normal 5 4 5 2 4" xfId="2408" xr:uid="{00000000-0005-0000-0000-0000C46F0000}"/>
    <cellStyle name="Normal 5 4 5 2 4 2" xfId="11773" xr:uid="{00000000-0005-0000-0000-0000C56F0000}"/>
    <cellStyle name="Normal 5 4 5 2 4 2 2" xfId="37328" xr:uid="{00000000-0005-0000-0000-0000C66F0000}"/>
    <cellStyle name="Normal 5 4 5 2 4 3" xfId="21777" xr:uid="{00000000-0005-0000-0000-0000C76F0000}"/>
    <cellStyle name="Normal 5 4 5 2 4 3 2" xfId="47330" xr:uid="{00000000-0005-0000-0000-0000C86F0000}"/>
    <cellStyle name="Normal 5 4 5 2 4 4" xfId="28260" xr:uid="{00000000-0005-0000-0000-0000C96F0000}"/>
    <cellStyle name="Normal 5 4 5 2 5" xfId="6084" xr:uid="{00000000-0005-0000-0000-0000CA6F0000}"/>
    <cellStyle name="Normal 5 4 5 2 5 2" xfId="14911" xr:uid="{00000000-0005-0000-0000-0000CB6F0000}"/>
    <cellStyle name="Normal 5 4 5 2 5 2 2" xfId="40466" xr:uid="{00000000-0005-0000-0000-0000CC6F0000}"/>
    <cellStyle name="Normal 5 4 5 2 5 3" xfId="25162" xr:uid="{00000000-0005-0000-0000-0000CD6F0000}"/>
    <cellStyle name="Normal 5 4 5 2 5 3 2" xfId="50715" xr:uid="{00000000-0005-0000-0000-0000CE6F0000}"/>
    <cellStyle name="Normal 5 4 5 2 5 4" xfId="31645" xr:uid="{00000000-0005-0000-0000-0000CF6F0000}"/>
    <cellStyle name="Normal 5 4 5 2 6" xfId="7529" xr:uid="{00000000-0005-0000-0000-0000D06F0000}"/>
    <cellStyle name="Normal 5 4 5 2 6 2" xfId="20259" xr:uid="{00000000-0005-0000-0000-0000D16F0000}"/>
    <cellStyle name="Normal 5 4 5 2 6 2 2" xfId="45812" xr:uid="{00000000-0005-0000-0000-0000D26F0000}"/>
    <cellStyle name="Normal 5 4 5 2 6 3" xfId="33086" xr:uid="{00000000-0005-0000-0000-0000D36F0000}"/>
    <cellStyle name="Normal 5 4 5 2 7" xfId="16770" xr:uid="{00000000-0005-0000-0000-0000D46F0000}"/>
    <cellStyle name="Normal 5 4 5 2 7 2" xfId="42323" xr:uid="{00000000-0005-0000-0000-0000D56F0000}"/>
    <cellStyle name="Normal 5 4 5 2 8" xfId="26742" xr:uid="{00000000-0005-0000-0000-0000D66F0000}"/>
    <cellStyle name="Normal 5 4 5 3" xfId="1094" xr:uid="{00000000-0005-0000-0000-0000D76F0000}"/>
    <cellStyle name="Normal 5 4 5 3 2" xfId="3523" xr:uid="{00000000-0005-0000-0000-0000D86F0000}"/>
    <cellStyle name="Normal 5 4 5 3 2 2" xfId="12659" xr:uid="{00000000-0005-0000-0000-0000D96F0000}"/>
    <cellStyle name="Normal 5 4 5 3 2 2 2" xfId="22878" xr:uid="{00000000-0005-0000-0000-0000DA6F0000}"/>
    <cellStyle name="Normal 5 4 5 3 2 2 2 2" xfId="48431" xr:uid="{00000000-0005-0000-0000-0000DB6F0000}"/>
    <cellStyle name="Normal 5 4 5 3 2 2 3" xfId="38214" xr:uid="{00000000-0005-0000-0000-0000DC6F0000}"/>
    <cellStyle name="Normal 5 4 5 3 2 3" xfId="9081" xr:uid="{00000000-0005-0000-0000-0000DD6F0000}"/>
    <cellStyle name="Normal 5 4 5 3 2 3 2" xfId="34638" xr:uid="{00000000-0005-0000-0000-0000DE6F0000}"/>
    <cellStyle name="Normal 5 4 5 3 2 4" xfId="17871" xr:uid="{00000000-0005-0000-0000-0000DF6F0000}"/>
    <cellStyle name="Normal 5 4 5 3 2 4 2" xfId="43424" xr:uid="{00000000-0005-0000-0000-0000E06F0000}"/>
    <cellStyle name="Normal 5 4 5 3 2 5" xfId="29361" xr:uid="{00000000-0005-0000-0000-0000E16F0000}"/>
    <cellStyle name="Normal 5 4 5 3 3" xfId="4977" xr:uid="{00000000-0005-0000-0000-0000E26F0000}"/>
    <cellStyle name="Normal 5 4 5 3 3 2" xfId="13814" xr:uid="{00000000-0005-0000-0000-0000E36F0000}"/>
    <cellStyle name="Normal 5 4 5 3 3 2 2" xfId="24065" xr:uid="{00000000-0005-0000-0000-0000E46F0000}"/>
    <cellStyle name="Normal 5 4 5 3 3 2 2 2" xfId="49618" xr:uid="{00000000-0005-0000-0000-0000E56F0000}"/>
    <cellStyle name="Normal 5 4 5 3 3 2 3" xfId="39369" xr:uid="{00000000-0005-0000-0000-0000E66F0000}"/>
    <cellStyle name="Normal 5 4 5 3 3 3" xfId="10235" xr:uid="{00000000-0005-0000-0000-0000E76F0000}"/>
    <cellStyle name="Normal 5 4 5 3 3 3 2" xfId="35792" xr:uid="{00000000-0005-0000-0000-0000E86F0000}"/>
    <cellStyle name="Normal 5 4 5 3 3 4" xfId="19058" xr:uid="{00000000-0005-0000-0000-0000E96F0000}"/>
    <cellStyle name="Normal 5 4 5 3 3 4 2" xfId="44611" xr:uid="{00000000-0005-0000-0000-0000EA6F0000}"/>
    <cellStyle name="Normal 5 4 5 3 3 5" xfId="30548" xr:uid="{00000000-0005-0000-0000-0000EB6F0000}"/>
    <cellStyle name="Normal 5 4 5 3 4" xfId="2576" xr:uid="{00000000-0005-0000-0000-0000EC6F0000}"/>
    <cellStyle name="Normal 5 4 5 3 4 2" xfId="11940" xr:uid="{00000000-0005-0000-0000-0000ED6F0000}"/>
    <cellStyle name="Normal 5 4 5 3 4 2 2" xfId="37495" xr:uid="{00000000-0005-0000-0000-0000EE6F0000}"/>
    <cellStyle name="Normal 5 4 5 3 4 3" xfId="21944" xr:uid="{00000000-0005-0000-0000-0000EF6F0000}"/>
    <cellStyle name="Normal 5 4 5 3 4 3 2" xfId="47497" xr:uid="{00000000-0005-0000-0000-0000F06F0000}"/>
    <cellStyle name="Normal 5 4 5 3 4 4" xfId="28427" xr:uid="{00000000-0005-0000-0000-0000F16F0000}"/>
    <cellStyle name="Normal 5 4 5 3 5" xfId="6432" xr:uid="{00000000-0005-0000-0000-0000F26F0000}"/>
    <cellStyle name="Normal 5 4 5 3 5 2" xfId="15259" xr:uid="{00000000-0005-0000-0000-0000F36F0000}"/>
    <cellStyle name="Normal 5 4 5 3 5 2 2" xfId="40814" xr:uid="{00000000-0005-0000-0000-0000F46F0000}"/>
    <cellStyle name="Normal 5 4 5 3 5 3" xfId="25510" xr:uid="{00000000-0005-0000-0000-0000F56F0000}"/>
    <cellStyle name="Normal 5 4 5 3 5 3 2" xfId="51063" xr:uid="{00000000-0005-0000-0000-0000F66F0000}"/>
    <cellStyle name="Normal 5 4 5 3 5 4" xfId="31993" xr:uid="{00000000-0005-0000-0000-0000F76F0000}"/>
    <cellStyle name="Normal 5 4 5 3 6" xfId="7878" xr:uid="{00000000-0005-0000-0000-0000F86F0000}"/>
    <cellStyle name="Normal 5 4 5 3 6 2" xfId="20477" xr:uid="{00000000-0005-0000-0000-0000F96F0000}"/>
    <cellStyle name="Normal 5 4 5 3 6 2 2" xfId="46030" xr:uid="{00000000-0005-0000-0000-0000FA6F0000}"/>
    <cellStyle name="Normal 5 4 5 3 6 3" xfId="33435" xr:uid="{00000000-0005-0000-0000-0000FB6F0000}"/>
    <cellStyle name="Normal 5 4 5 3 7" xfId="16937" xr:uid="{00000000-0005-0000-0000-0000FC6F0000}"/>
    <cellStyle name="Normal 5 4 5 3 7 2" xfId="42490" xr:uid="{00000000-0005-0000-0000-0000FD6F0000}"/>
    <cellStyle name="Normal 5 4 5 3 8" xfId="26960" xr:uid="{00000000-0005-0000-0000-0000FE6F0000}"/>
    <cellStyle name="Normal 5 4 5 4" xfId="2808" xr:uid="{00000000-0005-0000-0000-0000FF6F0000}"/>
    <cellStyle name="Normal 5 4 5 4 2" xfId="5186" xr:uid="{00000000-0005-0000-0000-000000700000}"/>
    <cellStyle name="Normal 5 4 5 4 2 2" xfId="14023" xr:uid="{00000000-0005-0000-0000-000001700000}"/>
    <cellStyle name="Normal 5 4 5 4 2 2 2" xfId="24274" xr:uid="{00000000-0005-0000-0000-000002700000}"/>
    <cellStyle name="Normal 5 4 5 4 2 2 2 2" xfId="49827" xr:uid="{00000000-0005-0000-0000-000003700000}"/>
    <cellStyle name="Normal 5 4 5 4 2 2 3" xfId="39578" xr:uid="{00000000-0005-0000-0000-000004700000}"/>
    <cellStyle name="Normal 5 4 5 4 2 3" xfId="10444" xr:uid="{00000000-0005-0000-0000-000005700000}"/>
    <cellStyle name="Normal 5 4 5 4 2 3 2" xfId="36001" xr:uid="{00000000-0005-0000-0000-000006700000}"/>
    <cellStyle name="Normal 5 4 5 4 2 4" xfId="19267" xr:uid="{00000000-0005-0000-0000-000007700000}"/>
    <cellStyle name="Normal 5 4 5 4 2 4 2" xfId="44820" xr:uid="{00000000-0005-0000-0000-000008700000}"/>
    <cellStyle name="Normal 5 4 5 4 2 5" xfId="30757" xr:uid="{00000000-0005-0000-0000-000009700000}"/>
    <cellStyle name="Normal 5 4 5 4 3" xfId="6641" xr:uid="{00000000-0005-0000-0000-00000A700000}"/>
    <cellStyle name="Normal 5 4 5 4 3 2" xfId="15468" xr:uid="{00000000-0005-0000-0000-00000B700000}"/>
    <cellStyle name="Normal 5 4 5 4 3 2 2" xfId="41023" xr:uid="{00000000-0005-0000-0000-00000C700000}"/>
    <cellStyle name="Normal 5 4 5 4 3 3" xfId="25719" xr:uid="{00000000-0005-0000-0000-00000D700000}"/>
    <cellStyle name="Normal 5 4 5 4 3 3 2" xfId="51272" xr:uid="{00000000-0005-0000-0000-00000E700000}"/>
    <cellStyle name="Normal 5 4 5 4 3 4" xfId="32202" xr:uid="{00000000-0005-0000-0000-00000F700000}"/>
    <cellStyle name="Normal 5 4 5 4 4" xfId="8087" xr:uid="{00000000-0005-0000-0000-000010700000}"/>
    <cellStyle name="Normal 5 4 5 4 4 2" xfId="22169" xr:uid="{00000000-0005-0000-0000-000011700000}"/>
    <cellStyle name="Normal 5 4 5 4 4 2 2" xfId="47722" xr:uid="{00000000-0005-0000-0000-000012700000}"/>
    <cellStyle name="Normal 5 4 5 4 4 3" xfId="33644" xr:uid="{00000000-0005-0000-0000-000013700000}"/>
    <cellStyle name="Normal 5 4 5 4 5" xfId="17162" xr:uid="{00000000-0005-0000-0000-000014700000}"/>
    <cellStyle name="Normal 5 4 5 4 5 2" xfId="42715" xr:uid="{00000000-0005-0000-0000-000015700000}"/>
    <cellStyle name="Normal 5 4 5 4 6" xfId="28652" xr:uid="{00000000-0005-0000-0000-000016700000}"/>
    <cellStyle name="Normal 5 4 5 5" xfId="4140" xr:uid="{00000000-0005-0000-0000-000017700000}"/>
    <cellStyle name="Normal 5 4 5 5 2" xfId="12978" xr:uid="{00000000-0005-0000-0000-000018700000}"/>
    <cellStyle name="Normal 5 4 5 5 2 2" xfId="23229" xr:uid="{00000000-0005-0000-0000-000019700000}"/>
    <cellStyle name="Normal 5 4 5 5 2 2 2" xfId="48782" xr:uid="{00000000-0005-0000-0000-00001A700000}"/>
    <cellStyle name="Normal 5 4 5 5 2 3" xfId="38533" xr:uid="{00000000-0005-0000-0000-00001B700000}"/>
    <cellStyle name="Normal 5 4 5 5 3" xfId="9399" xr:uid="{00000000-0005-0000-0000-00001C700000}"/>
    <cellStyle name="Normal 5 4 5 5 3 2" xfId="34956" xr:uid="{00000000-0005-0000-0000-00001D700000}"/>
    <cellStyle name="Normal 5 4 5 5 4" xfId="18222" xr:uid="{00000000-0005-0000-0000-00001E700000}"/>
    <cellStyle name="Normal 5 4 5 5 4 2" xfId="43775" xr:uid="{00000000-0005-0000-0000-00001F700000}"/>
    <cellStyle name="Normal 5 4 5 5 5" xfId="29712" xr:uid="{00000000-0005-0000-0000-000020700000}"/>
    <cellStyle name="Normal 5 4 5 6" xfId="1917" xr:uid="{00000000-0005-0000-0000-000021700000}"/>
    <cellStyle name="Normal 5 4 5 6 2" xfId="11282" xr:uid="{00000000-0005-0000-0000-000022700000}"/>
    <cellStyle name="Normal 5 4 5 6 2 2" xfId="36837" xr:uid="{00000000-0005-0000-0000-000023700000}"/>
    <cellStyle name="Normal 5 4 5 6 3" xfId="21286" xr:uid="{00000000-0005-0000-0000-000024700000}"/>
    <cellStyle name="Normal 5 4 5 6 3 2" xfId="46839" xr:uid="{00000000-0005-0000-0000-000025700000}"/>
    <cellStyle name="Normal 5 4 5 6 4" xfId="27769" xr:uid="{00000000-0005-0000-0000-000026700000}"/>
    <cellStyle name="Normal 5 4 5 7" xfId="5598" xr:uid="{00000000-0005-0000-0000-000027700000}"/>
    <cellStyle name="Normal 5 4 5 7 2" xfId="14425" xr:uid="{00000000-0005-0000-0000-000028700000}"/>
    <cellStyle name="Normal 5 4 5 7 2 2" xfId="39980" xr:uid="{00000000-0005-0000-0000-000029700000}"/>
    <cellStyle name="Normal 5 4 5 7 3" xfId="24676" xr:uid="{00000000-0005-0000-0000-00002A700000}"/>
    <cellStyle name="Normal 5 4 5 7 3 2" xfId="50229" xr:uid="{00000000-0005-0000-0000-00002B700000}"/>
    <cellStyle name="Normal 5 4 5 7 4" xfId="31159" xr:uid="{00000000-0005-0000-0000-00002C700000}"/>
    <cellStyle name="Normal 5 4 5 8" xfId="7042" xr:uid="{00000000-0005-0000-0000-00002D700000}"/>
    <cellStyle name="Normal 5 4 5 8 2" xfId="19768" xr:uid="{00000000-0005-0000-0000-00002E700000}"/>
    <cellStyle name="Normal 5 4 5 8 2 2" xfId="45321" xr:uid="{00000000-0005-0000-0000-00002F700000}"/>
    <cellStyle name="Normal 5 4 5 8 3" xfId="32599" xr:uid="{00000000-0005-0000-0000-000030700000}"/>
    <cellStyle name="Normal 5 4 5 9" xfId="16279" xr:uid="{00000000-0005-0000-0000-000031700000}"/>
    <cellStyle name="Normal 5 4 5 9 2" xfId="41832" xr:uid="{00000000-0005-0000-0000-000032700000}"/>
    <cellStyle name="Normal 5 4 5_Degree data" xfId="3921" xr:uid="{00000000-0005-0000-0000-000033700000}"/>
    <cellStyle name="Normal 5 4 6" xfId="808" xr:uid="{00000000-0005-0000-0000-000034700000}"/>
    <cellStyle name="Normal 5 4 6 2" xfId="3293" xr:uid="{00000000-0005-0000-0000-000035700000}"/>
    <cellStyle name="Normal 5 4 6 2 2" xfId="12435" xr:uid="{00000000-0005-0000-0000-000036700000}"/>
    <cellStyle name="Normal 5 4 6 2 2 2" xfId="22654" xr:uid="{00000000-0005-0000-0000-000037700000}"/>
    <cellStyle name="Normal 5 4 6 2 2 2 2" xfId="48207" xr:uid="{00000000-0005-0000-0000-000038700000}"/>
    <cellStyle name="Normal 5 4 6 2 2 3" xfId="37990" xr:uid="{00000000-0005-0000-0000-000039700000}"/>
    <cellStyle name="Normal 5 4 6 2 3" xfId="8857" xr:uid="{00000000-0005-0000-0000-00003A700000}"/>
    <cellStyle name="Normal 5 4 6 2 3 2" xfId="34414" xr:uid="{00000000-0005-0000-0000-00003B700000}"/>
    <cellStyle name="Normal 5 4 6 2 4" xfId="17647" xr:uid="{00000000-0005-0000-0000-00003C700000}"/>
    <cellStyle name="Normal 5 4 6 2 4 2" xfId="43200" xr:uid="{00000000-0005-0000-0000-00003D700000}"/>
    <cellStyle name="Normal 5 4 6 2 5" xfId="29137" xr:uid="{00000000-0005-0000-0000-00003E700000}"/>
    <cellStyle name="Normal 5 4 6 3" xfId="4622" xr:uid="{00000000-0005-0000-0000-00003F700000}"/>
    <cellStyle name="Normal 5 4 6 3 2" xfId="13460" xr:uid="{00000000-0005-0000-0000-000040700000}"/>
    <cellStyle name="Normal 5 4 6 3 2 2" xfId="23711" xr:uid="{00000000-0005-0000-0000-000041700000}"/>
    <cellStyle name="Normal 5 4 6 3 2 2 2" xfId="49264" xr:uid="{00000000-0005-0000-0000-000042700000}"/>
    <cellStyle name="Normal 5 4 6 3 2 3" xfId="39015" xr:uid="{00000000-0005-0000-0000-000043700000}"/>
    <cellStyle name="Normal 5 4 6 3 3" xfId="9881" xr:uid="{00000000-0005-0000-0000-000044700000}"/>
    <cellStyle name="Normal 5 4 6 3 3 2" xfId="35438" xr:uid="{00000000-0005-0000-0000-000045700000}"/>
    <cellStyle name="Normal 5 4 6 3 4" xfId="18704" xr:uid="{00000000-0005-0000-0000-000046700000}"/>
    <cellStyle name="Normal 5 4 6 3 4 2" xfId="44257" xr:uid="{00000000-0005-0000-0000-000047700000}"/>
    <cellStyle name="Normal 5 4 6 3 5" xfId="30194" xr:uid="{00000000-0005-0000-0000-000048700000}"/>
    <cellStyle name="Normal 5 4 6 4" xfId="2402" xr:uid="{00000000-0005-0000-0000-000049700000}"/>
    <cellStyle name="Normal 5 4 6 4 2" xfId="11767" xr:uid="{00000000-0005-0000-0000-00004A700000}"/>
    <cellStyle name="Normal 5 4 6 4 2 2" xfId="37322" xr:uid="{00000000-0005-0000-0000-00004B700000}"/>
    <cellStyle name="Normal 5 4 6 4 3" xfId="21771" xr:uid="{00000000-0005-0000-0000-00004C700000}"/>
    <cellStyle name="Normal 5 4 6 4 3 2" xfId="47324" xr:uid="{00000000-0005-0000-0000-00004D700000}"/>
    <cellStyle name="Normal 5 4 6 4 4" xfId="28254" xr:uid="{00000000-0005-0000-0000-00004E700000}"/>
    <cellStyle name="Normal 5 4 6 5" xfId="6078" xr:uid="{00000000-0005-0000-0000-00004F700000}"/>
    <cellStyle name="Normal 5 4 6 5 2" xfId="14905" xr:uid="{00000000-0005-0000-0000-000050700000}"/>
    <cellStyle name="Normal 5 4 6 5 2 2" xfId="40460" xr:uid="{00000000-0005-0000-0000-000051700000}"/>
    <cellStyle name="Normal 5 4 6 5 3" xfId="25156" xr:uid="{00000000-0005-0000-0000-000052700000}"/>
    <cellStyle name="Normal 5 4 6 5 3 2" xfId="50709" xr:uid="{00000000-0005-0000-0000-000053700000}"/>
    <cellStyle name="Normal 5 4 6 5 4" xfId="31639" xr:uid="{00000000-0005-0000-0000-000054700000}"/>
    <cellStyle name="Normal 5 4 6 6" xfId="7523" xr:uid="{00000000-0005-0000-0000-000055700000}"/>
    <cellStyle name="Normal 5 4 6 6 2" xfId="20253" xr:uid="{00000000-0005-0000-0000-000056700000}"/>
    <cellStyle name="Normal 5 4 6 6 2 2" xfId="45806" xr:uid="{00000000-0005-0000-0000-000057700000}"/>
    <cellStyle name="Normal 5 4 6 6 3" xfId="33080" xr:uid="{00000000-0005-0000-0000-000058700000}"/>
    <cellStyle name="Normal 5 4 6 7" xfId="16764" xr:uid="{00000000-0005-0000-0000-000059700000}"/>
    <cellStyle name="Normal 5 4 6 7 2" xfId="42317" xr:uid="{00000000-0005-0000-0000-00005A700000}"/>
    <cellStyle name="Normal 5 4 6 8" xfId="26736" xr:uid="{00000000-0005-0000-0000-00005B700000}"/>
    <cellStyle name="Normal 5 4 7" xfId="1051" xr:uid="{00000000-0005-0000-0000-00005C700000}"/>
    <cellStyle name="Normal 5 4 7 2" xfId="3480" xr:uid="{00000000-0005-0000-0000-00005D700000}"/>
    <cellStyle name="Normal 5 4 7 2 2" xfId="12616" xr:uid="{00000000-0005-0000-0000-00005E700000}"/>
    <cellStyle name="Normal 5 4 7 2 2 2" xfId="22835" xr:uid="{00000000-0005-0000-0000-00005F700000}"/>
    <cellStyle name="Normal 5 4 7 2 2 2 2" xfId="48388" xr:uid="{00000000-0005-0000-0000-000060700000}"/>
    <cellStyle name="Normal 5 4 7 2 2 3" xfId="38171" xr:uid="{00000000-0005-0000-0000-000061700000}"/>
    <cellStyle name="Normal 5 4 7 2 3" xfId="9038" xr:uid="{00000000-0005-0000-0000-000062700000}"/>
    <cellStyle name="Normal 5 4 7 2 3 2" xfId="34595" xr:uid="{00000000-0005-0000-0000-000063700000}"/>
    <cellStyle name="Normal 5 4 7 2 4" xfId="17828" xr:uid="{00000000-0005-0000-0000-000064700000}"/>
    <cellStyle name="Normal 5 4 7 2 4 2" xfId="43381" xr:uid="{00000000-0005-0000-0000-000065700000}"/>
    <cellStyle name="Normal 5 4 7 2 5" xfId="29318" xr:uid="{00000000-0005-0000-0000-000066700000}"/>
    <cellStyle name="Normal 5 4 7 3" xfId="4971" xr:uid="{00000000-0005-0000-0000-000067700000}"/>
    <cellStyle name="Normal 5 4 7 3 2" xfId="13808" xr:uid="{00000000-0005-0000-0000-000068700000}"/>
    <cellStyle name="Normal 5 4 7 3 2 2" xfId="24059" xr:uid="{00000000-0005-0000-0000-000069700000}"/>
    <cellStyle name="Normal 5 4 7 3 2 2 2" xfId="49612" xr:uid="{00000000-0005-0000-0000-00006A700000}"/>
    <cellStyle name="Normal 5 4 7 3 2 3" xfId="39363" xr:uid="{00000000-0005-0000-0000-00006B700000}"/>
    <cellStyle name="Normal 5 4 7 3 3" xfId="10229" xr:uid="{00000000-0005-0000-0000-00006C700000}"/>
    <cellStyle name="Normal 5 4 7 3 3 2" xfId="35786" xr:uid="{00000000-0005-0000-0000-00006D700000}"/>
    <cellStyle name="Normal 5 4 7 3 4" xfId="19052" xr:uid="{00000000-0005-0000-0000-00006E700000}"/>
    <cellStyle name="Normal 5 4 7 3 4 2" xfId="44605" xr:uid="{00000000-0005-0000-0000-00006F700000}"/>
    <cellStyle name="Normal 5 4 7 3 5" xfId="30542" xr:uid="{00000000-0005-0000-0000-000070700000}"/>
    <cellStyle name="Normal 5 4 7 4" xfId="1752" xr:uid="{00000000-0005-0000-0000-000071700000}"/>
    <cellStyle name="Normal 5 4 7 4 2" xfId="11123" xr:uid="{00000000-0005-0000-0000-000072700000}"/>
    <cellStyle name="Normal 5 4 7 4 2 2" xfId="36678" xr:uid="{00000000-0005-0000-0000-000073700000}"/>
    <cellStyle name="Normal 5 4 7 4 3" xfId="21127" xr:uid="{00000000-0005-0000-0000-000074700000}"/>
    <cellStyle name="Normal 5 4 7 4 3 2" xfId="46680" xr:uid="{00000000-0005-0000-0000-000075700000}"/>
    <cellStyle name="Normal 5 4 7 4 4" xfId="27610" xr:uid="{00000000-0005-0000-0000-000076700000}"/>
    <cellStyle name="Normal 5 4 7 5" xfId="6426" xr:uid="{00000000-0005-0000-0000-000077700000}"/>
    <cellStyle name="Normal 5 4 7 5 2" xfId="15253" xr:uid="{00000000-0005-0000-0000-000078700000}"/>
    <cellStyle name="Normal 5 4 7 5 2 2" xfId="40808" xr:uid="{00000000-0005-0000-0000-000079700000}"/>
    <cellStyle name="Normal 5 4 7 5 3" xfId="25504" xr:uid="{00000000-0005-0000-0000-00007A700000}"/>
    <cellStyle name="Normal 5 4 7 5 3 2" xfId="51057" xr:uid="{00000000-0005-0000-0000-00007B700000}"/>
    <cellStyle name="Normal 5 4 7 5 4" xfId="31987" xr:uid="{00000000-0005-0000-0000-00007C700000}"/>
    <cellStyle name="Normal 5 4 7 6" xfId="7872" xr:uid="{00000000-0005-0000-0000-00007D700000}"/>
    <cellStyle name="Normal 5 4 7 6 2" xfId="20434" xr:uid="{00000000-0005-0000-0000-00007E700000}"/>
    <cellStyle name="Normal 5 4 7 6 2 2" xfId="45987" xr:uid="{00000000-0005-0000-0000-00007F700000}"/>
    <cellStyle name="Normal 5 4 7 6 3" xfId="33429" xr:uid="{00000000-0005-0000-0000-000080700000}"/>
    <cellStyle name="Normal 5 4 7 7" xfId="16120" xr:uid="{00000000-0005-0000-0000-000081700000}"/>
    <cellStyle name="Normal 5 4 7 7 2" xfId="41673" xr:uid="{00000000-0005-0000-0000-000082700000}"/>
    <cellStyle name="Normal 5 4 7 8" xfId="26917" xr:uid="{00000000-0005-0000-0000-000083700000}"/>
    <cellStyle name="Normal 5 4 8" xfId="2650" xr:uid="{00000000-0005-0000-0000-000084700000}"/>
    <cellStyle name="Normal 5 4 8 2" xfId="5143" xr:uid="{00000000-0005-0000-0000-000085700000}"/>
    <cellStyle name="Normal 5 4 8 2 2" xfId="13980" xr:uid="{00000000-0005-0000-0000-000086700000}"/>
    <cellStyle name="Normal 5 4 8 2 2 2" xfId="24231" xr:uid="{00000000-0005-0000-0000-000087700000}"/>
    <cellStyle name="Normal 5 4 8 2 2 2 2" xfId="49784" xr:uid="{00000000-0005-0000-0000-000088700000}"/>
    <cellStyle name="Normal 5 4 8 2 2 3" xfId="39535" xr:uid="{00000000-0005-0000-0000-000089700000}"/>
    <cellStyle name="Normal 5 4 8 2 3" xfId="10401" xr:uid="{00000000-0005-0000-0000-00008A700000}"/>
    <cellStyle name="Normal 5 4 8 2 3 2" xfId="35958" xr:uid="{00000000-0005-0000-0000-00008B700000}"/>
    <cellStyle name="Normal 5 4 8 2 4" xfId="19224" xr:uid="{00000000-0005-0000-0000-00008C700000}"/>
    <cellStyle name="Normal 5 4 8 2 4 2" xfId="44777" xr:uid="{00000000-0005-0000-0000-00008D700000}"/>
    <cellStyle name="Normal 5 4 8 2 5" xfId="30714" xr:uid="{00000000-0005-0000-0000-00008E700000}"/>
    <cellStyle name="Normal 5 4 8 3" xfId="6598" xr:uid="{00000000-0005-0000-0000-00008F700000}"/>
    <cellStyle name="Normal 5 4 8 3 2" xfId="15425" xr:uid="{00000000-0005-0000-0000-000090700000}"/>
    <cellStyle name="Normal 5 4 8 3 2 2" xfId="40980" xr:uid="{00000000-0005-0000-0000-000091700000}"/>
    <cellStyle name="Normal 5 4 8 3 3" xfId="25676" xr:uid="{00000000-0005-0000-0000-000092700000}"/>
    <cellStyle name="Normal 5 4 8 3 3 2" xfId="51229" xr:uid="{00000000-0005-0000-0000-000093700000}"/>
    <cellStyle name="Normal 5 4 8 3 4" xfId="32159" xr:uid="{00000000-0005-0000-0000-000094700000}"/>
    <cellStyle name="Normal 5 4 8 4" xfId="8044" xr:uid="{00000000-0005-0000-0000-000095700000}"/>
    <cellStyle name="Normal 5 4 8 4 2" xfId="22011" xr:uid="{00000000-0005-0000-0000-000096700000}"/>
    <cellStyle name="Normal 5 4 8 4 2 2" xfId="47564" xr:uid="{00000000-0005-0000-0000-000097700000}"/>
    <cellStyle name="Normal 5 4 8 4 3" xfId="33601" xr:uid="{00000000-0005-0000-0000-000098700000}"/>
    <cellStyle name="Normal 5 4 8 5" xfId="17004" xr:uid="{00000000-0005-0000-0000-000099700000}"/>
    <cellStyle name="Normal 5 4 8 5 2" xfId="42557" xr:uid="{00000000-0005-0000-0000-00009A700000}"/>
    <cellStyle name="Normal 5 4 8 6" xfId="28494" xr:uid="{00000000-0005-0000-0000-00009B700000}"/>
    <cellStyle name="Normal 5 4 9" xfId="4097" xr:uid="{00000000-0005-0000-0000-00009C700000}"/>
    <cellStyle name="Normal 5 4 9 2" xfId="5555" xr:uid="{00000000-0005-0000-0000-00009D700000}"/>
    <cellStyle name="Normal 5 4 9 2 2" xfId="14382" xr:uid="{00000000-0005-0000-0000-00009E700000}"/>
    <cellStyle name="Normal 5 4 9 2 2 2" xfId="39937" xr:uid="{00000000-0005-0000-0000-00009F700000}"/>
    <cellStyle name="Normal 5 4 9 2 3" xfId="24633" xr:uid="{00000000-0005-0000-0000-0000A0700000}"/>
    <cellStyle name="Normal 5 4 9 2 3 2" xfId="50186" xr:uid="{00000000-0005-0000-0000-0000A1700000}"/>
    <cellStyle name="Normal 5 4 9 2 4" xfId="31116" xr:uid="{00000000-0005-0000-0000-0000A2700000}"/>
    <cellStyle name="Normal 5 4 9 3" xfId="6999" xr:uid="{00000000-0005-0000-0000-0000A3700000}"/>
    <cellStyle name="Normal 5 4 9 3 2" xfId="23186" xr:uid="{00000000-0005-0000-0000-0000A4700000}"/>
    <cellStyle name="Normal 5 4 9 3 2 2" xfId="48739" xr:uid="{00000000-0005-0000-0000-0000A5700000}"/>
    <cellStyle name="Normal 5 4 9 3 3" xfId="32556" xr:uid="{00000000-0005-0000-0000-0000A6700000}"/>
    <cellStyle name="Normal 5 4 9 4" xfId="18179" xr:uid="{00000000-0005-0000-0000-0000A7700000}"/>
    <cellStyle name="Normal 5 4 9 4 2" xfId="43732" xr:uid="{00000000-0005-0000-0000-0000A8700000}"/>
    <cellStyle name="Normal 5 4 9 5" xfId="29669" xr:uid="{00000000-0005-0000-0000-0000A9700000}"/>
    <cellStyle name="Normal 5 4_Degree data" xfId="3820" xr:uid="{00000000-0005-0000-0000-0000AA700000}"/>
    <cellStyle name="Normal 5 5" xfId="134" xr:uid="{00000000-0005-0000-0000-0000AB700000}"/>
    <cellStyle name="Normal 5 5 10" xfId="1402" xr:uid="{00000000-0005-0000-0000-0000AC700000}"/>
    <cellStyle name="Normal 5 5 10 2" xfId="10779" xr:uid="{00000000-0005-0000-0000-0000AD700000}"/>
    <cellStyle name="Normal 5 5 10 2 2" xfId="36334" xr:uid="{00000000-0005-0000-0000-0000AE700000}"/>
    <cellStyle name="Normal 5 5 10 3" xfId="20783" xr:uid="{00000000-0005-0000-0000-0000AF700000}"/>
    <cellStyle name="Normal 5 5 10 3 2" xfId="46336" xr:uid="{00000000-0005-0000-0000-0000B0700000}"/>
    <cellStyle name="Normal 5 5 10 4" xfId="27266" xr:uid="{00000000-0005-0000-0000-0000B1700000}"/>
    <cellStyle name="Normal 5 5 11" xfId="5513" xr:uid="{00000000-0005-0000-0000-0000B2700000}"/>
    <cellStyle name="Normal 5 5 11 2" xfId="14340" xr:uid="{00000000-0005-0000-0000-0000B3700000}"/>
    <cellStyle name="Normal 5 5 11 2 2" xfId="39895" xr:uid="{00000000-0005-0000-0000-0000B4700000}"/>
    <cellStyle name="Normal 5 5 11 3" xfId="24591" xr:uid="{00000000-0005-0000-0000-0000B5700000}"/>
    <cellStyle name="Normal 5 5 11 3 2" xfId="50144" xr:uid="{00000000-0005-0000-0000-0000B6700000}"/>
    <cellStyle name="Normal 5 5 11 4" xfId="31074" xr:uid="{00000000-0005-0000-0000-0000B7700000}"/>
    <cellStyle name="Normal 5 5 12" xfId="6953" xr:uid="{00000000-0005-0000-0000-0000B8700000}"/>
    <cellStyle name="Normal 5 5 12 2" xfId="19598" xr:uid="{00000000-0005-0000-0000-0000B9700000}"/>
    <cellStyle name="Normal 5 5 12 2 2" xfId="45151" xr:uid="{00000000-0005-0000-0000-0000BA700000}"/>
    <cellStyle name="Normal 5 5 12 3" xfId="32511" xr:uid="{00000000-0005-0000-0000-0000BB700000}"/>
    <cellStyle name="Normal 5 5 13" xfId="15776" xr:uid="{00000000-0005-0000-0000-0000BC700000}"/>
    <cellStyle name="Normal 5 5 13 2" xfId="41329" xr:uid="{00000000-0005-0000-0000-0000BD700000}"/>
    <cellStyle name="Normal 5 5 14" xfId="26081" xr:uid="{00000000-0005-0000-0000-0000BE700000}"/>
    <cellStyle name="Normal 5 5 2" xfId="184" xr:uid="{00000000-0005-0000-0000-0000BF700000}"/>
    <cellStyle name="Normal 5 5 2 10" xfId="7132" xr:uid="{00000000-0005-0000-0000-0000C0700000}"/>
    <cellStyle name="Normal 5 5 2 10 2" xfId="19641" xr:uid="{00000000-0005-0000-0000-0000C1700000}"/>
    <cellStyle name="Normal 5 5 2 10 2 2" xfId="45194" xr:uid="{00000000-0005-0000-0000-0000C2700000}"/>
    <cellStyle name="Normal 5 5 2 10 3" xfId="32689" xr:uid="{00000000-0005-0000-0000-0000C3700000}"/>
    <cellStyle name="Normal 5 5 2 11" xfId="15878" xr:uid="{00000000-0005-0000-0000-0000C4700000}"/>
    <cellStyle name="Normal 5 5 2 11 2" xfId="41431" xr:uid="{00000000-0005-0000-0000-0000C5700000}"/>
    <cellStyle name="Normal 5 5 2 12" xfId="26124" xr:uid="{00000000-0005-0000-0000-0000C6700000}"/>
    <cellStyle name="Normal 5 5 2 2" xfId="512" xr:uid="{00000000-0005-0000-0000-0000C7700000}"/>
    <cellStyle name="Normal 5 5 2 2 10" xfId="26441" xr:uid="{00000000-0005-0000-0000-0000C8700000}"/>
    <cellStyle name="Normal 5 5 2 2 2" xfId="817" xr:uid="{00000000-0005-0000-0000-0000C9700000}"/>
    <cellStyle name="Normal 5 5 2 2 2 2" xfId="3302" xr:uid="{00000000-0005-0000-0000-0000CA700000}"/>
    <cellStyle name="Normal 5 5 2 2 2 2 2" xfId="12444" xr:uid="{00000000-0005-0000-0000-0000CB700000}"/>
    <cellStyle name="Normal 5 5 2 2 2 2 2 2" xfId="22663" xr:uid="{00000000-0005-0000-0000-0000CC700000}"/>
    <cellStyle name="Normal 5 5 2 2 2 2 2 2 2" xfId="48216" xr:uid="{00000000-0005-0000-0000-0000CD700000}"/>
    <cellStyle name="Normal 5 5 2 2 2 2 2 3" xfId="37999" xr:uid="{00000000-0005-0000-0000-0000CE700000}"/>
    <cellStyle name="Normal 5 5 2 2 2 2 3" xfId="8866" xr:uid="{00000000-0005-0000-0000-0000CF700000}"/>
    <cellStyle name="Normal 5 5 2 2 2 2 3 2" xfId="34423" xr:uid="{00000000-0005-0000-0000-0000D0700000}"/>
    <cellStyle name="Normal 5 5 2 2 2 2 4" xfId="17656" xr:uid="{00000000-0005-0000-0000-0000D1700000}"/>
    <cellStyle name="Normal 5 5 2 2 2 2 4 2" xfId="43209" xr:uid="{00000000-0005-0000-0000-0000D2700000}"/>
    <cellStyle name="Normal 5 5 2 2 2 2 5" xfId="29146" xr:uid="{00000000-0005-0000-0000-0000D3700000}"/>
    <cellStyle name="Normal 5 5 2 2 2 3" xfId="4631" xr:uid="{00000000-0005-0000-0000-0000D4700000}"/>
    <cellStyle name="Normal 5 5 2 2 2 3 2" xfId="13469" xr:uid="{00000000-0005-0000-0000-0000D5700000}"/>
    <cellStyle name="Normal 5 5 2 2 2 3 2 2" xfId="23720" xr:uid="{00000000-0005-0000-0000-0000D6700000}"/>
    <cellStyle name="Normal 5 5 2 2 2 3 2 2 2" xfId="49273" xr:uid="{00000000-0005-0000-0000-0000D7700000}"/>
    <cellStyle name="Normal 5 5 2 2 2 3 2 3" xfId="39024" xr:uid="{00000000-0005-0000-0000-0000D8700000}"/>
    <cellStyle name="Normal 5 5 2 2 2 3 3" xfId="9890" xr:uid="{00000000-0005-0000-0000-0000D9700000}"/>
    <cellStyle name="Normal 5 5 2 2 2 3 3 2" xfId="35447" xr:uid="{00000000-0005-0000-0000-0000DA700000}"/>
    <cellStyle name="Normal 5 5 2 2 2 3 4" xfId="18713" xr:uid="{00000000-0005-0000-0000-0000DB700000}"/>
    <cellStyle name="Normal 5 5 2 2 2 3 4 2" xfId="44266" xr:uid="{00000000-0005-0000-0000-0000DC700000}"/>
    <cellStyle name="Normal 5 5 2 2 2 3 5" xfId="30203" xr:uid="{00000000-0005-0000-0000-0000DD700000}"/>
    <cellStyle name="Normal 5 5 2 2 2 4" xfId="2411" xr:uid="{00000000-0005-0000-0000-0000DE700000}"/>
    <cellStyle name="Normal 5 5 2 2 2 4 2" xfId="11776" xr:uid="{00000000-0005-0000-0000-0000DF700000}"/>
    <cellStyle name="Normal 5 5 2 2 2 4 2 2" xfId="37331" xr:uid="{00000000-0005-0000-0000-0000E0700000}"/>
    <cellStyle name="Normal 5 5 2 2 2 4 3" xfId="21780" xr:uid="{00000000-0005-0000-0000-0000E1700000}"/>
    <cellStyle name="Normal 5 5 2 2 2 4 3 2" xfId="47333" xr:uid="{00000000-0005-0000-0000-0000E2700000}"/>
    <cellStyle name="Normal 5 5 2 2 2 4 4" xfId="28263" xr:uid="{00000000-0005-0000-0000-0000E3700000}"/>
    <cellStyle name="Normal 5 5 2 2 2 5" xfId="6087" xr:uid="{00000000-0005-0000-0000-0000E4700000}"/>
    <cellStyle name="Normal 5 5 2 2 2 5 2" xfId="14914" xr:uid="{00000000-0005-0000-0000-0000E5700000}"/>
    <cellStyle name="Normal 5 5 2 2 2 5 2 2" xfId="40469" xr:uid="{00000000-0005-0000-0000-0000E6700000}"/>
    <cellStyle name="Normal 5 5 2 2 2 5 3" xfId="25165" xr:uid="{00000000-0005-0000-0000-0000E7700000}"/>
    <cellStyle name="Normal 5 5 2 2 2 5 3 2" xfId="50718" xr:uid="{00000000-0005-0000-0000-0000E8700000}"/>
    <cellStyle name="Normal 5 5 2 2 2 5 4" xfId="31648" xr:uid="{00000000-0005-0000-0000-0000E9700000}"/>
    <cellStyle name="Normal 5 5 2 2 2 6" xfId="7532" xr:uid="{00000000-0005-0000-0000-0000EA700000}"/>
    <cellStyle name="Normal 5 5 2 2 2 6 2" xfId="20262" xr:uid="{00000000-0005-0000-0000-0000EB700000}"/>
    <cellStyle name="Normal 5 5 2 2 2 6 2 2" xfId="45815" xr:uid="{00000000-0005-0000-0000-0000EC700000}"/>
    <cellStyle name="Normal 5 5 2 2 2 6 3" xfId="33089" xr:uid="{00000000-0005-0000-0000-0000ED700000}"/>
    <cellStyle name="Normal 5 5 2 2 2 7" xfId="16773" xr:uid="{00000000-0005-0000-0000-0000EE700000}"/>
    <cellStyle name="Normal 5 5 2 2 2 7 2" xfId="42326" xr:uid="{00000000-0005-0000-0000-0000EF700000}"/>
    <cellStyle name="Normal 5 5 2 2 2 8" xfId="26745" xr:uid="{00000000-0005-0000-0000-0000F0700000}"/>
    <cellStyle name="Normal 5 5 2 2 3" xfId="1284" xr:uid="{00000000-0005-0000-0000-0000F1700000}"/>
    <cellStyle name="Normal 5 5 2 2 3 2" xfId="3713" xr:uid="{00000000-0005-0000-0000-0000F2700000}"/>
    <cellStyle name="Normal 5 5 2 2 3 2 2" xfId="12849" xr:uid="{00000000-0005-0000-0000-0000F3700000}"/>
    <cellStyle name="Normal 5 5 2 2 3 2 2 2" xfId="23068" xr:uid="{00000000-0005-0000-0000-0000F4700000}"/>
    <cellStyle name="Normal 5 5 2 2 3 2 2 2 2" xfId="48621" xr:uid="{00000000-0005-0000-0000-0000F5700000}"/>
    <cellStyle name="Normal 5 5 2 2 3 2 2 3" xfId="38404" xr:uid="{00000000-0005-0000-0000-0000F6700000}"/>
    <cellStyle name="Normal 5 5 2 2 3 2 3" xfId="9270" xr:uid="{00000000-0005-0000-0000-0000F7700000}"/>
    <cellStyle name="Normal 5 5 2 2 3 2 3 2" xfId="34827" xr:uid="{00000000-0005-0000-0000-0000F8700000}"/>
    <cellStyle name="Normal 5 5 2 2 3 2 4" xfId="18061" xr:uid="{00000000-0005-0000-0000-0000F9700000}"/>
    <cellStyle name="Normal 5 5 2 2 3 2 4 2" xfId="43614" xr:uid="{00000000-0005-0000-0000-0000FA700000}"/>
    <cellStyle name="Normal 5 5 2 2 3 2 5" xfId="29551" xr:uid="{00000000-0005-0000-0000-0000FB700000}"/>
    <cellStyle name="Normal 5 5 2 2 3 3" xfId="4980" xr:uid="{00000000-0005-0000-0000-0000FC700000}"/>
    <cellStyle name="Normal 5 5 2 2 3 3 2" xfId="13817" xr:uid="{00000000-0005-0000-0000-0000FD700000}"/>
    <cellStyle name="Normal 5 5 2 2 3 3 2 2" xfId="24068" xr:uid="{00000000-0005-0000-0000-0000FE700000}"/>
    <cellStyle name="Normal 5 5 2 2 3 3 2 2 2" xfId="49621" xr:uid="{00000000-0005-0000-0000-0000FF700000}"/>
    <cellStyle name="Normal 5 5 2 2 3 3 2 3" xfId="39372" xr:uid="{00000000-0005-0000-0000-000000710000}"/>
    <cellStyle name="Normal 5 5 2 2 3 3 3" xfId="10238" xr:uid="{00000000-0005-0000-0000-000001710000}"/>
    <cellStyle name="Normal 5 5 2 2 3 3 3 2" xfId="35795" xr:uid="{00000000-0005-0000-0000-000002710000}"/>
    <cellStyle name="Normal 5 5 2 2 3 3 4" xfId="19061" xr:uid="{00000000-0005-0000-0000-000003710000}"/>
    <cellStyle name="Normal 5 5 2 2 3 3 4 2" xfId="44614" xr:uid="{00000000-0005-0000-0000-000004710000}"/>
    <cellStyle name="Normal 5 5 2 2 3 3 5" xfId="30551" xr:uid="{00000000-0005-0000-0000-000005710000}"/>
    <cellStyle name="Normal 5 5 2 2 3 4" xfId="2107" xr:uid="{00000000-0005-0000-0000-000006710000}"/>
    <cellStyle name="Normal 5 5 2 2 3 4 2" xfId="11472" xr:uid="{00000000-0005-0000-0000-000007710000}"/>
    <cellStyle name="Normal 5 5 2 2 3 4 2 2" xfId="37027" xr:uid="{00000000-0005-0000-0000-000008710000}"/>
    <cellStyle name="Normal 5 5 2 2 3 4 3" xfId="21476" xr:uid="{00000000-0005-0000-0000-000009710000}"/>
    <cellStyle name="Normal 5 5 2 2 3 4 3 2" xfId="47029" xr:uid="{00000000-0005-0000-0000-00000A710000}"/>
    <cellStyle name="Normal 5 5 2 2 3 4 4" xfId="27959" xr:uid="{00000000-0005-0000-0000-00000B710000}"/>
    <cellStyle name="Normal 5 5 2 2 3 5" xfId="6435" xr:uid="{00000000-0005-0000-0000-00000C710000}"/>
    <cellStyle name="Normal 5 5 2 2 3 5 2" xfId="15262" xr:uid="{00000000-0005-0000-0000-00000D710000}"/>
    <cellStyle name="Normal 5 5 2 2 3 5 2 2" xfId="40817" xr:uid="{00000000-0005-0000-0000-00000E710000}"/>
    <cellStyle name="Normal 5 5 2 2 3 5 3" xfId="25513" xr:uid="{00000000-0005-0000-0000-00000F710000}"/>
    <cellStyle name="Normal 5 5 2 2 3 5 3 2" xfId="51066" xr:uid="{00000000-0005-0000-0000-000010710000}"/>
    <cellStyle name="Normal 5 5 2 2 3 5 4" xfId="31996" xr:uid="{00000000-0005-0000-0000-000011710000}"/>
    <cellStyle name="Normal 5 5 2 2 3 6" xfId="7881" xr:uid="{00000000-0005-0000-0000-000012710000}"/>
    <cellStyle name="Normal 5 5 2 2 3 6 2" xfId="20667" xr:uid="{00000000-0005-0000-0000-000013710000}"/>
    <cellStyle name="Normal 5 5 2 2 3 6 2 2" xfId="46220" xr:uid="{00000000-0005-0000-0000-000014710000}"/>
    <cellStyle name="Normal 5 5 2 2 3 6 3" xfId="33438" xr:uid="{00000000-0005-0000-0000-000015710000}"/>
    <cellStyle name="Normal 5 5 2 2 3 7" xfId="16469" xr:uid="{00000000-0005-0000-0000-000016710000}"/>
    <cellStyle name="Normal 5 5 2 2 3 7 2" xfId="42022" xr:uid="{00000000-0005-0000-0000-000017710000}"/>
    <cellStyle name="Normal 5 5 2 2 3 8" xfId="27150" xr:uid="{00000000-0005-0000-0000-000018710000}"/>
    <cellStyle name="Normal 5 5 2 2 4" xfId="2998" xr:uid="{00000000-0005-0000-0000-000019710000}"/>
    <cellStyle name="Normal 5 5 2 2 4 2" xfId="5376" xr:uid="{00000000-0005-0000-0000-00001A710000}"/>
    <cellStyle name="Normal 5 5 2 2 4 2 2" xfId="14213" xr:uid="{00000000-0005-0000-0000-00001B710000}"/>
    <cellStyle name="Normal 5 5 2 2 4 2 2 2" xfId="24464" xr:uid="{00000000-0005-0000-0000-00001C710000}"/>
    <cellStyle name="Normal 5 5 2 2 4 2 2 2 2" xfId="50017" xr:uid="{00000000-0005-0000-0000-00001D710000}"/>
    <cellStyle name="Normal 5 5 2 2 4 2 2 3" xfId="39768" xr:uid="{00000000-0005-0000-0000-00001E710000}"/>
    <cellStyle name="Normal 5 5 2 2 4 2 3" xfId="10634" xr:uid="{00000000-0005-0000-0000-00001F710000}"/>
    <cellStyle name="Normal 5 5 2 2 4 2 3 2" xfId="36191" xr:uid="{00000000-0005-0000-0000-000020710000}"/>
    <cellStyle name="Normal 5 5 2 2 4 2 4" xfId="19457" xr:uid="{00000000-0005-0000-0000-000021710000}"/>
    <cellStyle name="Normal 5 5 2 2 4 2 4 2" xfId="45010" xr:uid="{00000000-0005-0000-0000-000022710000}"/>
    <cellStyle name="Normal 5 5 2 2 4 2 5" xfId="30947" xr:uid="{00000000-0005-0000-0000-000023710000}"/>
    <cellStyle name="Normal 5 5 2 2 4 3" xfId="6831" xr:uid="{00000000-0005-0000-0000-000024710000}"/>
    <cellStyle name="Normal 5 5 2 2 4 3 2" xfId="15658" xr:uid="{00000000-0005-0000-0000-000025710000}"/>
    <cellStyle name="Normal 5 5 2 2 4 3 2 2" xfId="41213" xr:uid="{00000000-0005-0000-0000-000026710000}"/>
    <cellStyle name="Normal 5 5 2 2 4 3 3" xfId="25909" xr:uid="{00000000-0005-0000-0000-000027710000}"/>
    <cellStyle name="Normal 5 5 2 2 4 3 3 2" xfId="51462" xr:uid="{00000000-0005-0000-0000-000028710000}"/>
    <cellStyle name="Normal 5 5 2 2 4 3 4" xfId="32392" xr:uid="{00000000-0005-0000-0000-000029710000}"/>
    <cellStyle name="Normal 5 5 2 2 4 4" xfId="8277" xr:uid="{00000000-0005-0000-0000-00002A710000}"/>
    <cellStyle name="Normal 5 5 2 2 4 4 2" xfId="22359" xr:uid="{00000000-0005-0000-0000-00002B710000}"/>
    <cellStyle name="Normal 5 5 2 2 4 4 2 2" xfId="47912" xr:uid="{00000000-0005-0000-0000-00002C710000}"/>
    <cellStyle name="Normal 5 5 2 2 4 4 3" xfId="33834" xr:uid="{00000000-0005-0000-0000-00002D710000}"/>
    <cellStyle name="Normal 5 5 2 2 4 5" xfId="17352" xr:uid="{00000000-0005-0000-0000-00002E710000}"/>
    <cellStyle name="Normal 5 5 2 2 4 5 2" xfId="42905" xr:uid="{00000000-0005-0000-0000-00002F710000}"/>
    <cellStyle name="Normal 5 5 2 2 4 6" xfId="28842" xr:uid="{00000000-0005-0000-0000-000030710000}"/>
    <cellStyle name="Normal 5 5 2 2 5" xfId="4332" xr:uid="{00000000-0005-0000-0000-000031710000}"/>
    <cellStyle name="Normal 5 5 2 2 5 2" xfId="13170" xr:uid="{00000000-0005-0000-0000-000032710000}"/>
    <cellStyle name="Normal 5 5 2 2 5 2 2" xfId="23421" xr:uid="{00000000-0005-0000-0000-000033710000}"/>
    <cellStyle name="Normal 5 5 2 2 5 2 2 2" xfId="48974" xr:uid="{00000000-0005-0000-0000-000034710000}"/>
    <cellStyle name="Normal 5 5 2 2 5 2 3" xfId="38725" xr:uid="{00000000-0005-0000-0000-000035710000}"/>
    <cellStyle name="Normal 5 5 2 2 5 3" xfId="9591" xr:uid="{00000000-0005-0000-0000-000036710000}"/>
    <cellStyle name="Normal 5 5 2 2 5 3 2" xfId="35148" xr:uid="{00000000-0005-0000-0000-000037710000}"/>
    <cellStyle name="Normal 5 5 2 2 5 4" xfId="18414" xr:uid="{00000000-0005-0000-0000-000038710000}"/>
    <cellStyle name="Normal 5 5 2 2 5 4 2" xfId="43967" xr:uid="{00000000-0005-0000-0000-000039710000}"/>
    <cellStyle name="Normal 5 5 2 2 5 5" xfId="29904" xr:uid="{00000000-0005-0000-0000-00003A710000}"/>
    <cellStyle name="Normal 5 5 2 2 6" xfId="1604" xr:uid="{00000000-0005-0000-0000-00003B710000}"/>
    <cellStyle name="Normal 5 5 2 2 6 2" xfId="10981" xr:uid="{00000000-0005-0000-0000-00003C710000}"/>
    <cellStyle name="Normal 5 5 2 2 6 2 2" xfId="36536" xr:uid="{00000000-0005-0000-0000-00003D710000}"/>
    <cellStyle name="Normal 5 5 2 2 6 3" xfId="20985" xr:uid="{00000000-0005-0000-0000-00003E710000}"/>
    <cellStyle name="Normal 5 5 2 2 6 3 2" xfId="46538" xr:uid="{00000000-0005-0000-0000-00003F710000}"/>
    <cellStyle name="Normal 5 5 2 2 6 4" xfId="27468" xr:uid="{00000000-0005-0000-0000-000040710000}"/>
    <cellStyle name="Normal 5 5 2 2 7" xfId="5788" xr:uid="{00000000-0005-0000-0000-000041710000}"/>
    <cellStyle name="Normal 5 5 2 2 7 2" xfId="14615" xr:uid="{00000000-0005-0000-0000-000042710000}"/>
    <cellStyle name="Normal 5 5 2 2 7 2 2" xfId="40170" xr:uid="{00000000-0005-0000-0000-000043710000}"/>
    <cellStyle name="Normal 5 5 2 2 7 3" xfId="24866" xr:uid="{00000000-0005-0000-0000-000044710000}"/>
    <cellStyle name="Normal 5 5 2 2 7 3 2" xfId="50419" xr:uid="{00000000-0005-0000-0000-000045710000}"/>
    <cellStyle name="Normal 5 5 2 2 7 4" xfId="31349" xr:uid="{00000000-0005-0000-0000-000046710000}"/>
    <cellStyle name="Normal 5 5 2 2 8" xfId="7232" xr:uid="{00000000-0005-0000-0000-000047710000}"/>
    <cellStyle name="Normal 5 5 2 2 8 2" xfId="19958" xr:uid="{00000000-0005-0000-0000-000048710000}"/>
    <cellStyle name="Normal 5 5 2 2 8 2 2" xfId="45511" xr:uid="{00000000-0005-0000-0000-000049710000}"/>
    <cellStyle name="Normal 5 5 2 2 8 3" xfId="32789" xr:uid="{00000000-0005-0000-0000-00004A710000}"/>
    <cellStyle name="Normal 5 5 2 2 9" xfId="15978" xr:uid="{00000000-0005-0000-0000-00004B710000}"/>
    <cellStyle name="Normal 5 5 2 2 9 2" xfId="41531" xr:uid="{00000000-0005-0000-0000-00004C710000}"/>
    <cellStyle name="Normal 5 5 2 2_Degree data" xfId="3896" xr:uid="{00000000-0005-0000-0000-00004D710000}"/>
    <cellStyle name="Normal 5 5 2 3" xfId="412" xr:uid="{00000000-0005-0000-0000-00004E710000}"/>
    <cellStyle name="Normal 5 5 2 3 2" xfId="2898" xr:uid="{00000000-0005-0000-0000-00004F710000}"/>
    <cellStyle name="Normal 5 5 2 3 2 2" xfId="12186" xr:uid="{00000000-0005-0000-0000-000050710000}"/>
    <cellStyle name="Normal 5 5 2 3 2 2 2" xfId="22259" xr:uid="{00000000-0005-0000-0000-000051710000}"/>
    <cellStyle name="Normal 5 5 2 3 2 2 2 2" xfId="47812" xr:uid="{00000000-0005-0000-0000-000052710000}"/>
    <cellStyle name="Normal 5 5 2 3 2 2 3" xfId="37741" xr:uid="{00000000-0005-0000-0000-000053710000}"/>
    <cellStyle name="Normal 5 5 2 3 2 3" xfId="8442" xr:uid="{00000000-0005-0000-0000-000054710000}"/>
    <cellStyle name="Normal 5 5 2 3 2 3 2" xfId="33999" xr:uid="{00000000-0005-0000-0000-000055710000}"/>
    <cellStyle name="Normal 5 5 2 3 2 4" xfId="17252" xr:uid="{00000000-0005-0000-0000-000056710000}"/>
    <cellStyle name="Normal 5 5 2 3 2 4 2" xfId="42805" xr:uid="{00000000-0005-0000-0000-000057710000}"/>
    <cellStyle name="Normal 5 5 2 3 2 5" xfId="28742" xr:uid="{00000000-0005-0000-0000-000058710000}"/>
    <cellStyle name="Normal 5 5 2 3 3" xfId="4630" xr:uid="{00000000-0005-0000-0000-000059710000}"/>
    <cellStyle name="Normal 5 5 2 3 3 2" xfId="13468" xr:uid="{00000000-0005-0000-0000-00005A710000}"/>
    <cellStyle name="Normal 5 5 2 3 3 2 2" xfId="23719" xr:uid="{00000000-0005-0000-0000-00005B710000}"/>
    <cellStyle name="Normal 5 5 2 3 3 2 2 2" xfId="49272" xr:uid="{00000000-0005-0000-0000-00005C710000}"/>
    <cellStyle name="Normal 5 5 2 3 3 2 3" xfId="39023" xr:uid="{00000000-0005-0000-0000-00005D710000}"/>
    <cellStyle name="Normal 5 5 2 3 3 3" xfId="9889" xr:uid="{00000000-0005-0000-0000-00005E710000}"/>
    <cellStyle name="Normal 5 5 2 3 3 3 2" xfId="35446" xr:uid="{00000000-0005-0000-0000-00005F710000}"/>
    <cellStyle name="Normal 5 5 2 3 3 4" xfId="18712" xr:uid="{00000000-0005-0000-0000-000060710000}"/>
    <cellStyle name="Normal 5 5 2 3 3 4 2" xfId="44265" xr:uid="{00000000-0005-0000-0000-000061710000}"/>
    <cellStyle name="Normal 5 5 2 3 3 5" xfId="30202" xr:uid="{00000000-0005-0000-0000-000062710000}"/>
    <cellStyle name="Normal 5 5 2 3 4" xfId="2007" xr:uid="{00000000-0005-0000-0000-000063710000}"/>
    <cellStyle name="Normal 5 5 2 3 4 2" xfId="11372" xr:uid="{00000000-0005-0000-0000-000064710000}"/>
    <cellStyle name="Normal 5 5 2 3 4 2 2" xfId="36927" xr:uid="{00000000-0005-0000-0000-000065710000}"/>
    <cellStyle name="Normal 5 5 2 3 4 3" xfId="21376" xr:uid="{00000000-0005-0000-0000-000066710000}"/>
    <cellStyle name="Normal 5 5 2 3 4 3 2" xfId="46929" xr:uid="{00000000-0005-0000-0000-000067710000}"/>
    <cellStyle name="Normal 5 5 2 3 4 4" xfId="27859" xr:uid="{00000000-0005-0000-0000-000068710000}"/>
    <cellStyle name="Normal 5 5 2 3 5" xfId="6086" xr:uid="{00000000-0005-0000-0000-000069710000}"/>
    <cellStyle name="Normal 5 5 2 3 5 2" xfId="14913" xr:uid="{00000000-0005-0000-0000-00006A710000}"/>
    <cellStyle name="Normal 5 5 2 3 5 2 2" xfId="40468" xr:uid="{00000000-0005-0000-0000-00006B710000}"/>
    <cellStyle name="Normal 5 5 2 3 5 3" xfId="25164" xr:uid="{00000000-0005-0000-0000-00006C710000}"/>
    <cellStyle name="Normal 5 5 2 3 5 3 2" xfId="50717" xr:uid="{00000000-0005-0000-0000-00006D710000}"/>
    <cellStyle name="Normal 5 5 2 3 5 4" xfId="31647" xr:uid="{00000000-0005-0000-0000-00006E710000}"/>
    <cellStyle name="Normal 5 5 2 3 6" xfId="7531" xr:uid="{00000000-0005-0000-0000-00006F710000}"/>
    <cellStyle name="Normal 5 5 2 3 6 2" xfId="19858" xr:uid="{00000000-0005-0000-0000-000070710000}"/>
    <cellStyle name="Normal 5 5 2 3 6 2 2" xfId="45411" xr:uid="{00000000-0005-0000-0000-000071710000}"/>
    <cellStyle name="Normal 5 5 2 3 6 3" xfId="33088" xr:uid="{00000000-0005-0000-0000-000072710000}"/>
    <cellStyle name="Normal 5 5 2 3 7" xfId="16369" xr:uid="{00000000-0005-0000-0000-000073710000}"/>
    <cellStyle name="Normal 5 5 2 3 7 2" xfId="41922" xr:uid="{00000000-0005-0000-0000-000074710000}"/>
    <cellStyle name="Normal 5 5 2 3 8" xfId="26341" xr:uid="{00000000-0005-0000-0000-000075710000}"/>
    <cellStyle name="Normal 5 5 2 4" xfId="816" xr:uid="{00000000-0005-0000-0000-000076710000}"/>
    <cellStyle name="Normal 5 5 2 4 2" xfId="3301" xr:uid="{00000000-0005-0000-0000-000077710000}"/>
    <cellStyle name="Normal 5 5 2 4 2 2" xfId="12443" xr:uid="{00000000-0005-0000-0000-000078710000}"/>
    <cellStyle name="Normal 5 5 2 4 2 2 2" xfId="22662" xr:uid="{00000000-0005-0000-0000-000079710000}"/>
    <cellStyle name="Normal 5 5 2 4 2 2 2 2" xfId="48215" xr:uid="{00000000-0005-0000-0000-00007A710000}"/>
    <cellStyle name="Normal 5 5 2 4 2 2 3" xfId="37998" xr:uid="{00000000-0005-0000-0000-00007B710000}"/>
    <cellStyle name="Normal 5 5 2 4 2 3" xfId="8865" xr:uid="{00000000-0005-0000-0000-00007C710000}"/>
    <cellStyle name="Normal 5 5 2 4 2 3 2" xfId="34422" xr:uid="{00000000-0005-0000-0000-00007D710000}"/>
    <cellStyle name="Normal 5 5 2 4 2 4" xfId="17655" xr:uid="{00000000-0005-0000-0000-00007E710000}"/>
    <cellStyle name="Normal 5 5 2 4 2 4 2" xfId="43208" xr:uid="{00000000-0005-0000-0000-00007F710000}"/>
    <cellStyle name="Normal 5 5 2 4 2 5" xfId="29145" xr:uid="{00000000-0005-0000-0000-000080710000}"/>
    <cellStyle name="Normal 5 5 2 4 3" xfId="4979" xr:uid="{00000000-0005-0000-0000-000081710000}"/>
    <cellStyle name="Normal 5 5 2 4 3 2" xfId="13816" xr:uid="{00000000-0005-0000-0000-000082710000}"/>
    <cellStyle name="Normal 5 5 2 4 3 2 2" xfId="24067" xr:uid="{00000000-0005-0000-0000-000083710000}"/>
    <cellStyle name="Normal 5 5 2 4 3 2 2 2" xfId="49620" xr:uid="{00000000-0005-0000-0000-000084710000}"/>
    <cellStyle name="Normal 5 5 2 4 3 2 3" xfId="39371" xr:uid="{00000000-0005-0000-0000-000085710000}"/>
    <cellStyle name="Normal 5 5 2 4 3 3" xfId="10237" xr:uid="{00000000-0005-0000-0000-000086710000}"/>
    <cellStyle name="Normal 5 5 2 4 3 3 2" xfId="35794" xr:uid="{00000000-0005-0000-0000-000087710000}"/>
    <cellStyle name="Normal 5 5 2 4 3 4" xfId="19060" xr:uid="{00000000-0005-0000-0000-000088710000}"/>
    <cellStyle name="Normal 5 5 2 4 3 4 2" xfId="44613" xr:uid="{00000000-0005-0000-0000-000089710000}"/>
    <cellStyle name="Normal 5 5 2 4 3 5" xfId="30550" xr:uid="{00000000-0005-0000-0000-00008A710000}"/>
    <cellStyle name="Normal 5 5 2 4 4" xfId="2410" xr:uid="{00000000-0005-0000-0000-00008B710000}"/>
    <cellStyle name="Normal 5 5 2 4 4 2" xfId="11775" xr:uid="{00000000-0005-0000-0000-00008C710000}"/>
    <cellStyle name="Normal 5 5 2 4 4 2 2" xfId="37330" xr:uid="{00000000-0005-0000-0000-00008D710000}"/>
    <cellStyle name="Normal 5 5 2 4 4 3" xfId="21779" xr:uid="{00000000-0005-0000-0000-00008E710000}"/>
    <cellStyle name="Normal 5 5 2 4 4 3 2" xfId="47332" xr:uid="{00000000-0005-0000-0000-00008F710000}"/>
    <cellStyle name="Normal 5 5 2 4 4 4" xfId="28262" xr:uid="{00000000-0005-0000-0000-000090710000}"/>
    <cellStyle name="Normal 5 5 2 4 5" xfId="6434" xr:uid="{00000000-0005-0000-0000-000091710000}"/>
    <cellStyle name="Normal 5 5 2 4 5 2" xfId="15261" xr:uid="{00000000-0005-0000-0000-000092710000}"/>
    <cellStyle name="Normal 5 5 2 4 5 2 2" xfId="40816" xr:uid="{00000000-0005-0000-0000-000093710000}"/>
    <cellStyle name="Normal 5 5 2 4 5 3" xfId="25512" xr:uid="{00000000-0005-0000-0000-000094710000}"/>
    <cellStyle name="Normal 5 5 2 4 5 3 2" xfId="51065" xr:uid="{00000000-0005-0000-0000-000095710000}"/>
    <cellStyle name="Normal 5 5 2 4 5 4" xfId="31995" xr:uid="{00000000-0005-0000-0000-000096710000}"/>
    <cellStyle name="Normal 5 5 2 4 6" xfId="7880" xr:uid="{00000000-0005-0000-0000-000097710000}"/>
    <cellStyle name="Normal 5 5 2 4 6 2" xfId="20261" xr:uid="{00000000-0005-0000-0000-000098710000}"/>
    <cellStyle name="Normal 5 5 2 4 6 2 2" xfId="45814" xr:uid="{00000000-0005-0000-0000-000099710000}"/>
    <cellStyle name="Normal 5 5 2 4 6 3" xfId="33437" xr:uid="{00000000-0005-0000-0000-00009A710000}"/>
    <cellStyle name="Normal 5 5 2 4 7" xfId="16772" xr:uid="{00000000-0005-0000-0000-00009B710000}"/>
    <cellStyle name="Normal 5 5 2 4 7 2" xfId="42325" xr:uid="{00000000-0005-0000-0000-00009C710000}"/>
    <cellStyle name="Normal 5 5 2 4 8" xfId="26744" xr:uid="{00000000-0005-0000-0000-00009D710000}"/>
    <cellStyle name="Normal 5 5 2 5" xfId="1184" xr:uid="{00000000-0005-0000-0000-00009E710000}"/>
    <cellStyle name="Normal 5 5 2 5 2" xfId="3613" xr:uid="{00000000-0005-0000-0000-00009F710000}"/>
    <cellStyle name="Normal 5 5 2 5 2 2" xfId="12749" xr:uid="{00000000-0005-0000-0000-0000A0710000}"/>
    <cellStyle name="Normal 5 5 2 5 2 2 2" xfId="22968" xr:uid="{00000000-0005-0000-0000-0000A1710000}"/>
    <cellStyle name="Normal 5 5 2 5 2 2 2 2" xfId="48521" xr:uid="{00000000-0005-0000-0000-0000A2710000}"/>
    <cellStyle name="Normal 5 5 2 5 2 2 3" xfId="38304" xr:uid="{00000000-0005-0000-0000-0000A3710000}"/>
    <cellStyle name="Normal 5 5 2 5 2 3" xfId="9170" xr:uid="{00000000-0005-0000-0000-0000A4710000}"/>
    <cellStyle name="Normal 5 5 2 5 2 3 2" xfId="34727" xr:uid="{00000000-0005-0000-0000-0000A5710000}"/>
    <cellStyle name="Normal 5 5 2 5 2 4" xfId="17961" xr:uid="{00000000-0005-0000-0000-0000A6710000}"/>
    <cellStyle name="Normal 5 5 2 5 2 4 2" xfId="43514" xr:uid="{00000000-0005-0000-0000-0000A7710000}"/>
    <cellStyle name="Normal 5 5 2 5 2 5" xfId="29451" xr:uid="{00000000-0005-0000-0000-0000A8710000}"/>
    <cellStyle name="Normal 5 5 2 5 3" xfId="5276" xr:uid="{00000000-0005-0000-0000-0000A9710000}"/>
    <cellStyle name="Normal 5 5 2 5 3 2" xfId="14113" xr:uid="{00000000-0005-0000-0000-0000AA710000}"/>
    <cellStyle name="Normal 5 5 2 5 3 2 2" xfId="24364" xr:uid="{00000000-0005-0000-0000-0000AB710000}"/>
    <cellStyle name="Normal 5 5 2 5 3 2 2 2" xfId="49917" xr:uid="{00000000-0005-0000-0000-0000AC710000}"/>
    <cellStyle name="Normal 5 5 2 5 3 2 3" xfId="39668" xr:uid="{00000000-0005-0000-0000-0000AD710000}"/>
    <cellStyle name="Normal 5 5 2 5 3 3" xfId="10534" xr:uid="{00000000-0005-0000-0000-0000AE710000}"/>
    <cellStyle name="Normal 5 5 2 5 3 3 2" xfId="36091" xr:uid="{00000000-0005-0000-0000-0000AF710000}"/>
    <cellStyle name="Normal 5 5 2 5 3 4" xfId="19357" xr:uid="{00000000-0005-0000-0000-0000B0710000}"/>
    <cellStyle name="Normal 5 5 2 5 3 4 2" xfId="44910" xr:uid="{00000000-0005-0000-0000-0000B1710000}"/>
    <cellStyle name="Normal 5 5 2 5 3 5" xfId="30847" xr:uid="{00000000-0005-0000-0000-0000B2710000}"/>
    <cellStyle name="Normal 5 5 2 5 4" xfId="1786" xr:uid="{00000000-0005-0000-0000-0000B3710000}"/>
    <cellStyle name="Normal 5 5 2 5 4 2" xfId="11155" xr:uid="{00000000-0005-0000-0000-0000B4710000}"/>
    <cellStyle name="Normal 5 5 2 5 4 2 2" xfId="36710" xr:uid="{00000000-0005-0000-0000-0000B5710000}"/>
    <cellStyle name="Normal 5 5 2 5 4 3" xfId="21159" xr:uid="{00000000-0005-0000-0000-0000B6710000}"/>
    <cellStyle name="Normal 5 5 2 5 4 3 2" xfId="46712" xr:uid="{00000000-0005-0000-0000-0000B7710000}"/>
    <cellStyle name="Normal 5 5 2 5 4 4" xfId="27642" xr:uid="{00000000-0005-0000-0000-0000B8710000}"/>
    <cellStyle name="Normal 5 5 2 5 5" xfId="6731" xr:uid="{00000000-0005-0000-0000-0000B9710000}"/>
    <cellStyle name="Normal 5 5 2 5 5 2" xfId="15558" xr:uid="{00000000-0005-0000-0000-0000BA710000}"/>
    <cellStyle name="Normal 5 5 2 5 5 2 2" xfId="41113" xr:uid="{00000000-0005-0000-0000-0000BB710000}"/>
    <cellStyle name="Normal 5 5 2 5 5 3" xfId="25809" xr:uid="{00000000-0005-0000-0000-0000BC710000}"/>
    <cellStyle name="Normal 5 5 2 5 5 3 2" xfId="51362" xr:uid="{00000000-0005-0000-0000-0000BD710000}"/>
    <cellStyle name="Normal 5 5 2 5 5 4" xfId="32292" xr:uid="{00000000-0005-0000-0000-0000BE710000}"/>
    <cellStyle name="Normal 5 5 2 5 6" xfId="8177" xr:uid="{00000000-0005-0000-0000-0000BF710000}"/>
    <cellStyle name="Normal 5 5 2 5 6 2" xfId="20567" xr:uid="{00000000-0005-0000-0000-0000C0710000}"/>
    <cellStyle name="Normal 5 5 2 5 6 2 2" xfId="46120" xr:uid="{00000000-0005-0000-0000-0000C1710000}"/>
    <cellStyle name="Normal 5 5 2 5 6 3" xfId="33734" xr:uid="{00000000-0005-0000-0000-0000C2710000}"/>
    <cellStyle name="Normal 5 5 2 5 7" xfId="16152" xr:uid="{00000000-0005-0000-0000-0000C3710000}"/>
    <cellStyle name="Normal 5 5 2 5 7 2" xfId="41705" xr:uid="{00000000-0005-0000-0000-0000C4710000}"/>
    <cellStyle name="Normal 5 5 2 5 8" xfId="27050" xr:uid="{00000000-0005-0000-0000-0000C5710000}"/>
    <cellStyle name="Normal 5 5 2 6" xfId="2681" xr:uid="{00000000-0005-0000-0000-0000C6710000}"/>
    <cellStyle name="Normal 5 5 2 6 2" xfId="11998" xr:uid="{00000000-0005-0000-0000-0000C7710000}"/>
    <cellStyle name="Normal 5 5 2 6 2 2" xfId="22042" xr:uid="{00000000-0005-0000-0000-0000C8710000}"/>
    <cellStyle name="Normal 5 5 2 6 2 2 2" xfId="47595" xr:uid="{00000000-0005-0000-0000-0000C9710000}"/>
    <cellStyle name="Normal 5 5 2 6 2 3" xfId="37553" xr:uid="{00000000-0005-0000-0000-0000CA710000}"/>
    <cellStyle name="Normal 5 5 2 6 3" xfId="8418" xr:uid="{00000000-0005-0000-0000-0000CB710000}"/>
    <cellStyle name="Normal 5 5 2 6 3 2" xfId="33975" xr:uid="{00000000-0005-0000-0000-0000CC710000}"/>
    <cellStyle name="Normal 5 5 2 6 4" xfId="17035" xr:uid="{00000000-0005-0000-0000-0000CD710000}"/>
    <cellStyle name="Normal 5 5 2 6 4 2" xfId="42588" xr:uid="{00000000-0005-0000-0000-0000CE710000}"/>
    <cellStyle name="Normal 5 5 2 6 5" xfId="28525" xr:uid="{00000000-0005-0000-0000-0000CF710000}"/>
    <cellStyle name="Normal 5 5 2 7" xfId="4232" xr:uid="{00000000-0005-0000-0000-0000D0710000}"/>
    <cellStyle name="Normal 5 5 2 7 2" xfId="13070" xr:uid="{00000000-0005-0000-0000-0000D1710000}"/>
    <cellStyle name="Normal 5 5 2 7 2 2" xfId="23321" xr:uid="{00000000-0005-0000-0000-0000D2710000}"/>
    <cellStyle name="Normal 5 5 2 7 2 2 2" xfId="48874" xr:uid="{00000000-0005-0000-0000-0000D3710000}"/>
    <cellStyle name="Normal 5 5 2 7 2 3" xfId="38625" xr:uid="{00000000-0005-0000-0000-0000D4710000}"/>
    <cellStyle name="Normal 5 5 2 7 3" xfId="9491" xr:uid="{00000000-0005-0000-0000-0000D5710000}"/>
    <cellStyle name="Normal 5 5 2 7 3 2" xfId="35048" xr:uid="{00000000-0005-0000-0000-0000D6710000}"/>
    <cellStyle name="Normal 5 5 2 7 4" xfId="18314" xr:uid="{00000000-0005-0000-0000-0000D7710000}"/>
    <cellStyle name="Normal 5 5 2 7 4 2" xfId="43867" xr:uid="{00000000-0005-0000-0000-0000D8710000}"/>
    <cellStyle name="Normal 5 5 2 7 5" xfId="29804" xr:uid="{00000000-0005-0000-0000-0000D9710000}"/>
    <cellStyle name="Normal 5 5 2 8" xfId="1504" xr:uid="{00000000-0005-0000-0000-0000DA710000}"/>
    <cellStyle name="Normal 5 5 2 8 2" xfId="10881" xr:uid="{00000000-0005-0000-0000-0000DB710000}"/>
    <cellStyle name="Normal 5 5 2 8 2 2" xfId="36436" xr:uid="{00000000-0005-0000-0000-0000DC710000}"/>
    <cellStyle name="Normal 5 5 2 8 3" xfId="20885" xr:uid="{00000000-0005-0000-0000-0000DD710000}"/>
    <cellStyle name="Normal 5 5 2 8 3 2" xfId="46438" xr:uid="{00000000-0005-0000-0000-0000DE710000}"/>
    <cellStyle name="Normal 5 5 2 8 4" xfId="27368" xr:uid="{00000000-0005-0000-0000-0000DF710000}"/>
    <cellStyle name="Normal 5 5 2 9" xfId="5688" xr:uid="{00000000-0005-0000-0000-0000E0710000}"/>
    <cellStyle name="Normal 5 5 2 9 2" xfId="14515" xr:uid="{00000000-0005-0000-0000-0000E1710000}"/>
    <cellStyle name="Normal 5 5 2 9 2 2" xfId="40070" xr:uid="{00000000-0005-0000-0000-0000E2710000}"/>
    <cellStyle name="Normal 5 5 2 9 3" xfId="24766" xr:uid="{00000000-0005-0000-0000-0000E3710000}"/>
    <cellStyle name="Normal 5 5 2 9 3 2" xfId="50319" xr:uid="{00000000-0005-0000-0000-0000E4710000}"/>
    <cellStyle name="Normal 5 5 2 9 4" xfId="31249" xr:uid="{00000000-0005-0000-0000-0000E5710000}"/>
    <cellStyle name="Normal 5 5 2_Degree data" xfId="3882" xr:uid="{00000000-0005-0000-0000-0000E6710000}"/>
    <cellStyle name="Normal 5 5 3" xfId="251" xr:uid="{00000000-0005-0000-0000-0000E7710000}"/>
    <cellStyle name="Normal 5 5 3 10" xfId="7089" xr:uid="{00000000-0005-0000-0000-0000E8710000}"/>
    <cellStyle name="Normal 5 5 3 10 2" xfId="19703" xr:uid="{00000000-0005-0000-0000-0000E9710000}"/>
    <cellStyle name="Normal 5 5 3 10 2 2" xfId="45256" xr:uid="{00000000-0005-0000-0000-0000EA710000}"/>
    <cellStyle name="Normal 5 5 3 10 3" xfId="32646" xr:uid="{00000000-0005-0000-0000-0000EB710000}"/>
    <cellStyle name="Normal 5 5 3 11" xfId="15835" xr:uid="{00000000-0005-0000-0000-0000EC710000}"/>
    <cellStyle name="Normal 5 5 3 11 2" xfId="41388" xr:uid="{00000000-0005-0000-0000-0000ED710000}"/>
    <cellStyle name="Normal 5 5 3 12" xfId="26186" xr:uid="{00000000-0005-0000-0000-0000EE710000}"/>
    <cellStyle name="Normal 5 5 3 2" xfId="574" xr:uid="{00000000-0005-0000-0000-0000EF710000}"/>
    <cellStyle name="Normal 5 5 3 2 10" xfId="26503" xr:uid="{00000000-0005-0000-0000-0000F0710000}"/>
    <cellStyle name="Normal 5 5 3 2 2" xfId="819" xr:uid="{00000000-0005-0000-0000-0000F1710000}"/>
    <cellStyle name="Normal 5 5 3 2 2 2" xfId="3304" xr:uid="{00000000-0005-0000-0000-0000F2710000}"/>
    <cellStyle name="Normal 5 5 3 2 2 2 2" xfId="12446" xr:uid="{00000000-0005-0000-0000-0000F3710000}"/>
    <cellStyle name="Normal 5 5 3 2 2 2 2 2" xfId="22665" xr:uid="{00000000-0005-0000-0000-0000F4710000}"/>
    <cellStyle name="Normal 5 5 3 2 2 2 2 2 2" xfId="48218" xr:uid="{00000000-0005-0000-0000-0000F5710000}"/>
    <cellStyle name="Normal 5 5 3 2 2 2 2 3" xfId="38001" xr:uid="{00000000-0005-0000-0000-0000F6710000}"/>
    <cellStyle name="Normal 5 5 3 2 2 2 3" xfId="8868" xr:uid="{00000000-0005-0000-0000-0000F7710000}"/>
    <cellStyle name="Normal 5 5 3 2 2 2 3 2" xfId="34425" xr:uid="{00000000-0005-0000-0000-0000F8710000}"/>
    <cellStyle name="Normal 5 5 3 2 2 2 4" xfId="17658" xr:uid="{00000000-0005-0000-0000-0000F9710000}"/>
    <cellStyle name="Normal 5 5 3 2 2 2 4 2" xfId="43211" xr:uid="{00000000-0005-0000-0000-0000FA710000}"/>
    <cellStyle name="Normal 5 5 3 2 2 2 5" xfId="29148" xr:uid="{00000000-0005-0000-0000-0000FB710000}"/>
    <cellStyle name="Normal 5 5 3 2 2 3" xfId="4633" xr:uid="{00000000-0005-0000-0000-0000FC710000}"/>
    <cellStyle name="Normal 5 5 3 2 2 3 2" xfId="13471" xr:uid="{00000000-0005-0000-0000-0000FD710000}"/>
    <cellStyle name="Normal 5 5 3 2 2 3 2 2" xfId="23722" xr:uid="{00000000-0005-0000-0000-0000FE710000}"/>
    <cellStyle name="Normal 5 5 3 2 2 3 2 2 2" xfId="49275" xr:uid="{00000000-0005-0000-0000-0000FF710000}"/>
    <cellStyle name="Normal 5 5 3 2 2 3 2 3" xfId="39026" xr:uid="{00000000-0005-0000-0000-000000720000}"/>
    <cellStyle name="Normal 5 5 3 2 2 3 3" xfId="9892" xr:uid="{00000000-0005-0000-0000-000001720000}"/>
    <cellStyle name="Normal 5 5 3 2 2 3 3 2" xfId="35449" xr:uid="{00000000-0005-0000-0000-000002720000}"/>
    <cellStyle name="Normal 5 5 3 2 2 3 4" xfId="18715" xr:uid="{00000000-0005-0000-0000-000003720000}"/>
    <cellStyle name="Normal 5 5 3 2 2 3 4 2" xfId="44268" xr:uid="{00000000-0005-0000-0000-000004720000}"/>
    <cellStyle name="Normal 5 5 3 2 2 3 5" xfId="30205" xr:uid="{00000000-0005-0000-0000-000005720000}"/>
    <cellStyle name="Normal 5 5 3 2 2 4" xfId="2413" xr:uid="{00000000-0005-0000-0000-000006720000}"/>
    <cellStyle name="Normal 5 5 3 2 2 4 2" xfId="11778" xr:uid="{00000000-0005-0000-0000-000007720000}"/>
    <cellStyle name="Normal 5 5 3 2 2 4 2 2" xfId="37333" xr:uid="{00000000-0005-0000-0000-000008720000}"/>
    <cellStyle name="Normal 5 5 3 2 2 4 3" xfId="21782" xr:uid="{00000000-0005-0000-0000-000009720000}"/>
    <cellStyle name="Normal 5 5 3 2 2 4 3 2" xfId="47335" xr:uid="{00000000-0005-0000-0000-00000A720000}"/>
    <cellStyle name="Normal 5 5 3 2 2 4 4" xfId="28265" xr:uid="{00000000-0005-0000-0000-00000B720000}"/>
    <cellStyle name="Normal 5 5 3 2 2 5" xfId="6089" xr:uid="{00000000-0005-0000-0000-00000C720000}"/>
    <cellStyle name="Normal 5 5 3 2 2 5 2" xfId="14916" xr:uid="{00000000-0005-0000-0000-00000D720000}"/>
    <cellStyle name="Normal 5 5 3 2 2 5 2 2" xfId="40471" xr:uid="{00000000-0005-0000-0000-00000E720000}"/>
    <cellStyle name="Normal 5 5 3 2 2 5 3" xfId="25167" xr:uid="{00000000-0005-0000-0000-00000F720000}"/>
    <cellStyle name="Normal 5 5 3 2 2 5 3 2" xfId="50720" xr:uid="{00000000-0005-0000-0000-000010720000}"/>
    <cellStyle name="Normal 5 5 3 2 2 5 4" xfId="31650" xr:uid="{00000000-0005-0000-0000-000011720000}"/>
    <cellStyle name="Normal 5 5 3 2 2 6" xfId="7534" xr:uid="{00000000-0005-0000-0000-000012720000}"/>
    <cellStyle name="Normal 5 5 3 2 2 6 2" xfId="20264" xr:uid="{00000000-0005-0000-0000-000013720000}"/>
    <cellStyle name="Normal 5 5 3 2 2 6 2 2" xfId="45817" xr:uid="{00000000-0005-0000-0000-000014720000}"/>
    <cellStyle name="Normal 5 5 3 2 2 6 3" xfId="33091" xr:uid="{00000000-0005-0000-0000-000015720000}"/>
    <cellStyle name="Normal 5 5 3 2 2 7" xfId="16775" xr:uid="{00000000-0005-0000-0000-000016720000}"/>
    <cellStyle name="Normal 5 5 3 2 2 7 2" xfId="42328" xr:uid="{00000000-0005-0000-0000-000017720000}"/>
    <cellStyle name="Normal 5 5 3 2 2 8" xfId="26747" xr:uid="{00000000-0005-0000-0000-000018720000}"/>
    <cellStyle name="Normal 5 5 3 2 3" xfId="1346" xr:uid="{00000000-0005-0000-0000-000019720000}"/>
    <cellStyle name="Normal 5 5 3 2 3 2" xfId="3775" xr:uid="{00000000-0005-0000-0000-00001A720000}"/>
    <cellStyle name="Normal 5 5 3 2 3 2 2" xfId="12911" xr:uid="{00000000-0005-0000-0000-00001B720000}"/>
    <cellStyle name="Normal 5 5 3 2 3 2 2 2" xfId="23130" xr:uid="{00000000-0005-0000-0000-00001C720000}"/>
    <cellStyle name="Normal 5 5 3 2 3 2 2 2 2" xfId="48683" xr:uid="{00000000-0005-0000-0000-00001D720000}"/>
    <cellStyle name="Normal 5 5 3 2 3 2 2 3" xfId="38466" xr:uid="{00000000-0005-0000-0000-00001E720000}"/>
    <cellStyle name="Normal 5 5 3 2 3 2 3" xfId="9332" xr:uid="{00000000-0005-0000-0000-00001F720000}"/>
    <cellStyle name="Normal 5 5 3 2 3 2 3 2" xfId="34889" xr:uid="{00000000-0005-0000-0000-000020720000}"/>
    <cellStyle name="Normal 5 5 3 2 3 2 4" xfId="18123" xr:uid="{00000000-0005-0000-0000-000021720000}"/>
    <cellStyle name="Normal 5 5 3 2 3 2 4 2" xfId="43676" xr:uid="{00000000-0005-0000-0000-000022720000}"/>
    <cellStyle name="Normal 5 5 3 2 3 2 5" xfId="29613" xr:uid="{00000000-0005-0000-0000-000023720000}"/>
    <cellStyle name="Normal 5 5 3 2 3 3" xfId="4982" xr:uid="{00000000-0005-0000-0000-000024720000}"/>
    <cellStyle name="Normal 5 5 3 2 3 3 2" xfId="13819" xr:uid="{00000000-0005-0000-0000-000025720000}"/>
    <cellStyle name="Normal 5 5 3 2 3 3 2 2" xfId="24070" xr:uid="{00000000-0005-0000-0000-000026720000}"/>
    <cellStyle name="Normal 5 5 3 2 3 3 2 2 2" xfId="49623" xr:uid="{00000000-0005-0000-0000-000027720000}"/>
    <cellStyle name="Normal 5 5 3 2 3 3 2 3" xfId="39374" xr:uid="{00000000-0005-0000-0000-000028720000}"/>
    <cellStyle name="Normal 5 5 3 2 3 3 3" xfId="10240" xr:uid="{00000000-0005-0000-0000-000029720000}"/>
    <cellStyle name="Normal 5 5 3 2 3 3 3 2" xfId="35797" xr:uid="{00000000-0005-0000-0000-00002A720000}"/>
    <cellStyle name="Normal 5 5 3 2 3 3 4" xfId="19063" xr:uid="{00000000-0005-0000-0000-00002B720000}"/>
    <cellStyle name="Normal 5 5 3 2 3 3 4 2" xfId="44616" xr:uid="{00000000-0005-0000-0000-00002C720000}"/>
    <cellStyle name="Normal 5 5 3 2 3 3 5" xfId="30553" xr:uid="{00000000-0005-0000-0000-00002D720000}"/>
    <cellStyle name="Normal 5 5 3 2 3 4" xfId="2169" xr:uid="{00000000-0005-0000-0000-00002E720000}"/>
    <cellStyle name="Normal 5 5 3 2 3 4 2" xfId="11534" xr:uid="{00000000-0005-0000-0000-00002F720000}"/>
    <cellStyle name="Normal 5 5 3 2 3 4 2 2" xfId="37089" xr:uid="{00000000-0005-0000-0000-000030720000}"/>
    <cellStyle name="Normal 5 5 3 2 3 4 3" xfId="21538" xr:uid="{00000000-0005-0000-0000-000031720000}"/>
    <cellStyle name="Normal 5 5 3 2 3 4 3 2" xfId="47091" xr:uid="{00000000-0005-0000-0000-000032720000}"/>
    <cellStyle name="Normal 5 5 3 2 3 4 4" xfId="28021" xr:uid="{00000000-0005-0000-0000-000033720000}"/>
    <cellStyle name="Normal 5 5 3 2 3 5" xfId="6437" xr:uid="{00000000-0005-0000-0000-000034720000}"/>
    <cellStyle name="Normal 5 5 3 2 3 5 2" xfId="15264" xr:uid="{00000000-0005-0000-0000-000035720000}"/>
    <cellStyle name="Normal 5 5 3 2 3 5 2 2" xfId="40819" xr:uid="{00000000-0005-0000-0000-000036720000}"/>
    <cellStyle name="Normal 5 5 3 2 3 5 3" xfId="25515" xr:uid="{00000000-0005-0000-0000-000037720000}"/>
    <cellStyle name="Normal 5 5 3 2 3 5 3 2" xfId="51068" xr:uid="{00000000-0005-0000-0000-000038720000}"/>
    <cellStyle name="Normal 5 5 3 2 3 5 4" xfId="31998" xr:uid="{00000000-0005-0000-0000-000039720000}"/>
    <cellStyle name="Normal 5 5 3 2 3 6" xfId="7883" xr:uid="{00000000-0005-0000-0000-00003A720000}"/>
    <cellStyle name="Normal 5 5 3 2 3 6 2" xfId="20729" xr:uid="{00000000-0005-0000-0000-00003B720000}"/>
    <cellStyle name="Normal 5 5 3 2 3 6 2 2" xfId="46282" xr:uid="{00000000-0005-0000-0000-00003C720000}"/>
    <cellStyle name="Normal 5 5 3 2 3 6 3" xfId="33440" xr:uid="{00000000-0005-0000-0000-00003D720000}"/>
    <cellStyle name="Normal 5 5 3 2 3 7" xfId="16531" xr:uid="{00000000-0005-0000-0000-00003E720000}"/>
    <cellStyle name="Normal 5 5 3 2 3 7 2" xfId="42084" xr:uid="{00000000-0005-0000-0000-00003F720000}"/>
    <cellStyle name="Normal 5 5 3 2 3 8" xfId="27212" xr:uid="{00000000-0005-0000-0000-000040720000}"/>
    <cellStyle name="Normal 5 5 3 2 4" xfId="3060" xr:uid="{00000000-0005-0000-0000-000041720000}"/>
    <cellStyle name="Normal 5 5 3 2 4 2" xfId="5438" xr:uid="{00000000-0005-0000-0000-000042720000}"/>
    <cellStyle name="Normal 5 5 3 2 4 2 2" xfId="14275" xr:uid="{00000000-0005-0000-0000-000043720000}"/>
    <cellStyle name="Normal 5 5 3 2 4 2 2 2" xfId="24526" xr:uid="{00000000-0005-0000-0000-000044720000}"/>
    <cellStyle name="Normal 5 5 3 2 4 2 2 2 2" xfId="50079" xr:uid="{00000000-0005-0000-0000-000045720000}"/>
    <cellStyle name="Normal 5 5 3 2 4 2 2 3" xfId="39830" xr:uid="{00000000-0005-0000-0000-000046720000}"/>
    <cellStyle name="Normal 5 5 3 2 4 2 3" xfId="10696" xr:uid="{00000000-0005-0000-0000-000047720000}"/>
    <cellStyle name="Normal 5 5 3 2 4 2 3 2" xfId="36253" xr:uid="{00000000-0005-0000-0000-000048720000}"/>
    <cellStyle name="Normal 5 5 3 2 4 2 4" xfId="19519" xr:uid="{00000000-0005-0000-0000-000049720000}"/>
    <cellStyle name="Normal 5 5 3 2 4 2 4 2" xfId="45072" xr:uid="{00000000-0005-0000-0000-00004A720000}"/>
    <cellStyle name="Normal 5 5 3 2 4 2 5" xfId="31009" xr:uid="{00000000-0005-0000-0000-00004B720000}"/>
    <cellStyle name="Normal 5 5 3 2 4 3" xfId="6893" xr:uid="{00000000-0005-0000-0000-00004C720000}"/>
    <cellStyle name="Normal 5 5 3 2 4 3 2" xfId="15720" xr:uid="{00000000-0005-0000-0000-00004D720000}"/>
    <cellStyle name="Normal 5 5 3 2 4 3 2 2" xfId="41275" xr:uid="{00000000-0005-0000-0000-00004E720000}"/>
    <cellStyle name="Normal 5 5 3 2 4 3 3" xfId="25971" xr:uid="{00000000-0005-0000-0000-00004F720000}"/>
    <cellStyle name="Normal 5 5 3 2 4 3 3 2" xfId="51524" xr:uid="{00000000-0005-0000-0000-000050720000}"/>
    <cellStyle name="Normal 5 5 3 2 4 3 4" xfId="32454" xr:uid="{00000000-0005-0000-0000-000051720000}"/>
    <cellStyle name="Normal 5 5 3 2 4 4" xfId="8339" xr:uid="{00000000-0005-0000-0000-000052720000}"/>
    <cellStyle name="Normal 5 5 3 2 4 4 2" xfId="22421" xr:uid="{00000000-0005-0000-0000-000053720000}"/>
    <cellStyle name="Normal 5 5 3 2 4 4 2 2" xfId="47974" xr:uid="{00000000-0005-0000-0000-000054720000}"/>
    <cellStyle name="Normal 5 5 3 2 4 4 3" xfId="33896" xr:uid="{00000000-0005-0000-0000-000055720000}"/>
    <cellStyle name="Normal 5 5 3 2 4 5" xfId="17414" xr:uid="{00000000-0005-0000-0000-000056720000}"/>
    <cellStyle name="Normal 5 5 3 2 4 5 2" xfId="42967" xr:uid="{00000000-0005-0000-0000-000057720000}"/>
    <cellStyle name="Normal 5 5 3 2 4 6" xfId="28904" xr:uid="{00000000-0005-0000-0000-000058720000}"/>
    <cellStyle name="Normal 5 5 3 2 5" xfId="4394" xr:uid="{00000000-0005-0000-0000-000059720000}"/>
    <cellStyle name="Normal 5 5 3 2 5 2" xfId="13232" xr:uid="{00000000-0005-0000-0000-00005A720000}"/>
    <cellStyle name="Normal 5 5 3 2 5 2 2" xfId="23483" xr:uid="{00000000-0005-0000-0000-00005B720000}"/>
    <cellStyle name="Normal 5 5 3 2 5 2 2 2" xfId="49036" xr:uid="{00000000-0005-0000-0000-00005C720000}"/>
    <cellStyle name="Normal 5 5 3 2 5 2 3" xfId="38787" xr:uid="{00000000-0005-0000-0000-00005D720000}"/>
    <cellStyle name="Normal 5 5 3 2 5 3" xfId="9653" xr:uid="{00000000-0005-0000-0000-00005E720000}"/>
    <cellStyle name="Normal 5 5 3 2 5 3 2" xfId="35210" xr:uid="{00000000-0005-0000-0000-00005F720000}"/>
    <cellStyle name="Normal 5 5 3 2 5 4" xfId="18476" xr:uid="{00000000-0005-0000-0000-000060720000}"/>
    <cellStyle name="Normal 5 5 3 2 5 4 2" xfId="44029" xr:uid="{00000000-0005-0000-0000-000061720000}"/>
    <cellStyle name="Normal 5 5 3 2 5 5" xfId="29966" xr:uid="{00000000-0005-0000-0000-000062720000}"/>
    <cellStyle name="Normal 5 5 3 2 6" xfId="1666" xr:uid="{00000000-0005-0000-0000-000063720000}"/>
    <cellStyle name="Normal 5 5 3 2 6 2" xfId="11043" xr:uid="{00000000-0005-0000-0000-000064720000}"/>
    <cellStyle name="Normal 5 5 3 2 6 2 2" xfId="36598" xr:uid="{00000000-0005-0000-0000-000065720000}"/>
    <cellStyle name="Normal 5 5 3 2 6 3" xfId="21047" xr:uid="{00000000-0005-0000-0000-000066720000}"/>
    <cellStyle name="Normal 5 5 3 2 6 3 2" xfId="46600" xr:uid="{00000000-0005-0000-0000-000067720000}"/>
    <cellStyle name="Normal 5 5 3 2 6 4" xfId="27530" xr:uid="{00000000-0005-0000-0000-000068720000}"/>
    <cellStyle name="Normal 5 5 3 2 7" xfId="5850" xr:uid="{00000000-0005-0000-0000-000069720000}"/>
    <cellStyle name="Normal 5 5 3 2 7 2" xfId="14677" xr:uid="{00000000-0005-0000-0000-00006A720000}"/>
    <cellStyle name="Normal 5 5 3 2 7 2 2" xfId="40232" xr:uid="{00000000-0005-0000-0000-00006B720000}"/>
    <cellStyle name="Normal 5 5 3 2 7 3" xfId="24928" xr:uid="{00000000-0005-0000-0000-00006C720000}"/>
    <cellStyle name="Normal 5 5 3 2 7 3 2" xfId="50481" xr:uid="{00000000-0005-0000-0000-00006D720000}"/>
    <cellStyle name="Normal 5 5 3 2 7 4" xfId="31411" xr:uid="{00000000-0005-0000-0000-00006E720000}"/>
    <cellStyle name="Normal 5 5 3 2 8" xfId="7294" xr:uid="{00000000-0005-0000-0000-00006F720000}"/>
    <cellStyle name="Normal 5 5 3 2 8 2" xfId="20020" xr:uid="{00000000-0005-0000-0000-000070720000}"/>
    <cellStyle name="Normal 5 5 3 2 8 2 2" xfId="45573" xr:uid="{00000000-0005-0000-0000-000071720000}"/>
    <cellStyle name="Normal 5 5 3 2 8 3" xfId="32851" xr:uid="{00000000-0005-0000-0000-000072720000}"/>
    <cellStyle name="Normal 5 5 3 2 9" xfId="16040" xr:uid="{00000000-0005-0000-0000-000073720000}"/>
    <cellStyle name="Normal 5 5 3 2 9 2" xfId="41593" xr:uid="{00000000-0005-0000-0000-000074720000}"/>
    <cellStyle name="Normal 5 5 3 2_Degree data" xfId="3851" xr:uid="{00000000-0005-0000-0000-000075720000}"/>
    <cellStyle name="Normal 5 5 3 3" xfId="369" xr:uid="{00000000-0005-0000-0000-000076720000}"/>
    <cellStyle name="Normal 5 5 3 3 2" xfId="2855" xr:uid="{00000000-0005-0000-0000-000077720000}"/>
    <cellStyle name="Normal 5 5 3 3 2 2" xfId="12143" xr:uid="{00000000-0005-0000-0000-000078720000}"/>
    <cellStyle name="Normal 5 5 3 3 2 2 2" xfId="22216" xr:uid="{00000000-0005-0000-0000-000079720000}"/>
    <cellStyle name="Normal 5 5 3 3 2 2 2 2" xfId="47769" xr:uid="{00000000-0005-0000-0000-00007A720000}"/>
    <cellStyle name="Normal 5 5 3 3 2 2 3" xfId="37698" xr:uid="{00000000-0005-0000-0000-00007B720000}"/>
    <cellStyle name="Normal 5 5 3 3 2 3" xfId="8462" xr:uid="{00000000-0005-0000-0000-00007C720000}"/>
    <cellStyle name="Normal 5 5 3 3 2 3 2" xfId="34019" xr:uid="{00000000-0005-0000-0000-00007D720000}"/>
    <cellStyle name="Normal 5 5 3 3 2 4" xfId="17209" xr:uid="{00000000-0005-0000-0000-00007E720000}"/>
    <cellStyle name="Normal 5 5 3 3 2 4 2" xfId="42762" xr:uid="{00000000-0005-0000-0000-00007F720000}"/>
    <cellStyle name="Normal 5 5 3 3 2 5" xfId="28699" xr:uid="{00000000-0005-0000-0000-000080720000}"/>
    <cellStyle name="Normal 5 5 3 3 3" xfId="4632" xr:uid="{00000000-0005-0000-0000-000081720000}"/>
    <cellStyle name="Normal 5 5 3 3 3 2" xfId="13470" xr:uid="{00000000-0005-0000-0000-000082720000}"/>
    <cellStyle name="Normal 5 5 3 3 3 2 2" xfId="23721" xr:uid="{00000000-0005-0000-0000-000083720000}"/>
    <cellStyle name="Normal 5 5 3 3 3 2 2 2" xfId="49274" xr:uid="{00000000-0005-0000-0000-000084720000}"/>
    <cellStyle name="Normal 5 5 3 3 3 2 3" xfId="39025" xr:uid="{00000000-0005-0000-0000-000085720000}"/>
    <cellStyle name="Normal 5 5 3 3 3 3" xfId="9891" xr:uid="{00000000-0005-0000-0000-000086720000}"/>
    <cellStyle name="Normal 5 5 3 3 3 3 2" xfId="35448" xr:uid="{00000000-0005-0000-0000-000087720000}"/>
    <cellStyle name="Normal 5 5 3 3 3 4" xfId="18714" xr:uid="{00000000-0005-0000-0000-000088720000}"/>
    <cellStyle name="Normal 5 5 3 3 3 4 2" xfId="44267" xr:uid="{00000000-0005-0000-0000-000089720000}"/>
    <cellStyle name="Normal 5 5 3 3 3 5" xfId="30204" xr:uid="{00000000-0005-0000-0000-00008A720000}"/>
    <cellStyle name="Normal 5 5 3 3 4" xfId="1964" xr:uid="{00000000-0005-0000-0000-00008B720000}"/>
    <cellStyle name="Normal 5 5 3 3 4 2" xfId="11329" xr:uid="{00000000-0005-0000-0000-00008C720000}"/>
    <cellStyle name="Normal 5 5 3 3 4 2 2" xfId="36884" xr:uid="{00000000-0005-0000-0000-00008D720000}"/>
    <cellStyle name="Normal 5 5 3 3 4 3" xfId="21333" xr:uid="{00000000-0005-0000-0000-00008E720000}"/>
    <cellStyle name="Normal 5 5 3 3 4 3 2" xfId="46886" xr:uid="{00000000-0005-0000-0000-00008F720000}"/>
    <cellStyle name="Normal 5 5 3 3 4 4" xfId="27816" xr:uid="{00000000-0005-0000-0000-000090720000}"/>
    <cellStyle name="Normal 5 5 3 3 5" xfId="6088" xr:uid="{00000000-0005-0000-0000-000091720000}"/>
    <cellStyle name="Normal 5 5 3 3 5 2" xfId="14915" xr:uid="{00000000-0005-0000-0000-000092720000}"/>
    <cellStyle name="Normal 5 5 3 3 5 2 2" xfId="40470" xr:uid="{00000000-0005-0000-0000-000093720000}"/>
    <cellStyle name="Normal 5 5 3 3 5 3" xfId="25166" xr:uid="{00000000-0005-0000-0000-000094720000}"/>
    <cellStyle name="Normal 5 5 3 3 5 3 2" xfId="50719" xr:uid="{00000000-0005-0000-0000-000095720000}"/>
    <cellStyle name="Normal 5 5 3 3 5 4" xfId="31649" xr:uid="{00000000-0005-0000-0000-000096720000}"/>
    <cellStyle name="Normal 5 5 3 3 6" xfId="7533" xr:uid="{00000000-0005-0000-0000-000097720000}"/>
    <cellStyle name="Normal 5 5 3 3 6 2" xfId="19815" xr:uid="{00000000-0005-0000-0000-000098720000}"/>
    <cellStyle name="Normal 5 5 3 3 6 2 2" xfId="45368" xr:uid="{00000000-0005-0000-0000-000099720000}"/>
    <cellStyle name="Normal 5 5 3 3 6 3" xfId="33090" xr:uid="{00000000-0005-0000-0000-00009A720000}"/>
    <cellStyle name="Normal 5 5 3 3 7" xfId="16326" xr:uid="{00000000-0005-0000-0000-00009B720000}"/>
    <cellStyle name="Normal 5 5 3 3 7 2" xfId="41879" xr:uid="{00000000-0005-0000-0000-00009C720000}"/>
    <cellStyle name="Normal 5 5 3 3 8" xfId="26298" xr:uid="{00000000-0005-0000-0000-00009D720000}"/>
    <cellStyle name="Normal 5 5 3 4" xfId="818" xr:uid="{00000000-0005-0000-0000-00009E720000}"/>
    <cellStyle name="Normal 5 5 3 4 2" xfId="3303" xr:uid="{00000000-0005-0000-0000-00009F720000}"/>
    <cellStyle name="Normal 5 5 3 4 2 2" xfId="12445" xr:uid="{00000000-0005-0000-0000-0000A0720000}"/>
    <cellStyle name="Normal 5 5 3 4 2 2 2" xfId="22664" xr:uid="{00000000-0005-0000-0000-0000A1720000}"/>
    <cellStyle name="Normal 5 5 3 4 2 2 2 2" xfId="48217" xr:uid="{00000000-0005-0000-0000-0000A2720000}"/>
    <cellStyle name="Normal 5 5 3 4 2 2 3" xfId="38000" xr:uid="{00000000-0005-0000-0000-0000A3720000}"/>
    <cellStyle name="Normal 5 5 3 4 2 3" xfId="8867" xr:uid="{00000000-0005-0000-0000-0000A4720000}"/>
    <cellStyle name="Normal 5 5 3 4 2 3 2" xfId="34424" xr:uid="{00000000-0005-0000-0000-0000A5720000}"/>
    <cellStyle name="Normal 5 5 3 4 2 4" xfId="17657" xr:uid="{00000000-0005-0000-0000-0000A6720000}"/>
    <cellStyle name="Normal 5 5 3 4 2 4 2" xfId="43210" xr:uid="{00000000-0005-0000-0000-0000A7720000}"/>
    <cellStyle name="Normal 5 5 3 4 2 5" xfId="29147" xr:uid="{00000000-0005-0000-0000-0000A8720000}"/>
    <cellStyle name="Normal 5 5 3 4 3" xfId="4981" xr:uid="{00000000-0005-0000-0000-0000A9720000}"/>
    <cellStyle name="Normal 5 5 3 4 3 2" xfId="13818" xr:uid="{00000000-0005-0000-0000-0000AA720000}"/>
    <cellStyle name="Normal 5 5 3 4 3 2 2" xfId="24069" xr:uid="{00000000-0005-0000-0000-0000AB720000}"/>
    <cellStyle name="Normal 5 5 3 4 3 2 2 2" xfId="49622" xr:uid="{00000000-0005-0000-0000-0000AC720000}"/>
    <cellStyle name="Normal 5 5 3 4 3 2 3" xfId="39373" xr:uid="{00000000-0005-0000-0000-0000AD720000}"/>
    <cellStyle name="Normal 5 5 3 4 3 3" xfId="10239" xr:uid="{00000000-0005-0000-0000-0000AE720000}"/>
    <cellStyle name="Normal 5 5 3 4 3 3 2" xfId="35796" xr:uid="{00000000-0005-0000-0000-0000AF720000}"/>
    <cellStyle name="Normal 5 5 3 4 3 4" xfId="19062" xr:uid="{00000000-0005-0000-0000-0000B0720000}"/>
    <cellStyle name="Normal 5 5 3 4 3 4 2" xfId="44615" xr:uid="{00000000-0005-0000-0000-0000B1720000}"/>
    <cellStyle name="Normal 5 5 3 4 3 5" xfId="30552" xr:uid="{00000000-0005-0000-0000-0000B2720000}"/>
    <cellStyle name="Normal 5 5 3 4 4" xfId="2412" xr:uid="{00000000-0005-0000-0000-0000B3720000}"/>
    <cellStyle name="Normal 5 5 3 4 4 2" xfId="11777" xr:uid="{00000000-0005-0000-0000-0000B4720000}"/>
    <cellStyle name="Normal 5 5 3 4 4 2 2" xfId="37332" xr:uid="{00000000-0005-0000-0000-0000B5720000}"/>
    <cellStyle name="Normal 5 5 3 4 4 3" xfId="21781" xr:uid="{00000000-0005-0000-0000-0000B6720000}"/>
    <cellStyle name="Normal 5 5 3 4 4 3 2" xfId="47334" xr:uid="{00000000-0005-0000-0000-0000B7720000}"/>
    <cellStyle name="Normal 5 5 3 4 4 4" xfId="28264" xr:uid="{00000000-0005-0000-0000-0000B8720000}"/>
    <cellStyle name="Normal 5 5 3 4 5" xfId="6436" xr:uid="{00000000-0005-0000-0000-0000B9720000}"/>
    <cellStyle name="Normal 5 5 3 4 5 2" xfId="15263" xr:uid="{00000000-0005-0000-0000-0000BA720000}"/>
    <cellStyle name="Normal 5 5 3 4 5 2 2" xfId="40818" xr:uid="{00000000-0005-0000-0000-0000BB720000}"/>
    <cellStyle name="Normal 5 5 3 4 5 3" xfId="25514" xr:uid="{00000000-0005-0000-0000-0000BC720000}"/>
    <cellStyle name="Normal 5 5 3 4 5 3 2" xfId="51067" xr:uid="{00000000-0005-0000-0000-0000BD720000}"/>
    <cellStyle name="Normal 5 5 3 4 5 4" xfId="31997" xr:uid="{00000000-0005-0000-0000-0000BE720000}"/>
    <cellStyle name="Normal 5 5 3 4 6" xfId="7882" xr:uid="{00000000-0005-0000-0000-0000BF720000}"/>
    <cellStyle name="Normal 5 5 3 4 6 2" xfId="20263" xr:uid="{00000000-0005-0000-0000-0000C0720000}"/>
    <cellStyle name="Normal 5 5 3 4 6 2 2" xfId="45816" xr:uid="{00000000-0005-0000-0000-0000C1720000}"/>
    <cellStyle name="Normal 5 5 3 4 6 3" xfId="33439" xr:uid="{00000000-0005-0000-0000-0000C2720000}"/>
    <cellStyle name="Normal 5 5 3 4 7" xfId="16774" xr:uid="{00000000-0005-0000-0000-0000C3720000}"/>
    <cellStyle name="Normal 5 5 3 4 7 2" xfId="42327" xr:uid="{00000000-0005-0000-0000-0000C4720000}"/>
    <cellStyle name="Normal 5 5 3 4 8" xfId="26746" xr:uid="{00000000-0005-0000-0000-0000C5720000}"/>
    <cellStyle name="Normal 5 5 3 5" xfId="1141" xr:uid="{00000000-0005-0000-0000-0000C6720000}"/>
    <cellStyle name="Normal 5 5 3 5 2" xfId="3570" xr:uid="{00000000-0005-0000-0000-0000C7720000}"/>
    <cellStyle name="Normal 5 5 3 5 2 2" xfId="12706" xr:uid="{00000000-0005-0000-0000-0000C8720000}"/>
    <cellStyle name="Normal 5 5 3 5 2 2 2" xfId="22925" xr:uid="{00000000-0005-0000-0000-0000C9720000}"/>
    <cellStyle name="Normal 5 5 3 5 2 2 2 2" xfId="48478" xr:uid="{00000000-0005-0000-0000-0000CA720000}"/>
    <cellStyle name="Normal 5 5 3 5 2 2 3" xfId="38261" xr:uid="{00000000-0005-0000-0000-0000CB720000}"/>
    <cellStyle name="Normal 5 5 3 5 2 3" xfId="9127" xr:uid="{00000000-0005-0000-0000-0000CC720000}"/>
    <cellStyle name="Normal 5 5 3 5 2 3 2" xfId="34684" xr:uid="{00000000-0005-0000-0000-0000CD720000}"/>
    <cellStyle name="Normal 5 5 3 5 2 4" xfId="17918" xr:uid="{00000000-0005-0000-0000-0000CE720000}"/>
    <cellStyle name="Normal 5 5 3 5 2 4 2" xfId="43471" xr:uid="{00000000-0005-0000-0000-0000CF720000}"/>
    <cellStyle name="Normal 5 5 3 5 2 5" xfId="29408" xr:uid="{00000000-0005-0000-0000-0000D0720000}"/>
    <cellStyle name="Normal 5 5 3 5 3" xfId="5233" xr:uid="{00000000-0005-0000-0000-0000D1720000}"/>
    <cellStyle name="Normal 5 5 3 5 3 2" xfId="14070" xr:uid="{00000000-0005-0000-0000-0000D2720000}"/>
    <cellStyle name="Normal 5 5 3 5 3 2 2" xfId="24321" xr:uid="{00000000-0005-0000-0000-0000D3720000}"/>
    <cellStyle name="Normal 5 5 3 5 3 2 2 2" xfId="49874" xr:uid="{00000000-0005-0000-0000-0000D4720000}"/>
    <cellStyle name="Normal 5 5 3 5 3 2 3" xfId="39625" xr:uid="{00000000-0005-0000-0000-0000D5720000}"/>
    <cellStyle name="Normal 5 5 3 5 3 3" xfId="10491" xr:uid="{00000000-0005-0000-0000-0000D6720000}"/>
    <cellStyle name="Normal 5 5 3 5 3 3 2" xfId="36048" xr:uid="{00000000-0005-0000-0000-0000D7720000}"/>
    <cellStyle name="Normal 5 5 3 5 3 4" xfId="19314" xr:uid="{00000000-0005-0000-0000-0000D8720000}"/>
    <cellStyle name="Normal 5 5 3 5 3 4 2" xfId="44867" xr:uid="{00000000-0005-0000-0000-0000D9720000}"/>
    <cellStyle name="Normal 5 5 3 5 3 5" xfId="30804" xr:uid="{00000000-0005-0000-0000-0000DA720000}"/>
    <cellStyle name="Normal 5 5 3 5 4" xfId="1849" xr:uid="{00000000-0005-0000-0000-0000DB720000}"/>
    <cellStyle name="Normal 5 5 3 5 4 2" xfId="11217" xr:uid="{00000000-0005-0000-0000-0000DC720000}"/>
    <cellStyle name="Normal 5 5 3 5 4 2 2" xfId="36772" xr:uid="{00000000-0005-0000-0000-0000DD720000}"/>
    <cellStyle name="Normal 5 5 3 5 4 3" xfId="21221" xr:uid="{00000000-0005-0000-0000-0000DE720000}"/>
    <cellStyle name="Normal 5 5 3 5 4 3 2" xfId="46774" xr:uid="{00000000-0005-0000-0000-0000DF720000}"/>
    <cellStyle name="Normal 5 5 3 5 4 4" xfId="27704" xr:uid="{00000000-0005-0000-0000-0000E0720000}"/>
    <cellStyle name="Normal 5 5 3 5 5" xfId="6688" xr:uid="{00000000-0005-0000-0000-0000E1720000}"/>
    <cellStyle name="Normal 5 5 3 5 5 2" xfId="15515" xr:uid="{00000000-0005-0000-0000-0000E2720000}"/>
    <cellStyle name="Normal 5 5 3 5 5 2 2" xfId="41070" xr:uid="{00000000-0005-0000-0000-0000E3720000}"/>
    <cellStyle name="Normal 5 5 3 5 5 3" xfId="25766" xr:uid="{00000000-0005-0000-0000-0000E4720000}"/>
    <cellStyle name="Normal 5 5 3 5 5 3 2" xfId="51319" xr:uid="{00000000-0005-0000-0000-0000E5720000}"/>
    <cellStyle name="Normal 5 5 3 5 5 4" xfId="32249" xr:uid="{00000000-0005-0000-0000-0000E6720000}"/>
    <cellStyle name="Normal 5 5 3 5 6" xfId="8134" xr:uid="{00000000-0005-0000-0000-0000E7720000}"/>
    <cellStyle name="Normal 5 5 3 5 6 2" xfId="20524" xr:uid="{00000000-0005-0000-0000-0000E8720000}"/>
    <cellStyle name="Normal 5 5 3 5 6 2 2" xfId="46077" xr:uid="{00000000-0005-0000-0000-0000E9720000}"/>
    <cellStyle name="Normal 5 5 3 5 6 3" xfId="33691" xr:uid="{00000000-0005-0000-0000-0000EA720000}"/>
    <cellStyle name="Normal 5 5 3 5 7" xfId="16214" xr:uid="{00000000-0005-0000-0000-0000EB720000}"/>
    <cellStyle name="Normal 5 5 3 5 7 2" xfId="41767" xr:uid="{00000000-0005-0000-0000-0000EC720000}"/>
    <cellStyle name="Normal 5 5 3 5 8" xfId="27007" xr:uid="{00000000-0005-0000-0000-0000ED720000}"/>
    <cellStyle name="Normal 5 5 3 6" xfId="2743" xr:uid="{00000000-0005-0000-0000-0000EE720000}"/>
    <cellStyle name="Normal 5 5 3 6 2" xfId="12060" xr:uid="{00000000-0005-0000-0000-0000EF720000}"/>
    <cellStyle name="Normal 5 5 3 6 2 2" xfId="22104" xr:uid="{00000000-0005-0000-0000-0000F0720000}"/>
    <cellStyle name="Normal 5 5 3 6 2 2 2" xfId="47657" xr:uid="{00000000-0005-0000-0000-0000F1720000}"/>
    <cellStyle name="Normal 5 5 3 6 2 3" xfId="37615" xr:uid="{00000000-0005-0000-0000-0000F2720000}"/>
    <cellStyle name="Normal 5 5 3 6 3" xfId="8483" xr:uid="{00000000-0005-0000-0000-0000F3720000}"/>
    <cellStyle name="Normal 5 5 3 6 3 2" xfId="34040" xr:uid="{00000000-0005-0000-0000-0000F4720000}"/>
    <cellStyle name="Normal 5 5 3 6 4" xfId="17097" xr:uid="{00000000-0005-0000-0000-0000F5720000}"/>
    <cellStyle name="Normal 5 5 3 6 4 2" xfId="42650" xr:uid="{00000000-0005-0000-0000-0000F6720000}"/>
    <cellStyle name="Normal 5 5 3 6 5" xfId="28587" xr:uid="{00000000-0005-0000-0000-0000F7720000}"/>
    <cellStyle name="Normal 5 5 3 7" xfId="4189" xr:uid="{00000000-0005-0000-0000-0000F8720000}"/>
    <cellStyle name="Normal 5 5 3 7 2" xfId="13027" xr:uid="{00000000-0005-0000-0000-0000F9720000}"/>
    <cellStyle name="Normal 5 5 3 7 2 2" xfId="23278" xr:uid="{00000000-0005-0000-0000-0000FA720000}"/>
    <cellStyle name="Normal 5 5 3 7 2 2 2" xfId="48831" xr:uid="{00000000-0005-0000-0000-0000FB720000}"/>
    <cellStyle name="Normal 5 5 3 7 2 3" xfId="38582" xr:uid="{00000000-0005-0000-0000-0000FC720000}"/>
    <cellStyle name="Normal 5 5 3 7 3" xfId="9448" xr:uid="{00000000-0005-0000-0000-0000FD720000}"/>
    <cellStyle name="Normal 5 5 3 7 3 2" xfId="35005" xr:uid="{00000000-0005-0000-0000-0000FE720000}"/>
    <cellStyle name="Normal 5 5 3 7 4" xfId="18271" xr:uid="{00000000-0005-0000-0000-0000FF720000}"/>
    <cellStyle name="Normal 5 5 3 7 4 2" xfId="43824" xr:uid="{00000000-0005-0000-0000-000000730000}"/>
    <cellStyle name="Normal 5 5 3 7 5" xfId="29761" xr:uid="{00000000-0005-0000-0000-000001730000}"/>
    <cellStyle name="Normal 5 5 3 8" xfId="1461" xr:uid="{00000000-0005-0000-0000-000002730000}"/>
    <cellStyle name="Normal 5 5 3 8 2" xfId="10838" xr:uid="{00000000-0005-0000-0000-000003730000}"/>
    <cellStyle name="Normal 5 5 3 8 2 2" xfId="36393" xr:uid="{00000000-0005-0000-0000-000004730000}"/>
    <cellStyle name="Normal 5 5 3 8 3" xfId="20842" xr:uid="{00000000-0005-0000-0000-000005730000}"/>
    <cellStyle name="Normal 5 5 3 8 3 2" xfId="46395" xr:uid="{00000000-0005-0000-0000-000006730000}"/>
    <cellStyle name="Normal 5 5 3 8 4" xfId="27325" xr:uid="{00000000-0005-0000-0000-000007730000}"/>
    <cellStyle name="Normal 5 5 3 9" xfId="5645" xr:uid="{00000000-0005-0000-0000-000008730000}"/>
    <cellStyle name="Normal 5 5 3 9 2" xfId="14472" xr:uid="{00000000-0005-0000-0000-000009730000}"/>
    <cellStyle name="Normal 5 5 3 9 2 2" xfId="40027" xr:uid="{00000000-0005-0000-0000-00000A730000}"/>
    <cellStyle name="Normal 5 5 3 9 3" xfId="24723" xr:uid="{00000000-0005-0000-0000-00000B730000}"/>
    <cellStyle name="Normal 5 5 3 9 3 2" xfId="50276" xr:uid="{00000000-0005-0000-0000-00000C730000}"/>
    <cellStyle name="Normal 5 5 3 9 4" xfId="31206" xr:uid="{00000000-0005-0000-0000-00000D730000}"/>
    <cellStyle name="Normal 5 5 3_Degree data" xfId="3880" xr:uid="{00000000-0005-0000-0000-00000E730000}"/>
    <cellStyle name="Normal 5 5 4" xfId="469" xr:uid="{00000000-0005-0000-0000-00000F730000}"/>
    <cellStyle name="Normal 5 5 4 10" xfId="26398" xr:uid="{00000000-0005-0000-0000-000010730000}"/>
    <cellStyle name="Normal 5 5 4 2" xfId="820" xr:uid="{00000000-0005-0000-0000-000011730000}"/>
    <cellStyle name="Normal 5 5 4 2 2" xfId="3305" xr:uid="{00000000-0005-0000-0000-000012730000}"/>
    <cellStyle name="Normal 5 5 4 2 2 2" xfId="12447" xr:uid="{00000000-0005-0000-0000-000013730000}"/>
    <cellStyle name="Normal 5 5 4 2 2 2 2" xfId="22666" xr:uid="{00000000-0005-0000-0000-000014730000}"/>
    <cellStyle name="Normal 5 5 4 2 2 2 2 2" xfId="48219" xr:uid="{00000000-0005-0000-0000-000015730000}"/>
    <cellStyle name="Normal 5 5 4 2 2 2 3" xfId="38002" xr:uid="{00000000-0005-0000-0000-000016730000}"/>
    <cellStyle name="Normal 5 5 4 2 2 3" xfId="8869" xr:uid="{00000000-0005-0000-0000-000017730000}"/>
    <cellStyle name="Normal 5 5 4 2 2 3 2" xfId="34426" xr:uid="{00000000-0005-0000-0000-000018730000}"/>
    <cellStyle name="Normal 5 5 4 2 2 4" xfId="17659" xr:uid="{00000000-0005-0000-0000-000019730000}"/>
    <cellStyle name="Normal 5 5 4 2 2 4 2" xfId="43212" xr:uid="{00000000-0005-0000-0000-00001A730000}"/>
    <cellStyle name="Normal 5 5 4 2 2 5" xfId="29149" xr:uid="{00000000-0005-0000-0000-00001B730000}"/>
    <cellStyle name="Normal 5 5 4 2 3" xfId="4634" xr:uid="{00000000-0005-0000-0000-00001C730000}"/>
    <cellStyle name="Normal 5 5 4 2 3 2" xfId="13472" xr:uid="{00000000-0005-0000-0000-00001D730000}"/>
    <cellStyle name="Normal 5 5 4 2 3 2 2" xfId="23723" xr:uid="{00000000-0005-0000-0000-00001E730000}"/>
    <cellStyle name="Normal 5 5 4 2 3 2 2 2" xfId="49276" xr:uid="{00000000-0005-0000-0000-00001F730000}"/>
    <cellStyle name="Normal 5 5 4 2 3 2 3" xfId="39027" xr:uid="{00000000-0005-0000-0000-000020730000}"/>
    <cellStyle name="Normal 5 5 4 2 3 3" xfId="9893" xr:uid="{00000000-0005-0000-0000-000021730000}"/>
    <cellStyle name="Normal 5 5 4 2 3 3 2" xfId="35450" xr:uid="{00000000-0005-0000-0000-000022730000}"/>
    <cellStyle name="Normal 5 5 4 2 3 4" xfId="18716" xr:uid="{00000000-0005-0000-0000-000023730000}"/>
    <cellStyle name="Normal 5 5 4 2 3 4 2" xfId="44269" xr:uid="{00000000-0005-0000-0000-000024730000}"/>
    <cellStyle name="Normal 5 5 4 2 3 5" xfId="30206" xr:uid="{00000000-0005-0000-0000-000025730000}"/>
    <cellStyle name="Normal 5 5 4 2 4" xfId="2414" xr:uid="{00000000-0005-0000-0000-000026730000}"/>
    <cellStyle name="Normal 5 5 4 2 4 2" xfId="11779" xr:uid="{00000000-0005-0000-0000-000027730000}"/>
    <cellStyle name="Normal 5 5 4 2 4 2 2" xfId="37334" xr:uid="{00000000-0005-0000-0000-000028730000}"/>
    <cellStyle name="Normal 5 5 4 2 4 3" xfId="21783" xr:uid="{00000000-0005-0000-0000-000029730000}"/>
    <cellStyle name="Normal 5 5 4 2 4 3 2" xfId="47336" xr:uid="{00000000-0005-0000-0000-00002A730000}"/>
    <cellStyle name="Normal 5 5 4 2 4 4" xfId="28266" xr:uid="{00000000-0005-0000-0000-00002B730000}"/>
    <cellStyle name="Normal 5 5 4 2 5" xfId="6090" xr:uid="{00000000-0005-0000-0000-00002C730000}"/>
    <cellStyle name="Normal 5 5 4 2 5 2" xfId="14917" xr:uid="{00000000-0005-0000-0000-00002D730000}"/>
    <cellStyle name="Normal 5 5 4 2 5 2 2" xfId="40472" xr:uid="{00000000-0005-0000-0000-00002E730000}"/>
    <cellStyle name="Normal 5 5 4 2 5 3" xfId="25168" xr:uid="{00000000-0005-0000-0000-00002F730000}"/>
    <cellStyle name="Normal 5 5 4 2 5 3 2" xfId="50721" xr:uid="{00000000-0005-0000-0000-000030730000}"/>
    <cellStyle name="Normal 5 5 4 2 5 4" xfId="31651" xr:uid="{00000000-0005-0000-0000-000031730000}"/>
    <cellStyle name="Normal 5 5 4 2 6" xfId="7535" xr:uid="{00000000-0005-0000-0000-000032730000}"/>
    <cellStyle name="Normal 5 5 4 2 6 2" xfId="20265" xr:uid="{00000000-0005-0000-0000-000033730000}"/>
    <cellStyle name="Normal 5 5 4 2 6 2 2" xfId="45818" xr:uid="{00000000-0005-0000-0000-000034730000}"/>
    <cellStyle name="Normal 5 5 4 2 6 3" xfId="33092" xr:uid="{00000000-0005-0000-0000-000035730000}"/>
    <cellStyle name="Normal 5 5 4 2 7" xfId="16776" xr:uid="{00000000-0005-0000-0000-000036730000}"/>
    <cellStyle name="Normal 5 5 4 2 7 2" xfId="42329" xr:uid="{00000000-0005-0000-0000-000037730000}"/>
    <cellStyle name="Normal 5 5 4 2 8" xfId="26748" xr:uid="{00000000-0005-0000-0000-000038730000}"/>
    <cellStyle name="Normal 5 5 4 3" xfId="1241" xr:uid="{00000000-0005-0000-0000-000039730000}"/>
    <cellStyle name="Normal 5 5 4 3 2" xfId="3670" xr:uid="{00000000-0005-0000-0000-00003A730000}"/>
    <cellStyle name="Normal 5 5 4 3 2 2" xfId="12806" xr:uid="{00000000-0005-0000-0000-00003B730000}"/>
    <cellStyle name="Normal 5 5 4 3 2 2 2" xfId="23025" xr:uid="{00000000-0005-0000-0000-00003C730000}"/>
    <cellStyle name="Normal 5 5 4 3 2 2 2 2" xfId="48578" xr:uid="{00000000-0005-0000-0000-00003D730000}"/>
    <cellStyle name="Normal 5 5 4 3 2 2 3" xfId="38361" xr:uid="{00000000-0005-0000-0000-00003E730000}"/>
    <cellStyle name="Normal 5 5 4 3 2 3" xfId="9227" xr:uid="{00000000-0005-0000-0000-00003F730000}"/>
    <cellStyle name="Normal 5 5 4 3 2 3 2" xfId="34784" xr:uid="{00000000-0005-0000-0000-000040730000}"/>
    <cellStyle name="Normal 5 5 4 3 2 4" xfId="18018" xr:uid="{00000000-0005-0000-0000-000041730000}"/>
    <cellStyle name="Normal 5 5 4 3 2 4 2" xfId="43571" xr:uid="{00000000-0005-0000-0000-000042730000}"/>
    <cellStyle name="Normal 5 5 4 3 2 5" xfId="29508" xr:uid="{00000000-0005-0000-0000-000043730000}"/>
    <cellStyle name="Normal 5 5 4 3 3" xfId="4983" xr:uid="{00000000-0005-0000-0000-000044730000}"/>
    <cellStyle name="Normal 5 5 4 3 3 2" xfId="13820" xr:uid="{00000000-0005-0000-0000-000045730000}"/>
    <cellStyle name="Normal 5 5 4 3 3 2 2" xfId="24071" xr:uid="{00000000-0005-0000-0000-000046730000}"/>
    <cellStyle name="Normal 5 5 4 3 3 2 2 2" xfId="49624" xr:uid="{00000000-0005-0000-0000-000047730000}"/>
    <cellStyle name="Normal 5 5 4 3 3 2 3" xfId="39375" xr:uid="{00000000-0005-0000-0000-000048730000}"/>
    <cellStyle name="Normal 5 5 4 3 3 3" xfId="10241" xr:uid="{00000000-0005-0000-0000-000049730000}"/>
    <cellStyle name="Normal 5 5 4 3 3 3 2" xfId="35798" xr:uid="{00000000-0005-0000-0000-00004A730000}"/>
    <cellStyle name="Normal 5 5 4 3 3 4" xfId="19064" xr:uid="{00000000-0005-0000-0000-00004B730000}"/>
    <cellStyle name="Normal 5 5 4 3 3 4 2" xfId="44617" xr:uid="{00000000-0005-0000-0000-00004C730000}"/>
    <cellStyle name="Normal 5 5 4 3 3 5" xfId="30554" xr:uid="{00000000-0005-0000-0000-00004D730000}"/>
    <cellStyle name="Normal 5 5 4 3 4" xfId="2064" xr:uid="{00000000-0005-0000-0000-00004E730000}"/>
    <cellStyle name="Normal 5 5 4 3 4 2" xfId="11429" xr:uid="{00000000-0005-0000-0000-00004F730000}"/>
    <cellStyle name="Normal 5 5 4 3 4 2 2" xfId="36984" xr:uid="{00000000-0005-0000-0000-000050730000}"/>
    <cellStyle name="Normal 5 5 4 3 4 3" xfId="21433" xr:uid="{00000000-0005-0000-0000-000051730000}"/>
    <cellStyle name="Normal 5 5 4 3 4 3 2" xfId="46986" xr:uid="{00000000-0005-0000-0000-000052730000}"/>
    <cellStyle name="Normal 5 5 4 3 4 4" xfId="27916" xr:uid="{00000000-0005-0000-0000-000053730000}"/>
    <cellStyle name="Normal 5 5 4 3 5" xfId="6438" xr:uid="{00000000-0005-0000-0000-000054730000}"/>
    <cellStyle name="Normal 5 5 4 3 5 2" xfId="15265" xr:uid="{00000000-0005-0000-0000-000055730000}"/>
    <cellStyle name="Normal 5 5 4 3 5 2 2" xfId="40820" xr:uid="{00000000-0005-0000-0000-000056730000}"/>
    <cellStyle name="Normal 5 5 4 3 5 3" xfId="25516" xr:uid="{00000000-0005-0000-0000-000057730000}"/>
    <cellStyle name="Normal 5 5 4 3 5 3 2" xfId="51069" xr:uid="{00000000-0005-0000-0000-000058730000}"/>
    <cellStyle name="Normal 5 5 4 3 5 4" xfId="31999" xr:uid="{00000000-0005-0000-0000-000059730000}"/>
    <cellStyle name="Normal 5 5 4 3 6" xfId="7884" xr:uid="{00000000-0005-0000-0000-00005A730000}"/>
    <cellStyle name="Normal 5 5 4 3 6 2" xfId="20624" xr:uid="{00000000-0005-0000-0000-00005B730000}"/>
    <cellStyle name="Normal 5 5 4 3 6 2 2" xfId="46177" xr:uid="{00000000-0005-0000-0000-00005C730000}"/>
    <cellStyle name="Normal 5 5 4 3 6 3" xfId="33441" xr:uid="{00000000-0005-0000-0000-00005D730000}"/>
    <cellStyle name="Normal 5 5 4 3 7" xfId="16426" xr:uid="{00000000-0005-0000-0000-00005E730000}"/>
    <cellStyle name="Normal 5 5 4 3 7 2" xfId="41979" xr:uid="{00000000-0005-0000-0000-00005F730000}"/>
    <cellStyle name="Normal 5 5 4 3 8" xfId="27107" xr:uid="{00000000-0005-0000-0000-000060730000}"/>
    <cellStyle name="Normal 5 5 4 4" xfId="2955" xr:uid="{00000000-0005-0000-0000-000061730000}"/>
    <cellStyle name="Normal 5 5 4 4 2" xfId="5333" xr:uid="{00000000-0005-0000-0000-000062730000}"/>
    <cellStyle name="Normal 5 5 4 4 2 2" xfId="14170" xr:uid="{00000000-0005-0000-0000-000063730000}"/>
    <cellStyle name="Normal 5 5 4 4 2 2 2" xfId="24421" xr:uid="{00000000-0005-0000-0000-000064730000}"/>
    <cellStyle name="Normal 5 5 4 4 2 2 2 2" xfId="49974" xr:uid="{00000000-0005-0000-0000-000065730000}"/>
    <cellStyle name="Normal 5 5 4 4 2 2 3" xfId="39725" xr:uid="{00000000-0005-0000-0000-000066730000}"/>
    <cellStyle name="Normal 5 5 4 4 2 3" xfId="10591" xr:uid="{00000000-0005-0000-0000-000067730000}"/>
    <cellStyle name="Normal 5 5 4 4 2 3 2" xfId="36148" xr:uid="{00000000-0005-0000-0000-000068730000}"/>
    <cellStyle name="Normal 5 5 4 4 2 4" xfId="19414" xr:uid="{00000000-0005-0000-0000-000069730000}"/>
    <cellStyle name="Normal 5 5 4 4 2 4 2" xfId="44967" xr:uid="{00000000-0005-0000-0000-00006A730000}"/>
    <cellStyle name="Normal 5 5 4 4 2 5" xfId="30904" xr:uid="{00000000-0005-0000-0000-00006B730000}"/>
    <cellStyle name="Normal 5 5 4 4 3" xfId="6788" xr:uid="{00000000-0005-0000-0000-00006C730000}"/>
    <cellStyle name="Normal 5 5 4 4 3 2" xfId="15615" xr:uid="{00000000-0005-0000-0000-00006D730000}"/>
    <cellStyle name="Normal 5 5 4 4 3 2 2" xfId="41170" xr:uid="{00000000-0005-0000-0000-00006E730000}"/>
    <cellStyle name="Normal 5 5 4 4 3 3" xfId="25866" xr:uid="{00000000-0005-0000-0000-00006F730000}"/>
    <cellStyle name="Normal 5 5 4 4 3 3 2" xfId="51419" xr:uid="{00000000-0005-0000-0000-000070730000}"/>
    <cellStyle name="Normal 5 5 4 4 3 4" xfId="32349" xr:uid="{00000000-0005-0000-0000-000071730000}"/>
    <cellStyle name="Normal 5 5 4 4 4" xfId="8234" xr:uid="{00000000-0005-0000-0000-000072730000}"/>
    <cellStyle name="Normal 5 5 4 4 4 2" xfId="22316" xr:uid="{00000000-0005-0000-0000-000073730000}"/>
    <cellStyle name="Normal 5 5 4 4 4 2 2" xfId="47869" xr:uid="{00000000-0005-0000-0000-000074730000}"/>
    <cellStyle name="Normal 5 5 4 4 4 3" xfId="33791" xr:uid="{00000000-0005-0000-0000-000075730000}"/>
    <cellStyle name="Normal 5 5 4 4 5" xfId="17309" xr:uid="{00000000-0005-0000-0000-000076730000}"/>
    <cellStyle name="Normal 5 5 4 4 5 2" xfId="42862" xr:uid="{00000000-0005-0000-0000-000077730000}"/>
    <cellStyle name="Normal 5 5 4 4 6" xfId="28799" xr:uid="{00000000-0005-0000-0000-000078730000}"/>
    <cellStyle name="Normal 5 5 4 5" xfId="4289" xr:uid="{00000000-0005-0000-0000-000079730000}"/>
    <cellStyle name="Normal 5 5 4 5 2" xfId="13127" xr:uid="{00000000-0005-0000-0000-00007A730000}"/>
    <cellStyle name="Normal 5 5 4 5 2 2" xfId="23378" xr:uid="{00000000-0005-0000-0000-00007B730000}"/>
    <cellStyle name="Normal 5 5 4 5 2 2 2" xfId="48931" xr:uid="{00000000-0005-0000-0000-00007C730000}"/>
    <cellStyle name="Normal 5 5 4 5 2 3" xfId="38682" xr:uid="{00000000-0005-0000-0000-00007D730000}"/>
    <cellStyle name="Normal 5 5 4 5 3" xfId="9548" xr:uid="{00000000-0005-0000-0000-00007E730000}"/>
    <cellStyle name="Normal 5 5 4 5 3 2" xfId="35105" xr:uid="{00000000-0005-0000-0000-00007F730000}"/>
    <cellStyle name="Normal 5 5 4 5 4" xfId="18371" xr:uid="{00000000-0005-0000-0000-000080730000}"/>
    <cellStyle name="Normal 5 5 4 5 4 2" xfId="43924" xr:uid="{00000000-0005-0000-0000-000081730000}"/>
    <cellStyle name="Normal 5 5 4 5 5" xfId="29861" xr:uid="{00000000-0005-0000-0000-000082730000}"/>
    <cellStyle name="Normal 5 5 4 6" xfId="1561" xr:uid="{00000000-0005-0000-0000-000083730000}"/>
    <cellStyle name="Normal 5 5 4 6 2" xfId="10938" xr:uid="{00000000-0005-0000-0000-000084730000}"/>
    <cellStyle name="Normal 5 5 4 6 2 2" xfId="36493" xr:uid="{00000000-0005-0000-0000-000085730000}"/>
    <cellStyle name="Normal 5 5 4 6 3" xfId="20942" xr:uid="{00000000-0005-0000-0000-000086730000}"/>
    <cellStyle name="Normal 5 5 4 6 3 2" xfId="46495" xr:uid="{00000000-0005-0000-0000-000087730000}"/>
    <cellStyle name="Normal 5 5 4 6 4" xfId="27425" xr:uid="{00000000-0005-0000-0000-000088730000}"/>
    <cellStyle name="Normal 5 5 4 7" xfId="5745" xr:uid="{00000000-0005-0000-0000-000089730000}"/>
    <cellStyle name="Normal 5 5 4 7 2" xfId="14572" xr:uid="{00000000-0005-0000-0000-00008A730000}"/>
    <cellStyle name="Normal 5 5 4 7 2 2" xfId="40127" xr:uid="{00000000-0005-0000-0000-00008B730000}"/>
    <cellStyle name="Normal 5 5 4 7 3" xfId="24823" xr:uid="{00000000-0005-0000-0000-00008C730000}"/>
    <cellStyle name="Normal 5 5 4 7 3 2" xfId="50376" xr:uid="{00000000-0005-0000-0000-00008D730000}"/>
    <cellStyle name="Normal 5 5 4 7 4" xfId="31306" xr:uid="{00000000-0005-0000-0000-00008E730000}"/>
    <cellStyle name="Normal 5 5 4 8" xfId="7189" xr:uid="{00000000-0005-0000-0000-00008F730000}"/>
    <cellStyle name="Normal 5 5 4 8 2" xfId="19915" xr:uid="{00000000-0005-0000-0000-000090730000}"/>
    <cellStyle name="Normal 5 5 4 8 2 2" xfId="45468" xr:uid="{00000000-0005-0000-0000-000091730000}"/>
    <cellStyle name="Normal 5 5 4 8 3" xfId="32746" xr:uid="{00000000-0005-0000-0000-000092730000}"/>
    <cellStyle name="Normal 5 5 4 9" xfId="15935" xr:uid="{00000000-0005-0000-0000-000093730000}"/>
    <cellStyle name="Normal 5 5 4 9 2" xfId="41488" xr:uid="{00000000-0005-0000-0000-000094730000}"/>
    <cellStyle name="Normal 5 5 4_Degree data" xfId="3889" xr:uid="{00000000-0005-0000-0000-000095730000}"/>
    <cellStyle name="Normal 5 5 5" xfId="310" xr:uid="{00000000-0005-0000-0000-000096730000}"/>
    <cellStyle name="Normal 5 5 5 2" xfId="2796" xr:uid="{00000000-0005-0000-0000-000097730000}"/>
    <cellStyle name="Normal 5 5 5 2 2" xfId="12100" xr:uid="{00000000-0005-0000-0000-000098730000}"/>
    <cellStyle name="Normal 5 5 5 2 2 2" xfId="22157" xr:uid="{00000000-0005-0000-0000-000099730000}"/>
    <cellStyle name="Normal 5 5 5 2 2 2 2" xfId="47710" xr:uid="{00000000-0005-0000-0000-00009A730000}"/>
    <cellStyle name="Normal 5 5 5 2 2 3" xfId="37655" xr:uid="{00000000-0005-0000-0000-00009B730000}"/>
    <cellStyle name="Normal 5 5 5 2 3" xfId="8604" xr:uid="{00000000-0005-0000-0000-00009C730000}"/>
    <cellStyle name="Normal 5 5 5 2 3 2" xfId="34161" xr:uid="{00000000-0005-0000-0000-00009D730000}"/>
    <cellStyle name="Normal 5 5 5 2 4" xfId="17150" xr:uid="{00000000-0005-0000-0000-00009E730000}"/>
    <cellStyle name="Normal 5 5 5 2 4 2" xfId="42703" xr:uid="{00000000-0005-0000-0000-00009F730000}"/>
    <cellStyle name="Normal 5 5 5 2 5" xfId="28640" xr:uid="{00000000-0005-0000-0000-0000A0730000}"/>
    <cellStyle name="Normal 5 5 5 3" xfId="4629" xr:uid="{00000000-0005-0000-0000-0000A1730000}"/>
    <cellStyle name="Normal 5 5 5 3 2" xfId="13467" xr:uid="{00000000-0005-0000-0000-0000A2730000}"/>
    <cellStyle name="Normal 5 5 5 3 2 2" xfId="23718" xr:uid="{00000000-0005-0000-0000-0000A3730000}"/>
    <cellStyle name="Normal 5 5 5 3 2 2 2" xfId="49271" xr:uid="{00000000-0005-0000-0000-0000A4730000}"/>
    <cellStyle name="Normal 5 5 5 3 2 3" xfId="39022" xr:uid="{00000000-0005-0000-0000-0000A5730000}"/>
    <cellStyle name="Normal 5 5 5 3 3" xfId="9888" xr:uid="{00000000-0005-0000-0000-0000A6730000}"/>
    <cellStyle name="Normal 5 5 5 3 3 2" xfId="35445" xr:uid="{00000000-0005-0000-0000-0000A7730000}"/>
    <cellStyle name="Normal 5 5 5 3 4" xfId="18711" xr:uid="{00000000-0005-0000-0000-0000A8730000}"/>
    <cellStyle name="Normal 5 5 5 3 4 2" xfId="44264" xr:uid="{00000000-0005-0000-0000-0000A9730000}"/>
    <cellStyle name="Normal 5 5 5 3 5" xfId="30201" xr:uid="{00000000-0005-0000-0000-0000AA730000}"/>
    <cellStyle name="Normal 5 5 5 4" xfId="1905" xr:uid="{00000000-0005-0000-0000-0000AB730000}"/>
    <cellStyle name="Normal 5 5 5 4 2" xfId="11270" xr:uid="{00000000-0005-0000-0000-0000AC730000}"/>
    <cellStyle name="Normal 5 5 5 4 2 2" xfId="36825" xr:uid="{00000000-0005-0000-0000-0000AD730000}"/>
    <cellStyle name="Normal 5 5 5 4 3" xfId="21274" xr:uid="{00000000-0005-0000-0000-0000AE730000}"/>
    <cellStyle name="Normal 5 5 5 4 3 2" xfId="46827" xr:uid="{00000000-0005-0000-0000-0000AF730000}"/>
    <cellStyle name="Normal 5 5 5 4 4" xfId="27757" xr:uid="{00000000-0005-0000-0000-0000B0730000}"/>
    <cellStyle name="Normal 5 5 5 5" xfId="6085" xr:uid="{00000000-0005-0000-0000-0000B1730000}"/>
    <cellStyle name="Normal 5 5 5 5 2" xfId="14912" xr:uid="{00000000-0005-0000-0000-0000B2730000}"/>
    <cellStyle name="Normal 5 5 5 5 2 2" xfId="40467" xr:uid="{00000000-0005-0000-0000-0000B3730000}"/>
    <cellStyle name="Normal 5 5 5 5 3" xfId="25163" xr:uid="{00000000-0005-0000-0000-0000B4730000}"/>
    <cellStyle name="Normal 5 5 5 5 3 2" xfId="50716" xr:uid="{00000000-0005-0000-0000-0000B5730000}"/>
    <cellStyle name="Normal 5 5 5 5 4" xfId="31646" xr:uid="{00000000-0005-0000-0000-0000B6730000}"/>
    <cellStyle name="Normal 5 5 5 6" xfId="7530" xr:uid="{00000000-0005-0000-0000-0000B7730000}"/>
    <cellStyle name="Normal 5 5 5 6 2" xfId="19756" xr:uid="{00000000-0005-0000-0000-0000B8730000}"/>
    <cellStyle name="Normal 5 5 5 6 2 2" xfId="45309" xr:uid="{00000000-0005-0000-0000-0000B9730000}"/>
    <cellStyle name="Normal 5 5 5 6 3" xfId="33087" xr:uid="{00000000-0005-0000-0000-0000BA730000}"/>
    <cellStyle name="Normal 5 5 5 7" xfId="16267" xr:uid="{00000000-0005-0000-0000-0000BB730000}"/>
    <cellStyle name="Normal 5 5 5 7 2" xfId="41820" xr:uid="{00000000-0005-0000-0000-0000BC730000}"/>
    <cellStyle name="Normal 5 5 5 8" xfId="26239" xr:uid="{00000000-0005-0000-0000-0000BD730000}"/>
    <cellStyle name="Normal 5 5 6" xfId="815" xr:uid="{00000000-0005-0000-0000-0000BE730000}"/>
    <cellStyle name="Normal 5 5 6 2" xfId="3300" xr:uid="{00000000-0005-0000-0000-0000BF730000}"/>
    <cellStyle name="Normal 5 5 6 2 2" xfId="12442" xr:uid="{00000000-0005-0000-0000-0000C0730000}"/>
    <cellStyle name="Normal 5 5 6 2 2 2" xfId="22661" xr:uid="{00000000-0005-0000-0000-0000C1730000}"/>
    <cellStyle name="Normal 5 5 6 2 2 2 2" xfId="48214" xr:uid="{00000000-0005-0000-0000-0000C2730000}"/>
    <cellStyle name="Normal 5 5 6 2 2 3" xfId="37997" xr:uid="{00000000-0005-0000-0000-0000C3730000}"/>
    <cellStyle name="Normal 5 5 6 2 3" xfId="8864" xr:uid="{00000000-0005-0000-0000-0000C4730000}"/>
    <cellStyle name="Normal 5 5 6 2 3 2" xfId="34421" xr:uid="{00000000-0005-0000-0000-0000C5730000}"/>
    <cellStyle name="Normal 5 5 6 2 4" xfId="17654" xr:uid="{00000000-0005-0000-0000-0000C6730000}"/>
    <cellStyle name="Normal 5 5 6 2 4 2" xfId="43207" xr:uid="{00000000-0005-0000-0000-0000C7730000}"/>
    <cellStyle name="Normal 5 5 6 2 5" xfId="29144" xr:uid="{00000000-0005-0000-0000-0000C8730000}"/>
    <cellStyle name="Normal 5 5 6 3" xfId="4978" xr:uid="{00000000-0005-0000-0000-0000C9730000}"/>
    <cellStyle name="Normal 5 5 6 3 2" xfId="13815" xr:uid="{00000000-0005-0000-0000-0000CA730000}"/>
    <cellStyle name="Normal 5 5 6 3 2 2" xfId="24066" xr:uid="{00000000-0005-0000-0000-0000CB730000}"/>
    <cellStyle name="Normal 5 5 6 3 2 2 2" xfId="49619" xr:uid="{00000000-0005-0000-0000-0000CC730000}"/>
    <cellStyle name="Normal 5 5 6 3 2 3" xfId="39370" xr:uid="{00000000-0005-0000-0000-0000CD730000}"/>
    <cellStyle name="Normal 5 5 6 3 3" xfId="10236" xr:uid="{00000000-0005-0000-0000-0000CE730000}"/>
    <cellStyle name="Normal 5 5 6 3 3 2" xfId="35793" xr:uid="{00000000-0005-0000-0000-0000CF730000}"/>
    <cellStyle name="Normal 5 5 6 3 4" xfId="19059" xr:uid="{00000000-0005-0000-0000-0000D0730000}"/>
    <cellStyle name="Normal 5 5 6 3 4 2" xfId="44612" xr:uid="{00000000-0005-0000-0000-0000D1730000}"/>
    <cellStyle name="Normal 5 5 6 3 5" xfId="30549" xr:uid="{00000000-0005-0000-0000-0000D2730000}"/>
    <cellStyle name="Normal 5 5 6 4" xfId="2409" xr:uid="{00000000-0005-0000-0000-0000D3730000}"/>
    <cellStyle name="Normal 5 5 6 4 2" xfId="11774" xr:uid="{00000000-0005-0000-0000-0000D4730000}"/>
    <cellStyle name="Normal 5 5 6 4 2 2" xfId="37329" xr:uid="{00000000-0005-0000-0000-0000D5730000}"/>
    <cellStyle name="Normal 5 5 6 4 3" xfId="21778" xr:uid="{00000000-0005-0000-0000-0000D6730000}"/>
    <cellStyle name="Normal 5 5 6 4 3 2" xfId="47331" xr:uid="{00000000-0005-0000-0000-0000D7730000}"/>
    <cellStyle name="Normal 5 5 6 4 4" xfId="28261" xr:uid="{00000000-0005-0000-0000-0000D8730000}"/>
    <cellStyle name="Normal 5 5 6 5" xfId="6433" xr:uid="{00000000-0005-0000-0000-0000D9730000}"/>
    <cellStyle name="Normal 5 5 6 5 2" xfId="15260" xr:uid="{00000000-0005-0000-0000-0000DA730000}"/>
    <cellStyle name="Normal 5 5 6 5 2 2" xfId="40815" xr:uid="{00000000-0005-0000-0000-0000DB730000}"/>
    <cellStyle name="Normal 5 5 6 5 3" xfId="25511" xr:uid="{00000000-0005-0000-0000-0000DC730000}"/>
    <cellStyle name="Normal 5 5 6 5 3 2" xfId="51064" xr:uid="{00000000-0005-0000-0000-0000DD730000}"/>
    <cellStyle name="Normal 5 5 6 5 4" xfId="31994" xr:uid="{00000000-0005-0000-0000-0000DE730000}"/>
    <cellStyle name="Normal 5 5 6 6" xfId="7879" xr:uid="{00000000-0005-0000-0000-0000DF730000}"/>
    <cellStyle name="Normal 5 5 6 6 2" xfId="20260" xr:uid="{00000000-0005-0000-0000-0000E0730000}"/>
    <cellStyle name="Normal 5 5 6 6 2 2" xfId="45813" xr:uid="{00000000-0005-0000-0000-0000E1730000}"/>
    <cellStyle name="Normal 5 5 6 6 3" xfId="33436" xr:uid="{00000000-0005-0000-0000-0000E2730000}"/>
    <cellStyle name="Normal 5 5 6 7" xfId="16771" xr:uid="{00000000-0005-0000-0000-0000E3730000}"/>
    <cellStyle name="Normal 5 5 6 7 2" xfId="42324" xr:uid="{00000000-0005-0000-0000-0000E4730000}"/>
    <cellStyle name="Normal 5 5 6 8" xfId="26743" xr:uid="{00000000-0005-0000-0000-0000E5730000}"/>
    <cellStyle name="Normal 5 5 7" xfId="1082" xr:uid="{00000000-0005-0000-0000-0000E6730000}"/>
    <cellStyle name="Normal 5 5 7 2" xfId="3511" xr:uid="{00000000-0005-0000-0000-0000E7730000}"/>
    <cellStyle name="Normal 5 5 7 2 2" xfId="12647" xr:uid="{00000000-0005-0000-0000-0000E8730000}"/>
    <cellStyle name="Normal 5 5 7 2 2 2" xfId="22866" xr:uid="{00000000-0005-0000-0000-0000E9730000}"/>
    <cellStyle name="Normal 5 5 7 2 2 2 2" xfId="48419" xr:uid="{00000000-0005-0000-0000-0000EA730000}"/>
    <cellStyle name="Normal 5 5 7 2 2 3" xfId="38202" xr:uid="{00000000-0005-0000-0000-0000EB730000}"/>
    <cellStyle name="Normal 5 5 7 2 3" xfId="9069" xr:uid="{00000000-0005-0000-0000-0000EC730000}"/>
    <cellStyle name="Normal 5 5 7 2 3 2" xfId="34626" xr:uid="{00000000-0005-0000-0000-0000ED730000}"/>
    <cellStyle name="Normal 5 5 7 2 4" xfId="17859" xr:uid="{00000000-0005-0000-0000-0000EE730000}"/>
    <cellStyle name="Normal 5 5 7 2 4 2" xfId="43412" xr:uid="{00000000-0005-0000-0000-0000EF730000}"/>
    <cellStyle name="Normal 5 5 7 2 5" xfId="29349" xr:uid="{00000000-0005-0000-0000-0000F0730000}"/>
    <cellStyle name="Normal 5 5 7 3" xfId="5174" xr:uid="{00000000-0005-0000-0000-0000F1730000}"/>
    <cellStyle name="Normal 5 5 7 3 2" xfId="14011" xr:uid="{00000000-0005-0000-0000-0000F2730000}"/>
    <cellStyle name="Normal 5 5 7 3 2 2" xfId="24262" xr:uid="{00000000-0005-0000-0000-0000F3730000}"/>
    <cellStyle name="Normal 5 5 7 3 2 2 2" xfId="49815" xr:uid="{00000000-0005-0000-0000-0000F4730000}"/>
    <cellStyle name="Normal 5 5 7 3 2 3" xfId="39566" xr:uid="{00000000-0005-0000-0000-0000F5730000}"/>
    <cellStyle name="Normal 5 5 7 3 3" xfId="10432" xr:uid="{00000000-0005-0000-0000-0000F6730000}"/>
    <cellStyle name="Normal 5 5 7 3 3 2" xfId="35989" xr:uid="{00000000-0005-0000-0000-0000F7730000}"/>
    <cellStyle name="Normal 5 5 7 3 4" xfId="19255" xr:uid="{00000000-0005-0000-0000-0000F8730000}"/>
    <cellStyle name="Normal 5 5 7 3 4 2" xfId="44808" xr:uid="{00000000-0005-0000-0000-0000F9730000}"/>
    <cellStyle name="Normal 5 5 7 3 5" xfId="30745" xr:uid="{00000000-0005-0000-0000-0000FA730000}"/>
    <cellStyle name="Normal 5 5 7 4" xfId="1740" xr:uid="{00000000-0005-0000-0000-0000FB730000}"/>
    <cellStyle name="Normal 5 5 7 4 2" xfId="11111" xr:uid="{00000000-0005-0000-0000-0000FC730000}"/>
    <cellStyle name="Normal 5 5 7 4 2 2" xfId="36666" xr:uid="{00000000-0005-0000-0000-0000FD730000}"/>
    <cellStyle name="Normal 5 5 7 4 3" xfId="21115" xr:uid="{00000000-0005-0000-0000-0000FE730000}"/>
    <cellStyle name="Normal 5 5 7 4 3 2" xfId="46668" xr:uid="{00000000-0005-0000-0000-0000FF730000}"/>
    <cellStyle name="Normal 5 5 7 4 4" xfId="27598" xr:uid="{00000000-0005-0000-0000-000000740000}"/>
    <cellStyle name="Normal 5 5 7 5" xfId="6629" xr:uid="{00000000-0005-0000-0000-000001740000}"/>
    <cellStyle name="Normal 5 5 7 5 2" xfId="15456" xr:uid="{00000000-0005-0000-0000-000002740000}"/>
    <cellStyle name="Normal 5 5 7 5 2 2" xfId="41011" xr:uid="{00000000-0005-0000-0000-000003740000}"/>
    <cellStyle name="Normal 5 5 7 5 3" xfId="25707" xr:uid="{00000000-0005-0000-0000-000004740000}"/>
    <cellStyle name="Normal 5 5 7 5 3 2" xfId="51260" xr:uid="{00000000-0005-0000-0000-000005740000}"/>
    <cellStyle name="Normal 5 5 7 5 4" xfId="32190" xr:uid="{00000000-0005-0000-0000-000006740000}"/>
    <cellStyle name="Normal 5 5 7 6" xfId="8075" xr:uid="{00000000-0005-0000-0000-000007740000}"/>
    <cellStyle name="Normal 5 5 7 6 2" xfId="20465" xr:uid="{00000000-0005-0000-0000-000008740000}"/>
    <cellStyle name="Normal 5 5 7 6 2 2" xfId="46018" xr:uid="{00000000-0005-0000-0000-000009740000}"/>
    <cellStyle name="Normal 5 5 7 6 3" xfId="33632" xr:uid="{00000000-0005-0000-0000-00000A740000}"/>
    <cellStyle name="Normal 5 5 7 7" xfId="16108" xr:uid="{00000000-0005-0000-0000-00000B740000}"/>
    <cellStyle name="Normal 5 5 7 7 2" xfId="41661" xr:uid="{00000000-0005-0000-0000-00000C740000}"/>
    <cellStyle name="Normal 5 5 7 8" xfId="26948" xr:uid="{00000000-0005-0000-0000-00000D740000}"/>
    <cellStyle name="Normal 5 5 8" xfId="2638" xr:uid="{00000000-0005-0000-0000-00000E740000}"/>
    <cellStyle name="Normal 5 5 8 2" xfId="5586" xr:uid="{00000000-0005-0000-0000-00000F740000}"/>
    <cellStyle name="Normal 5 5 8 2 2" xfId="14413" xr:uid="{00000000-0005-0000-0000-000010740000}"/>
    <cellStyle name="Normal 5 5 8 2 2 2" xfId="39968" xr:uid="{00000000-0005-0000-0000-000011740000}"/>
    <cellStyle name="Normal 5 5 8 2 3" xfId="24664" xr:uid="{00000000-0005-0000-0000-000012740000}"/>
    <cellStyle name="Normal 5 5 8 2 3 2" xfId="50217" xr:uid="{00000000-0005-0000-0000-000013740000}"/>
    <cellStyle name="Normal 5 5 8 2 4" xfId="31147" xr:uid="{00000000-0005-0000-0000-000014740000}"/>
    <cellStyle name="Normal 5 5 8 3" xfId="7030" xr:uid="{00000000-0005-0000-0000-000015740000}"/>
    <cellStyle name="Normal 5 5 8 3 2" xfId="21999" xr:uid="{00000000-0005-0000-0000-000016740000}"/>
    <cellStyle name="Normal 5 5 8 3 2 2" xfId="47552" xr:uid="{00000000-0005-0000-0000-000017740000}"/>
    <cellStyle name="Normal 5 5 8 3 3" xfId="32587" xr:uid="{00000000-0005-0000-0000-000018740000}"/>
    <cellStyle name="Normal 5 5 8 4" xfId="16992" xr:uid="{00000000-0005-0000-0000-000019740000}"/>
    <cellStyle name="Normal 5 5 8 4 2" xfId="42545" xr:uid="{00000000-0005-0000-0000-00001A740000}"/>
    <cellStyle name="Normal 5 5 8 5" xfId="28482" xr:uid="{00000000-0005-0000-0000-00001B740000}"/>
    <cellStyle name="Normal 5 5 9" xfId="4128" xr:uid="{00000000-0005-0000-0000-00001C740000}"/>
    <cellStyle name="Normal 5 5 9 2" xfId="12966" xr:uid="{00000000-0005-0000-0000-00001D740000}"/>
    <cellStyle name="Normal 5 5 9 2 2" xfId="23217" xr:uid="{00000000-0005-0000-0000-00001E740000}"/>
    <cellStyle name="Normal 5 5 9 2 2 2" xfId="48770" xr:uid="{00000000-0005-0000-0000-00001F740000}"/>
    <cellStyle name="Normal 5 5 9 2 3" xfId="38521" xr:uid="{00000000-0005-0000-0000-000020740000}"/>
    <cellStyle name="Normal 5 5 9 3" xfId="9387" xr:uid="{00000000-0005-0000-0000-000021740000}"/>
    <cellStyle name="Normal 5 5 9 3 2" xfId="34944" xr:uid="{00000000-0005-0000-0000-000022740000}"/>
    <cellStyle name="Normal 5 5 9 4" xfId="18210" xr:uid="{00000000-0005-0000-0000-000023740000}"/>
    <cellStyle name="Normal 5 5 9 4 2" xfId="43763" xr:uid="{00000000-0005-0000-0000-000024740000}"/>
    <cellStyle name="Normal 5 5 9 5" xfId="29700" xr:uid="{00000000-0005-0000-0000-000025740000}"/>
    <cellStyle name="Normal 5 5_Degree data" xfId="3824" xr:uid="{00000000-0005-0000-0000-000026740000}"/>
    <cellStyle name="Normal 5 6" xfId="175" xr:uid="{00000000-0005-0000-0000-000027740000}"/>
    <cellStyle name="Normal 5 6 10" xfId="7123" xr:uid="{00000000-0005-0000-0000-000028740000}"/>
    <cellStyle name="Normal 5 6 10 2" xfId="19632" xr:uid="{00000000-0005-0000-0000-000029740000}"/>
    <cellStyle name="Normal 5 6 10 2 2" xfId="45185" xr:uid="{00000000-0005-0000-0000-00002A740000}"/>
    <cellStyle name="Normal 5 6 10 3" xfId="32680" xr:uid="{00000000-0005-0000-0000-00002B740000}"/>
    <cellStyle name="Normal 5 6 11" xfId="15869" xr:uid="{00000000-0005-0000-0000-00002C740000}"/>
    <cellStyle name="Normal 5 6 11 2" xfId="41422" xr:uid="{00000000-0005-0000-0000-00002D740000}"/>
    <cellStyle name="Normal 5 6 12" xfId="26115" xr:uid="{00000000-0005-0000-0000-00002E740000}"/>
    <cellStyle name="Normal 5 6 2" xfId="503" xr:uid="{00000000-0005-0000-0000-00002F740000}"/>
    <cellStyle name="Normal 5 6 2 10" xfId="26432" xr:uid="{00000000-0005-0000-0000-000030740000}"/>
    <cellStyle name="Normal 5 6 2 2" xfId="822" xr:uid="{00000000-0005-0000-0000-000031740000}"/>
    <cellStyle name="Normal 5 6 2 2 2" xfId="3307" xr:uid="{00000000-0005-0000-0000-000032740000}"/>
    <cellStyle name="Normal 5 6 2 2 2 2" xfId="12449" xr:uid="{00000000-0005-0000-0000-000033740000}"/>
    <cellStyle name="Normal 5 6 2 2 2 2 2" xfId="22668" xr:uid="{00000000-0005-0000-0000-000034740000}"/>
    <cellStyle name="Normal 5 6 2 2 2 2 2 2" xfId="48221" xr:uid="{00000000-0005-0000-0000-000035740000}"/>
    <cellStyle name="Normal 5 6 2 2 2 2 3" xfId="38004" xr:uid="{00000000-0005-0000-0000-000036740000}"/>
    <cellStyle name="Normal 5 6 2 2 2 3" xfId="8871" xr:uid="{00000000-0005-0000-0000-000037740000}"/>
    <cellStyle name="Normal 5 6 2 2 2 3 2" xfId="34428" xr:uid="{00000000-0005-0000-0000-000038740000}"/>
    <cellStyle name="Normal 5 6 2 2 2 4" xfId="17661" xr:uid="{00000000-0005-0000-0000-000039740000}"/>
    <cellStyle name="Normal 5 6 2 2 2 4 2" xfId="43214" xr:uid="{00000000-0005-0000-0000-00003A740000}"/>
    <cellStyle name="Normal 5 6 2 2 2 5" xfId="29151" xr:uid="{00000000-0005-0000-0000-00003B740000}"/>
    <cellStyle name="Normal 5 6 2 2 3" xfId="4636" xr:uid="{00000000-0005-0000-0000-00003C740000}"/>
    <cellStyle name="Normal 5 6 2 2 3 2" xfId="13474" xr:uid="{00000000-0005-0000-0000-00003D740000}"/>
    <cellStyle name="Normal 5 6 2 2 3 2 2" xfId="23725" xr:uid="{00000000-0005-0000-0000-00003E740000}"/>
    <cellStyle name="Normal 5 6 2 2 3 2 2 2" xfId="49278" xr:uid="{00000000-0005-0000-0000-00003F740000}"/>
    <cellStyle name="Normal 5 6 2 2 3 2 3" xfId="39029" xr:uid="{00000000-0005-0000-0000-000040740000}"/>
    <cellStyle name="Normal 5 6 2 2 3 3" xfId="9895" xr:uid="{00000000-0005-0000-0000-000041740000}"/>
    <cellStyle name="Normal 5 6 2 2 3 3 2" xfId="35452" xr:uid="{00000000-0005-0000-0000-000042740000}"/>
    <cellStyle name="Normal 5 6 2 2 3 4" xfId="18718" xr:uid="{00000000-0005-0000-0000-000043740000}"/>
    <cellStyle name="Normal 5 6 2 2 3 4 2" xfId="44271" xr:uid="{00000000-0005-0000-0000-000044740000}"/>
    <cellStyle name="Normal 5 6 2 2 3 5" xfId="30208" xr:uid="{00000000-0005-0000-0000-000045740000}"/>
    <cellStyle name="Normal 5 6 2 2 4" xfId="2416" xr:uid="{00000000-0005-0000-0000-000046740000}"/>
    <cellStyle name="Normal 5 6 2 2 4 2" xfId="11781" xr:uid="{00000000-0005-0000-0000-000047740000}"/>
    <cellStyle name="Normal 5 6 2 2 4 2 2" xfId="37336" xr:uid="{00000000-0005-0000-0000-000048740000}"/>
    <cellStyle name="Normal 5 6 2 2 4 3" xfId="21785" xr:uid="{00000000-0005-0000-0000-000049740000}"/>
    <cellStyle name="Normal 5 6 2 2 4 3 2" xfId="47338" xr:uid="{00000000-0005-0000-0000-00004A740000}"/>
    <cellStyle name="Normal 5 6 2 2 4 4" xfId="28268" xr:uid="{00000000-0005-0000-0000-00004B740000}"/>
    <cellStyle name="Normal 5 6 2 2 5" xfId="6092" xr:uid="{00000000-0005-0000-0000-00004C740000}"/>
    <cellStyle name="Normal 5 6 2 2 5 2" xfId="14919" xr:uid="{00000000-0005-0000-0000-00004D740000}"/>
    <cellStyle name="Normal 5 6 2 2 5 2 2" xfId="40474" xr:uid="{00000000-0005-0000-0000-00004E740000}"/>
    <cellStyle name="Normal 5 6 2 2 5 3" xfId="25170" xr:uid="{00000000-0005-0000-0000-00004F740000}"/>
    <cellStyle name="Normal 5 6 2 2 5 3 2" xfId="50723" xr:uid="{00000000-0005-0000-0000-000050740000}"/>
    <cellStyle name="Normal 5 6 2 2 5 4" xfId="31653" xr:uid="{00000000-0005-0000-0000-000051740000}"/>
    <cellStyle name="Normal 5 6 2 2 6" xfId="7537" xr:uid="{00000000-0005-0000-0000-000052740000}"/>
    <cellStyle name="Normal 5 6 2 2 6 2" xfId="20267" xr:uid="{00000000-0005-0000-0000-000053740000}"/>
    <cellStyle name="Normal 5 6 2 2 6 2 2" xfId="45820" xr:uid="{00000000-0005-0000-0000-000054740000}"/>
    <cellStyle name="Normal 5 6 2 2 6 3" xfId="33094" xr:uid="{00000000-0005-0000-0000-000055740000}"/>
    <cellStyle name="Normal 5 6 2 2 7" xfId="16778" xr:uid="{00000000-0005-0000-0000-000056740000}"/>
    <cellStyle name="Normal 5 6 2 2 7 2" xfId="42331" xr:uid="{00000000-0005-0000-0000-000057740000}"/>
    <cellStyle name="Normal 5 6 2 2 8" xfId="26750" xr:uid="{00000000-0005-0000-0000-000058740000}"/>
    <cellStyle name="Normal 5 6 2 3" xfId="1275" xr:uid="{00000000-0005-0000-0000-000059740000}"/>
    <cellStyle name="Normal 5 6 2 3 2" xfId="3704" xr:uid="{00000000-0005-0000-0000-00005A740000}"/>
    <cellStyle name="Normal 5 6 2 3 2 2" xfId="12840" xr:uid="{00000000-0005-0000-0000-00005B740000}"/>
    <cellStyle name="Normal 5 6 2 3 2 2 2" xfId="23059" xr:uid="{00000000-0005-0000-0000-00005C740000}"/>
    <cellStyle name="Normal 5 6 2 3 2 2 2 2" xfId="48612" xr:uid="{00000000-0005-0000-0000-00005D740000}"/>
    <cellStyle name="Normal 5 6 2 3 2 2 3" xfId="38395" xr:uid="{00000000-0005-0000-0000-00005E740000}"/>
    <cellStyle name="Normal 5 6 2 3 2 3" xfId="9261" xr:uid="{00000000-0005-0000-0000-00005F740000}"/>
    <cellStyle name="Normal 5 6 2 3 2 3 2" xfId="34818" xr:uid="{00000000-0005-0000-0000-000060740000}"/>
    <cellStyle name="Normal 5 6 2 3 2 4" xfId="18052" xr:uid="{00000000-0005-0000-0000-000061740000}"/>
    <cellStyle name="Normal 5 6 2 3 2 4 2" xfId="43605" xr:uid="{00000000-0005-0000-0000-000062740000}"/>
    <cellStyle name="Normal 5 6 2 3 2 5" xfId="29542" xr:uid="{00000000-0005-0000-0000-000063740000}"/>
    <cellStyle name="Normal 5 6 2 3 3" xfId="4985" xr:uid="{00000000-0005-0000-0000-000064740000}"/>
    <cellStyle name="Normal 5 6 2 3 3 2" xfId="13822" xr:uid="{00000000-0005-0000-0000-000065740000}"/>
    <cellStyle name="Normal 5 6 2 3 3 2 2" xfId="24073" xr:uid="{00000000-0005-0000-0000-000066740000}"/>
    <cellStyle name="Normal 5 6 2 3 3 2 2 2" xfId="49626" xr:uid="{00000000-0005-0000-0000-000067740000}"/>
    <cellStyle name="Normal 5 6 2 3 3 2 3" xfId="39377" xr:uid="{00000000-0005-0000-0000-000068740000}"/>
    <cellStyle name="Normal 5 6 2 3 3 3" xfId="10243" xr:uid="{00000000-0005-0000-0000-000069740000}"/>
    <cellStyle name="Normal 5 6 2 3 3 3 2" xfId="35800" xr:uid="{00000000-0005-0000-0000-00006A740000}"/>
    <cellStyle name="Normal 5 6 2 3 3 4" xfId="19066" xr:uid="{00000000-0005-0000-0000-00006B740000}"/>
    <cellStyle name="Normal 5 6 2 3 3 4 2" xfId="44619" xr:uid="{00000000-0005-0000-0000-00006C740000}"/>
    <cellStyle name="Normal 5 6 2 3 3 5" xfId="30556" xr:uid="{00000000-0005-0000-0000-00006D740000}"/>
    <cellStyle name="Normal 5 6 2 3 4" xfId="2098" xr:uid="{00000000-0005-0000-0000-00006E740000}"/>
    <cellStyle name="Normal 5 6 2 3 4 2" xfId="11463" xr:uid="{00000000-0005-0000-0000-00006F740000}"/>
    <cellStyle name="Normal 5 6 2 3 4 2 2" xfId="37018" xr:uid="{00000000-0005-0000-0000-000070740000}"/>
    <cellStyle name="Normal 5 6 2 3 4 3" xfId="21467" xr:uid="{00000000-0005-0000-0000-000071740000}"/>
    <cellStyle name="Normal 5 6 2 3 4 3 2" xfId="47020" xr:uid="{00000000-0005-0000-0000-000072740000}"/>
    <cellStyle name="Normal 5 6 2 3 4 4" xfId="27950" xr:uid="{00000000-0005-0000-0000-000073740000}"/>
    <cellStyle name="Normal 5 6 2 3 5" xfId="6440" xr:uid="{00000000-0005-0000-0000-000074740000}"/>
    <cellStyle name="Normal 5 6 2 3 5 2" xfId="15267" xr:uid="{00000000-0005-0000-0000-000075740000}"/>
    <cellStyle name="Normal 5 6 2 3 5 2 2" xfId="40822" xr:uid="{00000000-0005-0000-0000-000076740000}"/>
    <cellStyle name="Normal 5 6 2 3 5 3" xfId="25518" xr:uid="{00000000-0005-0000-0000-000077740000}"/>
    <cellStyle name="Normal 5 6 2 3 5 3 2" xfId="51071" xr:uid="{00000000-0005-0000-0000-000078740000}"/>
    <cellStyle name="Normal 5 6 2 3 5 4" xfId="32001" xr:uid="{00000000-0005-0000-0000-000079740000}"/>
    <cellStyle name="Normal 5 6 2 3 6" xfId="7886" xr:uid="{00000000-0005-0000-0000-00007A740000}"/>
    <cellStyle name="Normal 5 6 2 3 6 2" xfId="20658" xr:uid="{00000000-0005-0000-0000-00007B740000}"/>
    <cellStyle name="Normal 5 6 2 3 6 2 2" xfId="46211" xr:uid="{00000000-0005-0000-0000-00007C740000}"/>
    <cellStyle name="Normal 5 6 2 3 6 3" xfId="33443" xr:uid="{00000000-0005-0000-0000-00007D740000}"/>
    <cellStyle name="Normal 5 6 2 3 7" xfId="16460" xr:uid="{00000000-0005-0000-0000-00007E740000}"/>
    <cellStyle name="Normal 5 6 2 3 7 2" xfId="42013" xr:uid="{00000000-0005-0000-0000-00007F740000}"/>
    <cellStyle name="Normal 5 6 2 3 8" xfId="27141" xr:uid="{00000000-0005-0000-0000-000080740000}"/>
    <cellStyle name="Normal 5 6 2 4" xfId="2989" xr:uid="{00000000-0005-0000-0000-000081740000}"/>
    <cellStyle name="Normal 5 6 2 4 2" xfId="5367" xr:uid="{00000000-0005-0000-0000-000082740000}"/>
    <cellStyle name="Normal 5 6 2 4 2 2" xfId="14204" xr:uid="{00000000-0005-0000-0000-000083740000}"/>
    <cellStyle name="Normal 5 6 2 4 2 2 2" xfId="24455" xr:uid="{00000000-0005-0000-0000-000084740000}"/>
    <cellStyle name="Normal 5 6 2 4 2 2 2 2" xfId="50008" xr:uid="{00000000-0005-0000-0000-000085740000}"/>
    <cellStyle name="Normal 5 6 2 4 2 2 3" xfId="39759" xr:uid="{00000000-0005-0000-0000-000086740000}"/>
    <cellStyle name="Normal 5 6 2 4 2 3" xfId="10625" xr:uid="{00000000-0005-0000-0000-000087740000}"/>
    <cellStyle name="Normal 5 6 2 4 2 3 2" xfId="36182" xr:uid="{00000000-0005-0000-0000-000088740000}"/>
    <cellStyle name="Normal 5 6 2 4 2 4" xfId="19448" xr:uid="{00000000-0005-0000-0000-000089740000}"/>
    <cellStyle name="Normal 5 6 2 4 2 4 2" xfId="45001" xr:uid="{00000000-0005-0000-0000-00008A740000}"/>
    <cellStyle name="Normal 5 6 2 4 2 5" xfId="30938" xr:uid="{00000000-0005-0000-0000-00008B740000}"/>
    <cellStyle name="Normal 5 6 2 4 3" xfId="6822" xr:uid="{00000000-0005-0000-0000-00008C740000}"/>
    <cellStyle name="Normal 5 6 2 4 3 2" xfId="15649" xr:uid="{00000000-0005-0000-0000-00008D740000}"/>
    <cellStyle name="Normal 5 6 2 4 3 2 2" xfId="41204" xr:uid="{00000000-0005-0000-0000-00008E740000}"/>
    <cellStyle name="Normal 5 6 2 4 3 3" xfId="25900" xr:uid="{00000000-0005-0000-0000-00008F740000}"/>
    <cellStyle name="Normal 5 6 2 4 3 3 2" xfId="51453" xr:uid="{00000000-0005-0000-0000-000090740000}"/>
    <cellStyle name="Normal 5 6 2 4 3 4" xfId="32383" xr:uid="{00000000-0005-0000-0000-000091740000}"/>
    <cellStyle name="Normal 5 6 2 4 4" xfId="8268" xr:uid="{00000000-0005-0000-0000-000092740000}"/>
    <cellStyle name="Normal 5 6 2 4 4 2" xfId="22350" xr:uid="{00000000-0005-0000-0000-000093740000}"/>
    <cellStyle name="Normal 5 6 2 4 4 2 2" xfId="47903" xr:uid="{00000000-0005-0000-0000-000094740000}"/>
    <cellStyle name="Normal 5 6 2 4 4 3" xfId="33825" xr:uid="{00000000-0005-0000-0000-000095740000}"/>
    <cellStyle name="Normal 5 6 2 4 5" xfId="17343" xr:uid="{00000000-0005-0000-0000-000096740000}"/>
    <cellStyle name="Normal 5 6 2 4 5 2" xfId="42896" xr:uid="{00000000-0005-0000-0000-000097740000}"/>
    <cellStyle name="Normal 5 6 2 4 6" xfId="28833" xr:uid="{00000000-0005-0000-0000-000098740000}"/>
    <cellStyle name="Normal 5 6 2 5" xfId="4323" xr:uid="{00000000-0005-0000-0000-000099740000}"/>
    <cellStyle name="Normal 5 6 2 5 2" xfId="13161" xr:uid="{00000000-0005-0000-0000-00009A740000}"/>
    <cellStyle name="Normal 5 6 2 5 2 2" xfId="23412" xr:uid="{00000000-0005-0000-0000-00009B740000}"/>
    <cellStyle name="Normal 5 6 2 5 2 2 2" xfId="48965" xr:uid="{00000000-0005-0000-0000-00009C740000}"/>
    <cellStyle name="Normal 5 6 2 5 2 3" xfId="38716" xr:uid="{00000000-0005-0000-0000-00009D740000}"/>
    <cellStyle name="Normal 5 6 2 5 3" xfId="9582" xr:uid="{00000000-0005-0000-0000-00009E740000}"/>
    <cellStyle name="Normal 5 6 2 5 3 2" xfId="35139" xr:uid="{00000000-0005-0000-0000-00009F740000}"/>
    <cellStyle name="Normal 5 6 2 5 4" xfId="18405" xr:uid="{00000000-0005-0000-0000-0000A0740000}"/>
    <cellStyle name="Normal 5 6 2 5 4 2" xfId="43958" xr:uid="{00000000-0005-0000-0000-0000A1740000}"/>
    <cellStyle name="Normal 5 6 2 5 5" xfId="29895" xr:uid="{00000000-0005-0000-0000-0000A2740000}"/>
    <cellStyle name="Normal 5 6 2 6" xfId="1595" xr:uid="{00000000-0005-0000-0000-0000A3740000}"/>
    <cellStyle name="Normal 5 6 2 6 2" xfId="10972" xr:uid="{00000000-0005-0000-0000-0000A4740000}"/>
    <cellStyle name="Normal 5 6 2 6 2 2" xfId="36527" xr:uid="{00000000-0005-0000-0000-0000A5740000}"/>
    <cellStyle name="Normal 5 6 2 6 3" xfId="20976" xr:uid="{00000000-0005-0000-0000-0000A6740000}"/>
    <cellStyle name="Normal 5 6 2 6 3 2" xfId="46529" xr:uid="{00000000-0005-0000-0000-0000A7740000}"/>
    <cellStyle name="Normal 5 6 2 6 4" xfId="27459" xr:uid="{00000000-0005-0000-0000-0000A8740000}"/>
    <cellStyle name="Normal 5 6 2 7" xfId="5779" xr:uid="{00000000-0005-0000-0000-0000A9740000}"/>
    <cellStyle name="Normal 5 6 2 7 2" xfId="14606" xr:uid="{00000000-0005-0000-0000-0000AA740000}"/>
    <cellStyle name="Normal 5 6 2 7 2 2" xfId="40161" xr:uid="{00000000-0005-0000-0000-0000AB740000}"/>
    <cellStyle name="Normal 5 6 2 7 3" xfId="24857" xr:uid="{00000000-0005-0000-0000-0000AC740000}"/>
    <cellStyle name="Normal 5 6 2 7 3 2" xfId="50410" xr:uid="{00000000-0005-0000-0000-0000AD740000}"/>
    <cellStyle name="Normal 5 6 2 7 4" xfId="31340" xr:uid="{00000000-0005-0000-0000-0000AE740000}"/>
    <cellStyle name="Normal 5 6 2 8" xfId="7223" xr:uid="{00000000-0005-0000-0000-0000AF740000}"/>
    <cellStyle name="Normal 5 6 2 8 2" xfId="19949" xr:uid="{00000000-0005-0000-0000-0000B0740000}"/>
    <cellStyle name="Normal 5 6 2 8 2 2" xfId="45502" xr:uid="{00000000-0005-0000-0000-0000B1740000}"/>
    <cellStyle name="Normal 5 6 2 8 3" xfId="32780" xr:uid="{00000000-0005-0000-0000-0000B2740000}"/>
    <cellStyle name="Normal 5 6 2 9" xfId="15969" xr:uid="{00000000-0005-0000-0000-0000B3740000}"/>
    <cellStyle name="Normal 5 6 2 9 2" xfId="41522" xr:uid="{00000000-0005-0000-0000-0000B4740000}"/>
    <cellStyle name="Normal 5 6 2_Degree data" xfId="3860" xr:uid="{00000000-0005-0000-0000-0000B5740000}"/>
    <cellStyle name="Normal 5 6 3" xfId="403" xr:uid="{00000000-0005-0000-0000-0000B6740000}"/>
    <cellStyle name="Normal 5 6 3 2" xfId="2889" xr:uid="{00000000-0005-0000-0000-0000B7740000}"/>
    <cellStyle name="Normal 5 6 3 2 2" xfId="12177" xr:uid="{00000000-0005-0000-0000-0000B8740000}"/>
    <cellStyle name="Normal 5 6 3 2 2 2" xfId="22250" xr:uid="{00000000-0005-0000-0000-0000B9740000}"/>
    <cellStyle name="Normal 5 6 3 2 2 2 2" xfId="47803" xr:uid="{00000000-0005-0000-0000-0000BA740000}"/>
    <cellStyle name="Normal 5 6 3 2 2 3" xfId="37732" xr:uid="{00000000-0005-0000-0000-0000BB740000}"/>
    <cellStyle name="Normal 5 6 3 2 3" xfId="8453" xr:uid="{00000000-0005-0000-0000-0000BC740000}"/>
    <cellStyle name="Normal 5 6 3 2 3 2" xfId="34010" xr:uid="{00000000-0005-0000-0000-0000BD740000}"/>
    <cellStyle name="Normal 5 6 3 2 4" xfId="17243" xr:uid="{00000000-0005-0000-0000-0000BE740000}"/>
    <cellStyle name="Normal 5 6 3 2 4 2" xfId="42796" xr:uid="{00000000-0005-0000-0000-0000BF740000}"/>
    <cellStyle name="Normal 5 6 3 2 5" xfId="28733" xr:uid="{00000000-0005-0000-0000-0000C0740000}"/>
    <cellStyle name="Normal 5 6 3 3" xfId="4635" xr:uid="{00000000-0005-0000-0000-0000C1740000}"/>
    <cellStyle name="Normal 5 6 3 3 2" xfId="13473" xr:uid="{00000000-0005-0000-0000-0000C2740000}"/>
    <cellStyle name="Normal 5 6 3 3 2 2" xfId="23724" xr:uid="{00000000-0005-0000-0000-0000C3740000}"/>
    <cellStyle name="Normal 5 6 3 3 2 2 2" xfId="49277" xr:uid="{00000000-0005-0000-0000-0000C4740000}"/>
    <cellStyle name="Normal 5 6 3 3 2 3" xfId="39028" xr:uid="{00000000-0005-0000-0000-0000C5740000}"/>
    <cellStyle name="Normal 5 6 3 3 3" xfId="9894" xr:uid="{00000000-0005-0000-0000-0000C6740000}"/>
    <cellStyle name="Normal 5 6 3 3 3 2" xfId="35451" xr:uid="{00000000-0005-0000-0000-0000C7740000}"/>
    <cellStyle name="Normal 5 6 3 3 4" xfId="18717" xr:uid="{00000000-0005-0000-0000-0000C8740000}"/>
    <cellStyle name="Normal 5 6 3 3 4 2" xfId="44270" xr:uid="{00000000-0005-0000-0000-0000C9740000}"/>
    <cellStyle name="Normal 5 6 3 3 5" xfId="30207" xr:uid="{00000000-0005-0000-0000-0000CA740000}"/>
    <cellStyle name="Normal 5 6 3 4" xfId="1998" xr:uid="{00000000-0005-0000-0000-0000CB740000}"/>
    <cellStyle name="Normal 5 6 3 4 2" xfId="11363" xr:uid="{00000000-0005-0000-0000-0000CC740000}"/>
    <cellStyle name="Normal 5 6 3 4 2 2" xfId="36918" xr:uid="{00000000-0005-0000-0000-0000CD740000}"/>
    <cellStyle name="Normal 5 6 3 4 3" xfId="21367" xr:uid="{00000000-0005-0000-0000-0000CE740000}"/>
    <cellStyle name="Normal 5 6 3 4 3 2" xfId="46920" xr:uid="{00000000-0005-0000-0000-0000CF740000}"/>
    <cellStyle name="Normal 5 6 3 4 4" xfId="27850" xr:uid="{00000000-0005-0000-0000-0000D0740000}"/>
    <cellStyle name="Normal 5 6 3 5" xfId="6091" xr:uid="{00000000-0005-0000-0000-0000D1740000}"/>
    <cellStyle name="Normal 5 6 3 5 2" xfId="14918" xr:uid="{00000000-0005-0000-0000-0000D2740000}"/>
    <cellStyle name="Normal 5 6 3 5 2 2" xfId="40473" xr:uid="{00000000-0005-0000-0000-0000D3740000}"/>
    <cellStyle name="Normal 5 6 3 5 3" xfId="25169" xr:uid="{00000000-0005-0000-0000-0000D4740000}"/>
    <cellStyle name="Normal 5 6 3 5 3 2" xfId="50722" xr:uid="{00000000-0005-0000-0000-0000D5740000}"/>
    <cellStyle name="Normal 5 6 3 5 4" xfId="31652" xr:uid="{00000000-0005-0000-0000-0000D6740000}"/>
    <cellStyle name="Normal 5 6 3 6" xfId="7536" xr:uid="{00000000-0005-0000-0000-0000D7740000}"/>
    <cellStyle name="Normal 5 6 3 6 2" xfId="19849" xr:uid="{00000000-0005-0000-0000-0000D8740000}"/>
    <cellStyle name="Normal 5 6 3 6 2 2" xfId="45402" xr:uid="{00000000-0005-0000-0000-0000D9740000}"/>
    <cellStyle name="Normal 5 6 3 6 3" xfId="33093" xr:uid="{00000000-0005-0000-0000-0000DA740000}"/>
    <cellStyle name="Normal 5 6 3 7" xfId="16360" xr:uid="{00000000-0005-0000-0000-0000DB740000}"/>
    <cellStyle name="Normal 5 6 3 7 2" xfId="41913" xr:uid="{00000000-0005-0000-0000-0000DC740000}"/>
    <cellStyle name="Normal 5 6 3 8" xfId="26332" xr:uid="{00000000-0005-0000-0000-0000DD740000}"/>
    <cellStyle name="Normal 5 6 4" xfId="821" xr:uid="{00000000-0005-0000-0000-0000DE740000}"/>
    <cellStyle name="Normal 5 6 4 2" xfId="3306" xr:uid="{00000000-0005-0000-0000-0000DF740000}"/>
    <cellStyle name="Normal 5 6 4 2 2" xfId="12448" xr:uid="{00000000-0005-0000-0000-0000E0740000}"/>
    <cellStyle name="Normal 5 6 4 2 2 2" xfId="22667" xr:uid="{00000000-0005-0000-0000-0000E1740000}"/>
    <cellStyle name="Normal 5 6 4 2 2 2 2" xfId="48220" xr:uid="{00000000-0005-0000-0000-0000E2740000}"/>
    <cellStyle name="Normal 5 6 4 2 2 3" xfId="38003" xr:uid="{00000000-0005-0000-0000-0000E3740000}"/>
    <cellStyle name="Normal 5 6 4 2 3" xfId="8870" xr:uid="{00000000-0005-0000-0000-0000E4740000}"/>
    <cellStyle name="Normal 5 6 4 2 3 2" xfId="34427" xr:uid="{00000000-0005-0000-0000-0000E5740000}"/>
    <cellStyle name="Normal 5 6 4 2 4" xfId="17660" xr:uid="{00000000-0005-0000-0000-0000E6740000}"/>
    <cellStyle name="Normal 5 6 4 2 4 2" xfId="43213" xr:uid="{00000000-0005-0000-0000-0000E7740000}"/>
    <cellStyle name="Normal 5 6 4 2 5" xfId="29150" xr:uid="{00000000-0005-0000-0000-0000E8740000}"/>
    <cellStyle name="Normal 5 6 4 3" xfId="4984" xr:uid="{00000000-0005-0000-0000-0000E9740000}"/>
    <cellStyle name="Normal 5 6 4 3 2" xfId="13821" xr:uid="{00000000-0005-0000-0000-0000EA740000}"/>
    <cellStyle name="Normal 5 6 4 3 2 2" xfId="24072" xr:uid="{00000000-0005-0000-0000-0000EB740000}"/>
    <cellStyle name="Normal 5 6 4 3 2 2 2" xfId="49625" xr:uid="{00000000-0005-0000-0000-0000EC740000}"/>
    <cellStyle name="Normal 5 6 4 3 2 3" xfId="39376" xr:uid="{00000000-0005-0000-0000-0000ED740000}"/>
    <cellStyle name="Normal 5 6 4 3 3" xfId="10242" xr:uid="{00000000-0005-0000-0000-0000EE740000}"/>
    <cellStyle name="Normal 5 6 4 3 3 2" xfId="35799" xr:uid="{00000000-0005-0000-0000-0000EF740000}"/>
    <cellStyle name="Normal 5 6 4 3 4" xfId="19065" xr:uid="{00000000-0005-0000-0000-0000F0740000}"/>
    <cellStyle name="Normal 5 6 4 3 4 2" xfId="44618" xr:uid="{00000000-0005-0000-0000-0000F1740000}"/>
    <cellStyle name="Normal 5 6 4 3 5" xfId="30555" xr:uid="{00000000-0005-0000-0000-0000F2740000}"/>
    <cellStyle name="Normal 5 6 4 4" xfId="2415" xr:uid="{00000000-0005-0000-0000-0000F3740000}"/>
    <cellStyle name="Normal 5 6 4 4 2" xfId="11780" xr:uid="{00000000-0005-0000-0000-0000F4740000}"/>
    <cellStyle name="Normal 5 6 4 4 2 2" xfId="37335" xr:uid="{00000000-0005-0000-0000-0000F5740000}"/>
    <cellStyle name="Normal 5 6 4 4 3" xfId="21784" xr:uid="{00000000-0005-0000-0000-0000F6740000}"/>
    <cellStyle name="Normal 5 6 4 4 3 2" xfId="47337" xr:uid="{00000000-0005-0000-0000-0000F7740000}"/>
    <cellStyle name="Normal 5 6 4 4 4" xfId="28267" xr:uid="{00000000-0005-0000-0000-0000F8740000}"/>
    <cellStyle name="Normal 5 6 4 5" xfId="6439" xr:uid="{00000000-0005-0000-0000-0000F9740000}"/>
    <cellStyle name="Normal 5 6 4 5 2" xfId="15266" xr:uid="{00000000-0005-0000-0000-0000FA740000}"/>
    <cellStyle name="Normal 5 6 4 5 2 2" xfId="40821" xr:uid="{00000000-0005-0000-0000-0000FB740000}"/>
    <cellStyle name="Normal 5 6 4 5 3" xfId="25517" xr:uid="{00000000-0005-0000-0000-0000FC740000}"/>
    <cellStyle name="Normal 5 6 4 5 3 2" xfId="51070" xr:uid="{00000000-0005-0000-0000-0000FD740000}"/>
    <cellStyle name="Normal 5 6 4 5 4" xfId="32000" xr:uid="{00000000-0005-0000-0000-0000FE740000}"/>
    <cellStyle name="Normal 5 6 4 6" xfId="7885" xr:uid="{00000000-0005-0000-0000-0000FF740000}"/>
    <cellStyle name="Normal 5 6 4 6 2" xfId="20266" xr:uid="{00000000-0005-0000-0000-000000750000}"/>
    <cellStyle name="Normal 5 6 4 6 2 2" xfId="45819" xr:uid="{00000000-0005-0000-0000-000001750000}"/>
    <cellStyle name="Normal 5 6 4 6 3" xfId="33442" xr:uid="{00000000-0005-0000-0000-000002750000}"/>
    <cellStyle name="Normal 5 6 4 7" xfId="16777" xr:uid="{00000000-0005-0000-0000-000003750000}"/>
    <cellStyle name="Normal 5 6 4 7 2" xfId="42330" xr:uid="{00000000-0005-0000-0000-000004750000}"/>
    <cellStyle name="Normal 5 6 4 8" xfId="26749" xr:uid="{00000000-0005-0000-0000-000005750000}"/>
    <cellStyle name="Normal 5 6 5" xfId="1175" xr:uid="{00000000-0005-0000-0000-000006750000}"/>
    <cellStyle name="Normal 5 6 5 2" xfId="3604" xr:uid="{00000000-0005-0000-0000-000007750000}"/>
    <cellStyle name="Normal 5 6 5 2 2" xfId="12740" xr:uid="{00000000-0005-0000-0000-000008750000}"/>
    <cellStyle name="Normal 5 6 5 2 2 2" xfId="22959" xr:uid="{00000000-0005-0000-0000-000009750000}"/>
    <cellStyle name="Normal 5 6 5 2 2 2 2" xfId="48512" xr:uid="{00000000-0005-0000-0000-00000A750000}"/>
    <cellStyle name="Normal 5 6 5 2 2 3" xfId="38295" xr:uid="{00000000-0005-0000-0000-00000B750000}"/>
    <cellStyle name="Normal 5 6 5 2 3" xfId="9161" xr:uid="{00000000-0005-0000-0000-00000C750000}"/>
    <cellStyle name="Normal 5 6 5 2 3 2" xfId="34718" xr:uid="{00000000-0005-0000-0000-00000D750000}"/>
    <cellStyle name="Normal 5 6 5 2 4" xfId="17952" xr:uid="{00000000-0005-0000-0000-00000E750000}"/>
    <cellStyle name="Normal 5 6 5 2 4 2" xfId="43505" xr:uid="{00000000-0005-0000-0000-00000F750000}"/>
    <cellStyle name="Normal 5 6 5 2 5" xfId="29442" xr:uid="{00000000-0005-0000-0000-000010750000}"/>
    <cellStyle name="Normal 5 6 5 3" xfId="5267" xr:uid="{00000000-0005-0000-0000-000011750000}"/>
    <cellStyle name="Normal 5 6 5 3 2" xfId="14104" xr:uid="{00000000-0005-0000-0000-000012750000}"/>
    <cellStyle name="Normal 5 6 5 3 2 2" xfId="24355" xr:uid="{00000000-0005-0000-0000-000013750000}"/>
    <cellStyle name="Normal 5 6 5 3 2 2 2" xfId="49908" xr:uid="{00000000-0005-0000-0000-000014750000}"/>
    <cellStyle name="Normal 5 6 5 3 2 3" xfId="39659" xr:uid="{00000000-0005-0000-0000-000015750000}"/>
    <cellStyle name="Normal 5 6 5 3 3" xfId="10525" xr:uid="{00000000-0005-0000-0000-000016750000}"/>
    <cellStyle name="Normal 5 6 5 3 3 2" xfId="36082" xr:uid="{00000000-0005-0000-0000-000017750000}"/>
    <cellStyle name="Normal 5 6 5 3 4" xfId="19348" xr:uid="{00000000-0005-0000-0000-000018750000}"/>
    <cellStyle name="Normal 5 6 5 3 4 2" xfId="44901" xr:uid="{00000000-0005-0000-0000-000019750000}"/>
    <cellStyle name="Normal 5 6 5 3 5" xfId="30838" xr:uid="{00000000-0005-0000-0000-00001A750000}"/>
    <cellStyle name="Normal 5 6 5 4" xfId="1777" xr:uid="{00000000-0005-0000-0000-00001B750000}"/>
    <cellStyle name="Normal 5 6 5 4 2" xfId="11146" xr:uid="{00000000-0005-0000-0000-00001C750000}"/>
    <cellStyle name="Normal 5 6 5 4 2 2" xfId="36701" xr:uid="{00000000-0005-0000-0000-00001D750000}"/>
    <cellStyle name="Normal 5 6 5 4 3" xfId="21150" xr:uid="{00000000-0005-0000-0000-00001E750000}"/>
    <cellStyle name="Normal 5 6 5 4 3 2" xfId="46703" xr:uid="{00000000-0005-0000-0000-00001F750000}"/>
    <cellStyle name="Normal 5 6 5 4 4" xfId="27633" xr:uid="{00000000-0005-0000-0000-000020750000}"/>
    <cellStyle name="Normal 5 6 5 5" xfId="6722" xr:uid="{00000000-0005-0000-0000-000021750000}"/>
    <cellStyle name="Normal 5 6 5 5 2" xfId="15549" xr:uid="{00000000-0005-0000-0000-000022750000}"/>
    <cellStyle name="Normal 5 6 5 5 2 2" xfId="41104" xr:uid="{00000000-0005-0000-0000-000023750000}"/>
    <cellStyle name="Normal 5 6 5 5 3" xfId="25800" xr:uid="{00000000-0005-0000-0000-000024750000}"/>
    <cellStyle name="Normal 5 6 5 5 3 2" xfId="51353" xr:uid="{00000000-0005-0000-0000-000025750000}"/>
    <cellStyle name="Normal 5 6 5 5 4" xfId="32283" xr:uid="{00000000-0005-0000-0000-000026750000}"/>
    <cellStyle name="Normal 5 6 5 6" xfId="8168" xr:uid="{00000000-0005-0000-0000-000027750000}"/>
    <cellStyle name="Normal 5 6 5 6 2" xfId="20558" xr:uid="{00000000-0005-0000-0000-000028750000}"/>
    <cellStyle name="Normal 5 6 5 6 2 2" xfId="46111" xr:uid="{00000000-0005-0000-0000-000029750000}"/>
    <cellStyle name="Normal 5 6 5 6 3" xfId="33725" xr:uid="{00000000-0005-0000-0000-00002A750000}"/>
    <cellStyle name="Normal 5 6 5 7" xfId="16143" xr:uid="{00000000-0005-0000-0000-00002B750000}"/>
    <cellStyle name="Normal 5 6 5 7 2" xfId="41696" xr:uid="{00000000-0005-0000-0000-00002C750000}"/>
    <cellStyle name="Normal 5 6 5 8" xfId="27041" xr:uid="{00000000-0005-0000-0000-00002D750000}"/>
    <cellStyle name="Normal 5 6 6" xfId="2672" xr:uid="{00000000-0005-0000-0000-00002E750000}"/>
    <cellStyle name="Normal 5 6 6 2" xfId="11989" xr:uid="{00000000-0005-0000-0000-00002F750000}"/>
    <cellStyle name="Normal 5 6 6 2 2" xfId="22033" xr:uid="{00000000-0005-0000-0000-000030750000}"/>
    <cellStyle name="Normal 5 6 6 2 2 2" xfId="47586" xr:uid="{00000000-0005-0000-0000-000031750000}"/>
    <cellStyle name="Normal 5 6 6 2 3" xfId="37544" xr:uid="{00000000-0005-0000-0000-000032750000}"/>
    <cellStyle name="Normal 5 6 6 3" xfId="8566" xr:uid="{00000000-0005-0000-0000-000033750000}"/>
    <cellStyle name="Normal 5 6 6 3 2" xfId="34123" xr:uid="{00000000-0005-0000-0000-000034750000}"/>
    <cellStyle name="Normal 5 6 6 4" xfId="17026" xr:uid="{00000000-0005-0000-0000-000035750000}"/>
    <cellStyle name="Normal 5 6 6 4 2" xfId="42579" xr:uid="{00000000-0005-0000-0000-000036750000}"/>
    <cellStyle name="Normal 5 6 6 5" xfId="28516" xr:uid="{00000000-0005-0000-0000-000037750000}"/>
    <cellStyle name="Normal 5 6 7" xfId="4223" xr:uid="{00000000-0005-0000-0000-000038750000}"/>
    <cellStyle name="Normal 5 6 7 2" xfId="13061" xr:uid="{00000000-0005-0000-0000-000039750000}"/>
    <cellStyle name="Normal 5 6 7 2 2" xfId="23312" xr:uid="{00000000-0005-0000-0000-00003A750000}"/>
    <cellStyle name="Normal 5 6 7 2 2 2" xfId="48865" xr:uid="{00000000-0005-0000-0000-00003B750000}"/>
    <cellStyle name="Normal 5 6 7 2 3" xfId="38616" xr:uid="{00000000-0005-0000-0000-00003C750000}"/>
    <cellStyle name="Normal 5 6 7 3" xfId="9482" xr:uid="{00000000-0005-0000-0000-00003D750000}"/>
    <cellStyle name="Normal 5 6 7 3 2" xfId="35039" xr:uid="{00000000-0005-0000-0000-00003E750000}"/>
    <cellStyle name="Normal 5 6 7 4" xfId="18305" xr:uid="{00000000-0005-0000-0000-00003F750000}"/>
    <cellStyle name="Normal 5 6 7 4 2" xfId="43858" xr:uid="{00000000-0005-0000-0000-000040750000}"/>
    <cellStyle name="Normal 5 6 7 5" xfId="29795" xr:uid="{00000000-0005-0000-0000-000041750000}"/>
    <cellStyle name="Normal 5 6 8" xfId="1495" xr:uid="{00000000-0005-0000-0000-000042750000}"/>
    <cellStyle name="Normal 5 6 8 2" xfId="10872" xr:uid="{00000000-0005-0000-0000-000043750000}"/>
    <cellStyle name="Normal 5 6 8 2 2" xfId="36427" xr:uid="{00000000-0005-0000-0000-000044750000}"/>
    <cellStyle name="Normal 5 6 8 3" xfId="20876" xr:uid="{00000000-0005-0000-0000-000045750000}"/>
    <cellStyle name="Normal 5 6 8 3 2" xfId="46429" xr:uid="{00000000-0005-0000-0000-000046750000}"/>
    <cellStyle name="Normal 5 6 8 4" xfId="27359" xr:uid="{00000000-0005-0000-0000-000047750000}"/>
    <cellStyle name="Normal 5 6 9" xfId="5679" xr:uid="{00000000-0005-0000-0000-000048750000}"/>
    <cellStyle name="Normal 5 6 9 2" xfId="14506" xr:uid="{00000000-0005-0000-0000-000049750000}"/>
    <cellStyle name="Normal 5 6 9 2 2" xfId="40061" xr:uid="{00000000-0005-0000-0000-00004A750000}"/>
    <cellStyle name="Normal 5 6 9 3" xfId="24757" xr:uid="{00000000-0005-0000-0000-00004B750000}"/>
    <cellStyle name="Normal 5 6 9 3 2" xfId="50310" xr:uid="{00000000-0005-0000-0000-00004C750000}"/>
    <cellStyle name="Normal 5 6 9 4" xfId="31240" xr:uid="{00000000-0005-0000-0000-00004D750000}"/>
    <cellStyle name="Normal 5 6_Degree data" xfId="3853" xr:uid="{00000000-0005-0000-0000-00004E750000}"/>
    <cellStyle name="Normal 5 7" xfId="287" xr:uid="{00000000-0005-0000-0000-00004F750000}"/>
    <cellStyle name="Normal 5 7 10" xfId="16074" xr:uid="{00000000-0005-0000-0000-000050750000}"/>
    <cellStyle name="Normal 5 7 10 2" xfId="41627" xr:uid="{00000000-0005-0000-0000-000051750000}"/>
    <cellStyle name="Normal 5 7 11" xfId="26220" xr:uid="{00000000-0005-0000-0000-000052750000}"/>
    <cellStyle name="Normal 5 7 2" xfId="608" xr:uid="{00000000-0005-0000-0000-000053750000}"/>
    <cellStyle name="Normal 5 7 2 2" xfId="3094" xr:uid="{00000000-0005-0000-0000-000054750000}"/>
    <cellStyle name="Normal 5 7 2 2 2" xfId="12237" xr:uid="{00000000-0005-0000-0000-000055750000}"/>
    <cellStyle name="Normal 5 7 2 2 2 2" xfId="22455" xr:uid="{00000000-0005-0000-0000-000056750000}"/>
    <cellStyle name="Normal 5 7 2 2 2 2 2" xfId="48008" xr:uid="{00000000-0005-0000-0000-000057750000}"/>
    <cellStyle name="Normal 5 7 2 2 2 3" xfId="37792" xr:uid="{00000000-0005-0000-0000-000058750000}"/>
    <cellStyle name="Normal 5 7 2 2 3" xfId="8659" xr:uid="{00000000-0005-0000-0000-000059750000}"/>
    <cellStyle name="Normal 5 7 2 2 3 2" xfId="34216" xr:uid="{00000000-0005-0000-0000-00005A750000}"/>
    <cellStyle name="Normal 5 7 2 2 4" xfId="17448" xr:uid="{00000000-0005-0000-0000-00005B750000}"/>
    <cellStyle name="Normal 5 7 2 2 4 2" xfId="43001" xr:uid="{00000000-0005-0000-0000-00005C750000}"/>
    <cellStyle name="Normal 5 7 2 2 5" xfId="28938" xr:uid="{00000000-0005-0000-0000-00005D750000}"/>
    <cellStyle name="Normal 5 7 2 3" xfId="4637" xr:uid="{00000000-0005-0000-0000-00005E750000}"/>
    <cellStyle name="Normal 5 7 2 3 2" xfId="13475" xr:uid="{00000000-0005-0000-0000-00005F750000}"/>
    <cellStyle name="Normal 5 7 2 3 2 2" xfId="23726" xr:uid="{00000000-0005-0000-0000-000060750000}"/>
    <cellStyle name="Normal 5 7 2 3 2 2 2" xfId="49279" xr:uid="{00000000-0005-0000-0000-000061750000}"/>
    <cellStyle name="Normal 5 7 2 3 2 3" xfId="39030" xr:uid="{00000000-0005-0000-0000-000062750000}"/>
    <cellStyle name="Normal 5 7 2 3 3" xfId="9896" xr:uid="{00000000-0005-0000-0000-000063750000}"/>
    <cellStyle name="Normal 5 7 2 3 3 2" xfId="35453" xr:uid="{00000000-0005-0000-0000-000064750000}"/>
    <cellStyle name="Normal 5 7 2 3 4" xfId="18719" xr:uid="{00000000-0005-0000-0000-000065750000}"/>
    <cellStyle name="Normal 5 7 2 3 4 2" xfId="44272" xr:uid="{00000000-0005-0000-0000-000066750000}"/>
    <cellStyle name="Normal 5 7 2 3 5" xfId="30209" xr:uid="{00000000-0005-0000-0000-000067750000}"/>
    <cellStyle name="Normal 5 7 2 4" xfId="2203" xr:uid="{00000000-0005-0000-0000-000068750000}"/>
    <cellStyle name="Normal 5 7 2 4 2" xfId="11568" xr:uid="{00000000-0005-0000-0000-000069750000}"/>
    <cellStyle name="Normal 5 7 2 4 2 2" xfId="37123" xr:uid="{00000000-0005-0000-0000-00006A750000}"/>
    <cellStyle name="Normal 5 7 2 4 3" xfId="21572" xr:uid="{00000000-0005-0000-0000-00006B750000}"/>
    <cellStyle name="Normal 5 7 2 4 3 2" xfId="47125" xr:uid="{00000000-0005-0000-0000-00006C750000}"/>
    <cellStyle name="Normal 5 7 2 4 4" xfId="28055" xr:uid="{00000000-0005-0000-0000-00006D750000}"/>
    <cellStyle name="Normal 5 7 2 5" xfId="6093" xr:uid="{00000000-0005-0000-0000-00006E750000}"/>
    <cellStyle name="Normal 5 7 2 5 2" xfId="14920" xr:uid="{00000000-0005-0000-0000-00006F750000}"/>
    <cellStyle name="Normal 5 7 2 5 2 2" xfId="40475" xr:uid="{00000000-0005-0000-0000-000070750000}"/>
    <cellStyle name="Normal 5 7 2 5 3" xfId="25171" xr:uid="{00000000-0005-0000-0000-000071750000}"/>
    <cellStyle name="Normal 5 7 2 5 3 2" xfId="50724" xr:uid="{00000000-0005-0000-0000-000072750000}"/>
    <cellStyle name="Normal 5 7 2 5 4" xfId="31654" xr:uid="{00000000-0005-0000-0000-000073750000}"/>
    <cellStyle name="Normal 5 7 2 6" xfId="7538" xr:uid="{00000000-0005-0000-0000-000074750000}"/>
    <cellStyle name="Normal 5 7 2 6 2" xfId="20054" xr:uid="{00000000-0005-0000-0000-000075750000}"/>
    <cellStyle name="Normal 5 7 2 6 2 2" xfId="45607" xr:uid="{00000000-0005-0000-0000-000076750000}"/>
    <cellStyle name="Normal 5 7 2 6 3" xfId="33095" xr:uid="{00000000-0005-0000-0000-000077750000}"/>
    <cellStyle name="Normal 5 7 2 7" xfId="16565" xr:uid="{00000000-0005-0000-0000-000078750000}"/>
    <cellStyle name="Normal 5 7 2 7 2" xfId="42118" xr:uid="{00000000-0005-0000-0000-000079750000}"/>
    <cellStyle name="Normal 5 7 2 8" xfId="26537" xr:uid="{00000000-0005-0000-0000-00007A750000}"/>
    <cellStyle name="Normal 5 7 3" xfId="823" xr:uid="{00000000-0005-0000-0000-00007B750000}"/>
    <cellStyle name="Normal 5 7 3 2" xfId="3308" xr:uid="{00000000-0005-0000-0000-00007C750000}"/>
    <cellStyle name="Normal 5 7 3 2 2" xfId="12450" xr:uid="{00000000-0005-0000-0000-00007D750000}"/>
    <cellStyle name="Normal 5 7 3 2 2 2" xfId="22669" xr:uid="{00000000-0005-0000-0000-00007E750000}"/>
    <cellStyle name="Normal 5 7 3 2 2 2 2" xfId="48222" xr:uid="{00000000-0005-0000-0000-00007F750000}"/>
    <cellStyle name="Normal 5 7 3 2 2 3" xfId="38005" xr:uid="{00000000-0005-0000-0000-000080750000}"/>
    <cellStyle name="Normal 5 7 3 2 3" xfId="8872" xr:uid="{00000000-0005-0000-0000-000081750000}"/>
    <cellStyle name="Normal 5 7 3 2 3 2" xfId="34429" xr:uid="{00000000-0005-0000-0000-000082750000}"/>
    <cellStyle name="Normal 5 7 3 2 4" xfId="17662" xr:uid="{00000000-0005-0000-0000-000083750000}"/>
    <cellStyle name="Normal 5 7 3 2 4 2" xfId="43215" xr:uid="{00000000-0005-0000-0000-000084750000}"/>
    <cellStyle name="Normal 5 7 3 2 5" xfId="29152" xr:uid="{00000000-0005-0000-0000-000085750000}"/>
    <cellStyle name="Normal 5 7 3 3" xfId="4986" xr:uid="{00000000-0005-0000-0000-000086750000}"/>
    <cellStyle name="Normal 5 7 3 3 2" xfId="13823" xr:uid="{00000000-0005-0000-0000-000087750000}"/>
    <cellStyle name="Normal 5 7 3 3 2 2" xfId="24074" xr:uid="{00000000-0005-0000-0000-000088750000}"/>
    <cellStyle name="Normal 5 7 3 3 2 2 2" xfId="49627" xr:uid="{00000000-0005-0000-0000-000089750000}"/>
    <cellStyle name="Normal 5 7 3 3 2 3" xfId="39378" xr:uid="{00000000-0005-0000-0000-00008A750000}"/>
    <cellStyle name="Normal 5 7 3 3 3" xfId="10244" xr:uid="{00000000-0005-0000-0000-00008B750000}"/>
    <cellStyle name="Normal 5 7 3 3 3 2" xfId="35801" xr:uid="{00000000-0005-0000-0000-00008C750000}"/>
    <cellStyle name="Normal 5 7 3 3 4" xfId="19067" xr:uid="{00000000-0005-0000-0000-00008D750000}"/>
    <cellStyle name="Normal 5 7 3 3 4 2" xfId="44620" xr:uid="{00000000-0005-0000-0000-00008E750000}"/>
    <cellStyle name="Normal 5 7 3 3 5" xfId="30557" xr:uid="{00000000-0005-0000-0000-00008F750000}"/>
    <cellStyle name="Normal 5 7 3 4" xfId="2417" xr:uid="{00000000-0005-0000-0000-000090750000}"/>
    <cellStyle name="Normal 5 7 3 4 2" xfId="11782" xr:uid="{00000000-0005-0000-0000-000091750000}"/>
    <cellStyle name="Normal 5 7 3 4 2 2" xfId="37337" xr:uid="{00000000-0005-0000-0000-000092750000}"/>
    <cellStyle name="Normal 5 7 3 4 3" xfId="21786" xr:uid="{00000000-0005-0000-0000-000093750000}"/>
    <cellStyle name="Normal 5 7 3 4 3 2" xfId="47339" xr:uid="{00000000-0005-0000-0000-000094750000}"/>
    <cellStyle name="Normal 5 7 3 4 4" xfId="28269" xr:uid="{00000000-0005-0000-0000-000095750000}"/>
    <cellStyle name="Normal 5 7 3 5" xfId="6441" xr:uid="{00000000-0005-0000-0000-000096750000}"/>
    <cellStyle name="Normal 5 7 3 5 2" xfId="15268" xr:uid="{00000000-0005-0000-0000-000097750000}"/>
    <cellStyle name="Normal 5 7 3 5 2 2" xfId="40823" xr:uid="{00000000-0005-0000-0000-000098750000}"/>
    <cellStyle name="Normal 5 7 3 5 3" xfId="25519" xr:uid="{00000000-0005-0000-0000-000099750000}"/>
    <cellStyle name="Normal 5 7 3 5 3 2" xfId="51072" xr:uid="{00000000-0005-0000-0000-00009A750000}"/>
    <cellStyle name="Normal 5 7 3 5 4" xfId="32002" xr:uid="{00000000-0005-0000-0000-00009B750000}"/>
    <cellStyle name="Normal 5 7 3 6" xfId="7887" xr:uid="{00000000-0005-0000-0000-00009C750000}"/>
    <cellStyle name="Normal 5 7 3 6 2" xfId="20268" xr:uid="{00000000-0005-0000-0000-00009D750000}"/>
    <cellStyle name="Normal 5 7 3 6 2 2" xfId="45821" xr:uid="{00000000-0005-0000-0000-00009E750000}"/>
    <cellStyle name="Normal 5 7 3 6 3" xfId="33444" xr:uid="{00000000-0005-0000-0000-00009F750000}"/>
    <cellStyle name="Normal 5 7 3 7" xfId="16779" xr:uid="{00000000-0005-0000-0000-0000A0750000}"/>
    <cellStyle name="Normal 5 7 3 7 2" xfId="42332" xr:uid="{00000000-0005-0000-0000-0000A1750000}"/>
    <cellStyle name="Normal 5 7 3 8" xfId="26751" xr:uid="{00000000-0005-0000-0000-0000A2750000}"/>
    <cellStyle name="Normal 5 7 4" xfId="1380" xr:uid="{00000000-0005-0000-0000-0000A3750000}"/>
    <cellStyle name="Normal 5 7 4 2" xfId="3809" xr:uid="{00000000-0005-0000-0000-0000A4750000}"/>
    <cellStyle name="Normal 5 7 4 2 2" xfId="12945" xr:uid="{00000000-0005-0000-0000-0000A5750000}"/>
    <cellStyle name="Normal 5 7 4 2 2 2" xfId="23164" xr:uid="{00000000-0005-0000-0000-0000A6750000}"/>
    <cellStyle name="Normal 5 7 4 2 2 2 2" xfId="48717" xr:uid="{00000000-0005-0000-0000-0000A7750000}"/>
    <cellStyle name="Normal 5 7 4 2 2 3" xfId="38500" xr:uid="{00000000-0005-0000-0000-0000A8750000}"/>
    <cellStyle name="Normal 5 7 4 2 3" xfId="9366" xr:uid="{00000000-0005-0000-0000-0000A9750000}"/>
    <cellStyle name="Normal 5 7 4 2 3 2" xfId="34923" xr:uid="{00000000-0005-0000-0000-0000AA750000}"/>
    <cellStyle name="Normal 5 7 4 2 4" xfId="18157" xr:uid="{00000000-0005-0000-0000-0000AB750000}"/>
    <cellStyle name="Normal 5 7 4 2 4 2" xfId="43710" xr:uid="{00000000-0005-0000-0000-0000AC750000}"/>
    <cellStyle name="Normal 5 7 4 2 5" xfId="29647" xr:uid="{00000000-0005-0000-0000-0000AD750000}"/>
    <cellStyle name="Normal 5 7 4 3" xfId="5472" xr:uid="{00000000-0005-0000-0000-0000AE750000}"/>
    <cellStyle name="Normal 5 7 4 3 2" xfId="14309" xr:uid="{00000000-0005-0000-0000-0000AF750000}"/>
    <cellStyle name="Normal 5 7 4 3 2 2" xfId="24560" xr:uid="{00000000-0005-0000-0000-0000B0750000}"/>
    <cellStyle name="Normal 5 7 4 3 2 2 2" xfId="50113" xr:uid="{00000000-0005-0000-0000-0000B1750000}"/>
    <cellStyle name="Normal 5 7 4 3 2 3" xfId="39864" xr:uid="{00000000-0005-0000-0000-0000B2750000}"/>
    <cellStyle name="Normal 5 7 4 3 3" xfId="10730" xr:uid="{00000000-0005-0000-0000-0000B3750000}"/>
    <cellStyle name="Normal 5 7 4 3 3 2" xfId="36287" xr:uid="{00000000-0005-0000-0000-0000B4750000}"/>
    <cellStyle name="Normal 5 7 4 3 4" xfId="19553" xr:uid="{00000000-0005-0000-0000-0000B5750000}"/>
    <cellStyle name="Normal 5 7 4 3 4 2" xfId="45106" xr:uid="{00000000-0005-0000-0000-0000B6750000}"/>
    <cellStyle name="Normal 5 7 4 3 5" xfId="31043" xr:uid="{00000000-0005-0000-0000-0000B7750000}"/>
    <cellStyle name="Normal 5 7 4 4" xfId="1883" xr:uid="{00000000-0005-0000-0000-0000B8750000}"/>
    <cellStyle name="Normal 5 7 4 4 2" xfId="11251" xr:uid="{00000000-0005-0000-0000-0000B9750000}"/>
    <cellStyle name="Normal 5 7 4 4 2 2" xfId="36806" xr:uid="{00000000-0005-0000-0000-0000BA750000}"/>
    <cellStyle name="Normal 5 7 4 4 3" xfId="21255" xr:uid="{00000000-0005-0000-0000-0000BB750000}"/>
    <cellStyle name="Normal 5 7 4 4 3 2" xfId="46808" xr:uid="{00000000-0005-0000-0000-0000BC750000}"/>
    <cellStyle name="Normal 5 7 4 4 4" xfId="27738" xr:uid="{00000000-0005-0000-0000-0000BD750000}"/>
    <cellStyle name="Normal 5 7 4 5" xfId="6927" xr:uid="{00000000-0005-0000-0000-0000BE750000}"/>
    <cellStyle name="Normal 5 7 4 5 2" xfId="15754" xr:uid="{00000000-0005-0000-0000-0000BF750000}"/>
    <cellStyle name="Normal 5 7 4 5 2 2" xfId="41309" xr:uid="{00000000-0005-0000-0000-0000C0750000}"/>
    <cellStyle name="Normal 5 7 4 5 3" xfId="26005" xr:uid="{00000000-0005-0000-0000-0000C1750000}"/>
    <cellStyle name="Normal 5 7 4 5 3 2" xfId="51558" xr:uid="{00000000-0005-0000-0000-0000C2750000}"/>
    <cellStyle name="Normal 5 7 4 5 4" xfId="32488" xr:uid="{00000000-0005-0000-0000-0000C3750000}"/>
    <cellStyle name="Normal 5 7 4 6" xfId="8373" xr:uid="{00000000-0005-0000-0000-0000C4750000}"/>
    <cellStyle name="Normal 5 7 4 6 2" xfId="20763" xr:uid="{00000000-0005-0000-0000-0000C5750000}"/>
    <cellStyle name="Normal 5 7 4 6 2 2" xfId="46316" xr:uid="{00000000-0005-0000-0000-0000C6750000}"/>
    <cellStyle name="Normal 5 7 4 6 3" xfId="33930" xr:uid="{00000000-0005-0000-0000-0000C7750000}"/>
    <cellStyle name="Normal 5 7 4 7" xfId="16248" xr:uid="{00000000-0005-0000-0000-0000C8750000}"/>
    <cellStyle name="Normal 5 7 4 7 2" xfId="41801" xr:uid="{00000000-0005-0000-0000-0000C9750000}"/>
    <cellStyle name="Normal 5 7 4 8" xfId="27246" xr:uid="{00000000-0005-0000-0000-0000CA750000}"/>
    <cellStyle name="Normal 5 7 5" xfId="2777" xr:uid="{00000000-0005-0000-0000-0000CB750000}"/>
    <cellStyle name="Normal 5 7 5 2" xfId="12094" xr:uid="{00000000-0005-0000-0000-0000CC750000}"/>
    <cellStyle name="Normal 5 7 5 2 2" xfId="22138" xr:uid="{00000000-0005-0000-0000-0000CD750000}"/>
    <cellStyle name="Normal 5 7 5 2 2 2" xfId="47691" xr:uid="{00000000-0005-0000-0000-0000CE750000}"/>
    <cellStyle name="Normal 5 7 5 2 3" xfId="37649" xr:uid="{00000000-0005-0000-0000-0000CF750000}"/>
    <cellStyle name="Normal 5 7 5 3" xfId="8474" xr:uid="{00000000-0005-0000-0000-0000D0750000}"/>
    <cellStyle name="Normal 5 7 5 3 2" xfId="34031" xr:uid="{00000000-0005-0000-0000-0000D1750000}"/>
    <cellStyle name="Normal 5 7 5 4" xfId="17131" xr:uid="{00000000-0005-0000-0000-0000D2750000}"/>
    <cellStyle name="Normal 5 7 5 4 2" xfId="42684" xr:uid="{00000000-0005-0000-0000-0000D3750000}"/>
    <cellStyle name="Normal 5 7 5 5" xfId="28621" xr:uid="{00000000-0005-0000-0000-0000D4750000}"/>
    <cellStyle name="Normal 5 7 6" xfId="4428" xr:uid="{00000000-0005-0000-0000-0000D5750000}"/>
    <cellStyle name="Normal 5 7 6 2" xfId="13266" xr:uid="{00000000-0005-0000-0000-0000D6750000}"/>
    <cellStyle name="Normal 5 7 6 2 2" xfId="23517" xr:uid="{00000000-0005-0000-0000-0000D7750000}"/>
    <cellStyle name="Normal 5 7 6 2 2 2" xfId="49070" xr:uid="{00000000-0005-0000-0000-0000D8750000}"/>
    <cellStyle name="Normal 5 7 6 2 3" xfId="38821" xr:uid="{00000000-0005-0000-0000-0000D9750000}"/>
    <cellStyle name="Normal 5 7 6 3" xfId="9687" xr:uid="{00000000-0005-0000-0000-0000DA750000}"/>
    <cellStyle name="Normal 5 7 6 3 2" xfId="35244" xr:uid="{00000000-0005-0000-0000-0000DB750000}"/>
    <cellStyle name="Normal 5 7 6 4" xfId="18510" xr:uid="{00000000-0005-0000-0000-0000DC750000}"/>
    <cellStyle name="Normal 5 7 6 4 2" xfId="44063" xr:uid="{00000000-0005-0000-0000-0000DD750000}"/>
    <cellStyle name="Normal 5 7 6 5" xfId="30000" xr:uid="{00000000-0005-0000-0000-0000DE750000}"/>
    <cellStyle name="Normal 5 7 7" xfId="1700" xr:uid="{00000000-0005-0000-0000-0000DF750000}"/>
    <cellStyle name="Normal 5 7 7 2" xfId="11077" xr:uid="{00000000-0005-0000-0000-0000E0750000}"/>
    <cellStyle name="Normal 5 7 7 2 2" xfId="36632" xr:uid="{00000000-0005-0000-0000-0000E1750000}"/>
    <cellStyle name="Normal 5 7 7 3" xfId="21081" xr:uid="{00000000-0005-0000-0000-0000E2750000}"/>
    <cellStyle name="Normal 5 7 7 3 2" xfId="46634" xr:uid="{00000000-0005-0000-0000-0000E3750000}"/>
    <cellStyle name="Normal 5 7 7 4" xfId="27564" xr:uid="{00000000-0005-0000-0000-0000E4750000}"/>
    <cellStyle name="Normal 5 7 8" xfId="5884" xr:uid="{00000000-0005-0000-0000-0000E5750000}"/>
    <cellStyle name="Normal 5 7 8 2" xfId="14711" xr:uid="{00000000-0005-0000-0000-0000E6750000}"/>
    <cellStyle name="Normal 5 7 8 2 2" xfId="40266" xr:uid="{00000000-0005-0000-0000-0000E7750000}"/>
    <cellStyle name="Normal 5 7 8 3" xfId="24962" xr:uid="{00000000-0005-0000-0000-0000E8750000}"/>
    <cellStyle name="Normal 5 7 8 3 2" xfId="50515" xr:uid="{00000000-0005-0000-0000-0000E9750000}"/>
    <cellStyle name="Normal 5 7 8 4" xfId="31445" xr:uid="{00000000-0005-0000-0000-0000EA750000}"/>
    <cellStyle name="Normal 5 7 9" xfId="7328" xr:uid="{00000000-0005-0000-0000-0000EB750000}"/>
    <cellStyle name="Normal 5 7 9 2" xfId="19737" xr:uid="{00000000-0005-0000-0000-0000EC750000}"/>
    <cellStyle name="Normal 5 7 9 2 2" xfId="45290" xr:uid="{00000000-0005-0000-0000-0000ED750000}"/>
    <cellStyle name="Normal 5 7 9 3" xfId="32885" xr:uid="{00000000-0005-0000-0000-0000EE750000}"/>
    <cellStyle name="Normal 5 7_Degree data" xfId="3897" xr:uid="{00000000-0005-0000-0000-0000EF750000}"/>
    <cellStyle name="Normal 5 8" xfId="299" xr:uid="{00000000-0005-0000-0000-0000F0750000}"/>
    <cellStyle name="Normal 5 8 10" xfId="26228" xr:uid="{00000000-0005-0000-0000-0000F1750000}"/>
    <cellStyle name="Normal 5 8 2" xfId="824" xr:uid="{00000000-0005-0000-0000-0000F2750000}"/>
    <cellStyle name="Normal 5 8 2 2" xfId="3309" xr:uid="{00000000-0005-0000-0000-0000F3750000}"/>
    <cellStyle name="Normal 5 8 2 2 2" xfId="12451" xr:uid="{00000000-0005-0000-0000-0000F4750000}"/>
    <cellStyle name="Normal 5 8 2 2 2 2" xfId="22670" xr:uid="{00000000-0005-0000-0000-0000F5750000}"/>
    <cellStyle name="Normal 5 8 2 2 2 2 2" xfId="48223" xr:uid="{00000000-0005-0000-0000-0000F6750000}"/>
    <cellStyle name="Normal 5 8 2 2 2 3" xfId="38006" xr:uid="{00000000-0005-0000-0000-0000F7750000}"/>
    <cellStyle name="Normal 5 8 2 2 3" xfId="8873" xr:uid="{00000000-0005-0000-0000-0000F8750000}"/>
    <cellStyle name="Normal 5 8 2 2 3 2" xfId="34430" xr:uid="{00000000-0005-0000-0000-0000F9750000}"/>
    <cellStyle name="Normal 5 8 2 2 4" xfId="17663" xr:uid="{00000000-0005-0000-0000-0000FA750000}"/>
    <cellStyle name="Normal 5 8 2 2 4 2" xfId="43216" xr:uid="{00000000-0005-0000-0000-0000FB750000}"/>
    <cellStyle name="Normal 5 8 2 2 5" xfId="29153" xr:uid="{00000000-0005-0000-0000-0000FC750000}"/>
    <cellStyle name="Normal 5 8 2 3" xfId="4638" xr:uid="{00000000-0005-0000-0000-0000FD750000}"/>
    <cellStyle name="Normal 5 8 2 3 2" xfId="13476" xr:uid="{00000000-0005-0000-0000-0000FE750000}"/>
    <cellStyle name="Normal 5 8 2 3 2 2" xfId="23727" xr:uid="{00000000-0005-0000-0000-0000FF750000}"/>
    <cellStyle name="Normal 5 8 2 3 2 2 2" xfId="49280" xr:uid="{00000000-0005-0000-0000-000000760000}"/>
    <cellStyle name="Normal 5 8 2 3 2 3" xfId="39031" xr:uid="{00000000-0005-0000-0000-000001760000}"/>
    <cellStyle name="Normal 5 8 2 3 3" xfId="9897" xr:uid="{00000000-0005-0000-0000-000002760000}"/>
    <cellStyle name="Normal 5 8 2 3 3 2" xfId="35454" xr:uid="{00000000-0005-0000-0000-000003760000}"/>
    <cellStyle name="Normal 5 8 2 3 4" xfId="18720" xr:uid="{00000000-0005-0000-0000-000004760000}"/>
    <cellStyle name="Normal 5 8 2 3 4 2" xfId="44273" xr:uid="{00000000-0005-0000-0000-000005760000}"/>
    <cellStyle name="Normal 5 8 2 3 5" xfId="30210" xr:uid="{00000000-0005-0000-0000-000006760000}"/>
    <cellStyle name="Normal 5 8 2 4" xfId="2418" xr:uid="{00000000-0005-0000-0000-000007760000}"/>
    <cellStyle name="Normal 5 8 2 4 2" xfId="11783" xr:uid="{00000000-0005-0000-0000-000008760000}"/>
    <cellStyle name="Normal 5 8 2 4 2 2" xfId="37338" xr:uid="{00000000-0005-0000-0000-000009760000}"/>
    <cellStyle name="Normal 5 8 2 4 3" xfId="21787" xr:uid="{00000000-0005-0000-0000-00000A760000}"/>
    <cellStyle name="Normal 5 8 2 4 3 2" xfId="47340" xr:uid="{00000000-0005-0000-0000-00000B760000}"/>
    <cellStyle name="Normal 5 8 2 4 4" xfId="28270" xr:uid="{00000000-0005-0000-0000-00000C760000}"/>
    <cellStyle name="Normal 5 8 2 5" xfId="6094" xr:uid="{00000000-0005-0000-0000-00000D760000}"/>
    <cellStyle name="Normal 5 8 2 5 2" xfId="14921" xr:uid="{00000000-0005-0000-0000-00000E760000}"/>
    <cellStyle name="Normal 5 8 2 5 2 2" xfId="40476" xr:uid="{00000000-0005-0000-0000-00000F760000}"/>
    <cellStyle name="Normal 5 8 2 5 3" xfId="25172" xr:uid="{00000000-0005-0000-0000-000010760000}"/>
    <cellStyle name="Normal 5 8 2 5 3 2" xfId="50725" xr:uid="{00000000-0005-0000-0000-000011760000}"/>
    <cellStyle name="Normal 5 8 2 5 4" xfId="31655" xr:uid="{00000000-0005-0000-0000-000012760000}"/>
    <cellStyle name="Normal 5 8 2 6" xfId="7539" xr:uid="{00000000-0005-0000-0000-000013760000}"/>
    <cellStyle name="Normal 5 8 2 6 2" xfId="20269" xr:uid="{00000000-0005-0000-0000-000014760000}"/>
    <cellStyle name="Normal 5 8 2 6 2 2" xfId="45822" xr:uid="{00000000-0005-0000-0000-000015760000}"/>
    <cellStyle name="Normal 5 8 2 6 3" xfId="33096" xr:uid="{00000000-0005-0000-0000-000016760000}"/>
    <cellStyle name="Normal 5 8 2 7" xfId="16780" xr:uid="{00000000-0005-0000-0000-000017760000}"/>
    <cellStyle name="Normal 5 8 2 7 2" xfId="42333" xr:uid="{00000000-0005-0000-0000-000018760000}"/>
    <cellStyle name="Normal 5 8 2 8" xfId="26752" xr:uid="{00000000-0005-0000-0000-000019760000}"/>
    <cellStyle name="Normal 5 8 3" xfId="1071" xr:uid="{00000000-0005-0000-0000-00001A760000}"/>
    <cellStyle name="Normal 5 8 3 2" xfId="3500" xr:uid="{00000000-0005-0000-0000-00001B760000}"/>
    <cellStyle name="Normal 5 8 3 2 2" xfId="12636" xr:uid="{00000000-0005-0000-0000-00001C760000}"/>
    <cellStyle name="Normal 5 8 3 2 2 2" xfId="22855" xr:uid="{00000000-0005-0000-0000-00001D760000}"/>
    <cellStyle name="Normal 5 8 3 2 2 2 2" xfId="48408" xr:uid="{00000000-0005-0000-0000-00001E760000}"/>
    <cellStyle name="Normal 5 8 3 2 2 3" xfId="38191" xr:uid="{00000000-0005-0000-0000-00001F760000}"/>
    <cellStyle name="Normal 5 8 3 2 3" xfId="9058" xr:uid="{00000000-0005-0000-0000-000020760000}"/>
    <cellStyle name="Normal 5 8 3 2 3 2" xfId="34615" xr:uid="{00000000-0005-0000-0000-000021760000}"/>
    <cellStyle name="Normal 5 8 3 2 4" xfId="17848" xr:uid="{00000000-0005-0000-0000-000022760000}"/>
    <cellStyle name="Normal 5 8 3 2 4 2" xfId="43401" xr:uid="{00000000-0005-0000-0000-000023760000}"/>
    <cellStyle name="Normal 5 8 3 2 5" xfId="29338" xr:uid="{00000000-0005-0000-0000-000024760000}"/>
    <cellStyle name="Normal 5 8 3 3" xfId="4987" xr:uid="{00000000-0005-0000-0000-000025760000}"/>
    <cellStyle name="Normal 5 8 3 3 2" xfId="13824" xr:uid="{00000000-0005-0000-0000-000026760000}"/>
    <cellStyle name="Normal 5 8 3 3 2 2" xfId="24075" xr:uid="{00000000-0005-0000-0000-000027760000}"/>
    <cellStyle name="Normal 5 8 3 3 2 2 2" xfId="49628" xr:uid="{00000000-0005-0000-0000-000028760000}"/>
    <cellStyle name="Normal 5 8 3 3 2 3" xfId="39379" xr:uid="{00000000-0005-0000-0000-000029760000}"/>
    <cellStyle name="Normal 5 8 3 3 3" xfId="10245" xr:uid="{00000000-0005-0000-0000-00002A760000}"/>
    <cellStyle name="Normal 5 8 3 3 3 2" xfId="35802" xr:uid="{00000000-0005-0000-0000-00002B760000}"/>
    <cellStyle name="Normal 5 8 3 3 4" xfId="19068" xr:uid="{00000000-0005-0000-0000-00002C760000}"/>
    <cellStyle name="Normal 5 8 3 3 4 2" xfId="44621" xr:uid="{00000000-0005-0000-0000-00002D760000}"/>
    <cellStyle name="Normal 5 8 3 3 5" xfId="30558" xr:uid="{00000000-0005-0000-0000-00002E760000}"/>
    <cellStyle name="Normal 5 8 3 4" xfId="2580" xr:uid="{00000000-0005-0000-0000-00002F760000}"/>
    <cellStyle name="Normal 5 8 3 4 2" xfId="11944" xr:uid="{00000000-0005-0000-0000-000030760000}"/>
    <cellStyle name="Normal 5 8 3 4 2 2" xfId="37499" xr:uid="{00000000-0005-0000-0000-000031760000}"/>
    <cellStyle name="Normal 5 8 3 4 3" xfId="21948" xr:uid="{00000000-0005-0000-0000-000032760000}"/>
    <cellStyle name="Normal 5 8 3 4 3 2" xfId="47501" xr:uid="{00000000-0005-0000-0000-000033760000}"/>
    <cellStyle name="Normal 5 8 3 4 4" xfId="28431" xr:uid="{00000000-0005-0000-0000-000034760000}"/>
    <cellStyle name="Normal 5 8 3 5" xfId="6442" xr:uid="{00000000-0005-0000-0000-000035760000}"/>
    <cellStyle name="Normal 5 8 3 5 2" xfId="15269" xr:uid="{00000000-0005-0000-0000-000036760000}"/>
    <cellStyle name="Normal 5 8 3 5 2 2" xfId="40824" xr:uid="{00000000-0005-0000-0000-000037760000}"/>
    <cellStyle name="Normal 5 8 3 5 3" xfId="25520" xr:uid="{00000000-0005-0000-0000-000038760000}"/>
    <cellStyle name="Normal 5 8 3 5 3 2" xfId="51073" xr:uid="{00000000-0005-0000-0000-000039760000}"/>
    <cellStyle name="Normal 5 8 3 5 4" xfId="32003" xr:uid="{00000000-0005-0000-0000-00003A760000}"/>
    <cellStyle name="Normal 5 8 3 6" xfId="7888" xr:uid="{00000000-0005-0000-0000-00003B760000}"/>
    <cellStyle name="Normal 5 8 3 6 2" xfId="20454" xr:uid="{00000000-0005-0000-0000-00003C760000}"/>
    <cellStyle name="Normal 5 8 3 6 2 2" xfId="46007" xr:uid="{00000000-0005-0000-0000-00003D760000}"/>
    <cellStyle name="Normal 5 8 3 6 3" xfId="33445" xr:uid="{00000000-0005-0000-0000-00003E760000}"/>
    <cellStyle name="Normal 5 8 3 7" xfId="16941" xr:uid="{00000000-0005-0000-0000-00003F760000}"/>
    <cellStyle name="Normal 5 8 3 7 2" xfId="42494" xr:uid="{00000000-0005-0000-0000-000040760000}"/>
    <cellStyle name="Normal 5 8 3 8" xfId="26937" xr:uid="{00000000-0005-0000-0000-000041760000}"/>
    <cellStyle name="Normal 5 8 4" xfId="2785" xr:uid="{00000000-0005-0000-0000-000042760000}"/>
    <cellStyle name="Normal 5 8 4 2" xfId="5163" xr:uid="{00000000-0005-0000-0000-000043760000}"/>
    <cellStyle name="Normal 5 8 4 2 2" xfId="14000" xr:uid="{00000000-0005-0000-0000-000044760000}"/>
    <cellStyle name="Normal 5 8 4 2 2 2" xfId="24251" xr:uid="{00000000-0005-0000-0000-000045760000}"/>
    <cellStyle name="Normal 5 8 4 2 2 2 2" xfId="49804" xr:uid="{00000000-0005-0000-0000-000046760000}"/>
    <cellStyle name="Normal 5 8 4 2 2 3" xfId="39555" xr:uid="{00000000-0005-0000-0000-000047760000}"/>
    <cellStyle name="Normal 5 8 4 2 3" xfId="10421" xr:uid="{00000000-0005-0000-0000-000048760000}"/>
    <cellStyle name="Normal 5 8 4 2 3 2" xfId="35978" xr:uid="{00000000-0005-0000-0000-000049760000}"/>
    <cellStyle name="Normal 5 8 4 2 4" xfId="19244" xr:uid="{00000000-0005-0000-0000-00004A760000}"/>
    <cellStyle name="Normal 5 8 4 2 4 2" xfId="44797" xr:uid="{00000000-0005-0000-0000-00004B760000}"/>
    <cellStyle name="Normal 5 8 4 2 5" xfId="30734" xr:uid="{00000000-0005-0000-0000-00004C760000}"/>
    <cellStyle name="Normal 5 8 4 3" xfId="6618" xr:uid="{00000000-0005-0000-0000-00004D760000}"/>
    <cellStyle name="Normal 5 8 4 3 2" xfId="15445" xr:uid="{00000000-0005-0000-0000-00004E760000}"/>
    <cellStyle name="Normal 5 8 4 3 2 2" xfId="41000" xr:uid="{00000000-0005-0000-0000-00004F760000}"/>
    <cellStyle name="Normal 5 8 4 3 3" xfId="25696" xr:uid="{00000000-0005-0000-0000-000050760000}"/>
    <cellStyle name="Normal 5 8 4 3 3 2" xfId="51249" xr:uid="{00000000-0005-0000-0000-000051760000}"/>
    <cellStyle name="Normal 5 8 4 3 4" xfId="32179" xr:uid="{00000000-0005-0000-0000-000052760000}"/>
    <cellStyle name="Normal 5 8 4 4" xfId="8064" xr:uid="{00000000-0005-0000-0000-000053760000}"/>
    <cellStyle name="Normal 5 8 4 4 2" xfId="22146" xr:uid="{00000000-0005-0000-0000-000054760000}"/>
    <cellStyle name="Normal 5 8 4 4 2 2" xfId="47699" xr:uid="{00000000-0005-0000-0000-000055760000}"/>
    <cellStyle name="Normal 5 8 4 4 3" xfId="33621" xr:uid="{00000000-0005-0000-0000-000056760000}"/>
    <cellStyle name="Normal 5 8 4 5" xfId="17139" xr:uid="{00000000-0005-0000-0000-000057760000}"/>
    <cellStyle name="Normal 5 8 4 5 2" xfId="42692" xr:uid="{00000000-0005-0000-0000-000058760000}"/>
    <cellStyle name="Normal 5 8 4 6" xfId="28629" xr:uid="{00000000-0005-0000-0000-000059760000}"/>
    <cellStyle name="Normal 5 8 5" xfId="4117" xr:uid="{00000000-0005-0000-0000-00005A760000}"/>
    <cellStyle name="Normal 5 8 5 2" xfId="12955" xr:uid="{00000000-0005-0000-0000-00005B760000}"/>
    <cellStyle name="Normal 5 8 5 2 2" xfId="23206" xr:uid="{00000000-0005-0000-0000-00005C760000}"/>
    <cellStyle name="Normal 5 8 5 2 2 2" xfId="48759" xr:uid="{00000000-0005-0000-0000-00005D760000}"/>
    <cellStyle name="Normal 5 8 5 2 3" xfId="38510" xr:uid="{00000000-0005-0000-0000-00005E760000}"/>
    <cellStyle name="Normal 5 8 5 3" xfId="9376" xr:uid="{00000000-0005-0000-0000-00005F760000}"/>
    <cellStyle name="Normal 5 8 5 3 2" xfId="34933" xr:uid="{00000000-0005-0000-0000-000060760000}"/>
    <cellStyle name="Normal 5 8 5 4" xfId="18199" xr:uid="{00000000-0005-0000-0000-000061760000}"/>
    <cellStyle name="Normal 5 8 5 4 2" xfId="43752" xr:uid="{00000000-0005-0000-0000-000062760000}"/>
    <cellStyle name="Normal 5 8 5 5" xfId="29689" xr:uid="{00000000-0005-0000-0000-000063760000}"/>
    <cellStyle name="Normal 5 8 6" xfId="1894" xr:uid="{00000000-0005-0000-0000-000064760000}"/>
    <cellStyle name="Normal 5 8 6 2" xfId="11259" xr:uid="{00000000-0005-0000-0000-000065760000}"/>
    <cellStyle name="Normal 5 8 6 2 2" xfId="36814" xr:uid="{00000000-0005-0000-0000-000066760000}"/>
    <cellStyle name="Normal 5 8 6 3" xfId="21263" xr:uid="{00000000-0005-0000-0000-000067760000}"/>
    <cellStyle name="Normal 5 8 6 3 2" xfId="46816" xr:uid="{00000000-0005-0000-0000-000068760000}"/>
    <cellStyle name="Normal 5 8 6 4" xfId="27746" xr:uid="{00000000-0005-0000-0000-000069760000}"/>
    <cellStyle name="Normal 5 8 7" xfId="5575" xr:uid="{00000000-0005-0000-0000-00006A760000}"/>
    <cellStyle name="Normal 5 8 7 2" xfId="14402" xr:uid="{00000000-0005-0000-0000-00006B760000}"/>
    <cellStyle name="Normal 5 8 7 2 2" xfId="39957" xr:uid="{00000000-0005-0000-0000-00006C760000}"/>
    <cellStyle name="Normal 5 8 7 3" xfId="24653" xr:uid="{00000000-0005-0000-0000-00006D760000}"/>
    <cellStyle name="Normal 5 8 7 3 2" xfId="50206" xr:uid="{00000000-0005-0000-0000-00006E760000}"/>
    <cellStyle name="Normal 5 8 7 4" xfId="31136" xr:uid="{00000000-0005-0000-0000-00006F760000}"/>
    <cellStyle name="Normal 5 8 8" xfId="7019" xr:uid="{00000000-0005-0000-0000-000070760000}"/>
    <cellStyle name="Normal 5 8 8 2" xfId="19745" xr:uid="{00000000-0005-0000-0000-000071760000}"/>
    <cellStyle name="Normal 5 8 8 2 2" xfId="45298" xr:uid="{00000000-0005-0000-0000-000072760000}"/>
    <cellStyle name="Normal 5 8 8 3" xfId="32576" xr:uid="{00000000-0005-0000-0000-000073760000}"/>
    <cellStyle name="Normal 5 8 9" xfId="16256" xr:uid="{00000000-0005-0000-0000-000074760000}"/>
    <cellStyle name="Normal 5 8 9 2" xfId="41809" xr:uid="{00000000-0005-0000-0000-000075760000}"/>
    <cellStyle name="Normal 5 8_Degree data" xfId="3930" xr:uid="{00000000-0005-0000-0000-000076760000}"/>
    <cellStyle name="Normal 5 9" xfId="782" xr:uid="{00000000-0005-0000-0000-000077760000}"/>
    <cellStyle name="Normal 5 9 2" xfId="3267" xr:uid="{00000000-0005-0000-0000-000078760000}"/>
    <cellStyle name="Normal 5 9 2 2" xfId="12409" xr:uid="{00000000-0005-0000-0000-000079760000}"/>
    <cellStyle name="Normal 5 9 2 2 2" xfId="22628" xr:uid="{00000000-0005-0000-0000-00007A760000}"/>
    <cellStyle name="Normal 5 9 2 2 2 2" xfId="48181" xr:uid="{00000000-0005-0000-0000-00007B760000}"/>
    <cellStyle name="Normal 5 9 2 2 3" xfId="37964" xr:uid="{00000000-0005-0000-0000-00007C760000}"/>
    <cellStyle name="Normal 5 9 2 3" xfId="8831" xr:uid="{00000000-0005-0000-0000-00007D760000}"/>
    <cellStyle name="Normal 5 9 2 3 2" xfId="34388" xr:uid="{00000000-0005-0000-0000-00007E760000}"/>
    <cellStyle name="Normal 5 9 2 4" xfId="17621" xr:uid="{00000000-0005-0000-0000-00007F760000}"/>
    <cellStyle name="Normal 5 9 2 4 2" xfId="43174" xr:uid="{00000000-0005-0000-0000-000080760000}"/>
    <cellStyle name="Normal 5 9 2 5" xfId="29111" xr:uid="{00000000-0005-0000-0000-000081760000}"/>
    <cellStyle name="Normal 5 9 3" xfId="4596" xr:uid="{00000000-0005-0000-0000-000082760000}"/>
    <cellStyle name="Normal 5 9 3 2" xfId="13434" xr:uid="{00000000-0005-0000-0000-000083760000}"/>
    <cellStyle name="Normal 5 9 3 2 2" xfId="23685" xr:uid="{00000000-0005-0000-0000-000084760000}"/>
    <cellStyle name="Normal 5 9 3 2 2 2" xfId="49238" xr:uid="{00000000-0005-0000-0000-000085760000}"/>
    <cellStyle name="Normal 5 9 3 2 3" xfId="38989" xr:uid="{00000000-0005-0000-0000-000086760000}"/>
    <cellStyle name="Normal 5 9 3 3" xfId="9855" xr:uid="{00000000-0005-0000-0000-000087760000}"/>
    <cellStyle name="Normal 5 9 3 3 2" xfId="35412" xr:uid="{00000000-0005-0000-0000-000088760000}"/>
    <cellStyle name="Normal 5 9 3 4" xfId="18678" xr:uid="{00000000-0005-0000-0000-000089760000}"/>
    <cellStyle name="Normal 5 9 3 4 2" xfId="44231" xr:uid="{00000000-0005-0000-0000-00008A760000}"/>
    <cellStyle name="Normal 5 9 3 5" xfId="30168" xr:uid="{00000000-0005-0000-0000-00008B760000}"/>
    <cellStyle name="Normal 5 9 4" xfId="2376" xr:uid="{00000000-0005-0000-0000-00008C760000}"/>
    <cellStyle name="Normal 5 9 4 2" xfId="11741" xr:uid="{00000000-0005-0000-0000-00008D760000}"/>
    <cellStyle name="Normal 5 9 4 2 2" xfId="37296" xr:uid="{00000000-0005-0000-0000-00008E760000}"/>
    <cellStyle name="Normal 5 9 4 3" xfId="21745" xr:uid="{00000000-0005-0000-0000-00008F760000}"/>
    <cellStyle name="Normal 5 9 4 3 2" xfId="47298" xr:uid="{00000000-0005-0000-0000-000090760000}"/>
    <cellStyle name="Normal 5 9 4 4" xfId="28228" xr:uid="{00000000-0005-0000-0000-000091760000}"/>
    <cellStyle name="Normal 5 9 5" xfId="6052" xr:uid="{00000000-0005-0000-0000-000092760000}"/>
    <cellStyle name="Normal 5 9 5 2" xfId="14879" xr:uid="{00000000-0005-0000-0000-000093760000}"/>
    <cellStyle name="Normal 5 9 5 2 2" xfId="40434" xr:uid="{00000000-0005-0000-0000-000094760000}"/>
    <cellStyle name="Normal 5 9 5 3" xfId="25130" xr:uid="{00000000-0005-0000-0000-000095760000}"/>
    <cellStyle name="Normal 5 9 5 3 2" xfId="50683" xr:uid="{00000000-0005-0000-0000-000096760000}"/>
    <cellStyle name="Normal 5 9 5 4" xfId="31613" xr:uid="{00000000-0005-0000-0000-000097760000}"/>
    <cellStyle name="Normal 5 9 6" xfId="7497" xr:uid="{00000000-0005-0000-0000-000098760000}"/>
    <cellStyle name="Normal 5 9 6 2" xfId="20227" xr:uid="{00000000-0005-0000-0000-000099760000}"/>
    <cellStyle name="Normal 5 9 6 2 2" xfId="45780" xr:uid="{00000000-0005-0000-0000-00009A760000}"/>
    <cellStyle name="Normal 5 9 6 3" xfId="33054" xr:uid="{00000000-0005-0000-0000-00009B760000}"/>
    <cellStyle name="Normal 5 9 7" xfId="16738" xr:uid="{00000000-0005-0000-0000-00009C760000}"/>
    <cellStyle name="Normal 5 9 7 2" xfId="42291" xr:uid="{00000000-0005-0000-0000-00009D760000}"/>
    <cellStyle name="Normal 5 9 8" xfId="26710" xr:uid="{00000000-0005-0000-0000-00009E760000}"/>
    <cellStyle name="Normal 5_Degree data" xfId="3833" xr:uid="{00000000-0005-0000-0000-00009F760000}"/>
    <cellStyle name="Normal 50" xfId="90" xr:uid="{00000000-0005-0000-0000-0000A0760000}"/>
    <cellStyle name="Normal 51" xfId="91" xr:uid="{00000000-0005-0000-0000-0000A1760000}"/>
    <cellStyle name="Normal 510" xfId="26040" xr:uid="{00000000-0005-0000-0000-0000A2760000}"/>
    <cellStyle name="Normal 510 2" xfId="51593" xr:uid="{00000000-0005-0000-0000-0000A3760000}"/>
    <cellStyle name="Normal 511" xfId="26038" xr:uid="{00000000-0005-0000-0000-0000A4760000}"/>
    <cellStyle name="Normal 511 2" xfId="51591" xr:uid="{00000000-0005-0000-0000-0000A5760000}"/>
    <cellStyle name="Normal 512" xfId="26039" xr:uid="{00000000-0005-0000-0000-0000A6760000}"/>
    <cellStyle name="Normal 512 2" xfId="51592" xr:uid="{00000000-0005-0000-0000-0000A7760000}"/>
    <cellStyle name="Normal 514" xfId="26041" xr:uid="{00000000-0005-0000-0000-0000A8760000}"/>
    <cellStyle name="Normal 514 2" xfId="51594" xr:uid="{00000000-0005-0000-0000-0000A9760000}"/>
    <cellStyle name="Normal 515" xfId="26042" xr:uid="{00000000-0005-0000-0000-0000AA760000}"/>
    <cellStyle name="Normal 515 2" xfId="51595" xr:uid="{00000000-0005-0000-0000-0000AB760000}"/>
    <cellStyle name="Normal 516" xfId="26043" xr:uid="{00000000-0005-0000-0000-0000AC760000}"/>
    <cellStyle name="Normal 516 2" xfId="51596" xr:uid="{00000000-0005-0000-0000-0000AD760000}"/>
    <cellStyle name="Normal 517" xfId="26044" xr:uid="{00000000-0005-0000-0000-0000AE760000}"/>
    <cellStyle name="Normal 517 2" xfId="51597" xr:uid="{00000000-0005-0000-0000-0000AF760000}"/>
    <cellStyle name="Normal 518" xfId="26045" xr:uid="{00000000-0005-0000-0000-0000B0760000}"/>
    <cellStyle name="Normal 518 2" xfId="51598" xr:uid="{00000000-0005-0000-0000-0000B1760000}"/>
    <cellStyle name="Normal 52" xfId="86" xr:uid="{00000000-0005-0000-0000-0000B2760000}"/>
    <cellStyle name="Normal 520" xfId="26047" xr:uid="{00000000-0005-0000-0000-0000B3760000}"/>
    <cellStyle name="Normal 520 2" xfId="51600" xr:uid="{00000000-0005-0000-0000-0000B4760000}"/>
    <cellStyle name="Normal 521" xfId="26046" xr:uid="{00000000-0005-0000-0000-0000B5760000}"/>
    <cellStyle name="Normal 521 2" xfId="51599" xr:uid="{00000000-0005-0000-0000-0000B6760000}"/>
    <cellStyle name="Normal 53" xfId="9" xr:uid="{00000000-0005-0000-0000-0000B7760000}"/>
    <cellStyle name="Normal 54" xfId="10" xr:uid="{00000000-0005-0000-0000-0000B8760000}"/>
    <cellStyle name="Normal 55" xfId="11" xr:uid="{00000000-0005-0000-0000-0000B9760000}"/>
    <cellStyle name="Normal 56" xfId="43" xr:uid="{00000000-0005-0000-0000-0000BA760000}"/>
    <cellStyle name="Normal 57" xfId="26" xr:uid="{00000000-0005-0000-0000-0000BB760000}"/>
    <cellStyle name="Normal 57 10" xfId="279" xr:uid="{00000000-0005-0000-0000-0000BC760000}"/>
    <cellStyle name="Normal 57 10 10" xfId="16067" xr:uid="{00000000-0005-0000-0000-0000BD760000}"/>
    <cellStyle name="Normal 57 10 10 2" xfId="41620" xr:uid="{00000000-0005-0000-0000-0000BE760000}"/>
    <cellStyle name="Normal 57 10 11" xfId="26213" xr:uid="{00000000-0005-0000-0000-0000BF760000}"/>
    <cellStyle name="Normal 57 10 2" xfId="601" xr:uid="{00000000-0005-0000-0000-0000C0760000}"/>
    <cellStyle name="Normal 57 10 2 2" xfId="3087" xr:uid="{00000000-0005-0000-0000-0000C1760000}"/>
    <cellStyle name="Normal 57 10 2 2 2" xfId="12230" xr:uid="{00000000-0005-0000-0000-0000C2760000}"/>
    <cellStyle name="Normal 57 10 2 2 2 2" xfId="22448" xr:uid="{00000000-0005-0000-0000-0000C3760000}"/>
    <cellStyle name="Normal 57 10 2 2 2 2 2" xfId="48001" xr:uid="{00000000-0005-0000-0000-0000C4760000}"/>
    <cellStyle name="Normal 57 10 2 2 2 3" xfId="37785" xr:uid="{00000000-0005-0000-0000-0000C5760000}"/>
    <cellStyle name="Normal 57 10 2 2 3" xfId="8652" xr:uid="{00000000-0005-0000-0000-0000C6760000}"/>
    <cellStyle name="Normal 57 10 2 2 3 2" xfId="34209" xr:uid="{00000000-0005-0000-0000-0000C7760000}"/>
    <cellStyle name="Normal 57 10 2 2 4" xfId="17441" xr:uid="{00000000-0005-0000-0000-0000C8760000}"/>
    <cellStyle name="Normal 57 10 2 2 4 2" xfId="42994" xr:uid="{00000000-0005-0000-0000-0000C9760000}"/>
    <cellStyle name="Normal 57 10 2 2 5" xfId="28931" xr:uid="{00000000-0005-0000-0000-0000CA760000}"/>
    <cellStyle name="Normal 57 10 2 3" xfId="4640" xr:uid="{00000000-0005-0000-0000-0000CB760000}"/>
    <cellStyle name="Normal 57 10 2 3 2" xfId="13478" xr:uid="{00000000-0005-0000-0000-0000CC760000}"/>
    <cellStyle name="Normal 57 10 2 3 2 2" xfId="23729" xr:uid="{00000000-0005-0000-0000-0000CD760000}"/>
    <cellStyle name="Normal 57 10 2 3 2 2 2" xfId="49282" xr:uid="{00000000-0005-0000-0000-0000CE760000}"/>
    <cellStyle name="Normal 57 10 2 3 2 3" xfId="39033" xr:uid="{00000000-0005-0000-0000-0000CF760000}"/>
    <cellStyle name="Normal 57 10 2 3 3" xfId="9899" xr:uid="{00000000-0005-0000-0000-0000D0760000}"/>
    <cellStyle name="Normal 57 10 2 3 3 2" xfId="35456" xr:uid="{00000000-0005-0000-0000-0000D1760000}"/>
    <cellStyle name="Normal 57 10 2 3 4" xfId="18722" xr:uid="{00000000-0005-0000-0000-0000D2760000}"/>
    <cellStyle name="Normal 57 10 2 3 4 2" xfId="44275" xr:uid="{00000000-0005-0000-0000-0000D3760000}"/>
    <cellStyle name="Normal 57 10 2 3 5" xfId="30212" xr:uid="{00000000-0005-0000-0000-0000D4760000}"/>
    <cellStyle name="Normal 57 10 2 4" xfId="2196" xr:uid="{00000000-0005-0000-0000-0000D5760000}"/>
    <cellStyle name="Normal 57 10 2 4 2" xfId="11561" xr:uid="{00000000-0005-0000-0000-0000D6760000}"/>
    <cellStyle name="Normal 57 10 2 4 2 2" xfId="37116" xr:uid="{00000000-0005-0000-0000-0000D7760000}"/>
    <cellStyle name="Normal 57 10 2 4 3" xfId="21565" xr:uid="{00000000-0005-0000-0000-0000D8760000}"/>
    <cellStyle name="Normal 57 10 2 4 3 2" xfId="47118" xr:uid="{00000000-0005-0000-0000-0000D9760000}"/>
    <cellStyle name="Normal 57 10 2 4 4" xfId="28048" xr:uid="{00000000-0005-0000-0000-0000DA760000}"/>
    <cellStyle name="Normal 57 10 2 5" xfId="6096" xr:uid="{00000000-0005-0000-0000-0000DB760000}"/>
    <cellStyle name="Normal 57 10 2 5 2" xfId="14923" xr:uid="{00000000-0005-0000-0000-0000DC760000}"/>
    <cellStyle name="Normal 57 10 2 5 2 2" xfId="40478" xr:uid="{00000000-0005-0000-0000-0000DD760000}"/>
    <cellStyle name="Normal 57 10 2 5 3" xfId="25174" xr:uid="{00000000-0005-0000-0000-0000DE760000}"/>
    <cellStyle name="Normal 57 10 2 5 3 2" xfId="50727" xr:uid="{00000000-0005-0000-0000-0000DF760000}"/>
    <cellStyle name="Normal 57 10 2 5 4" xfId="31657" xr:uid="{00000000-0005-0000-0000-0000E0760000}"/>
    <cellStyle name="Normal 57 10 2 6" xfId="7541" xr:uid="{00000000-0005-0000-0000-0000E1760000}"/>
    <cellStyle name="Normal 57 10 2 6 2" xfId="20047" xr:uid="{00000000-0005-0000-0000-0000E2760000}"/>
    <cellStyle name="Normal 57 10 2 6 2 2" xfId="45600" xr:uid="{00000000-0005-0000-0000-0000E3760000}"/>
    <cellStyle name="Normal 57 10 2 6 3" xfId="33098" xr:uid="{00000000-0005-0000-0000-0000E4760000}"/>
    <cellStyle name="Normal 57 10 2 7" xfId="16558" xr:uid="{00000000-0005-0000-0000-0000E5760000}"/>
    <cellStyle name="Normal 57 10 2 7 2" xfId="42111" xr:uid="{00000000-0005-0000-0000-0000E6760000}"/>
    <cellStyle name="Normal 57 10 2 8" xfId="26530" xr:uid="{00000000-0005-0000-0000-0000E7760000}"/>
    <cellStyle name="Normal 57 10 3" xfId="826" xr:uid="{00000000-0005-0000-0000-0000E8760000}"/>
    <cellStyle name="Normal 57 10 3 2" xfId="3311" xr:uid="{00000000-0005-0000-0000-0000E9760000}"/>
    <cellStyle name="Normal 57 10 3 2 2" xfId="12453" xr:uid="{00000000-0005-0000-0000-0000EA760000}"/>
    <cellStyle name="Normal 57 10 3 2 2 2" xfId="22672" xr:uid="{00000000-0005-0000-0000-0000EB760000}"/>
    <cellStyle name="Normal 57 10 3 2 2 2 2" xfId="48225" xr:uid="{00000000-0005-0000-0000-0000EC760000}"/>
    <cellStyle name="Normal 57 10 3 2 2 3" xfId="38008" xr:uid="{00000000-0005-0000-0000-0000ED760000}"/>
    <cellStyle name="Normal 57 10 3 2 3" xfId="8875" xr:uid="{00000000-0005-0000-0000-0000EE760000}"/>
    <cellStyle name="Normal 57 10 3 2 3 2" xfId="34432" xr:uid="{00000000-0005-0000-0000-0000EF760000}"/>
    <cellStyle name="Normal 57 10 3 2 4" xfId="17665" xr:uid="{00000000-0005-0000-0000-0000F0760000}"/>
    <cellStyle name="Normal 57 10 3 2 4 2" xfId="43218" xr:uid="{00000000-0005-0000-0000-0000F1760000}"/>
    <cellStyle name="Normal 57 10 3 2 5" xfId="29155" xr:uid="{00000000-0005-0000-0000-0000F2760000}"/>
    <cellStyle name="Normal 57 10 3 3" xfId="4989" xr:uid="{00000000-0005-0000-0000-0000F3760000}"/>
    <cellStyle name="Normal 57 10 3 3 2" xfId="13826" xr:uid="{00000000-0005-0000-0000-0000F4760000}"/>
    <cellStyle name="Normal 57 10 3 3 2 2" xfId="24077" xr:uid="{00000000-0005-0000-0000-0000F5760000}"/>
    <cellStyle name="Normal 57 10 3 3 2 2 2" xfId="49630" xr:uid="{00000000-0005-0000-0000-0000F6760000}"/>
    <cellStyle name="Normal 57 10 3 3 2 3" xfId="39381" xr:uid="{00000000-0005-0000-0000-0000F7760000}"/>
    <cellStyle name="Normal 57 10 3 3 3" xfId="10247" xr:uid="{00000000-0005-0000-0000-0000F8760000}"/>
    <cellStyle name="Normal 57 10 3 3 3 2" xfId="35804" xr:uid="{00000000-0005-0000-0000-0000F9760000}"/>
    <cellStyle name="Normal 57 10 3 3 4" xfId="19070" xr:uid="{00000000-0005-0000-0000-0000FA760000}"/>
    <cellStyle name="Normal 57 10 3 3 4 2" xfId="44623" xr:uid="{00000000-0005-0000-0000-0000FB760000}"/>
    <cellStyle name="Normal 57 10 3 3 5" xfId="30560" xr:uid="{00000000-0005-0000-0000-0000FC760000}"/>
    <cellStyle name="Normal 57 10 3 4" xfId="2420" xr:uid="{00000000-0005-0000-0000-0000FD760000}"/>
    <cellStyle name="Normal 57 10 3 4 2" xfId="11785" xr:uid="{00000000-0005-0000-0000-0000FE760000}"/>
    <cellStyle name="Normal 57 10 3 4 2 2" xfId="37340" xr:uid="{00000000-0005-0000-0000-0000FF760000}"/>
    <cellStyle name="Normal 57 10 3 4 3" xfId="21789" xr:uid="{00000000-0005-0000-0000-000000770000}"/>
    <cellStyle name="Normal 57 10 3 4 3 2" xfId="47342" xr:uid="{00000000-0005-0000-0000-000001770000}"/>
    <cellStyle name="Normal 57 10 3 4 4" xfId="28272" xr:uid="{00000000-0005-0000-0000-000002770000}"/>
    <cellStyle name="Normal 57 10 3 5" xfId="6444" xr:uid="{00000000-0005-0000-0000-000003770000}"/>
    <cellStyle name="Normal 57 10 3 5 2" xfId="15271" xr:uid="{00000000-0005-0000-0000-000004770000}"/>
    <cellStyle name="Normal 57 10 3 5 2 2" xfId="40826" xr:uid="{00000000-0005-0000-0000-000005770000}"/>
    <cellStyle name="Normal 57 10 3 5 3" xfId="25522" xr:uid="{00000000-0005-0000-0000-000006770000}"/>
    <cellStyle name="Normal 57 10 3 5 3 2" xfId="51075" xr:uid="{00000000-0005-0000-0000-000007770000}"/>
    <cellStyle name="Normal 57 10 3 5 4" xfId="32005" xr:uid="{00000000-0005-0000-0000-000008770000}"/>
    <cellStyle name="Normal 57 10 3 6" xfId="7890" xr:uid="{00000000-0005-0000-0000-000009770000}"/>
    <cellStyle name="Normal 57 10 3 6 2" xfId="20271" xr:uid="{00000000-0005-0000-0000-00000A770000}"/>
    <cellStyle name="Normal 57 10 3 6 2 2" xfId="45824" xr:uid="{00000000-0005-0000-0000-00000B770000}"/>
    <cellStyle name="Normal 57 10 3 6 3" xfId="33447" xr:uid="{00000000-0005-0000-0000-00000C770000}"/>
    <cellStyle name="Normal 57 10 3 7" xfId="16782" xr:uid="{00000000-0005-0000-0000-00000D770000}"/>
    <cellStyle name="Normal 57 10 3 7 2" xfId="42335" xr:uid="{00000000-0005-0000-0000-00000E770000}"/>
    <cellStyle name="Normal 57 10 3 8" xfId="26754" xr:uid="{00000000-0005-0000-0000-00000F770000}"/>
    <cellStyle name="Normal 57 10 4" xfId="1373" xr:uid="{00000000-0005-0000-0000-000010770000}"/>
    <cellStyle name="Normal 57 10 4 2" xfId="3802" xr:uid="{00000000-0005-0000-0000-000011770000}"/>
    <cellStyle name="Normal 57 10 4 2 2" xfId="12938" xr:uid="{00000000-0005-0000-0000-000012770000}"/>
    <cellStyle name="Normal 57 10 4 2 2 2" xfId="23157" xr:uid="{00000000-0005-0000-0000-000013770000}"/>
    <cellStyle name="Normal 57 10 4 2 2 2 2" xfId="48710" xr:uid="{00000000-0005-0000-0000-000014770000}"/>
    <cellStyle name="Normal 57 10 4 2 2 3" xfId="38493" xr:uid="{00000000-0005-0000-0000-000015770000}"/>
    <cellStyle name="Normal 57 10 4 2 3" xfId="9359" xr:uid="{00000000-0005-0000-0000-000016770000}"/>
    <cellStyle name="Normal 57 10 4 2 3 2" xfId="34916" xr:uid="{00000000-0005-0000-0000-000017770000}"/>
    <cellStyle name="Normal 57 10 4 2 4" xfId="18150" xr:uid="{00000000-0005-0000-0000-000018770000}"/>
    <cellStyle name="Normal 57 10 4 2 4 2" xfId="43703" xr:uid="{00000000-0005-0000-0000-000019770000}"/>
    <cellStyle name="Normal 57 10 4 2 5" xfId="29640" xr:uid="{00000000-0005-0000-0000-00001A770000}"/>
    <cellStyle name="Normal 57 10 4 3" xfId="5465" xr:uid="{00000000-0005-0000-0000-00001B770000}"/>
    <cellStyle name="Normal 57 10 4 3 2" xfId="14302" xr:uid="{00000000-0005-0000-0000-00001C770000}"/>
    <cellStyle name="Normal 57 10 4 3 2 2" xfId="24553" xr:uid="{00000000-0005-0000-0000-00001D770000}"/>
    <cellStyle name="Normal 57 10 4 3 2 2 2" xfId="50106" xr:uid="{00000000-0005-0000-0000-00001E770000}"/>
    <cellStyle name="Normal 57 10 4 3 2 3" xfId="39857" xr:uid="{00000000-0005-0000-0000-00001F770000}"/>
    <cellStyle name="Normal 57 10 4 3 3" xfId="10723" xr:uid="{00000000-0005-0000-0000-000020770000}"/>
    <cellStyle name="Normal 57 10 4 3 3 2" xfId="36280" xr:uid="{00000000-0005-0000-0000-000021770000}"/>
    <cellStyle name="Normal 57 10 4 3 4" xfId="19546" xr:uid="{00000000-0005-0000-0000-000022770000}"/>
    <cellStyle name="Normal 57 10 4 3 4 2" xfId="45099" xr:uid="{00000000-0005-0000-0000-000023770000}"/>
    <cellStyle name="Normal 57 10 4 3 5" xfId="31036" xr:uid="{00000000-0005-0000-0000-000024770000}"/>
    <cellStyle name="Normal 57 10 4 4" xfId="1876" xr:uid="{00000000-0005-0000-0000-000025770000}"/>
    <cellStyle name="Normal 57 10 4 4 2" xfId="11244" xr:uid="{00000000-0005-0000-0000-000026770000}"/>
    <cellStyle name="Normal 57 10 4 4 2 2" xfId="36799" xr:uid="{00000000-0005-0000-0000-000027770000}"/>
    <cellStyle name="Normal 57 10 4 4 3" xfId="21248" xr:uid="{00000000-0005-0000-0000-000028770000}"/>
    <cellStyle name="Normal 57 10 4 4 3 2" xfId="46801" xr:uid="{00000000-0005-0000-0000-000029770000}"/>
    <cellStyle name="Normal 57 10 4 4 4" xfId="27731" xr:uid="{00000000-0005-0000-0000-00002A770000}"/>
    <cellStyle name="Normal 57 10 4 5" xfId="6920" xr:uid="{00000000-0005-0000-0000-00002B770000}"/>
    <cellStyle name="Normal 57 10 4 5 2" xfId="15747" xr:uid="{00000000-0005-0000-0000-00002C770000}"/>
    <cellStyle name="Normal 57 10 4 5 2 2" xfId="41302" xr:uid="{00000000-0005-0000-0000-00002D770000}"/>
    <cellStyle name="Normal 57 10 4 5 3" xfId="25998" xr:uid="{00000000-0005-0000-0000-00002E770000}"/>
    <cellStyle name="Normal 57 10 4 5 3 2" xfId="51551" xr:uid="{00000000-0005-0000-0000-00002F770000}"/>
    <cellStyle name="Normal 57 10 4 5 4" xfId="32481" xr:uid="{00000000-0005-0000-0000-000030770000}"/>
    <cellStyle name="Normal 57 10 4 6" xfId="8366" xr:uid="{00000000-0005-0000-0000-000031770000}"/>
    <cellStyle name="Normal 57 10 4 6 2" xfId="20756" xr:uid="{00000000-0005-0000-0000-000032770000}"/>
    <cellStyle name="Normal 57 10 4 6 2 2" xfId="46309" xr:uid="{00000000-0005-0000-0000-000033770000}"/>
    <cellStyle name="Normal 57 10 4 6 3" xfId="33923" xr:uid="{00000000-0005-0000-0000-000034770000}"/>
    <cellStyle name="Normal 57 10 4 7" xfId="16241" xr:uid="{00000000-0005-0000-0000-000035770000}"/>
    <cellStyle name="Normal 57 10 4 7 2" xfId="41794" xr:uid="{00000000-0005-0000-0000-000036770000}"/>
    <cellStyle name="Normal 57 10 4 8" xfId="27239" xr:uid="{00000000-0005-0000-0000-000037770000}"/>
    <cellStyle name="Normal 57 10 5" xfId="2770" xr:uid="{00000000-0005-0000-0000-000038770000}"/>
    <cellStyle name="Normal 57 10 5 2" xfId="12087" xr:uid="{00000000-0005-0000-0000-000039770000}"/>
    <cellStyle name="Normal 57 10 5 2 2" xfId="22131" xr:uid="{00000000-0005-0000-0000-00003A770000}"/>
    <cellStyle name="Normal 57 10 5 2 2 2" xfId="47684" xr:uid="{00000000-0005-0000-0000-00003B770000}"/>
    <cellStyle name="Normal 57 10 5 2 3" xfId="37642" xr:uid="{00000000-0005-0000-0000-00003C770000}"/>
    <cellStyle name="Normal 57 10 5 3" xfId="8429" xr:uid="{00000000-0005-0000-0000-00003D770000}"/>
    <cellStyle name="Normal 57 10 5 3 2" xfId="33986" xr:uid="{00000000-0005-0000-0000-00003E770000}"/>
    <cellStyle name="Normal 57 10 5 4" xfId="17124" xr:uid="{00000000-0005-0000-0000-00003F770000}"/>
    <cellStyle name="Normal 57 10 5 4 2" xfId="42677" xr:uid="{00000000-0005-0000-0000-000040770000}"/>
    <cellStyle name="Normal 57 10 5 5" xfId="28614" xr:uid="{00000000-0005-0000-0000-000041770000}"/>
    <cellStyle name="Normal 57 10 6" xfId="4421" xr:uid="{00000000-0005-0000-0000-000042770000}"/>
    <cellStyle name="Normal 57 10 6 2" xfId="13259" xr:uid="{00000000-0005-0000-0000-000043770000}"/>
    <cellStyle name="Normal 57 10 6 2 2" xfId="23510" xr:uid="{00000000-0005-0000-0000-000044770000}"/>
    <cellStyle name="Normal 57 10 6 2 2 2" xfId="49063" xr:uid="{00000000-0005-0000-0000-000045770000}"/>
    <cellStyle name="Normal 57 10 6 2 3" xfId="38814" xr:uid="{00000000-0005-0000-0000-000046770000}"/>
    <cellStyle name="Normal 57 10 6 3" xfId="9680" xr:uid="{00000000-0005-0000-0000-000047770000}"/>
    <cellStyle name="Normal 57 10 6 3 2" xfId="35237" xr:uid="{00000000-0005-0000-0000-000048770000}"/>
    <cellStyle name="Normal 57 10 6 4" xfId="18503" xr:uid="{00000000-0005-0000-0000-000049770000}"/>
    <cellStyle name="Normal 57 10 6 4 2" xfId="44056" xr:uid="{00000000-0005-0000-0000-00004A770000}"/>
    <cellStyle name="Normal 57 10 6 5" xfId="29993" xr:uid="{00000000-0005-0000-0000-00004B770000}"/>
    <cellStyle name="Normal 57 10 7" xfId="1693" xr:uid="{00000000-0005-0000-0000-00004C770000}"/>
    <cellStyle name="Normal 57 10 7 2" xfId="11070" xr:uid="{00000000-0005-0000-0000-00004D770000}"/>
    <cellStyle name="Normal 57 10 7 2 2" xfId="36625" xr:uid="{00000000-0005-0000-0000-00004E770000}"/>
    <cellStyle name="Normal 57 10 7 3" xfId="21074" xr:uid="{00000000-0005-0000-0000-00004F770000}"/>
    <cellStyle name="Normal 57 10 7 3 2" xfId="46627" xr:uid="{00000000-0005-0000-0000-000050770000}"/>
    <cellStyle name="Normal 57 10 7 4" xfId="27557" xr:uid="{00000000-0005-0000-0000-000051770000}"/>
    <cellStyle name="Normal 57 10 8" xfId="5877" xr:uid="{00000000-0005-0000-0000-000052770000}"/>
    <cellStyle name="Normal 57 10 8 2" xfId="14704" xr:uid="{00000000-0005-0000-0000-000053770000}"/>
    <cellStyle name="Normal 57 10 8 2 2" xfId="40259" xr:uid="{00000000-0005-0000-0000-000054770000}"/>
    <cellStyle name="Normal 57 10 8 3" xfId="24955" xr:uid="{00000000-0005-0000-0000-000055770000}"/>
    <cellStyle name="Normal 57 10 8 3 2" xfId="50508" xr:uid="{00000000-0005-0000-0000-000056770000}"/>
    <cellStyle name="Normal 57 10 8 4" xfId="31438" xr:uid="{00000000-0005-0000-0000-000057770000}"/>
    <cellStyle name="Normal 57 10 9" xfId="7321" xr:uid="{00000000-0005-0000-0000-000058770000}"/>
    <cellStyle name="Normal 57 10 9 2" xfId="19730" xr:uid="{00000000-0005-0000-0000-000059770000}"/>
    <cellStyle name="Normal 57 10 9 2 2" xfId="45283" xr:uid="{00000000-0005-0000-0000-00005A770000}"/>
    <cellStyle name="Normal 57 10 9 3" xfId="32878" xr:uid="{00000000-0005-0000-0000-00005B770000}"/>
    <cellStyle name="Normal 57 10_Degree data" xfId="3932" xr:uid="{00000000-0005-0000-0000-00005C770000}"/>
    <cellStyle name="Normal 57 11" xfId="440" xr:uid="{00000000-0005-0000-0000-00005D770000}"/>
    <cellStyle name="Normal 57 11 10" xfId="26369" xr:uid="{00000000-0005-0000-0000-00005E770000}"/>
    <cellStyle name="Normal 57 11 2" xfId="827" xr:uid="{00000000-0005-0000-0000-00005F770000}"/>
    <cellStyle name="Normal 57 11 2 2" xfId="3312" xr:uid="{00000000-0005-0000-0000-000060770000}"/>
    <cellStyle name="Normal 57 11 2 2 2" xfId="12454" xr:uid="{00000000-0005-0000-0000-000061770000}"/>
    <cellStyle name="Normal 57 11 2 2 2 2" xfId="22673" xr:uid="{00000000-0005-0000-0000-000062770000}"/>
    <cellStyle name="Normal 57 11 2 2 2 2 2" xfId="48226" xr:uid="{00000000-0005-0000-0000-000063770000}"/>
    <cellStyle name="Normal 57 11 2 2 2 3" xfId="38009" xr:uid="{00000000-0005-0000-0000-000064770000}"/>
    <cellStyle name="Normal 57 11 2 2 3" xfId="8876" xr:uid="{00000000-0005-0000-0000-000065770000}"/>
    <cellStyle name="Normal 57 11 2 2 3 2" xfId="34433" xr:uid="{00000000-0005-0000-0000-000066770000}"/>
    <cellStyle name="Normal 57 11 2 2 4" xfId="17666" xr:uid="{00000000-0005-0000-0000-000067770000}"/>
    <cellStyle name="Normal 57 11 2 2 4 2" xfId="43219" xr:uid="{00000000-0005-0000-0000-000068770000}"/>
    <cellStyle name="Normal 57 11 2 2 5" xfId="29156" xr:uid="{00000000-0005-0000-0000-000069770000}"/>
    <cellStyle name="Normal 57 11 2 3" xfId="4641" xr:uid="{00000000-0005-0000-0000-00006A770000}"/>
    <cellStyle name="Normal 57 11 2 3 2" xfId="13479" xr:uid="{00000000-0005-0000-0000-00006B770000}"/>
    <cellStyle name="Normal 57 11 2 3 2 2" xfId="23730" xr:uid="{00000000-0005-0000-0000-00006C770000}"/>
    <cellStyle name="Normal 57 11 2 3 2 2 2" xfId="49283" xr:uid="{00000000-0005-0000-0000-00006D770000}"/>
    <cellStyle name="Normal 57 11 2 3 2 3" xfId="39034" xr:uid="{00000000-0005-0000-0000-00006E770000}"/>
    <cellStyle name="Normal 57 11 2 3 3" xfId="9900" xr:uid="{00000000-0005-0000-0000-00006F770000}"/>
    <cellStyle name="Normal 57 11 2 3 3 2" xfId="35457" xr:uid="{00000000-0005-0000-0000-000070770000}"/>
    <cellStyle name="Normal 57 11 2 3 4" xfId="18723" xr:uid="{00000000-0005-0000-0000-000071770000}"/>
    <cellStyle name="Normal 57 11 2 3 4 2" xfId="44276" xr:uid="{00000000-0005-0000-0000-000072770000}"/>
    <cellStyle name="Normal 57 11 2 3 5" xfId="30213" xr:uid="{00000000-0005-0000-0000-000073770000}"/>
    <cellStyle name="Normal 57 11 2 4" xfId="2421" xr:uid="{00000000-0005-0000-0000-000074770000}"/>
    <cellStyle name="Normal 57 11 2 4 2" xfId="11786" xr:uid="{00000000-0005-0000-0000-000075770000}"/>
    <cellStyle name="Normal 57 11 2 4 2 2" xfId="37341" xr:uid="{00000000-0005-0000-0000-000076770000}"/>
    <cellStyle name="Normal 57 11 2 4 3" xfId="21790" xr:uid="{00000000-0005-0000-0000-000077770000}"/>
    <cellStyle name="Normal 57 11 2 4 3 2" xfId="47343" xr:uid="{00000000-0005-0000-0000-000078770000}"/>
    <cellStyle name="Normal 57 11 2 4 4" xfId="28273" xr:uid="{00000000-0005-0000-0000-000079770000}"/>
    <cellStyle name="Normal 57 11 2 5" xfId="6097" xr:uid="{00000000-0005-0000-0000-00007A770000}"/>
    <cellStyle name="Normal 57 11 2 5 2" xfId="14924" xr:uid="{00000000-0005-0000-0000-00007B770000}"/>
    <cellStyle name="Normal 57 11 2 5 2 2" xfId="40479" xr:uid="{00000000-0005-0000-0000-00007C770000}"/>
    <cellStyle name="Normal 57 11 2 5 3" xfId="25175" xr:uid="{00000000-0005-0000-0000-00007D770000}"/>
    <cellStyle name="Normal 57 11 2 5 3 2" xfId="50728" xr:uid="{00000000-0005-0000-0000-00007E770000}"/>
    <cellStyle name="Normal 57 11 2 5 4" xfId="31658" xr:uid="{00000000-0005-0000-0000-00007F770000}"/>
    <cellStyle name="Normal 57 11 2 6" xfId="7542" xr:uid="{00000000-0005-0000-0000-000080770000}"/>
    <cellStyle name="Normal 57 11 2 6 2" xfId="20272" xr:uid="{00000000-0005-0000-0000-000081770000}"/>
    <cellStyle name="Normal 57 11 2 6 2 2" xfId="45825" xr:uid="{00000000-0005-0000-0000-000082770000}"/>
    <cellStyle name="Normal 57 11 2 6 3" xfId="33099" xr:uid="{00000000-0005-0000-0000-000083770000}"/>
    <cellStyle name="Normal 57 11 2 7" xfId="16783" xr:uid="{00000000-0005-0000-0000-000084770000}"/>
    <cellStyle name="Normal 57 11 2 7 2" xfId="42336" xr:uid="{00000000-0005-0000-0000-000085770000}"/>
    <cellStyle name="Normal 57 11 2 8" xfId="26755" xr:uid="{00000000-0005-0000-0000-000086770000}"/>
    <cellStyle name="Normal 57 11 3" xfId="1212" xr:uid="{00000000-0005-0000-0000-000087770000}"/>
    <cellStyle name="Normal 57 11 3 2" xfId="3641" xr:uid="{00000000-0005-0000-0000-000088770000}"/>
    <cellStyle name="Normal 57 11 3 2 2" xfId="12777" xr:uid="{00000000-0005-0000-0000-000089770000}"/>
    <cellStyle name="Normal 57 11 3 2 2 2" xfId="22996" xr:uid="{00000000-0005-0000-0000-00008A770000}"/>
    <cellStyle name="Normal 57 11 3 2 2 2 2" xfId="48549" xr:uid="{00000000-0005-0000-0000-00008B770000}"/>
    <cellStyle name="Normal 57 11 3 2 2 3" xfId="38332" xr:uid="{00000000-0005-0000-0000-00008C770000}"/>
    <cellStyle name="Normal 57 11 3 2 3" xfId="9198" xr:uid="{00000000-0005-0000-0000-00008D770000}"/>
    <cellStyle name="Normal 57 11 3 2 3 2" xfId="34755" xr:uid="{00000000-0005-0000-0000-00008E770000}"/>
    <cellStyle name="Normal 57 11 3 2 4" xfId="17989" xr:uid="{00000000-0005-0000-0000-00008F770000}"/>
    <cellStyle name="Normal 57 11 3 2 4 2" xfId="43542" xr:uid="{00000000-0005-0000-0000-000090770000}"/>
    <cellStyle name="Normal 57 11 3 2 5" xfId="29479" xr:uid="{00000000-0005-0000-0000-000091770000}"/>
    <cellStyle name="Normal 57 11 3 3" xfId="4990" xr:uid="{00000000-0005-0000-0000-000092770000}"/>
    <cellStyle name="Normal 57 11 3 3 2" xfId="13827" xr:uid="{00000000-0005-0000-0000-000093770000}"/>
    <cellStyle name="Normal 57 11 3 3 2 2" xfId="24078" xr:uid="{00000000-0005-0000-0000-000094770000}"/>
    <cellStyle name="Normal 57 11 3 3 2 2 2" xfId="49631" xr:uid="{00000000-0005-0000-0000-000095770000}"/>
    <cellStyle name="Normal 57 11 3 3 2 3" xfId="39382" xr:uid="{00000000-0005-0000-0000-000096770000}"/>
    <cellStyle name="Normal 57 11 3 3 3" xfId="10248" xr:uid="{00000000-0005-0000-0000-000097770000}"/>
    <cellStyle name="Normal 57 11 3 3 3 2" xfId="35805" xr:uid="{00000000-0005-0000-0000-000098770000}"/>
    <cellStyle name="Normal 57 11 3 3 4" xfId="19071" xr:uid="{00000000-0005-0000-0000-000099770000}"/>
    <cellStyle name="Normal 57 11 3 3 4 2" xfId="44624" xr:uid="{00000000-0005-0000-0000-00009A770000}"/>
    <cellStyle name="Normal 57 11 3 3 5" xfId="30561" xr:uid="{00000000-0005-0000-0000-00009B770000}"/>
    <cellStyle name="Normal 57 11 3 4" xfId="2035" xr:uid="{00000000-0005-0000-0000-00009C770000}"/>
    <cellStyle name="Normal 57 11 3 4 2" xfId="11400" xr:uid="{00000000-0005-0000-0000-00009D770000}"/>
    <cellStyle name="Normal 57 11 3 4 2 2" xfId="36955" xr:uid="{00000000-0005-0000-0000-00009E770000}"/>
    <cellStyle name="Normal 57 11 3 4 3" xfId="21404" xr:uid="{00000000-0005-0000-0000-00009F770000}"/>
    <cellStyle name="Normal 57 11 3 4 3 2" xfId="46957" xr:uid="{00000000-0005-0000-0000-0000A0770000}"/>
    <cellStyle name="Normal 57 11 3 4 4" xfId="27887" xr:uid="{00000000-0005-0000-0000-0000A1770000}"/>
    <cellStyle name="Normal 57 11 3 5" xfId="6445" xr:uid="{00000000-0005-0000-0000-0000A2770000}"/>
    <cellStyle name="Normal 57 11 3 5 2" xfId="15272" xr:uid="{00000000-0005-0000-0000-0000A3770000}"/>
    <cellStyle name="Normal 57 11 3 5 2 2" xfId="40827" xr:uid="{00000000-0005-0000-0000-0000A4770000}"/>
    <cellStyle name="Normal 57 11 3 5 3" xfId="25523" xr:uid="{00000000-0005-0000-0000-0000A5770000}"/>
    <cellStyle name="Normal 57 11 3 5 3 2" xfId="51076" xr:uid="{00000000-0005-0000-0000-0000A6770000}"/>
    <cellStyle name="Normal 57 11 3 5 4" xfId="32006" xr:uid="{00000000-0005-0000-0000-0000A7770000}"/>
    <cellStyle name="Normal 57 11 3 6" xfId="7891" xr:uid="{00000000-0005-0000-0000-0000A8770000}"/>
    <cellStyle name="Normal 57 11 3 6 2" xfId="20595" xr:uid="{00000000-0005-0000-0000-0000A9770000}"/>
    <cellStyle name="Normal 57 11 3 6 2 2" xfId="46148" xr:uid="{00000000-0005-0000-0000-0000AA770000}"/>
    <cellStyle name="Normal 57 11 3 6 3" xfId="33448" xr:uid="{00000000-0005-0000-0000-0000AB770000}"/>
    <cellStyle name="Normal 57 11 3 7" xfId="16397" xr:uid="{00000000-0005-0000-0000-0000AC770000}"/>
    <cellStyle name="Normal 57 11 3 7 2" xfId="41950" xr:uid="{00000000-0005-0000-0000-0000AD770000}"/>
    <cellStyle name="Normal 57 11 3 8" xfId="27078" xr:uid="{00000000-0005-0000-0000-0000AE770000}"/>
    <cellStyle name="Normal 57 11 4" xfId="2926" xr:uid="{00000000-0005-0000-0000-0000AF770000}"/>
    <cellStyle name="Normal 57 11 4 2" xfId="5304" xr:uid="{00000000-0005-0000-0000-0000B0770000}"/>
    <cellStyle name="Normal 57 11 4 2 2" xfId="14141" xr:uid="{00000000-0005-0000-0000-0000B1770000}"/>
    <cellStyle name="Normal 57 11 4 2 2 2" xfId="24392" xr:uid="{00000000-0005-0000-0000-0000B2770000}"/>
    <cellStyle name="Normal 57 11 4 2 2 2 2" xfId="49945" xr:uid="{00000000-0005-0000-0000-0000B3770000}"/>
    <cellStyle name="Normal 57 11 4 2 2 3" xfId="39696" xr:uid="{00000000-0005-0000-0000-0000B4770000}"/>
    <cellStyle name="Normal 57 11 4 2 3" xfId="10562" xr:uid="{00000000-0005-0000-0000-0000B5770000}"/>
    <cellStyle name="Normal 57 11 4 2 3 2" xfId="36119" xr:uid="{00000000-0005-0000-0000-0000B6770000}"/>
    <cellStyle name="Normal 57 11 4 2 4" xfId="19385" xr:uid="{00000000-0005-0000-0000-0000B7770000}"/>
    <cellStyle name="Normal 57 11 4 2 4 2" xfId="44938" xr:uid="{00000000-0005-0000-0000-0000B8770000}"/>
    <cellStyle name="Normal 57 11 4 2 5" xfId="30875" xr:uid="{00000000-0005-0000-0000-0000B9770000}"/>
    <cellStyle name="Normal 57 11 4 3" xfId="6759" xr:uid="{00000000-0005-0000-0000-0000BA770000}"/>
    <cellStyle name="Normal 57 11 4 3 2" xfId="15586" xr:uid="{00000000-0005-0000-0000-0000BB770000}"/>
    <cellStyle name="Normal 57 11 4 3 2 2" xfId="41141" xr:uid="{00000000-0005-0000-0000-0000BC770000}"/>
    <cellStyle name="Normal 57 11 4 3 3" xfId="25837" xr:uid="{00000000-0005-0000-0000-0000BD770000}"/>
    <cellStyle name="Normal 57 11 4 3 3 2" xfId="51390" xr:uid="{00000000-0005-0000-0000-0000BE770000}"/>
    <cellStyle name="Normal 57 11 4 3 4" xfId="32320" xr:uid="{00000000-0005-0000-0000-0000BF770000}"/>
    <cellStyle name="Normal 57 11 4 4" xfId="8205" xr:uid="{00000000-0005-0000-0000-0000C0770000}"/>
    <cellStyle name="Normal 57 11 4 4 2" xfId="22287" xr:uid="{00000000-0005-0000-0000-0000C1770000}"/>
    <cellStyle name="Normal 57 11 4 4 2 2" xfId="47840" xr:uid="{00000000-0005-0000-0000-0000C2770000}"/>
    <cellStyle name="Normal 57 11 4 4 3" xfId="33762" xr:uid="{00000000-0005-0000-0000-0000C3770000}"/>
    <cellStyle name="Normal 57 11 4 5" xfId="17280" xr:uid="{00000000-0005-0000-0000-0000C4770000}"/>
    <cellStyle name="Normal 57 11 4 5 2" xfId="42833" xr:uid="{00000000-0005-0000-0000-0000C5770000}"/>
    <cellStyle name="Normal 57 11 4 6" xfId="28770" xr:uid="{00000000-0005-0000-0000-0000C6770000}"/>
    <cellStyle name="Normal 57 11 5" xfId="4260" xr:uid="{00000000-0005-0000-0000-0000C7770000}"/>
    <cellStyle name="Normal 57 11 5 2" xfId="13098" xr:uid="{00000000-0005-0000-0000-0000C8770000}"/>
    <cellStyle name="Normal 57 11 5 2 2" xfId="23349" xr:uid="{00000000-0005-0000-0000-0000C9770000}"/>
    <cellStyle name="Normal 57 11 5 2 2 2" xfId="48902" xr:uid="{00000000-0005-0000-0000-0000CA770000}"/>
    <cellStyle name="Normal 57 11 5 2 3" xfId="38653" xr:uid="{00000000-0005-0000-0000-0000CB770000}"/>
    <cellStyle name="Normal 57 11 5 3" xfId="9519" xr:uid="{00000000-0005-0000-0000-0000CC770000}"/>
    <cellStyle name="Normal 57 11 5 3 2" xfId="35076" xr:uid="{00000000-0005-0000-0000-0000CD770000}"/>
    <cellStyle name="Normal 57 11 5 4" xfId="18342" xr:uid="{00000000-0005-0000-0000-0000CE770000}"/>
    <cellStyle name="Normal 57 11 5 4 2" xfId="43895" xr:uid="{00000000-0005-0000-0000-0000CF770000}"/>
    <cellStyle name="Normal 57 11 5 5" xfId="29832" xr:uid="{00000000-0005-0000-0000-0000D0770000}"/>
    <cellStyle name="Normal 57 11 6" xfId="1532" xr:uid="{00000000-0005-0000-0000-0000D1770000}"/>
    <cellStyle name="Normal 57 11 6 2" xfId="10909" xr:uid="{00000000-0005-0000-0000-0000D2770000}"/>
    <cellStyle name="Normal 57 11 6 2 2" xfId="36464" xr:uid="{00000000-0005-0000-0000-0000D3770000}"/>
    <cellStyle name="Normal 57 11 6 3" xfId="20913" xr:uid="{00000000-0005-0000-0000-0000D4770000}"/>
    <cellStyle name="Normal 57 11 6 3 2" xfId="46466" xr:uid="{00000000-0005-0000-0000-0000D5770000}"/>
    <cellStyle name="Normal 57 11 6 4" xfId="27396" xr:uid="{00000000-0005-0000-0000-0000D6770000}"/>
    <cellStyle name="Normal 57 11 7" xfId="5716" xr:uid="{00000000-0005-0000-0000-0000D7770000}"/>
    <cellStyle name="Normal 57 11 7 2" xfId="14543" xr:uid="{00000000-0005-0000-0000-0000D8770000}"/>
    <cellStyle name="Normal 57 11 7 2 2" xfId="40098" xr:uid="{00000000-0005-0000-0000-0000D9770000}"/>
    <cellStyle name="Normal 57 11 7 3" xfId="24794" xr:uid="{00000000-0005-0000-0000-0000DA770000}"/>
    <cellStyle name="Normal 57 11 7 3 2" xfId="50347" xr:uid="{00000000-0005-0000-0000-0000DB770000}"/>
    <cellStyle name="Normal 57 11 7 4" xfId="31277" xr:uid="{00000000-0005-0000-0000-0000DC770000}"/>
    <cellStyle name="Normal 57 11 8" xfId="7160" xr:uid="{00000000-0005-0000-0000-0000DD770000}"/>
    <cellStyle name="Normal 57 11 8 2" xfId="19886" xr:uid="{00000000-0005-0000-0000-0000DE770000}"/>
    <cellStyle name="Normal 57 11 8 2 2" xfId="45439" xr:uid="{00000000-0005-0000-0000-0000DF770000}"/>
    <cellStyle name="Normal 57 11 8 3" xfId="32717" xr:uid="{00000000-0005-0000-0000-0000E0770000}"/>
    <cellStyle name="Normal 57 11 9" xfId="15906" xr:uid="{00000000-0005-0000-0000-0000E1770000}"/>
    <cellStyle name="Normal 57 11 9 2" xfId="41459" xr:uid="{00000000-0005-0000-0000-0000E2770000}"/>
    <cellStyle name="Normal 57 11_Degree data" xfId="3933" xr:uid="{00000000-0005-0000-0000-0000E3770000}"/>
    <cellStyle name="Normal 57 12" xfId="295" xr:uid="{00000000-0005-0000-0000-0000E4770000}"/>
    <cellStyle name="Normal 57 12 10" xfId="26224" xr:uid="{00000000-0005-0000-0000-0000E5770000}"/>
    <cellStyle name="Normal 57 12 2" xfId="828" xr:uid="{00000000-0005-0000-0000-0000E6770000}"/>
    <cellStyle name="Normal 57 12 2 2" xfId="3313" xr:uid="{00000000-0005-0000-0000-0000E7770000}"/>
    <cellStyle name="Normal 57 12 2 2 2" xfId="12455" xr:uid="{00000000-0005-0000-0000-0000E8770000}"/>
    <cellStyle name="Normal 57 12 2 2 2 2" xfId="22674" xr:uid="{00000000-0005-0000-0000-0000E9770000}"/>
    <cellStyle name="Normal 57 12 2 2 2 2 2" xfId="48227" xr:uid="{00000000-0005-0000-0000-0000EA770000}"/>
    <cellStyle name="Normal 57 12 2 2 2 3" xfId="38010" xr:uid="{00000000-0005-0000-0000-0000EB770000}"/>
    <cellStyle name="Normal 57 12 2 2 3" xfId="8877" xr:uid="{00000000-0005-0000-0000-0000EC770000}"/>
    <cellStyle name="Normal 57 12 2 2 3 2" xfId="34434" xr:uid="{00000000-0005-0000-0000-0000ED770000}"/>
    <cellStyle name="Normal 57 12 2 2 4" xfId="17667" xr:uid="{00000000-0005-0000-0000-0000EE770000}"/>
    <cellStyle name="Normal 57 12 2 2 4 2" xfId="43220" xr:uid="{00000000-0005-0000-0000-0000EF770000}"/>
    <cellStyle name="Normal 57 12 2 2 5" xfId="29157" xr:uid="{00000000-0005-0000-0000-0000F0770000}"/>
    <cellStyle name="Normal 57 12 2 3" xfId="4642" xr:uid="{00000000-0005-0000-0000-0000F1770000}"/>
    <cellStyle name="Normal 57 12 2 3 2" xfId="13480" xr:uid="{00000000-0005-0000-0000-0000F2770000}"/>
    <cellStyle name="Normal 57 12 2 3 2 2" xfId="23731" xr:uid="{00000000-0005-0000-0000-0000F3770000}"/>
    <cellStyle name="Normal 57 12 2 3 2 2 2" xfId="49284" xr:uid="{00000000-0005-0000-0000-0000F4770000}"/>
    <cellStyle name="Normal 57 12 2 3 2 3" xfId="39035" xr:uid="{00000000-0005-0000-0000-0000F5770000}"/>
    <cellStyle name="Normal 57 12 2 3 3" xfId="9901" xr:uid="{00000000-0005-0000-0000-0000F6770000}"/>
    <cellStyle name="Normal 57 12 2 3 3 2" xfId="35458" xr:uid="{00000000-0005-0000-0000-0000F7770000}"/>
    <cellStyle name="Normal 57 12 2 3 4" xfId="18724" xr:uid="{00000000-0005-0000-0000-0000F8770000}"/>
    <cellStyle name="Normal 57 12 2 3 4 2" xfId="44277" xr:uid="{00000000-0005-0000-0000-0000F9770000}"/>
    <cellStyle name="Normal 57 12 2 3 5" xfId="30214" xr:uid="{00000000-0005-0000-0000-0000FA770000}"/>
    <cellStyle name="Normal 57 12 2 4" xfId="2422" xr:uid="{00000000-0005-0000-0000-0000FB770000}"/>
    <cellStyle name="Normal 57 12 2 4 2" xfId="11787" xr:uid="{00000000-0005-0000-0000-0000FC770000}"/>
    <cellStyle name="Normal 57 12 2 4 2 2" xfId="37342" xr:uid="{00000000-0005-0000-0000-0000FD770000}"/>
    <cellStyle name="Normal 57 12 2 4 3" xfId="21791" xr:uid="{00000000-0005-0000-0000-0000FE770000}"/>
    <cellStyle name="Normal 57 12 2 4 3 2" xfId="47344" xr:uid="{00000000-0005-0000-0000-0000FF770000}"/>
    <cellStyle name="Normal 57 12 2 4 4" xfId="28274" xr:uid="{00000000-0005-0000-0000-000000780000}"/>
    <cellStyle name="Normal 57 12 2 5" xfId="6098" xr:uid="{00000000-0005-0000-0000-000001780000}"/>
    <cellStyle name="Normal 57 12 2 5 2" xfId="14925" xr:uid="{00000000-0005-0000-0000-000002780000}"/>
    <cellStyle name="Normal 57 12 2 5 2 2" xfId="40480" xr:uid="{00000000-0005-0000-0000-000003780000}"/>
    <cellStyle name="Normal 57 12 2 5 3" xfId="25176" xr:uid="{00000000-0005-0000-0000-000004780000}"/>
    <cellStyle name="Normal 57 12 2 5 3 2" xfId="50729" xr:uid="{00000000-0005-0000-0000-000005780000}"/>
    <cellStyle name="Normal 57 12 2 5 4" xfId="31659" xr:uid="{00000000-0005-0000-0000-000006780000}"/>
    <cellStyle name="Normal 57 12 2 6" xfId="7543" xr:uid="{00000000-0005-0000-0000-000007780000}"/>
    <cellStyle name="Normal 57 12 2 6 2" xfId="20273" xr:uid="{00000000-0005-0000-0000-000008780000}"/>
    <cellStyle name="Normal 57 12 2 6 2 2" xfId="45826" xr:uid="{00000000-0005-0000-0000-000009780000}"/>
    <cellStyle name="Normal 57 12 2 6 3" xfId="33100" xr:uid="{00000000-0005-0000-0000-00000A780000}"/>
    <cellStyle name="Normal 57 12 2 7" xfId="16784" xr:uid="{00000000-0005-0000-0000-00000B780000}"/>
    <cellStyle name="Normal 57 12 2 7 2" xfId="42337" xr:uid="{00000000-0005-0000-0000-00000C780000}"/>
    <cellStyle name="Normal 57 12 2 8" xfId="26756" xr:uid="{00000000-0005-0000-0000-00000D780000}"/>
    <cellStyle name="Normal 57 12 3" xfId="1067" xr:uid="{00000000-0005-0000-0000-00000E780000}"/>
    <cellStyle name="Normal 57 12 3 2" xfId="3496" xr:uid="{00000000-0005-0000-0000-00000F780000}"/>
    <cellStyle name="Normal 57 12 3 2 2" xfId="12632" xr:uid="{00000000-0005-0000-0000-000010780000}"/>
    <cellStyle name="Normal 57 12 3 2 2 2" xfId="22851" xr:uid="{00000000-0005-0000-0000-000011780000}"/>
    <cellStyle name="Normal 57 12 3 2 2 2 2" xfId="48404" xr:uid="{00000000-0005-0000-0000-000012780000}"/>
    <cellStyle name="Normal 57 12 3 2 2 3" xfId="38187" xr:uid="{00000000-0005-0000-0000-000013780000}"/>
    <cellStyle name="Normal 57 12 3 2 3" xfId="9054" xr:uid="{00000000-0005-0000-0000-000014780000}"/>
    <cellStyle name="Normal 57 12 3 2 3 2" xfId="34611" xr:uid="{00000000-0005-0000-0000-000015780000}"/>
    <cellStyle name="Normal 57 12 3 2 4" xfId="17844" xr:uid="{00000000-0005-0000-0000-000016780000}"/>
    <cellStyle name="Normal 57 12 3 2 4 2" xfId="43397" xr:uid="{00000000-0005-0000-0000-000017780000}"/>
    <cellStyle name="Normal 57 12 3 2 5" xfId="29334" xr:uid="{00000000-0005-0000-0000-000018780000}"/>
    <cellStyle name="Normal 57 12 3 3" xfId="4991" xr:uid="{00000000-0005-0000-0000-000019780000}"/>
    <cellStyle name="Normal 57 12 3 3 2" xfId="13828" xr:uid="{00000000-0005-0000-0000-00001A780000}"/>
    <cellStyle name="Normal 57 12 3 3 2 2" xfId="24079" xr:uid="{00000000-0005-0000-0000-00001B780000}"/>
    <cellStyle name="Normal 57 12 3 3 2 2 2" xfId="49632" xr:uid="{00000000-0005-0000-0000-00001C780000}"/>
    <cellStyle name="Normal 57 12 3 3 2 3" xfId="39383" xr:uid="{00000000-0005-0000-0000-00001D780000}"/>
    <cellStyle name="Normal 57 12 3 3 3" xfId="10249" xr:uid="{00000000-0005-0000-0000-00001E780000}"/>
    <cellStyle name="Normal 57 12 3 3 3 2" xfId="35806" xr:uid="{00000000-0005-0000-0000-00001F780000}"/>
    <cellStyle name="Normal 57 12 3 3 4" xfId="19072" xr:uid="{00000000-0005-0000-0000-000020780000}"/>
    <cellStyle name="Normal 57 12 3 3 4 2" xfId="44625" xr:uid="{00000000-0005-0000-0000-000021780000}"/>
    <cellStyle name="Normal 57 12 3 3 5" xfId="30562" xr:uid="{00000000-0005-0000-0000-000022780000}"/>
    <cellStyle name="Normal 57 12 3 4" xfId="2574" xr:uid="{00000000-0005-0000-0000-000023780000}"/>
    <cellStyle name="Normal 57 12 3 4 2" xfId="11938" xr:uid="{00000000-0005-0000-0000-000024780000}"/>
    <cellStyle name="Normal 57 12 3 4 2 2" xfId="37493" xr:uid="{00000000-0005-0000-0000-000025780000}"/>
    <cellStyle name="Normal 57 12 3 4 3" xfId="21942" xr:uid="{00000000-0005-0000-0000-000026780000}"/>
    <cellStyle name="Normal 57 12 3 4 3 2" xfId="47495" xr:uid="{00000000-0005-0000-0000-000027780000}"/>
    <cellStyle name="Normal 57 12 3 4 4" xfId="28425" xr:uid="{00000000-0005-0000-0000-000028780000}"/>
    <cellStyle name="Normal 57 12 3 5" xfId="6446" xr:uid="{00000000-0005-0000-0000-000029780000}"/>
    <cellStyle name="Normal 57 12 3 5 2" xfId="15273" xr:uid="{00000000-0005-0000-0000-00002A780000}"/>
    <cellStyle name="Normal 57 12 3 5 2 2" xfId="40828" xr:uid="{00000000-0005-0000-0000-00002B780000}"/>
    <cellStyle name="Normal 57 12 3 5 3" xfId="25524" xr:uid="{00000000-0005-0000-0000-00002C780000}"/>
    <cellStyle name="Normal 57 12 3 5 3 2" xfId="51077" xr:uid="{00000000-0005-0000-0000-00002D780000}"/>
    <cellStyle name="Normal 57 12 3 5 4" xfId="32007" xr:uid="{00000000-0005-0000-0000-00002E780000}"/>
    <cellStyle name="Normal 57 12 3 6" xfId="7892" xr:uid="{00000000-0005-0000-0000-00002F780000}"/>
    <cellStyle name="Normal 57 12 3 6 2" xfId="20450" xr:uid="{00000000-0005-0000-0000-000030780000}"/>
    <cellStyle name="Normal 57 12 3 6 2 2" xfId="46003" xr:uid="{00000000-0005-0000-0000-000031780000}"/>
    <cellStyle name="Normal 57 12 3 6 3" xfId="33449" xr:uid="{00000000-0005-0000-0000-000032780000}"/>
    <cellStyle name="Normal 57 12 3 7" xfId="16935" xr:uid="{00000000-0005-0000-0000-000033780000}"/>
    <cellStyle name="Normal 57 12 3 7 2" xfId="42488" xr:uid="{00000000-0005-0000-0000-000034780000}"/>
    <cellStyle name="Normal 57 12 3 8" xfId="26933" xr:uid="{00000000-0005-0000-0000-000035780000}"/>
    <cellStyle name="Normal 57 12 4" xfId="2781" xr:uid="{00000000-0005-0000-0000-000036780000}"/>
    <cellStyle name="Normal 57 12 4 2" xfId="5159" xr:uid="{00000000-0005-0000-0000-000037780000}"/>
    <cellStyle name="Normal 57 12 4 2 2" xfId="13996" xr:uid="{00000000-0005-0000-0000-000038780000}"/>
    <cellStyle name="Normal 57 12 4 2 2 2" xfId="24247" xr:uid="{00000000-0005-0000-0000-000039780000}"/>
    <cellStyle name="Normal 57 12 4 2 2 2 2" xfId="49800" xr:uid="{00000000-0005-0000-0000-00003A780000}"/>
    <cellStyle name="Normal 57 12 4 2 2 3" xfId="39551" xr:uid="{00000000-0005-0000-0000-00003B780000}"/>
    <cellStyle name="Normal 57 12 4 2 3" xfId="10417" xr:uid="{00000000-0005-0000-0000-00003C780000}"/>
    <cellStyle name="Normal 57 12 4 2 3 2" xfId="35974" xr:uid="{00000000-0005-0000-0000-00003D780000}"/>
    <cellStyle name="Normal 57 12 4 2 4" xfId="19240" xr:uid="{00000000-0005-0000-0000-00003E780000}"/>
    <cellStyle name="Normal 57 12 4 2 4 2" xfId="44793" xr:uid="{00000000-0005-0000-0000-00003F780000}"/>
    <cellStyle name="Normal 57 12 4 2 5" xfId="30730" xr:uid="{00000000-0005-0000-0000-000040780000}"/>
    <cellStyle name="Normal 57 12 4 3" xfId="6614" xr:uid="{00000000-0005-0000-0000-000041780000}"/>
    <cellStyle name="Normal 57 12 4 3 2" xfId="15441" xr:uid="{00000000-0005-0000-0000-000042780000}"/>
    <cellStyle name="Normal 57 12 4 3 2 2" xfId="40996" xr:uid="{00000000-0005-0000-0000-000043780000}"/>
    <cellStyle name="Normal 57 12 4 3 3" xfId="25692" xr:uid="{00000000-0005-0000-0000-000044780000}"/>
    <cellStyle name="Normal 57 12 4 3 3 2" xfId="51245" xr:uid="{00000000-0005-0000-0000-000045780000}"/>
    <cellStyle name="Normal 57 12 4 3 4" xfId="32175" xr:uid="{00000000-0005-0000-0000-000046780000}"/>
    <cellStyle name="Normal 57 12 4 4" xfId="8060" xr:uid="{00000000-0005-0000-0000-000047780000}"/>
    <cellStyle name="Normal 57 12 4 4 2" xfId="22142" xr:uid="{00000000-0005-0000-0000-000048780000}"/>
    <cellStyle name="Normal 57 12 4 4 2 2" xfId="47695" xr:uid="{00000000-0005-0000-0000-000049780000}"/>
    <cellStyle name="Normal 57 12 4 4 3" xfId="33617" xr:uid="{00000000-0005-0000-0000-00004A780000}"/>
    <cellStyle name="Normal 57 12 4 5" xfId="17135" xr:uid="{00000000-0005-0000-0000-00004B780000}"/>
    <cellStyle name="Normal 57 12 4 5 2" xfId="42688" xr:uid="{00000000-0005-0000-0000-00004C780000}"/>
    <cellStyle name="Normal 57 12 4 6" xfId="28625" xr:uid="{00000000-0005-0000-0000-00004D780000}"/>
    <cellStyle name="Normal 57 12 5" xfId="4113" xr:uid="{00000000-0005-0000-0000-00004E780000}"/>
    <cellStyle name="Normal 57 12 5 2" xfId="12951" xr:uid="{00000000-0005-0000-0000-00004F780000}"/>
    <cellStyle name="Normal 57 12 5 2 2" xfId="23202" xr:uid="{00000000-0005-0000-0000-000050780000}"/>
    <cellStyle name="Normal 57 12 5 2 2 2" xfId="48755" xr:uid="{00000000-0005-0000-0000-000051780000}"/>
    <cellStyle name="Normal 57 12 5 2 3" xfId="38506" xr:uid="{00000000-0005-0000-0000-000052780000}"/>
    <cellStyle name="Normal 57 12 5 3" xfId="9372" xr:uid="{00000000-0005-0000-0000-000053780000}"/>
    <cellStyle name="Normal 57 12 5 3 2" xfId="34929" xr:uid="{00000000-0005-0000-0000-000054780000}"/>
    <cellStyle name="Normal 57 12 5 4" xfId="18195" xr:uid="{00000000-0005-0000-0000-000055780000}"/>
    <cellStyle name="Normal 57 12 5 4 2" xfId="43748" xr:uid="{00000000-0005-0000-0000-000056780000}"/>
    <cellStyle name="Normal 57 12 5 5" xfId="29685" xr:uid="{00000000-0005-0000-0000-000057780000}"/>
    <cellStyle name="Normal 57 12 6" xfId="1890" xr:uid="{00000000-0005-0000-0000-000058780000}"/>
    <cellStyle name="Normal 57 12 6 2" xfId="11255" xr:uid="{00000000-0005-0000-0000-000059780000}"/>
    <cellStyle name="Normal 57 12 6 2 2" xfId="36810" xr:uid="{00000000-0005-0000-0000-00005A780000}"/>
    <cellStyle name="Normal 57 12 6 3" xfId="21259" xr:uid="{00000000-0005-0000-0000-00005B780000}"/>
    <cellStyle name="Normal 57 12 6 3 2" xfId="46812" xr:uid="{00000000-0005-0000-0000-00005C780000}"/>
    <cellStyle name="Normal 57 12 6 4" xfId="27742" xr:uid="{00000000-0005-0000-0000-00005D780000}"/>
    <cellStyle name="Normal 57 12 7" xfId="5571" xr:uid="{00000000-0005-0000-0000-00005E780000}"/>
    <cellStyle name="Normal 57 12 7 2" xfId="14398" xr:uid="{00000000-0005-0000-0000-00005F780000}"/>
    <cellStyle name="Normal 57 12 7 2 2" xfId="39953" xr:uid="{00000000-0005-0000-0000-000060780000}"/>
    <cellStyle name="Normal 57 12 7 3" xfId="24649" xr:uid="{00000000-0005-0000-0000-000061780000}"/>
    <cellStyle name="Normal 57 12 7 3 2" xfId="50202" xr:uid="{00000000-0005-0000-0000-000062780000}"/>
    <cellStyle name="Normal 57 12 7 4" xfId="31132" xr:uid="{00000000-0005-0000-0000-000063780000}"/>
    <cellStyle name="Normal 57 12 8" xfId="7015" xr:uid="{00000000-0005-0000-0000-000064780000}"/>
    <cellStyle name="Normal 57 12 8 2" xfId="19741" xr:uid="{00000000-0005-0000-0000-000065780000}"/>
    <cellStyle name="Normal 57 12 8 2 2" xfId="45294" xr:uid="{00000000-0005-0000-0000-000066780000}"/>
    <cellStyle name="Normal 57 12 8 3" xfId="32572" xr:uid="{00000000-0005-0000-0000-000067780000}"/>
    <cellStyle name="Normal 57 12 9" xfId="16252" xr:uid="{00000000-0005-0000-0000-000068780000}"/>
    <cellStyle name="Normal 57 12 9 2" xfId="41805" xr:uid="{00000000-0005-0000-0000-000069780000}"/>
    <cellStyle name="Normal 57 12_Degree data" xfId="3934" xr:uid="{00000000-0005-0000-0000-00006A780000}"/>
    <cellStyle name="Normal 57 13" xfId="825" xr:uid="{00000000-0005-0000-0000-00006B780000}"/>
    <cellStyle name="Normal 57 13 2" xfId="3310" xr:uid="{00000000-0005-0000-0000-00006C780000}"/>
    <cellStyle name="Normal 57 13 2 2" xfId="12452" xr:uid="{00000000-0005-0000-0000-00006D780000}"/>
    <cellStyle name="Normal 57 13 2 2 2" xfId="22671" xr:uid="{00000000-0005-0000-0000-00006E780000}"/>
    <cellStyle name="Normal 57 13 2 2 2 2" xfId="48224" xr:uid="{00000000-0005-0000-0000-00006F780000}"/>
    <cellStyle name="Normal 57 13 2 2 3" xfId="38007" xr:uid="{00000000-0005-0000-0000-000070780000}"/>
    <cellStyle name="Normal 57 13 2 3" xfId="8874" xr:uid="{00000000-0005-0000-0000-000071780000}"/>
    <cellStyle name="Normal 57 13 2 3 2" xfId="34431" xr:uid="{00000000-0005-0000-0000-000072780000}"/>
    <cellStyle name="Normal 57 13 2 4" xfId="17664" xr:uid="{00000000-0005-0000-0000-000073780000}"/>
    <cellStyle name="Normal 57 13 2 4 2" xfId="43217" xr:uid="{00000000-0005-0000-0000-000074780000}"/>
    <cellStyle name="Normal 57 13 2 5" xfId="29154" xr:uid="{00000000-0005-0000-0000-000075780000}"/>
    <cellStyle name="Normal 57 13 3" xfId="4639" xr:uid="{00000000-0005-0000-0000-000076780000}"/>
    <cellStyle name="Normal 57 13 3 2" xfId="13477" xr:uid="{00000000-0005-0000-0000-000077780000}"/>
    <cellStyle name="Normal 57 13 3 2 2" xfId="23728" xr:uid="{00000000-0005-0000-0000-000078780000}"/>
    <cellStyle name="Normal 57 13 3 2 2 2" xfId="49281" xr:uid="{00000000-0005-0000-0000-000079780000}"/>
    <cellStyle name="Normal 57 13 3 2 3" xfId="39032" xr:uid="{00000000-0005-0000-0000-00007A780000}"/>
    <cellStyle name="Normal 57 13 3 3" xfId="9898" xr:uid="{00000000-0005-0000-0000-00007B780000}"/>
    <cellStyle name="Normal 57 13 3 3 2" xfId="35455" xr:uid="{00000000-0005-0000-0000-00007C780000}"/>
    <cellStyle name="Normal 57 13 3 4" xfId="18721" xr:uid="{00000000-0005-0000-0000-00007D780000}"/>
    <cellStyle name="Normal 57 13 3 4 2" xfId="44274" xr:uid="{00000000-0005-0000-0000-00007E780000}"/>
    <cellStyle name="Normal 57 13 3 5" xfId="30211" xr:uid="{00000000-0005-0000-0000-00007F780000}"/>
    <cellStyle name="Normal 57 13 4" xfId="2419" xr:uid="{00000000-0005-0000-0000-000080780000}"/>
    <cellStyle name="Normal 57 13 4 2" xfId="11784" xr:uid="{00000000-0005-0000-0000-000081780000}"/>
    <cellStyle name="Normal 57 13 4 2 2" xfId="37339" xr:uid="{00000000-0005-0000-0000-000082780000}"/>
    <cellStyle name="Normal 57 13 4 3" xfId="21788" xr:uid="{00000000-0005-0000-0000-000083780000}"/>
    <cellStyle name="Normal 57 13 4 3 2" xfId="47341" xr:uid="{00000000-0005-0000-0000-000084780000}"/>
    <cellStyle name="Normal 57 13 4 4" xfId="28271" xr:uid="{00000000-0005-0000-0000-000085780000}"/>
    <cellStyle name="Normal 57 13 5" xfId="6095" xr:uid="{00000000-0005-0000-0000-000086780000}"/>
    <cellStyle name="Normal 57 13 5 2" xfId="14922" xr:uid="{00000000-0005-0000-0000-000087780000}"/>
    <cellStyle name="Normal 57 13 5 2 2" xfId="40477" xr:uid="{00000000-0005-0000-0000-000088780000}"/>
    <cellStyle name="Normal 57 13 5 3" xfId="25173" xr:uid="{00000000-0005-0000-0000-000089780000}"/>
    <cellStyle name="Normal 57 13 5 3 2" xfId="50726" xr:uid="{00000000-0005-0000-0000-00008A780000}"/>
    <cellStyle name="Normal 57 13 5 4" xfId="31656" xr:uid="{00000000-0005-0000-0000-00008B780000}"/>
    <cellStyle name="Normal 57 13 6" xfId="7540" xr:uid="{00000000-0005-0000-0000-00008C780000}"/>
    <cellStyle name="Normal 57 13 6 2" xfId="20270" xr:uid="{00000000-0005-0000-0000-00008D780000}"/>
    <cellStyle name="Normal 57 13 6 2 2" xfId="45823" xr:uid="{00000000-0005-0000-0000-00008E780000}"/>
    <cellStyle name="Normal 57 13 6 3" xfId="33097" xr:uid="{00000000-0005-0000-0000-00008F780000}"/>
    <cellStyle name="Normal 57 13 7" xfId="16781" xr:uid="{00000000-0005-0000-0000-000090780000}"/>
    <cellStyle name="Normal 57 13 7 2" xfId="42334" xr:uid="{00000000-0005-0000-0000-000091780000}"/>
    <cellStyle name="Normal 57 13 8" xfId="26753" xr:uid="{00000000-0005-0000-0000-000092780000}"/>
    <cellStyle name="Normal 57 14" xfId="1037" xr:uid="{00000000-0005-0000-0000-000093780000}"/>
    <cellStyle name="Normal 57 14 2" xfId="3466" xr:uid="{00000000-0005-0000-0000-000094780000}"/>
    <cellStyle name="Normal 57 14 2 2" xfId="12602" xr:uid="{00000000-0005-0000-0000-000095780000}"/>
    <cellStyle name="Normal 57 14 2 2 2" xfId="22821" xr:uid="{00000000-0005-0000-0000-000096780000}"/>
    <cellStyle name="Normal 57 14 2 2 2 2" xfId="48374" xr:uid="{00000000-0005-0000-0000-000097780000}"/>
    <cellStyle name="Normal 57 14 2 2 3" xfId="38157" xr:uid="{00000000-0005-0000-0000-000098780000}"/>
    <cellStyle name="Normal 57 14 2 3" xfId="9024" xr:uid="{00000000-0005-0000-0000-000099780000}"/>
    <cellStyle name="Normal 57 14 2 3 2" xfId="34581" xr:uid="{00000000-0005-0000-0000-00009A780000}"/>
    <cellStyle name="Normal 57 14 2 4" xfId="17814" xr:uid="{00000000-0005-0000-0000-00009B780000}"/>
    <cellStyle name="Normal 57 14 2 4 2" xfId="43367" xr:uid="{00000000-0005-0000-0000-00009C780000}"/>
    <cellStyle name="Normal 57 14 2 5" xfId="29304" xr:uid="{00000000-0005-0000-0000-00009D780000}"/>
    <cellStyle name="Normal 57 14 3" xfId="4988" xr:uid="{00000000-0005-0000-0000-00009E780000}"/>
    <cellStyle name="Normal 57 14 3 2" xfId="13825" xr:uid="{00000000-0005-0000-0000-00009F780000}"/>
    <cellStyle name="Normal 57 14 3 2 2" xfId="24076" xr:uid="{00000000-0005-0000-0000-0000A0780000}"/>
    <cellStyle name="Normal 57 14 3 2 2 2" xfId="49629" xr:uid="{00000000-0005-0000-0000-0000A1780000}"/>
    <cellStyle name="Normal 57 14 3 2 3" xfId="39380" xr:uid="{00000000-0005-0000-0000-0000A2780000}"/>
    <cellStyle name="Normal 57 14 3 3" xfId="10246" xr:uid="{00000000-0005-0000-0000-0000A3780000}"/>
    <cellStyle name="Normal 57 14 3 3 2" xfId="35803" xr:uid="{00000000-0005-0000-0000-0000A4780000}"/>
    <cellStyle name="Normal 57 14 3 4" xfId="19069" xr:uid="{00000000-0005-0000-0000-0000A5780000}"/>
    <cellStyle name="Normal 57 14 3 4 2" xfId="44622" xr:uid="{00000000-0005-0000-0000-0000A6780000}"/>
    <cellStyle name="Normal 57 14 3 5" xfId="30559" xr:uid="{00000000-0005-0000-0000-0000A7780000}"/>
    <cellStyle name="Normal 57 14 4" xfId="1704" xr:uid="{00000000-0005-0000-0000-0000A8780000}"/>
    <cellStyle name="Normal 57 14 4 2" xfId="11081" xr:uid="{00000000-0005-0000-0000-0000A9780000}"/>
    <cellStyle name="Normal 57 14 4 2 2" xfId="36636" xr:uid="{00000000-0005-0000-0000-0000AA780000}"/>
    <cellStyle name="Normal 57 14 4 3" xfId="21085" xr:uid="{00000000-0005-0000-0000-0000AB780000}"/>
    <cellStyle name="Normal 57 14 4 3 2" xfId="46638" xr:uid="{00000000-0005-0000-0000-0000AC780000}"/>
    <cellStyle name="Normal 57 14 4 4" xfId="27568" xr:uid="{00000000-0005-0000-0000-0000AD780000}"/>
    <cellStyle name="Normal 57 14 5" xfId="6443" xr:uid="{00000000-0005-0000-0000-0000AE780000}"/>
    <cellStyle name="Normal 57 14 5 2" xfId="15270" xr:uid="{00000000-0005-0000-0000-0000AF780000}"/>
    <cellStyle name="Normal 57 14 5 2 2" xfId="40825" xr:uid="{00000000-0005-0000-0000-0000B0780000}"/>
    <cellStyle name="Normal 57 14 5 3" xfId="25521" xr:uid="{00000000-0005-0000-0000-0000B1780000}"/>
    <cellStyle name="Normal 57 14 5 3 2" xfId="51074" xr:uid="{00000000-0005-0000-0000-0000B2780000}"/>
    <cellStyle name="Normal 57 14 5 4" xfId="32004" xr:uid="{00000000-0005-0000-0000-0000B3780000}"/>
    <cellStyle name="Normal 57 14 6" xfId="7889" xr:uid="{00000000-0005-0000-0000-0000B4780000}"/>
    <cellStyle name="Normal 57 14 6 2" xfId="20420" xr:uid="{00000000-0005-0000-0000-0000B5780000}"/>
    <cellStyle name="Normal 57 14 6 2 2" xfId="45973" xr:uid="{00000000-0005-0000-0000-0000B6780000}"/>
    <cellStyle name="Normal 57 14 6 3" xfId="33446" xr:uid="{00000000-0005-0000-0000-0000B7780000}"/>
    <cellStyle name="Normal 57 14 7" xfId="16078" xr:uid="{00000000-0005-0000-0000-0000B8780000}"/>
    <cellStyle name="Normal 57 14 7 2" xfId="41631" xr:uid="{00000000-0005-0000-0000-0000B9780000}"/>
    <cellStyle name="Normal 57 14 8" xfId="26903" xr:uid="{00000000-0005-0000-0000-0000BA780000}"/>
    <cellStyle name="Normal 57 15" xfId="2604" xr:uid="{00000000-0005-0000-0000-0000BB780000}"/>
    <cellStyle name="Normal 57 15 2" xfId="5129" xr:uid="{00000000-0005-0000-0000-0000BC780000}"/>
    <cellStyle name="Normal 57 15 2 2" xfId="13966" xr:uid="{00000000-0005-0000-0000-0000BD780000}"/>
    <cellStyle name="Normal 57 15 2 2 2" xfId="24217" xr:uid="{00000000-0005-0000-0000-0000BE780000}"/>
    <cellStyle name="Normal 57 15 2 2 2 2" xfId="49770" xr:uid="{00000000-0005-0000-0000-0000BF780000}"/>
    <cellStyle name="Normal 57 15 2 2 3" xfId="39521" xr:uid="{00000000-0005-0000-0000-0000C0780000}"/>
    <cellStyle name="Normal 57 15 2 3" xfId="10387" xr:uid="{00000000-0005-0000-0000-0000C1780000}"/>
    <cellStyle name="Normal 57 15 2 3 2" xfId="35944" xr:uid="{00000000-0005-0000-0000-0000C2780000}"/>
    <cellStyle name="Normal 57 15 2 4" xfId="19210" xr:uid="{00000000-0005-0000-0000-0000C3780000}"/>
    <cellStyle name="Normal 57 15 2 4 2" xfId="44763" xr:uid="{00000000-0005-0000-0000-0000C4780000}"/>
    <cellStyle name="Normal 57 15 2 5" xfId="30700" xr:uid="{00000000-0005-0000-0000-0000C5780000}"/>
    <cellStyle name="Normal 57 15 3" xfId="6584" xr:uid="{00000000-0005-0000-0000-0000C6780000}"/>
    <cellStyle name="Normal 57 15 3 2" xfId="15411" xr:uid="{00000000-0005-0000-0000-0000C7780000}"/>
    <cellStyle name="Normal 57 15 3 2 2" xfId="40966" xr:uid="{00000000-0005-0000-0000-0000C8780000}"/>
    <cellStyle name="Normal 57 15 3 3" xfId="25662" xr:uid="{00000000-0005-0000-0000-0000C9780000}"/>
    <cellStyle name="Normal 57 15 3 3 2" xfId="51215" xr:uid="{00000000-0005-0000-0000-0000CA780000}"/>
    <cellStyle name="Normal 57 15 3 4" xfId="32145" xr:uid="{00000000-0005-0000-0000-0000CB780000}"/>
    <cellStyle name="Normal 57 15 4" xfId="8030" xr:uid="{00000000-0005-0000-0000-0000CC780000}"/>
    <cellStyle name="Normal 57 15 4 2" xfId="21969" xr:uid="{00000000-0005-0000-0000-0000CD780000}"/>
    <cellStyle name="Normal 57 15 4 2 2" xfId="47522" xr:uid="{00000000-0005-0000-0000-0000CE780000}"/>
    <cellStyle name="Normal 57 15 4 3" xfId="33587" xr:uid="{00000000-0005-0000-0000-0000CF780000}"/>
    <cellStyle name="Normal 57 15 5" xfId="16962" xr:uid="{00000000-0005-0000-0000-0000D0780000}"/>
    <cellStyle name="Normal 57 15 5 2" xfId="42515" xr:uid="{00000000-0005-0000-0000-0000D1780000}"/>
    <cellStyle name="Normal 57 15 6" xfId="28452" xr:uid="{00000000-0005-0000-0000-0000D2780000}"/>
    <cellStyle name="Normal 57 16" xfId="4082" xr:uid="{00000000-0005-0000-0000-0000D3780000}"/>
    <cellStyle name="Normal 57 16 2" xfId="5541" xr:uid="{00000000-0005-0000-0000-0000D4780000}"/>
    <cellStyle name="Normal 57 16 2 2" xfId="14368" xr:uid="{00000000-0005-0000-0000-0000D5780000}"/>
    <cellStyle name="Normal 57 16 2 2 2" xfId="39923" xr:uid="{00000000-0005-0000-0000-0000D6780000}"/>
    <cellStyle name="Normal 57 16 2 3" xfId="24619" xr:uid="{00000000-0005-0000-0000-0000D7780000}"/>
    <cellStyle name="Normal 57 16 2 3 2" xfId="50172" xr:uid="{00000000-0005-0000-0000-0000D8780000}"/>
    <cellStyle name="Normal 57 16 2 4" xfId="31102" xr:uid="{00000000-0005-0000-0000-0000D9780000}"/>
    <cellStyle name="Normal 57 16 3" xfId="6985" xr:uid="{00000000-0005-0000-0000-0000DA780000}"/>
    <cellStyle name="Normal 57 16 3 2" xfId="23171" xr:uid="{00000000-0005-0000-0000-0000DB780000}"/>
    <cellStyle name="Normal 57 16 3 2 2" xfId="48724" xr:uid="{00000000-0005-0000-0000-0000DC780000}"/>
    <cellStyle name="Normal 57 16 3 3" xfId="32542" xr:uid="{00000000-0005-0000-0000-0000DD780000}"/>
    <cellStyle name="Normal 57 16 4" xfId="18164" xr:uid="{00000000-0005-0000-0000-0000DE780000}"/>
    <cellStyle name="Normal 57 16 4 2" xfId="43717" xr:uid="{00000000-0005-0000-0000-0000DF780000}"/>
    <cellStyle name="Normal 57 16 5" xfId="29654" xr:uid="{00000000-0005-0000-0000-0000E0780000}"/>
    <cellStyle name="Normal 57 17" xfId="1387" xr:uid="{00000000-0005-0000-0000-0000E1780000}"/>
    <cellStyle name="Normal 57 17 2" xfId="10764" xr:uid="{00000000-0005-0000-0000-0000E2780000}"/>
    <cellStyle name="Normal 57 17 2 2" xfId="36319" xr:uid="{00000000-0005-0000-0000-0000E3780000}"/>
    <cellStyle name="Normal 57 17 3" xfId="20768" xr:uid="{00000000-0005-0000-0000-0000E4780000}"/>
    <cellStyle name="Normal 57 17 3 2" xfId="46321" xr:uid="{00000000-0005-0000-0000-0000E5780000}"/>
    <cellStyle name="Normal 57 17 4" xfId="27251" xr:uid="{00000000-0005-0000-0000-0000E6780000}"/>
    <cellStyle name="Normal 57 18" xfId="5498" xr:uid="{00000000-0005-0000-0000-0000E7780000}"/>
    <cellStyle name="Normal 57 18 2" xfId="14325" xr:uid="{00000000-0005-0000-0000-0000E8780000}"/>
    <cellStyle name="Normal 57 18 2 2" xfId="39880" xr:uid="{00000000-0005-0000-0000-0000E9780000}"/>
    <cellStyle name="Normal 57 18 3" xfId="24576" xr:uid="{00000000-0005-0000-0000-0000EA780000}"/>
    <cellStyle name="Normal 57 18 3 2" xfId="50129" xr:uid="{00000000-0005-0000-0000-0000EB780000}"/>
    <cellStyle name="Normal 57 18 4" xfId="31059" xr:uid="{00000000-0005-0000-0000-0000EC780000}"/>
    <cellStyle name="Normal 57 19" xfId="6936" xr:uid="{00000000-0005-0000-0000-0000ED780000}"/>
    <cellStyle name="Normal 57 19 2" xfId="19569" xr:uid="{00000000-0005-0000-0000-0000EE780000}"/>
    <cellStyle name="Normal 57 19 2 2" xfId="45122" xr:uid="{00000000-0005-0000-0000-0000EF780000}"/>
    <cellStyle name="Normal 57 19 3" xfId="32494" xr:uid="{00000000-0005-0000-0000-0000F0780000}"/>
    <cellStyle name="Normal 57 2" xfId="36" xr:uid="{00000000-0005-0000-0000-0000F1780000}"/>
    <cellStyle name="Normal 57 20" xfId="15761" xr:uid="{00000000-0005-0000-0000-0000F2780000}"/>
    <cellStyle name="Normal 57 20 2" xfId="41314" xr:uid="{00000000-0005-0000-0000-0000F3780000}"/>
    <cellStyle name="Normal 57 21" xfId="26052" xr:uid="{00000000-0005-0000-0000-0000F4780000}"/>
    <cellStyle name="Normal 57 3" xfId="109" xr:uid="{00000000-0005-0000-0000-0000F5780000}"/>
    <cellStyle name="Normal 57 3 10" xfId="2619" xr:uid="{00000000-0005-0000-0000-0000F6780000}"/>
    <cellStyle name="Normal 57 3 10 2" xfId="5133" xr:uid="{00000000-0005-0000-0000-0000F7780000}"/>
    <cellStyle name="Normal 57 3 10 2 2" xfId="13970" xr:uid="{00000000-0005-0000-0000-0000F8780000}"/>
    <cellStyle name="Normal 57 3 10 2 2 2" xfId="24221" xr:uid="{00000000-0005-0000-0000-0000F9780000}"/>
    <cellStyle name="Normal 57 3 10 2 2 2 2" xfId="49774" xr:uid="{00000000-0005-0000-0000-0000FA780000}"/>
    <cellStyle name="Normal 57 3 10 2 2 3" xfId="39525" xr:uid="{00000000-0005-0000-0000-0000FB780000}"/>
    <cellStyle name="Normal 57 3 10 2 3" xfId="10391" xr:uid="{00000000-0005-0000-0000-0000FC780000}"/>
    <cellStyle name="Normal 57 3 10 2 3 2" xfId="35948" xr:uid="{00000000-0005-0000-0000-0000FD780000}"/>
    <cellStyle name="Normal 57 3 10 2 4" xfId="19214" xr:uid="{00000000-0005-0000-0000-0000FE780000}"/>
    <cellStyle name="Normal 57 3 10 2 4 2" xfId="44767" xr:uid="{00000000-0005-0000-0000-0000FF780000}"/>
    <cellStyle name="Normal 57 3 10 2 5" xfId="30704" xr:uid="{00000000-0005-0000-0000-000000790000}"/>
    <cellStyle name="Normal 57 3 10 3" xfId="6588" xr:uid="{00000000-0005-0000-0000-000001790000}"/>
    <cellStyle name="Normal 57 3 10 3 2" xfId="15415" xr:uid="{00000000-0005-0000-0000-000002790000}"/>
    <cellStyle name="Normal 57 3 10 3 2 2" xfId="40970" xr:uid="{00000000-0005-0000-0000-000003790000}"/>
    <cellStyle name="Normal 57 3 10 3 3" xfId="25666" xr:uid="{00000000-0005-0000-0000-000004790000}"/>
    <cellStyle name="Normal 57 3 10 3 3 2" xfId="51219" xr:uid="{00000000-0005-0000-0000-000005790000}"/>
    <cellStyle name="Normal 57 3 10 3 4" xfId="32149" xr:uid="{00000000-0005-0000-0000-000006790000}"/>
    <cellStyle name="Normal 57 3 10 4" xfId="8034" xr:uid="{00000000-0005-0000-0000-000007790000}"/>
    <cellStyle name="Normal 57 3 10 4 2" xfId="21982" xr:uid="{00000000-0005-0000-0000-000008790000}"/>
    <cellStyle name="Normal 57 3 10 4 2 2" xfId="47535" xr:uid="{00000000-0005-0000-0000-000009790000}"/>
    <cellStyle name="Normal 57 3 10 4 3" xfId="33591" xr:uid="{00000000-0005-0000-0000-00000A790000}"/>
    <cellStyle name="Normal 57 3 10 5" xfId="16975" xr:uid="{00000000-0005-0000-0000-00000B790000}"/>
    <cellStyle name="Normal 57 3 10 5 2" xfId="42528" xr:uid="{00000000-0005-0000-0000-00000C790000}"/>
    <cellStyle name="Normal 57 3 10 6" xfId="28465" xr:uid="{00000000-0005-0000-0000-00000D790000}"/>
    <cellStyle name="Normal 57 3 11" xfId="4086" xr:uid="{00000000-0005-0000-0000-00000E790000}"/>
    <cellStyle name="Normal 57 3 11 2" xfId="5545" xr:uid="{00000000-0005-0000-0000-00000F790000}"/>
    <cellStyle name="Normal 57 3 11 2 2" xfId="14372" xr:uid="{00000000-0005-0000-0000-000010790000}"/>
    <cellStyle name="Normal 57 3 11 2 2 2" xfId="39927" xr:uid="{00000000-0005-0000-0000-000011790000}"/>
    <cellStyle name="Normal 57 3 11 2 3" xfId="24623" xr:uid="{00000000-0005-0000-0000-000012790000}"/>
    <cellStyle name="Normal 57 3 11 2 3 2" xfId="50176" xr:uid="{00000000-0005-0000-0000-000013790000}"/>
    <cellStyle name="Normal 57 3 11 2 4" xfId="31106" xr:uid="{00000000-0005-0000-0000-000014790000}"/>
    <cellStyle name="Normal 57 3 11 3" xfId="6989" xr:uid="{00000000-0005-0000-0000-000015790000}"/>
    <cellStyle name="Normal 57 3 11 3 2" xfId="23175" xr:uid="{00000000-0005-0000-0000-000016790000}"/>
    <cellStyle name="Normal 57 3 11 3 2 2" xfId="48728" xr:uid="{00000000-0005-0000-0000-000017790000}"/>
    <cellStyle name="Normal 57 3 11 3 3" xfId="32546" xr:uid="{00000000-0005-0000-0000-000018790000}"/>
    <cellStyle name="Normal 57 3 11 4" xfId="18168" xr:uid="{00000000-0005-0000-0000-000019790000}"/>
    <cellStyle name="Normal 57 3 11 4 2" xfId="43721" xr:uid="{00000000-0005-0000-0000-00001A790000}"/>
    <cellStyle name="Normal 57 3 11 5" xfId="29658" xr:uid="{00000000-0005-0000-0000-00001B790000}"/>
    <cellStyle name="Normal 57 3 12" xfId="1393" xr:uid="{00000000-0005-0000-0000-00001C790000}"/>
    <cellStyle name="Normal 57 3 12 2" xfId="10770" xr:uid="{00000000-0005-0000-0000-00001D790000}"/>
    <cellStyle name="Normal 57 3 12 2 2" xfId="36325" xr:uid="{00000000-0005-0000-0000-00001E790000}"/>
    <cellStyle name="Normal 57 3 12 3" xfId="20774" xr:uid="{00000000-0005-0000-0000-00001F790000}"/>
    <cellStyle name="Normal 57 3 12 3 2" xfId="46327" xr:uid="{00000000-0005-0000-0000-000020790000}"/>
    <cellStyle name="Normal 57 3 12 4" xfId="27257" xr:uid="{00000000-0005-0000-0000-000021790000}"/>
    <cellStyle name="Normal 57 3 13" xfId="5505" xr:uid="{00000000-0005-0000-0000-000022790000}"/>
    <cellStyle name="Normal 57 3 13 2" xfId="14332" xr:uid="{00000000-0005-0000-0000-000023790000}"/>
    <cellStyle name="Normal 57 3 13 2 2" xfId="39887" xr:uid="{00000000-0005-0000-0000-000024790000}"/>
    <cellStyle name="Normal 57 3 13 3" xfId="24583" xr:uid="{00000000-0005-0000-0000-000025790000}"/>
    <cellStyle name="Normal 57 3 13 3 2" xfId="50136" xr:uid="{00000000-0005-0000-0000-000026790000}"/>
    <cellStyle name="Normal 57 3 13 4" xfId="31066" xr:uid="{00000000-0005-0000-0000-000027790000}"/>
    <cellStyle name="Normal 57 3 14" xfId="6944" xr:uid="{00000000-0005-0000-0000-000028790000}"/>
    <cellStyle name="Normal 57 3 14 2" xfId="19582" xr:uid="{00000000-0005-0000-0000-000029790000}"/>
    <cellStyle name="Normal 57 3 14 2 2" xfId="45135" xr:uid="{00000000-0005-0000-0000-00002A790000}"/>
    <cellStyle name="Normal 57 3 14 3" xfId="32502" xr:uid="{00000000-0005-0000-0000-00002B790000}"/>
    <cellStyle name="Normal 57 3 15" xfId="15767" xr:uid="{00000000-0005-0000-0000-00002C790000}"/>
    <cellStyle name="Normal 57 3 15 2" xfId="41320" xr:uid="{00000000-0005-0000-0000-00002D790000}"/>
    <cellStyle name="Normal 57 3 16" xfId="26065" xr:uid="{00000000-0005-0000-0000-00002E790000}"/>
    <cellStyle name="Normal 57 3 2" xfId="153" xr:uid="{00000000-0005-0000-0000-00002F790000}"/>
    <cellStyle name="Normal 57 3 2 10" xfId="1418" xr:uid="{00000000-0005-0000-0000-000030790000}"/>
    <cellStyle name="Normal 57 3 2 10 2" xfId="10795" xr:uid="{00000000-0005-0000-0000-000031790000}"/>
    <cellStyle name="Normal 57 3 2 10 2 2" xfId="36350" xr:uid="{00000000-0005-0000-0000-000032790000}"/>
    <cellStyle name="Normal 57 3 2 10 3" xfId="20799" xr:uid="{00000000-0005-0000-0000-000033790000}"/>
    <cellStyle name="Normal 57 3 2 10 3 2" xfId="46352" xr:uid="{00000000-0005-0000-0000-000034790000}"/>
    <cellStyle name="Normal 57 3 2 10 4" xfId="27282" xr:uid="{00000000-0005-0000-0000-000035790000}"/>
    <cellStyle name="Normal 57 3 2 11" xfId="5527" xr:uid="{00000000-0005-0000-0000-000036790000}"/>
    <cellStyle name="Normal 57 3 2 11 2" xfId="14354" xr:uid="{00000000-0005-0000-0000-000037790000}"/>
    <cellStyle name="Normal 57 3 2 11 2 2" xfId="39909" xr:uid="{00000000-0005-0000-0000-000038790000}"/>
    <cellStyle name="Normal 57 3 2 11 3" xfId="24605" xr:uid="{00000000-0005-0000-0000-000039790000}"/>
    <cellStyle name="Normal 57 3 2 11 3 2" xfId="50158" xr:uid="{00000000-0005-0000-0000-00003A790000}"/>
    <cellStyle name="Normal 57 3 2 11 4" xfId="31088" xr:uid="{00000000-0005-0000-0000-00003B790000}"/>
    <cellStyle name="Normal 57 3 2 12" xfId="6971" xr:uid="{00000000-0005-0000-0000-00003C790000}"/>
    <cellStyle name="Normal 57 3 2 12 2" xfId="19612" xr:uid="{00000000-0005-0000-0000-00003D790000}"/>
    <cellStyle name="Normal 57 3 2 12 2 2" xfId="45165" xr:uid="{00000000-0005-0000-0000-00003E790000}"/>
    <cellStyle name="Normal 57 3 2 12 3" xfId="32528" xr:uid="{00000000-0005-0000-0000-00003F790000}"/>
    <cellStyle name="Normal 57 3 2 13" xfId="15792" xr:uid="{00000000-0005-0000-0000-000040790000}"/>
    <cellStyle name="Normal 57 3 2 13 2" xfId="41345" xr:uid="{00000000-0005-0000-0000-000041790000}"/>
    <cellStyle name="Normal 57 3 2 14" xfId="26095" xr:uid="{00000000-0005-0000-0000-000042790000}"/>
    <cellStyle name="Normal 57 3 2 2" xfId="200" xr:uid="{00000000-0005-0000-0000-000043790000}"/>
    <cellStyle name="Normal 57 3 2 2 10" xfId="7146" xr:uid="{00000000-0005-0000-0000-000044790000}"/>
    <cellStyle name="Normal 57 3 2 2 10 2" xfId="19655" xr:uid="{00000000-0005-0000-0000-000045790000}"/>
    <cellStyle name="Normal 57 3 2 2 10 2 2" xfId="45208" xr:uid="{00000000-0005-0000-0000-000046790000}"/>
    <cellStyle name="Normal 57 3 2 2 10 3" xfId="32703" xr:uid="{00000000-0005-0000-0000-000047790000}"/>
    <cellStyle name="Normal 57 3 2 2 11" xfId="15892" xr:uid="{00000000-0005-0000-0000-000048790000}"/>
    <cellStyle name="Normal 57 3 2 2 11 2" xfId="41445" xr:uid="{00000000-0005-0000-0000-000049790000}"/>
    <cellStyle name="Normal 57 3 2 2 12" xfId="26138" xr:uid="{00000000-0005-0000-0000-00004A790000}"/>
    <cellStyle name="Normal 57 3 2 2 2" xfId="526" xr:uid="{00000000-0005-0000-0000-00004B790000}"/>
    <cellStyle name="Normal 57 3 2 2 2 10" xfId="26455" xr:uid="{00000000-0005-0000-0000-00004C790000}"/>
    <cellStyle name="Normal 57 3 2 2 2 2" xfId="832" xr:uid="{00000000-0005-0000-0000-00004D790000}"/>
    <cellStyle name="Normal 57 3 2 2 2 2 2" xfId="3317" xr:uid="{00000000-0005-0000-0000-00004E790000}"/>
    <cellStyle name="Normal 57 3 2 2 2 2 2 2" xfId="12459" xr:uid="{00000000-0005-0000-0000-00004F790000}"/>
    <cellStyle name="Normal 57 3 2 2 2 2 2 2 2" xfId="22678" xr:uid="{00000000-0005-0000-0000-000050790000}"/>
    <cellStyle name="Normal 57 3 2 2 2 2 2 2 2 2" xfId="48231" xr:uid="{00000000-0005-0000-0000-000051790000}"/>
    <cellStyle name="Normal 57 3 2 2 2 2 2 2 3" xfId="38014" xr:uid="{00000000-0005-0000-0000-000052790000}"/>
    <cellStyle name="Normal 57 3 2 2 2 2 2 3" xfId="8881" xr:uid="{00000000-0005-0000-0000-000053790000}"/>
    <cellStyle name="Normal 57 3 2 2 2 2 2 3 2" xfId="34438" xr:uid="{00000000-0005-0000-0000-000054790000}"/>
    <cellStyle name="Normal 57 3 2 2 2 2 2 4" xfId="17671" xr:uid="{00000000-0005-0000-0000-000055790000}"/>
    <cellStyle name="Normal 57 3 2 2 2 2 2 4 2" xfId="43224" xr:uid="{00000000-0005-0000-0000-000056790000}"/>
    <cellStyle name="Normal 57 3 2 2 2 2 2 5" xfId="29161" xr:uid="{00000000-0005-0000-0000-000057790000}"/>
    <cellStyle name="Normal 57 3 2 2 2 2 3" xfId="4646" xr:uid="{00000000-0005-0000-0000-000058790000}"/>
    <cellStyle name="Normal 57 3 2 2 2 2 3 2" xfId="13484" xr:uid="{00000000-0005-0000-0000-000059790000}"/>
    <cellStyle name="Normal 57 3 2 2 2 2 3 2 2" xfId="23735" xr:uid="{00000000-0005-0000-0000-00005A790000}"/>
    <cellStyle name="Normal 57 3 2 2 2 2 3 2 2 2" xfId="49288" xr:uid="{00000000-0005-0000-0000-00005B790000}"/>
    <cellStyle name="Normal 57 3 2 2 2 2 3 2 3" xfId="39039" xr:uid="{00000000-0005-0000-0000-00005C790000}"/>
    <cellStyle name="Normal 57 3 2 2 2 2 3 3" xfId="9905" xr:uid="{00000000-0005-0000-0000-00005D790000}"/>
    <cellStyle name="Normal 57 3 2 2 2 2 3 3 2" xfId="35462" xr:uid="{00000000-0005-0000-0000-00005E790000}"/>
    <cellStyle name="Normal 57 3 2 2 2 2 3 4" xfId="18728" xr:uid="{00000000-0005-0000-0000-00005F790000}"/>
    <cellStyle name="Normal 57 3 2 2 2 2 3 4 2" xfId="44281" xr:uid="{00000000-0005-0000-0000-000060790000}"/>
    <cellStyle name="Normal 57 3 2 2 2 2 3 5" xfId="30218" xr:uid="{00000000-0005-0000-0000-000061790000}"/>
    <cellStyle name="Normal 57 3 2 2 2 2 4" xfId="2426" xr:uid="{00000000-0005-0000-0000-000062790000}"/>
    <cellStyle name="Normal 57 3 2 2 2 2 4 2" xfId="11791" xr:uid="{00000000-0005-0000-0000-000063790000}"/>
    <cellStyle name="Normal 57 3 2 2 2 2 4 2 2" xfId="37346" xr:uid="{00000000-0005-0000-0000-000064790000}"/>
    <cellStyle name="Normal 57 3 2 2 2 2 4 3" xfId="21795" xr:uid="{00000000-0005-0000-0000-000065790000}"/>
    <cellStyle name="Normal 57 3 2 2 2 2 4 3 2" xfId="47348" xr:uid="{00000000-0005-0000-0000-000066790000}"/>
    <cellStyle name="Normal 57 3 2 2 2 2 4 4" xfId="28278" xr:uid="{00000000-0005-0000-0000-000067790000}"/>
    <cellStyle name="Normal 57 3 2 2 2 2 5" xfId="6102" xr:uid="{00000000-0005-0000-0000-000068790000}"/>
    <cellStyle name="Normal 57 3 2 2 2 2 5 2" xfId="14929" xr:uid="{00000000-0005-0000-0000-000069790000}"/>
    <cellStyle name="Normal 57 3 2 2 2 2 5 2 2" xfId="40484" xr:uid="{00000000-0005-0000-0000-00006A790000}"/>
    <cellStyle name="Normal 57 3 2 2 2 2 5 3" xfId="25180" xr:uid="{00000000-0005-0000-0000-00006B790000}"/>
    <cellStyle name="Normal 57 3 2 2 2 2 5 3 2" xfId="50733" xr:uid="{00000000-0005-0000-0000-00006C790000}"/>
    <cellStyle name="Normal 57 3 2 2 2 2 5 4" xfId="31663" xr:uid="{00000000-0005-0000-0000-00006D790000}"/>
    <cellStyle name="Normal 57 3 2 2 2 2 6" xfId="7547" xr:uid="{00000000-0005-0000-0000-00006E790000}"/>
    <cellStyle name="Normal 57 3 2 2 2 2 6 2" xfId="20277" xr:uid="{00000000-0005-0000-0000-00006F790000}"/>
    <cellStyle name="Normal 57 3 2 2 2 2 6 2 2" xfId="45830" xr:uid="{00000000-0005-0000-0000-000070790000}"/>
    <cellStyle name="Normal 57 3 2 2 2 2 6 3" xfId="33104" xr:uid="{00000000-0005-0000-0000-000071790000}"/>
    <cellStyle name="Normal 57 3 2 2 2 2 7" xfId="16788" xr:uid="{00000000-0005-0000-0000-000072790000}"/>
    <cellStyle name="Normal 57 3 2 2 2 2 7 2" xfId="42341" xr:uid="{00000000-0005-0000-0000-000073790000}"/>
    <cellStyle name="Normal 57 3 2 2 2 2 8" xfId="26760" xr:uid="{00000000-0005-0000-0000-000074790000}"/>
    <cellStyle name="Normal 57 3 2 2 2 3" xfId="1298" xr:uid="{00000000-0005-0000-0000-000075790000}"/>
    <cellStyle name="Normal 57 3 2 2 2 3 2" xfId="3727" xr:uid="{00000000-0005-0000-0000-000076790000}"/>
    <cellStyle name="Normal 57 3 2 2 2 3 2 2" xfId="12863" xr:uid="{00000000-0005-0000-0000-000077790000}"/>
    <cellStyle name="Normal 57 3 2 2 2 3 2 2 2" xfId="23082" xr:uid="{00000000-0005-0000-0000-000078790000}"/>
    <cellStyle name="Normal 57 3 2 2 2 3 2 2 2 2" xfId="48635" xr:uid="{00000000-0005-0000-0000-000079790000}"/>
    <cellStyle name="Normal 57 3 2 2 2 3 2 2 3" xfId="38418" xr:uid="{00000000-0005-0000-0000-00007A790000}"/>
    <cellStyle name="Normal 57 3 2 2 2 3 2 3" xfId="9284" xr:uid="{00000000-0005-0000-0000-00007B790000}"/>
    <cellStyle name="Normal 57 3 2 2 2 3 2 3 2" xfId="34841" xr:uid="{00000000-0005-0000-0000-00007C790000}"/>
    <cellStyle name="Normal 57 3 2 2 2 3 2 4" xfId="18075" xr:uid="{00000000-0005-0000-0000-00007D790000}"/>
    <cellStyle name="Normal 57 3 2 2 2 3 2 4 2" xfId="43628" xr:uid="{00000000-0005-0000-0000-00007E790000}"/>
    <cellStyle name="Normal 57 3 2 2 2 3 2 5" xfId="29565" xr:uid="{00000000-0005-0000-0000-00007F790000}"/>
    <cellStyle name="Normal 57 3 2 2 2 3 3" xfId="4995" xr:uid="{00000000-0005-0000-0000-000080790000}"/>
    <cellStyle name="Normal 57 3 2 2 2 3 3 2" xfId="13832" xr:uid="{00000000-0005-0000-0000-000081790000}"/>
    <cellStyle name="Normal 57 3 2 2 2 3 3 2 2" xfId="24083" xr:uid="{00000000-0005-0000-0000-000082790000}"/>
    <cellStyle name="Normal 57 3 2 2 2 3 3 2 2 2" xfId="49636" xr:uid="{00000000-0005-0000-0000-000083790000}"/>
    <cellStyle name="Normal 57 3 2 2 2 3 3 2 3" xfId="39387" xr:uid="{00000000-0005-0000-0000-000084790000}"/>
    <cellStyle name="Normal 57 3 2 2 2 3 3 3" xfId="10253" xr:uid="{00000000-0005-0000-0000-000085790000}"/>
    <cellStyle name="Normal 57 3 2 2 2 3 3 3 2" xfId="35810" xr:uid="{00000000-0005-0000-0000-000086790000}"/>
    <cellStyle name="Normal 57 3 2 2 2 3 3 4" xfId="19076" xr:uid="{00000000-0005-0000-0000-000087790000}"/>
    <cellStyle name="Normal 57 3 2 2 2 3 3 4 2" xfId="44629" xr:uid="{00000000-0005-0000-0000-000088790000}"/>
    <cellStyle name="Normal 57 3 2 2 2 3 3 5" xfId="30566" xr:uid="{00000000-0005-0000-0000-000089790000}"/>
    <cellStyle name="Normal 57 3 2 2 2 3 4" xfId="2121" xr:uid="{00000000-0005-0000-0000-00008A790000}"/>
    <cellStyle name="Normal 57 3 2 2 2 3 4 2" xfId="11486" xr:uid="{00000000-0005-0000-0000-00008B790000}"/>
    <cellStyle name="Normal 57 3 2 2 2 3 4 2 2" xfId="37041" xr:uid="{00000000-0005-0000-0000-00008C790000}"/>
    <cellStyle name="Normal 57 3 2 2 2 3 4 3" xfId="21490" xr:uid="{00000000-0005-0000-0000-00008D790000}"/>
    <cellStyle name="Normal 57 3 2 2 2 3 4 3 2" xfId="47043" xr:uid="{00000000-0005-0000-0000-00008E790000}"/>
    <cellStyle name="Normal 57 3 2 2 2 3 4 4" xfId="27973" xr:uid="{00000000-0005-0000-0000-00008F790000}"/>
    <cellStyle name="Normal 57 3 2 2 2 3 5" xfId="6450" xr:uid="{00000000-0005-0000-0000-000090790000}"/>
    <cellStyle name="Normal 57 3 2 2 2 3 5 2" xfId="15277" xr:uid="{00000000-0005-0000-0000-000091790000}"/>
    <cellStyle name="Normal 57 3 2 2 2 3 5 2 2" xfId="40832" xr:uid="{00000000-0005-0000-0000-000092790000}"/>
    <cellStyle name="Normal 57 3 2 2 2 3 5 3" xfId="25528" xr:uid="{00000000-0005-0000-0000-000093790000}"/>
    <cellStyle name="Normal 57 3 2 2 2 3 5 3 2" xfId="51081" xr:uid="{00000000-0005-0000-0000-000094790000}"/>
    <cellStyle name="Normal 57 3 2 2 2 3 5 4" xfId="32011" xr:uid="{00000000-0005-0000-0000-000095790000}"/>
    <cellStyle name="Normal 57 3 2 2 2 3 6" xfId="7896" xr:uid="{00000000-0005-0000-0000-000096790000}"/>
    <cellStyle name="Normal 57 3 2 2 2 3 6 2" xfId="20681" xr:uid="{00000000-0005-0000-0000-000097790000}"/>
    <cellStyle name="Normal 57 3 2 2 2 3 6 2 2" xfId="46234" xr:uid="{00000000-0005-0000-0000-000098790000}"/>
    <cellStyle name="Normal 57 3 2 2 2 3 6 3" xfId="33453" xr:uid="{00000000-0005-0000-0000-000099790000}"/>
    <cellStyle name="Normal 57 3 2 2 2 3 7" xfId="16483" xr:uid="{00000000-0005-0000-0000-00009A790000}"/>
    <cellStyle name="Normal 57 3 2 2 2 3 7 2" xfId="42036" xr:uid="{00000000-0005-0000-0000-00009B790000}"/>
    <cellStyle name="Normal 57 3 2 2 2 3 8" xfId="27164" xr:uid="{00000000-0005-0000-0000-00009C790000}"/>
    <cellStyle name="Normal 57 3 2 2 2 4" xfId="3012" xr:uid="{00000000-0005-0000-0000-00009D790000}"/>
    <cellStyle name="Normal 57 3 2 2 2 4 2" xfId="5390" xr:uid="{00000000-0005-0000-0000-00009E790000}"/>
    <cellStyle name="Normal 57 3 2 2 2 4 2 2" xfId="14227" xr:uid="{00000000-0005-0000-0000-00009F790000}"/>
    <cellStyle name="Normal 57 3 2 2 2 4 2 2 2" xfId="24478" xr:uid="{00000000-0005-0000-0000-0000A0790000}"/>
    <cellStyle name="Normal 57 3 2 2 2 4 2 2 2 2" xfId="50031" xr:uid="{00000000-0005-0000-0000-0000A1790000}"/>
    <cellStyle name="Normal 57 3 2 2 2 4 2 2 3" xfId="39782" xr:uid="{00000000-0005-0000-0000-0000A2790000}"/>
    <cellStyle name="Normal 57 3 2 2 2 4 2 3" xfId="10648" xr:uid="{00000000-0005-0000-0000-0000A3790000}"/>
    <cellStyle name="Normal 57 3 2 2 2 4 2 3 2" xfId="36205" xr:uid="{00000000-0005-0000-0000-0000A4790000}"/>
    <cellStyle name="Normal 57 3 2 2 2 4 2 4" xfId="19471" xr:uid="{00000000-0005-0000-0000-0000A5790000}"/>
    <cellStyle name="Normal 57 3 2 2 2 4 2 4 2" xfId="45024" xr:uid="{00000000-0005-0000-0000-0000A6790000}"/>
    <cellStyle name="Normal 57 3 2 2 2 4 2 5" xfId="30961" xr:uid="{00000000-0005-0000-0000-0000A7790000}"/>
    <cellStyle name="Normal 57 3 2 2 2 4 3" xfId="6845" xr:uid="{00000000-0005-0000-0000-0000A8790000}"/>
    <cellStyle name="Normal 57 3 2 2 2 4 3 2" xfId="15672" xr:uid="{00000000-0005-0000-0000-0000A9790000}"/>
    <cellStyle name="Normal 57 3 2 2 2 4 3 2 2" xfId="41227" xr:uid="{00000000-0005-0000-0000-0000AA790000}"/>
    <cellStyle name="Normal 57 3 2 2 2 4 3 3" xfId="25923" xr:uid="{00000000-0005-0000-0000-0000AB790000}"/>
    <cellStyle name="Normal 57 3 2 2 2 4 3 3 2" xfId="51476" xr:uid="{00000000-0005-0000-0000-0000AC790000}"/>
    <cellStyle name="Normal 57 3 2 2 2 4 3 4" xfId="32406" xr:uid="{00000000-0005-0000-0000-0000AD790000}"/>
    <cellStyle name="Normal 57 3 2 2 2 4 4" xfId="8291" xr:uid="{00000000-0005-0000-0000-0000AE790000}"/>
    <cellStyle name="Normal 57 3 2 2 2 4 4 2" xfId="22373" xr:uid="{00000000-0005-0000-0000-0000AF790000}"/>
    <cellStyle name="Normal 57 3 2 2 2 4 4 2 2" xfId="47926" xr:uid="{00000000-0005-0000-0000-0000B0790000}"/>
    <cellStyle name="Normal 57 3 2 2 2 4 4 3" xfId="33848" xr:uid="{00000000-0005-0000-0000-0000B1790000}"/>
    <cellStyle name="Normal 57 3 2 2 2 4 5" xfId="17366" xr:uid="{00000000-0005-0000-0000-0000B2790000}"/>
    <cellStyle name="Normal 57 3 2 2 2 4 5 2" xfId="42919" xr:uid="{00000000-0005-0000-0000-0000B3790000}"/>
    <cellStyle name="Normal 57 3 2 2 2 4 6" xfId="28856" xr:uid="{00000000-0005-0000-0000-0000B4790000}"/>
    <cellStyle name="Normal 57 3 2 2 2 5" xfId="4346" xr:uid="{00000000-0005-0000-0000-0000B5790000}"/>
    <cellStyle name="Normal 57 3 2 2 2 5 2" xfId="13184" xr:uid="{00000000-0005-0000-0000-0000B6790000}"/>
    <cellStyle name="Normal 57 3 2 2 2 5 2 2" xfId="23435" xr:uid="{00000000-0005-0000-0000-0000B7790000}"/>
    <cellStyle name="Normal 57 3 2 2 2 5 2 2 2" xfId="48988" xr:uid="{00000000-0005-0000-0000-0000B8790000}"/>
    <cellStyle name="Normal 57 3 2 2 2 5 2 3" xfId="38739" xr:uid="{00000000-0005-0000-0000-0000B9790000}"/>
    <cellStyle name="Normal 57 3 2 2 2 5 3" xfId="9605" xr:uid="{00000000-0005-0000-0000-0000BA790000}"/>
    <cellStyle name="Normal 57 3 2 2 2 5 3 2" xfId="35162" xr:uid="{00000000-0005-0000-0000-0000BB790000}"/>
    <cellStyle name="Normal 57 3 2 2 2 5 4" xfId="18428" xr:uid="{00000000-0005-0000-0000-0000BC790000}"/>
    <cellStyle name="Normal 57 3 2 2 2 5 4 2" xfId="43981" xr:uid="{00000000-0005-0000-0000-0000BD790000}"/>
    <cellStyle name="Normal 57 3 2 2 2 5 5" xfId="29918" xr:uid="{00000000-0005-0000-0000-0000BE790000}"/>
    <cellStyle name="Normal 57 3 2 2 2 6" xfId="1618" xr:uid="{00000000-0005-0000-0000-0000BF790000}"/>
    <cellStyle name="Normal 57 3 2 2 2 6 2" xfId="10995" xr:uid="{00000000-0005-0000-0000-0000C0790000}"/>
    <cellStyle name="Normal 57 3 2 2 2 6 2 2" xfId="36550" xr:uid="{00000000-0005-0000-0000-0000C1790000}"/>
    <cellStyle name="Normal 57 3 2 2 2 6 3" xfId="20999" xr:uid="{00000000-0005-0000-0000-0000C2790000}"/>
    <cellStyle name="Normal 57 3 2 2 2 6 3 2" xfId="46552" xr:uid="{00000000-0005-0000-0000-0000C3790000}"/>
    <cellStyle name="Normal 57 3 2 2 2 6 4" xfId="27482" xr:uid="{00000000-0005-0000-0000-0000C4790000}"/>
    <cellStyle name="Normal 57 3 2 2 2 7" xfId="5802" xr:uid="{00000000-0005-0000-0000-0000C5790000}"/>
    <cellStyle name="Normal 57 3 2 2 2 7 2" xfId="14629" xr:uid="{00000000-0005-0000-0000-0000C6790000}"/>
    <cellStyle name="Normal 57 3 2 2 2 7 2 2" xfId="40184" xr:uid="{00000000-0005-0000-0000-0000C7790000}"/>
    <cellStyle name="Normal 57 3 2 2 2 7 3" xfId="24880" xr:uid="{00000000-0005-0000-0000-0000C8790000}"/>
    <cellStyle name="Normal 57 3 2 2 2 7 3 2" xfId="50433" xr:uid="{00000000-0005-0000-0000-0000C9790000}"/>
    <cellStyle name="Normal 57 3 2 2 2 7 4" xfId="31363" xr:uid="{00000000-0005-0000-0000-0000CA790000}"/>
    <cellStyle name="Normal 57 3 2 2 2 8" xfId="7246" xr:uid="{00000000-0005-0000-0000-0000CB790000}"/>
    <cellStyle name="Normal 57 3 2 2 2 8 2" xfId="19972" xr:uid="{00000000-0005-0000-0000-0000CC790000}"/>
    <cellStyle name="Normal 57 3 2 2 2 8 2 2" xfId="45525" xr:uid="{00000000-0005-0000-0000-0000CD790000}"/>
    <cellStyle name="Normal 57 3 2 2 2 8 3" xfId="32803" xr:uid="{00000000-0005-0000-0000-0000CE790000}"/>
    <cellStyle name="Normal 57 3 2 2 2 9" xfId="15992" xr:uid="{00000000-0005-0000-0000-0000CF790000}"/>
    <cellStyle name="Normal 57 3 2 2 2 9 2" xfId="41545" xr:uid="{00000000-0005-0000-0000-0000D0790000}"/>
    <cellStyle name="Normal 57 3 2 2 2_Degree data" xfId="3938" xr:uid="{00000000-0005-0000-0000-0000D1790000}"/>
    <cellStyle name="Normal 57 3 2 2 3" xfId="426" xr:uid="{00000000-0005-0000-0000-0000D2790000}"/>
    <cellStyle name="Normal 57 3 2 2 3 2" xfId="2912" xr:uid="{00000000-0005-0000-0000-0000D3790000}"/>
    <cellStyle name="Normal 57 3 2 2 3 2 2" xfId="12200" xr:uid="{00000000-0005-0000-0000-0000D4790000}"/>
    <cellStyle name="Normal 57 3 2 2 3 2 2 2" xfId="22273" xr:uid="{00000000-0005-0000-0000-0000D5790000}"/>
    <cellStyle name="Normal 57 3 2 2 3 2 2 2 2" xfId="47826" xr:uid="{00000000-0005-0000-0000-0000D6790000}"/>
    <cellStyle name="Normal 57 3 2 2 3 2 2 3" xfId="37755" xr:uid="{00000000-0005-0000-0000-0000D7790000}"/>
    <cellStyle name="Normal 57 3 2 2 3 2 3" xfId="8448" xr:uid="{00000000-0005-0000-0000-0000D8790000}"/>
    <cellStyle name="Normal 57 3 2 2 3 2 3 2" xfId="34005" xr:uid="{00000000-0005-0000-0000-0000D9790000}"/>
    <cellStyle name="Normal 57 3 2 2 3 2 4" xfId="17266" xr:uid="{00000000-0005-0000-0000-0000DA790000}"/>
    <cellStyle name="Normal 57 3 2 2 3 2 4 2" xfId="42819" xr:uid="{00000000-0005-0000-0000-0000DB790000}"/>
    <cellStyle name="Normal 57 3 2 2 3 2 5" xfId="28756" xr:uid="{00000000-0005-0000-0000-0000DC790000}"/>
    <cellStyle name="Normal 57 3 2 2 3 3" xfId="4645" xr:uid="{00000000-0005-0000-0000-0000DD790000}"/>
    <cellStyle name="Normal 57 3 2 2 3 3 2" xfId="13483" xr:uid="{00000000-0005-0000-0000-0000DE790000}"/>
    <cellStyle name="Normal 57 3 2 2 3 3 2 2" xfId="23734" xr:uid="{00000000-0005-0000-0000-0000DF790000}"/>
    <cellStyle name="Normal 57 3 2 2 3 3 2 2 2" xfId="49287" xr:uid="{00000000-0005-0000-0000-0000E0790000}"/>
    <cellStyle name="Normal 57 3 2 2 3 3 2 3" xfId="39038" xr:uid="{00000000-0005-0000-0000-0000E1790000}"/>
    <cellStyle name="Normal 57 3 2 2 3 3 3" xfId="9904" xr:uid="{00000000-0005-0000-0000-0000E2790000}"/>
    <cellStyle name="Normal 57 3 2 2 3 3 3 2" xfId="35461" xr:uid="{00000000-0005-0000-0000-0000E3790000}"/>
    <cellStyle name="Normal 57 3 2 2 3 3 4" xfId="18727" xr:uid="{00000000-0005-0000-0000-0000E4790000}"/>
    <cellStyle name="Normal 57 3 2 2 3 3 4 2" xfId="44280" xr:uid="{00000000-0005-0000-0000-0000E5790000}"/>
    <cellStyle name="Normal 57 3 2 2 3 3 5" xfId="30217" xr:uid="{00000000-0005-0000-0000-0000E6790000}"/>
    <cellStyle name="Normal 57 3 2 2 3 4" xfId="2021" xr:uid="{00000000-0005-0000-0000-0000E7790000}"/>
    <cellStyle name="Normal 57 3 2 2 3 4 2" xfId="11386" xr:uid="{00000000-0005-0000-0000-0000E8790000}"/>
    <cellStyle name="Normal 57 3 2 2 3 4 2 2" xfId="36941" xr:uid="{00000000-0005-0000-0000-0000E9790000}"/>
    <cellStyle name="Normal 57 3 2 2 3 4 3" xfId="21390" xr:uid="{00000000-0005-0000-0000-0000EA790000}"/>
    <cellStyle name="Normal 57 3 2 2 3 4 3 2" xfId="46943" xr:uid="{00000000-0005-0000-0000-0000EB790000}"/>
    <cellStyle name="Normal 57 3 2 2 3 4 4" xfId="27873" xr:uid="{00000000-0005-0000-0000-0000EC790000}"/>
    <cellStyle name="Normal 57 3 2 2 3 5" xfId="6101" xr:uid="{00000000-0005-0000-0000-0000ED790000}"/>
    <cellStyle name="Normal 57 3 2 2 3 5 2" xfId="14928" xr:uid="{00000000-0005-0000-0000-0000EE790000}"/>
    <cellStyle name="Normal 57 3 2 2 3 5 2 2" xfId="40483" xr:uid="{00000000-0005-0000-0000-0000EF790000}"/>
    <cellStyle name="Normal 57 3 2 2 3 5 3" xfId="25179" xr:uid="{00000000-0005-0000-0000-0000F0790000}"/>
    <cellStyle name="Normal 57 3 2 2 3 5 3 2" xfId="50732" xr:uid="{00000000-0005-0000-0000-0000F1790000}"/>
    <cellStyle name="Normal 57 3 2 2 3 5 4" xfId="31662" xr:uid="{00000000-0005-0000-0000-0000F2790000}"/>
    <cellStyle name="Normal 57 3 2 2 3 6" xfId="7546" xr:uid="{00000000-0005-0000-0000-0000F3790000}"/>
    <cellStyle name="Normal 57 3 2 2 3 6 2" xfId="19872" xr:uid="{00000000-0005-0000-0000-0000F4790000}"/>
    <cellStyle name="Normal 57 3 2 2 3 6 2 2" xfId="45425" xr:uid="{00000000-0005-0000-0000-0000F5790000}"/>
    <cellStyle name="Normal 57 3 2 2 3 6 3" xfId="33103" xr:uid="{00000000-0005-0000-0000-0000F6790000}"/>
    <cellStyle name="Normal 57 3 2 2 3 7" xfId="16383" xr:uid="{00000000-0005-0000-0000-0000F7790000}"/>
    <cellStyle name="Normal 57 3 2 2 3 7 2" xfId="41936" xr:uid="{00000000-0005-0000-0000-0000F8790000}"/>
    <cellStyle name="Normal 57 3 2 2 3 8" xfId="26355" xr:uid="{00000000-0005-0000-0000-0000F9790000}"/>
    <cellStyle name="Normal 57 3 2 2 4" xfId="831" xr:uid="{00000000-0005-0000-0000-0000FA790000}"/>
    <cellStyle name="Normal 57 3 2 2 4 2" xfId="3316" xr:uid="{00000000-0005-0000-0000-0000FB790000}"/>
    <cellStyle name="Normal 57 3 2 2 4 2 2" xfId="12458" xr:uid="{00000000-0005-0000-0000-0000FC790000}"/>
    <cellStyle name="Normal 57 3 2 2 4 2 2 2" xfId="22677" xr:uid="{00000000-0005-0000-0000-0000FD790000}"/>
    <cellStyle name="Normal 57 3 2 2 4 2 2 2 2" xfId="48230" xr:uid="{00000000-0005-0000-0000-0000FE790000}"/>
    <cellStyle name="Normal 57 3 2 2 4 2 2 3" xfId="38013" xr:uid="{00000000-0005-0000-0000-0000FF790000}"/>
    <cellStyle name="Normal 57 3 2 2 4 2 3" xfId="8880" xr:uid="{00000000-0005-0000-0000-0000007A0000}"/>
    <cellStyle name="Normal 57 3 2 2 4 2 3 2" xfId="34437" xr:uid="{00000000-0005-0000-0000-0000017A0000}"/>
    <cellStyle name="Normal 57 3 2 2 4 2 4" xfId="17670" xr:uid="{00000000-0005-0000-0000-0000027A0000}"/>
    <cellStyle name="Normal 57 3 2 2 4 2 4 2" xfId="43223" xr:uid="{00000000-0005-0000-0000-0000037A0000}"/>
    <cellStyle name="Normal 57 3 2 2 4 2 5" xfId="29160" xr:uid="{00000000-0005-0000-0000-0000047A0000}"/>
    <cellStyle name="Normal 57 3 2 2 4 3" xfId="4994" xr:uid="{00000000-0005-0000-0000-0000057A0000}"/>
    <cellStyle name="Normal 57 3 2 2 4 3 2" xfId="13831" xr:uid="{00000000-0005-0000-0000-0000067A0000}"/>
    <cellStyle name="Normal 57 3 2 2 4 3 2 2" xfId="24082" xr:uid="{00000000-0005-0000-0000-0000077A0000}"/>
    <cellStyle name="Normal 57 3 2 2 4 3 2 2 2" xfId="49635" xr:uid="{00000000-0005-0000-0000-0000087A0000}"/>
    <cellStyle name="Normal 57 3 2 2 4 3 2 3" xfId="39386" xr:uid="{00000000-0005-0000-0000-0000097A0000}"/>
    <cellStyle name="Normal 57 3 2 2 4 3 3" xfId="10252" xr:uid="{00000000-0005-0000-0000-00000A7A0000}"/>
    <cellStyle name="Normal 57 3 2 2 4 3 3 2" xfId="35809" xr:uid="{00000000-0005-0000-0000-00000B7A0000}"/>
    <cellStyle name="Normal 57 3 2 2 4 3 4" xfId="19075" xr:uid="{00000000-0005-0000-0000-00000C7A0000}"/>
    <cellStyle name="Normal 57 3 2 2 4 3 4 2" xfId="44628" xr:uid="{00000000-0005-0000-0000-00000D7A0000}"/>
    <cellStyle name="Normal 57 3 2 2 4 3 5" xfId="30565" xr:uid="{00000000-0005-0000-0000-00000E7A0000}"/>
    <cellStyle name="Normal 57 3 2 2 4 4" xfId="2425" xr:uid="{00000000-0005-0000-0000-00000F7A0000}"/>
    <cellStyle name="Normal 57 3 2 2 4 4 2" xfId="11790" xr:uid="{00000000-0005-0000-0000-0000107A0000}"/>
    <cellStyle name="Normal 57 3 2 2 4 4 2 2" xfId="37345" xr:uid="{00000000-0005-0000-0000-0000117A0000}"/>
    <cellStyle name="Normal 57 3 2 2 4 4 3" xfId="21794" xr:uid="{00000000-0005-0000-0000-0000127A0000}"/>
    <cellStyle name="Normal 57 3 2 2 4 4 3 2" xfId="47347" xr:uid="{00000000-0005-0000-0000-0000137A0000}"/>
    <cellStyle name="Normal 57 3 2 2 4 4 4" xfId="28277" xr:uid="{00000000-0005-0000-0000-0000147A0000}"/>
    <cellStyle name="Normal 57 3 2 2 4 5" xfId="6449" xr:uid="{00000000-0005-0000-0000-0000157A0000}"/>
    <cellStyle name="Normal 57 3 2 2 4 5 2" xfId="15276" xr:uid="{00000000-0005-0000-0000-0000167A0000}"/>
    <cellStyle name="Normal 57 3 2 2 4 5 2 2" xfId="40831" xr:uid="{00000000-0005-0000-0000-0000177A0000}"/>
    <cellStyle name="Normal 57 3 2 2 4 5 3" xfId="25527" xr:uid="{00000000-0005-0000-0000-0000187A0000}"/>
    <cellStyle name="Normal 57 3 2 2 4 5 3 2" xfId="51080" xr:uid="{00000000-0005-0000-0000-0000197A0000}"/>
    <cellStyle name="Normal 57 3 2 2 4 5 4" xfId="32010" xr:uid="{00000000-0005-0000-0000-00001A7A0000}"/>
    <cellStyle name="Normal 57 3 2 2 4 6" xfId="7895" xr:uid="{00000000-0005-0000-0000-00001B7A0000}"/>
    <cellStyle name="Normal 57 3 2 2 4 6 2" xfId="20276" xr:uid="{00000000-0005-0000-0000-00001C7A0000}"/>
    <cellStyle name="Normal 57 3 2 2 4 6 2 2" xfId="45829" xr:uid="{00000000-0005-0000-0000-00001D7A0000}"/>
    <cellStyle name="Normal 57 3 2 2 4 6 3" xfId="33452" xr:uid="{00000000-0005-0000-0000-00001E7A0000}"/>
    <cellStyle name="Normal 57 3 2 2 4 7" xfId="16787" xr:uid="{00000000-0005-0000-0000-00001F7A0000}"/>
    <cellStyle name="Normal 57 3 2 2 4 7 2" xfId="42340" xr:uid="{00000000-0005-0000-0000-0000207A0000}"/>
    <cellStyle name="Normal 57 3 2 2 4 8" xfId="26759" xr:uid="{00000000-0005-0000-0000-0000217A0000}"/>
    <cellStyle name="Normal 57 3 2 2 5" xfId="1198" xr:uid="{00000000-0005-0000-0000-0000227A0000}"/>
    <cellStyle name="Normal 57 3 2 2 5 2" xfId="3627" xr:uid="{00000000-0005-0000-0000-0000237A0000}"/>
    <cellStyle name="Normal 57 3 2 2 5 2 2" xfId="12763" xr:uid="{00000000-0005-0000-0000-0000247A0000}"/>
    <cellStyle name="Normal 57 3 2 2 5 2 2 2" xfId="22982" xr:uid="{00000000-0005-0000-0000-0000257A0000}"/>
    <cellStyle name="Normal 57 3 2 2 5 2 2 2 2" xfId="48535" xr:uid="{00000000-0005-0000-0000-0000267A0000}"/>
    <cellStyle name="Normal 57 3 2 2 5 2 2 3" xfId="38318" xr:uid="{00000000-0005-0000-0000-0000277A0000}"/>
    <cellStyle name="Normal 57 3 2 2 5 2 3" xfId="9184" xr:uid="{00000000-0005-0000-0000-0000287A0000}"/>
    <cellStyle name="Normal 57 3 2 2 5 2 3 2" xfId="34741" xr:uid="{00000000-0005-0000-0000-0000297A0000}"/>
    <cellStyle name="Normal 57 3 2 2 5 2 4" xfId="17975" xr:uid="{00000000-0005-0000-0000-00002A7A0000}"/>
    <cellStyle name="Normal 57 3 2 2 5 2 4 2" xfId="43528" xr:uid="{00000000-0005-0000-0000-00002B7A0000}"/>
    <cellStyle name="Normal 57 3 2 2 5 2 5" xfId="29465" xr:uid="{00000000-0005-0000-0000-00002C7A0000}"/>
    <cellStyle name="Normal 57 3 2 2 5 3" xfId="5290" xr:uid="{00000000-0005-0000-0000-00002D7A0000}"/>
    <cellStyle name="Normal 57 3 2 2 5 3 2" xfId="14127" xr:uid="{00000000-0005-0000-0000-00002E7A0000}"/>
    <cellStyle name="Normal 57 3 2 2 5 3 2 2" xfId="24378" xr:uid="{00000000-0005-0000-0000-00002F7A0000}"/>
    <cellStyle name="Normal 57 3 2 2 5 3 2 2 2" xfId="49931" xr:uid="{00000000-0005-0000-0000-0000307A0000}"/>
    <cellStyle name="Normal 57 3 2 2 5 3 2 3" xfId="39682" xr:uid="{00000000-0005-0000-0000-0000317A0000}"/>
    <cellStyle name="Normal 57 3 2 2 5 3 3" xfId="10548" xr:uid="{00000000-0005-0000-0000-0000327A0000}"/>
    <cellStyle name="Normal 57 3 2 2 5 3 3 2" xfId="36105" xr:uid="{00000000-0005-0000-0000-0000337A0000}"/>
    <cellStyle name="Normal 57 3 2 2 5 3 4" xfId="19371" xr:uid="{00000000-0005-0000-0000-0000347A0000}"/>
    <cellStyle name="Normal 57 3 2 2 5 3 4 2" xfId="44924" xr:uid="{00000000-0005-0000-0000-0000357A0000}"/>
    <cellStyle name="Normal 57 3 2 2 5 3 5" xfId="30861" xr:uid="{00000000-0005-0000-0000-0000367A0000}"/>
    <cellStyle name="Normal 57 3 2 2 5 4" xfId="1801" xr:uid="{00000000-0005-0000-0000-0000377A0000}"/>
    <cellStyle name="Normal 57 3 2 2 5 4 2" xfId="11169" xr:uid="{00000000-0005-0000-0000-0000387A0000}"/>
    <cellStyle name="Normal 57 3 2 2 5 4 2 2" xfId="36724" xr:uid="{00000000-0005-0000-0000-0000397A0000}"/>
    <cellStyle name="Normal 57 3 2 2 5 4 3" xfId="21173" xr:uid="{00000000-0005-0000-0000-00003A7A0000}"/>
    <cellStyle name="Normal 57 3 2 2 5 4 3 2" xfId="46726" xr:uid="{00000000-0005-0000-0000-00003B7A0000}"/>
    <cellStyle name="Normal 57 3 2 2 5 4 4" xfId="27656" xr:uid="{00000000-0005-0000-0000-00003C7A0000}"/>
    <cellStyle name="Normal 57 3 2 2 5 5" xfId="6745" xr:uid="{00000000-0005-0000-0000-00003D7A0000}"/>
    <cellStyle name="Normal 57 3 2 2 5 5 2" xfId="15572" xr:uid="{00000000-0005-0000-0000-00003E7A0000}"/>
    <cellStyle name="Normal 57 3 2 2 5 5 2 2" xfId="41127" xr:uid="{00000000-0005-0000-0000-00003F7A0000}"/>
    <cellStyle name="Normal 57 3 2 2 5 5 3" xfId="25823" xr:uid="{00000000-0005-0000-0000-0000407A0000}"/>
    <cellStyle name="Normal 57 3 2 2 5 5 3 2" xfId="51376" xr:uid="{00000000-0005-0000-0000-0000417A0000}"/>
    <cellStyle name="Normal 57 3 2 2 5 5 4" xfId="32306" xr:uid="{00000000-0005-0000-0000-0000427A0000}"/>
    <cellStyle name="Normal 57 3 2 2 5 6" xfId="8191" xr:uid="{00000000-0005-0000-0000-0000437A0000}"/>
    <cellStyle name="Normal 57 3 2 2 5 6 2" xfId="20581" xr:uid="{00000000-0005-0000-0000-0000447A0000}"/>
    <cellStyle name="Normal 57 3 2 2 5 6 2 2" xfId="46134" xr:uid="{00000000-0005-0000-0000-0000457A0000}"/>
    <cellStyle name="Normal 57 3 2 2 5 6 3" xfId="33748" xr:uid="{00000000-0005-0000-0000-0000467A0000}"/>
    <cellStyle name="Normal 57 3 2 2 5 7" xfId="16166" xr:uid="{00000000-0005-0000-0000-0000477A0000}"/>
    <cellStyle name="Normal 57 3 2 2 5 7 2" xfId="41719" xr:uid="{00000000-0005-0000-0000-0000487A0000}"/>
    <cellStyle name="Normal 57 3 2 2 5 8" xfId="27064" xr:uid="{00000000-0005-0000-0000-0000497A0000}"/>
    <cellStyle name="Normal 57 3 2 2 6" xfId="2695" xr:uid="{00000000-0005-0000-0000-00004A7A0000}"/>
    <cellStyle name="Normal 57 3 2 2 6 2" xfId="12012" xr:uid="{00000000-0005-0000-0000-00004B7A0000}"/>
    <cellStyle name="Normal 57 3 2 2 6 2 2" xfId="22056" xr:uid="{00000000-0005-0000-0000-00004C7A0000}"/>
    <cellStyle name="Normal 57 3 2 2 6 2 2 2" xfId="47609" xr:uid="{00000000-0005-0000-0000-00004D7A0000}"/>
    <cellStyle name="Normal 57 3 2 2 6 2 3" xfId="37567" xr:uid="{00000000-0005-0000-0000-00004E7A0000}"/>
    <cellStyle name="Normal 57 3 2 2 6 3" xfId="8492" xr:uid="{00000000-0005-0000-0000-00004F7A0000}"/>
    <cellStyle name="Normal 57 3 2 2 6 3 2" xfId="34049" xr:uid="{00000000-0005-0000-0000-0000507A0000}"/>
    <cellStyle name="Normal 57 3 2 2 6 4" xfId="17049" xr:uid="{00000000-0005-0000-0000-0000517A0000}"/>
    <cellStyle name="Normal 57 3 2 2 6 4 2" xfId="42602" xr:uid="{00000000-0005-0000-0000-0000527A0000}"/>
    <cellStyle name="Normal 57 3 2 2 6 5" xfId="28539" xr:uid="{00000000-0005-0000-0000-0000537A0000}"/>
    <cellStyle name="Normal 57 3 2 2 7" xfId="4246" xr:uid="{00000000-0005-0000-0000-0000547A0000}"/>
    <cellStyle name="Normal 57 3 2 2 7 2" xfId="13084" xr:uid="{00000000-0005-0000-0000-0000557A0000}"/>
    <cellStyle name="Normal 57 3 2 2 7 2 2" xfId="23335" xr:uid="{00000000-0005-0000-0000-0000567A0000}"/>
    <cellStyle name="Normal 57 3 2 2 7 2 2 2" xfId="48888" xr:uid="{00000000-0005-0000-0000-0000577A0000}"/>
    <cellStyle name="Normal 57 3 2 2 7 2 3" xfId="38639" xr:uid="{00000000-0005-0000-0000-0000587A0000}"/>
    <cellStyle name="Normal 57 3 2 2 7 3" xfId="9505" xr:uid="{00000000-0005-0000-0000-0000597A0000}"/>
    <cellStyle name="Normal 57 3 2 2 7 3 2" xfId="35062" xr:uid="{00000000-0005-0000-0000-00005A7A0000}"/>
    <cellStyle name="Normal 57 3 2 2 7 4" xfId="18328" xr:uid="{00000000-0005-0000-0000-00005B7A0000}"/>
    <cellStyle name="Normal 57 3 2 2 7 4 2" xfId="43881" xr:uid="{00000000-0005-0000-0000-00005C7A0000}"/>
    <cellStyle name="Normal 57 3 2 2 7 5" xfId="29818" xr:uid="{00000000-0005-0000-0000-00005D7A0000}"/>
    <cellStyle name="Normal 57 3 2 2 8" xfId="1518" xr:uid="{00000000-0005-0000-0000-00005E7A0000}"/>
    <cellStyle name="Normal 57 3 2 2 8 2" xfId="10895" xr:uid="{00000000-0005-0000-0000-00005F7A0000}"/>
    <cellStyle name="Normal 57 3 2 2 8 2 2" xfId="36450" xr:uid="{00000000-0005-0000-0000-0000607A0000}"/>
    <cellStyle name="Normal 57 3 2 2 8 3" xfId="20899" xr:uid="{00000000-0005-0000-0000-0000617A0000}"/>
    <cellStyle name="Normal 57 3 2 2 8 3 2" xfId="46452" xr:uid="{00000000-0005-0000-0000-0000627A0000}"/>
    <cellStyle name="Normal 57 3 2 2 8 4" xfId="27382" xr:uid="{00000000-0005-0000-0000-0000637A0000}"/>
    <cellStyle name="Normal 57 3 2 2 9" xfId="5702" xr:uid="{00000000-0005-0000-0000-0000647A0000}"/>
    <cellStyle name="Normal 57 3 2 2 9 2" xfId="14529" xr:uid="{00000000-0005-0000-0000-0000657A0000}"/>
    <cellStyle name="Normal 57 3 2 2 9 2 2" xfId="40084" xr:uid="{00000000-0005-0000-0000-0000667A0000}"/>
    <cellStyle name="Normal 57 3 2 2 9 3" xfId="24780" xr:uid="{00000000-0005-0000-0000-0000677A0000}"/>
    <cellStyle name="Normal 57 3 2 2 9 3 2" xfId="50333" xr:uid="{00000000-0005-0000-0000-0000687A0000}"/>
    <cellStyle name="Normal 57 3 2 2 9 4" xfId="31263" xr:uid="{00000000-0005-0000-0000-0000697A0000}"/>
    <cellStyle name="Normal 57 3 2 2_Degree data" xfId="3937" xr:uid="{00000000-0005-0000-0000-00006A7A0000}"/>
    <cellStyle name="Normal 57 3 2 3" xfId="265" xr:uid="{00000000-0005-0000-0000-00006B7A0000}"/>
    <cellStyle name="Normal 57 3 2 3 10" xfId="7103" xr:uid="{00000000-0005-0000-0000-00006C7A0000}"/>
    <cellStyle name="Normal 57 3 2 3 10 2" xfId="19716" xr:uid="{00000000-0005-0000-0000-00006D7A0000}"/>
    <cellStyle name="Normal 57 3 2 3 10 2 2" xfId="45269" xr:uid="{00000000-0005-0000-0000-00006E7A0000}"/>
    <cellStyle name="Normal 57 3 2 3 10 3" xfId="32660" xr:uid="{00000000-0005-0000-0000-00006F7A0000}"/>
    <cellStyle name="Normal 57 3 2 3 11" xfId="15849" xr:uid="{00000000-0005-0000-0000-0000707A0000}"/>
    <cellStyle name="Normal 57 3 2 3 11 2" xfId="41402" xr:uid="{00000000-0005-0000-0000-0000717A0000}"/>
    <cellStyle name="Normal 57 3 2 3 12" xfId="26199" xr:uid="{00000000-0005-0000-0000-0000727A0000}"/>
    <cellStyle name="Normal 57 3 2 3 2" xfId="587" xr:uid="{00000000-0005-0000-0000-0000737A0000}"/>
    <cellStyle name="Normal 57 3 2 3 2 10" xfId="26516" xr:uid="{00000000-0005-0000-0000-0000747A0000}"/>
    <cellStyle name="Normal 57 3 2 3 2 2" xfId="834" xr:uid="{00000000-0005-0000-0000-0000757A0000}"/>
    <cellStyle name="Normal 57 3 2 3 2 2 2" xfId="3319" xr:uid="{00000000-0005-0000-0000-0000767A0000}"/>
    <cellStyle name="Normal 57 3 2 3 2 2 2 2" xfId="12461" xr:uid="{00000000-0005-0000-0000-0000777A0000}"/>
    <cellStyle name="Normal 57 3 2 3 2 2 2 2 2" xfId="22680" xr:uid="{00000000-0005-0000-0000-0000787A0000}"/>
    <cellStyle name="Normal 57 3 2 3 2 2 2 2 2 2" xfId="48233" xr:uid="{00000000-0005-0000-0000-0000797A0000}"/>
    <cellStyle name="Normal 57 3 2 3 2 2 2 2 3" xfId="38016" xr:uid="{00000000-0005-0000-0000-00007A7A0000}"/>
    <cellStyle name="Normal 57 3 2 3 2 2 2 3" xfId="8883" xr:uid="{00000000-0005-0000-0000-00007B7A0000}"/>
    <cellStyle name="Normal 57 3 2 3 2 2 2 3 2" xfId="34440" xr:uid="{00000000-0005-0000-0000-00007C7A0000}"/>
    <cellStyle name="Normal 57 3 2 3 2 2 2 4" xfId="17673" xr:uid="{00000000-0005-0000-0000-00007D7A0000}"/>
    <cellStyle name="Normal 57 3 2 3 2 2 2 4 2" xfId="43226" xr:uid="{00000000-0005-0000-0000-00007E7A0000}"/>
    <cellStyle name="Normal 57 3 2 3 2 2 2 5" xfId="29163" xr:uid="{00000000-0005-0000-0000-00007F7A0000}"/>
    <cellStyle name="Normal 57 3 2 3 2 2 3" xfId="4648" xr:uid="{00000000-0005-0000-0000-0000807A0000}"/>
    <cellStyle name="Normal 57 3 2 3 2 2 3 2" xfId="13486" xr:uid="{00000000-0005-0000-0000-0000817A0000}"/>
    <cellStyle name="Normal 57 3 2 3 2 2 3 2 2" xfId="23737" xr:uid="{00000000-0005-0000-0000-0000827A0000}"/>
    <cellStyle name="Normal 57 3 2 3 2 2 3 2 2 2" xfId="49290" xr:uid="{00000000-0005-0000-0000-0000837A0000}"/>
    <cellStyle name="Normal 57 3 2 3 2 2 3 2 3" xfId="39041" xr:uid="{00000000-0005-0000-0000-0000847A0000}"/>
    <cellStyle name="Normal 57 3 2 3 2 2 3 3" xfId="9907" xr:uid="{00000000-0005-0000-0000-0000857A0000}"/>
    <cellStyle name="Normal 57 3 2 3 2 2 3 3 2" xfId="35464" xr:uid="{00000000-0005-0000-0000-0000867A0000}"/>
    <cellStyle name="Normal 57 3 2 3 2 2 3 4" xfId="18730" xr:uid="{00000000-0005-0000-0000-0000877A0000}"/>
    <cellStyle name="Normal 57 3 2 3 2 2 3 4 2" xfId="44283" xr:uid="{00000000-0005-0000-0000-0000887A0000}"/>
    <cellStyle name="Normal 57 3 2 3 2 2 3 5" xfId="30220" xr:uid="{00000000-0005-0000-0000-0000897A0000}"/>
    <cellStyle name="Normal 57 3 2 3 2 2 4" xfId="2428" xr:uid="{00000000-0005-0000-0000-00008A7A0000}"/>
    <cellStyle name="Normal 57 3 2 3 2 2 4 2" xfId="11793" xr:uid="{00000000-0005-0000-0000-00008B7A0000}"/>
    <cellStyle name="Normal 57 3 2 3 2 2 4 2 2" xfId="37348" xr:uid="{00000000-0005-0000-0000-00008C7A0000}"/>
    <cellStyle name="Normal 57 3 2 3 2 2 4 3" xfId="21797" xr:uid="{00000000-0005-0000-0000-00008D7A0000}"/>
    <cellStyle name="Normal 57 3 2 3 2 2 4 3 2" xfId="47350" xr:uid="{00000000-0005-0000-0000-00008E7A0000}"/>
    <cellStyle name="Normal 57 3 2 3 2 2 4 4" xfId="28280" xr:uid="{00000000-0005-0000-0000-00008F7A0000}"/>
    <cellStyle name="Normal 57 3 2 3 2 2 5" xfId="6104" xr:uid="{00000000-0005-0000-0000-0000907A0000}"/>
    <cellStyle name="Normal 57 3 2 3 2 2 5 2" xfId="14931" xr:uid="{00000000-0005-0000-0000-0000917A0000}"/>
    <cellStyle name="Normal 57 3 2 3 2 2 5 2 2" xfId="40486" xr:uid="{00000000-0005-0000-0000-0000927A0000}"/>
    <cellStyle name="Normal 57 3 2 3 2 2 5 3" xfId="25182" xr:uid="{00000000-0005-0000-0000-0000937A0000}"/>
    <cellStyle name="Normal 57 3 2 3 2 2 5 3 2" xfId="50735" xr:uid="{00000000-0005-0000-0000-0000947A0000}"/>
    <cellStyle name="Normal 57 3 2 3 2 2 5 4" xfId="31665" xr:uid="{00000000-0005-0000-0000-0000957A0000}"/>
    <cellStyle name="Normal 57 3 2 3 2 2 6" xfId="7549" xr:uid="{00000000-0005-0000-0000-0000967A0000}"/>
    <cellStyle name="Normal 57 3 2 3 2 2 6 2" xfId="20279" xr:uid="{00000000-0005-0000-0000-0000977A0000}"/>
    <cellStyle name="Normal 57 3 2 3 2 2 6 2 2" xfId="45832" xr:uid="{00000000-0005-0000-0000-0000987A0000}"/>
    <cellStyle name="Normal 57 3 2 3 2 2 6 3" xfId="33106" xr:uid="{00000000-0005-0000-0000-0000997A0000}"/>
    <cellStyle name="Normal 57 3 2 3 2 2 7" xfId="16790" xr:uid="{00000000-0005-0000-0000-00009A7A0000}"/>
    <cellStyle name="Normal 57 3 2 3 2 2 7 2" xfId="42343" xr:uid="{00000000-0005-0000-0000-00009B7A0000}"/>
    <cellStyle name="Normal 57 3 2 3 2 2 8" xfId="26762" xr:uid="{00000000-0005-0000-0000-00009C7A0000}"/>
    <cellStyle name="Normal 57 3 2 3 2 3" xfId="1359" xr:uid="{00000000-0005-0000-0000-00009D7A0000}"/>
    <cellStyle name="Normal 57 3 2 3 2 3 2" xfId="3788" xr:uid="{00000000-0005-0000-0000-00009E7A0000}"/>
    <cellStyle name="Normal 57 3 2 3 2 3 2 2" xfId="12924" xr:uid="{00000000-0005-0000-0000-00009F7A0000}"/>
    <cellStyle name="Normal 57 3 2 3 2 3 2 2 2" xfId="23143" xr:uid="{00000000-0005-0000-0000-0000A07A0000}"/>
    <cellStyle name="Normal 57 3 2 3 2 3 2 2 2 2" xfId="48696" xr:uid="{00000000-0005-0000-0000-0000A17A0000}"/>
    <cellStyle name="Normal 57 3 2 3 2 3 2 2 3" xfId="38479" xr:uid="{00000000-0005-0000-0000-0000A27A0000}"/>
    <cellStyle name="Normal 57 3 2 3 2 3 2 3" xfId="9345" xr:uid="{00000000-0005-0000-0000-0000A37A0000}"/>
    <cellStyle name="Normal 57 3 2 3 2 3 2 3 2" xfId="34902" xr:uid="{00000000-0005-0000-0000-0000A47A0000}"/>
    <cellStyle name="Normal 57 3 2 3 2 3 2 4" xfId="18136" xr:uid="{00000000-0005-0000-0000-0000A57A0000}"/>
    <cellStyle name="Normal 57 3 2 3 2 3 2 4 2" xfId="43689" xr:uid="{00000000-0005-0000-0000-0000A67A0000}"/>
    <cellStyle name="Normal 57 3 2 3 2 3 2 5" xfId="29626" xr:uid="{00000000-0005-0000-0000-0000A77A0000}"/>
    <cellStyle name="Normal 57 3 2 3 2 3 3" xfId="4997" xr:uid="{00000000-0005-0000-0000-0000A87A0000}"/>
    <cellStyle name="Normal 57 3 2 3 2 3 3 2" xfId="13834" xr:uid="{00000000-0005-0000-0000-0000A97A0000}"/>
    <cellStyle name="Normal 57 3 2 3 2 3 3 2 2" xfId="24085" xr:uid="{00000000-0005-0000-0000-0000AA7A0000}"/>
    <cellStyle name="Normal 57 3 2 3 2 3 3 2 2 2" xfId="49638" xr:uid="{00000000-0005-0000-0000-0000AB7A0000}"/>
    <cellStyle name="Normal 57 3 2 3 2 3 3 2 3" xfId="39389" xr:uid="{00000000-0005-0000-0000-0000AC7A0000}"/>
    <cellStyle name="Normal 57 3 2 3 2 3 3 3" xfId="10255" xr:uid="{00000000-0005-0000-0000-0000AD7A0000}"/>
    <cellStyle name="Normal 57 3 2 3 2 3 3 3 2" xfId="35812" xr:uid="{00000000-0005-0000-0000-0000AE7A0000}"/>
    <cellStyle name="Normal 57 3 2 3 2 3 3 4" xfId="19078" xr:uid="{00000000-0005-0000-0000-0000AF7A0000}"/>
    <cellStyle name="Normal 57 3 2 3 2 3 3 4 2" xfId="44631" xr:uid="{00000000-0005-0000-0000-0000B07A0000}"/>
    <cellStyle name="Normal 57 3 2 3 2 3 3 5" xfId="30568" xr:uid="{00000000-0005-0000-0000-0000B17A0000}"/>
    <cellStyle name="Normal 57 3 2 3 2 3 4" xfId="2182" xr:uid="{00000000-0005-0000-0000-0000B27A0000}"/>
    <cellStyle name="Normal 57 3 2 3 2 3 4 2" xfId="11547" xr:uid="{00000000-0005-0000-0000-0000B37A0000}"/>
    <cellStyle name="Normal 57 3 2 3 2 3 4 2 2" xfId="37102" xr:uid="{00000000-0005-0000-0000-0000B47A0000}"/>
    <cellStyle name="Normal 57 3 2 3 2 3 4 3" xfId="21551" xr:uid="{00000000-0005-0000-0000-0000B57A0000}"/>
    <cellStyle name="Normal 57 3 2 3 2 3 4 3 2" xfId="47104" xr:uid="{00000000-0005-0000-0000-0000B67A0000}"/>
    <cellStyle name="Normal 57 3 2 3 2 3 4 4" xfId="28034" xr:uid="{00000000-0005-0000-0000-0000B77A0000}"/>
    <cellStyle name="Normal 57 3 2 3 2 3 5" xfId="6452" xr:uid="{00000000-0005-0000-0000-0000B87A0000}"/>
    <cellStyle name="Normal 57 3 2 3 2 3 5 2" xfId="15279" xr:uid="{00000000-0005-0000-0000-0000B97A0000}"/>
    <cellStyle name="Normal 57 3 2 3 2 3 5 2 2" xfId="40834" xr:uid="{00000000-0005-0000-0000-0000BA7A0000}"/>
    <cellStyle name="Normal 57 3 2 3 2 3 5 3" xfId="25530" xr:uid="{00000000-0005-0000-0000-0000BB7A0000}"/>
    <cellStyle name="Normal 57 3 2 3 2 3 5 3 2" xfId="51083" xr:uid="{00000000-0005-0000-0000-0000BC7A0000}"/>
    <cellStyle name="Normal 57 3 2 3 2 3 5 4" xfId="32013" xr:uid="{00000000-0005-0000-0000-0000BD7A0000}"/>
    <cellStyle name="Normal 57 3 2 3 2 3 6" xfId="7898" xr:uid="{00000000-0005-0000-0000-0000BE7A0000}"/>
    <cellStyle name="Normal 57 3 2 3 2 3 6 2" xfId="20742" xr:uid="{00000000-0005-0000-0000-0000BF7A0000}"/>
    <cellStyle name="Normal 57 3 2 3 2 3 6 2 2" xfId="46295" xr:uid="{00000000-0005-0000-0000-0000C07A0000}"/>
    <cellStyle name="Normal 57 3 2 3 2 3 6 3" xfId="33455" xr:uid="{00000000-0005-0000-0000-0000C17A0000}"/>
    <cellStyle name="Normal 57 3 2 3 2 3 7" xfId="16544" xr:uid="{00000000-0005-0000-0000-0000C27A0000}"/>
    <cellStyle name="Normal 57 3 2 3 2 3 7 2" xfId="42097" xr:uid="{00000000-0005-0000-0000-0000C37A0000}"/>
    <cellStyle name="Normal 57 3 2 3 2 3 8" xfId="27225" xr:uid="{00000000-0005-0000-0000-0000C47A0000}"/>
    <cellStyle name="Normal 57 3 2 3 2 4" xfId="3073" xr:uid="{00000000-0005-0000-0000-0000C57A0000}"/>
    <cellStyle name="Normal 57 3 2 3 2 4 2" xfId="5451" xr:uid="{00000000-0005-0000-0000-0000C67A0000}"/>
    <cellStyle name="Normal 57 3 2 3 2 4 2 2" xfId="14288" xr:uid="{00000000-0005-0000-0000-0000C77A0000}"/>
    <cellStyle name="Normal 57 3 2 3 2 4 2 2 2" xfId="24539" xr:uid="{00000000-0005-0000-0000-0000C87A0000}"/>
    <cellStyle name="Normal 57 3 2 3 2 4 2 2 2 2" xfId="50092" xr:uid="{00000000-0005-0000-0000-0000C97A0000}"/>
    <cellStyle name="Normal 57 3 2 3 2 4 2 2 3" xfId="39843" xr:uid="{00000000-0005-0000-0000-0000CA7A0000}"/>
    <cellStyle name="Normal 57 3 2 3 2 4 2 3" xfId="10709" xr:uid="{00000000-0005-0000-0000-0000CB7A0000}"/>
    <cellStyle name="Normal 57 3 2 3 2 4 2 3 2" xfId="36266" xr:uid="{00000000-0005-0000-0000-0000CC7A0000}"/>
    <cellStyle name="Normal 57 3 2 3 2 4 2 4" xfId="19532" xr:uid="{00000000-0005-0000-0000-0000CD7A0000}"/>
    <cellStyle name="Normal 57 3 2 3 2 4 2 4 2" xfId="45085" xr:uid="{00000000-0005-0000-0000-0000CE7A0000}"/>
    <cellStyle name="Normal 57 3 2 3 2 4 2 5" xfId="31022" xr:uid="{00000000-0005-0000-0000-0000CF7A0000}"/>
    <cellStyle name="Normal 57 3 2 3 2 4 3" xfId="6906" xr:uid="{00000000-0005-0000-0000-0000D07A0000}"/>
    <cellStyle name="Normal 57 3 2 3 2 4 3 2" xfId="15733" xr:uid="{00000000-0005-0000-0000-0000D17A0000}"/>
    <cellStyle name="Normal 57 3 2 3 2 4 3 2 2" xfId="41288" xr:uid="{00000000-0005-0000-0000-0000D27A0000}"/>
    <cellStyle name="Normal 57 3 2 3 2 4 3 3" xfId="25984" xr:uid="{00000000-0005-0000-0000-0000D37A0000}"/>
    <cellStyle name="Normal 57 3 2 3 2 4 3 3 2" xfId="51537" xr:uid="{00000000-0005-0000-0000-0000D47A0000}"/>
    <cellStyle name="Normal 57 3 2 3 2 4 3 4" xfId="32467" xr:uid="{00000000-0005-0000-0000-0000D57A0000}"/>
    <cellStyle name="Normal 57 3 2 3 2 4 4" xfId="8352" xr:uid="{00000000-0005-0000-0000-0000D67A0000}"/>
    <cellStyle name="Normal 57 3 2 3 2 4 4 2" xfId="22434" xr:uid="{00000000-0005-0000-0000-0000D77A0000}"/>
    <cellStyle name="Normal 57 3 2 3 2 4 4 2 2" xfId="47987" xr:uid="{00000000-0005-0000-0000-0000D87A0000}"/>
    <cellStyle name="Normal 57 3 2 3 2 4 4 3" xfId="33909" xr:uid="{00000000-0005-0000-0000-0000D97A0000}"/>
    <cellStyle name="Normal 57 3 2 3 2 4 5" xfId="17427" xr:uid="{00000000-0005-0000-0000-0000DA7A0000}"/>
    <cellStyle name="Normal 57 3 2 3 2 4 5 2" xfId="42980" xr:uid="{00000000-0005-0000-0000-0000DB7A0000}"/>
    <cellStyle name="Normal 57 3 2 3 2 4 6" xfId="28917" xr:uid="{00000000-0005-0000-0000-0000DC7A0000}"/>
    <cellStyle name="Normal 57 3 2 3 2 5" xfId="4407" xr:uid="{00000000-0005-0000-0000-0000DD7A0000}"/>
    <cellStyle name="Normal 57 3 2 3 2 5 2" xfId="13245" xr:uid="{00000000-0005-0000-0000-0000DE7A0000}"/>
    <cellStyle name="Normal 57 3 2 3 2 5 2 2" xfId="23496" xr:uid="{00000000-0005-0000-0000-0000DF7A0000}"/>
    <cellStyle name="Normal 57 3 2 3 2 5 2 2 2" xfId="49049" xr:uid="{00000000-0005-0000-0000-0000E07A0000}"/>
    <cellStyle name="Normal 57 3 2 3 2 5 2 3" xfId="38800" xr:uid="{00000000-0005-0000-0000-0000E17A0000}"/>
    <cellStyle name="Normal 57 3 2 3 2 5 3" xfId="9666" xr:uid="{00000000-0005-0000-0000-0000E27A0000}"/>
    <cellStyle name="Normal 57 3 2 3 2 5 3 2" xfId="35223" xr:uid="{00000000-0005-0000-0000-0000E37A0000}"/>
    <cellStyle name="Normal 57 3 2 3 2 5 4" xfId="18489" xr:uid="{00000000-0005-0000-0000-0000E47A0000}"/>
    <cellStyle name="Normal 57 3 2 3 2 5 4 2" xfId="44042" xr:uid="{00000000-0005-0000-0000-0000E57A0000}"/>
    <cellStyle name="Normal 57 3 2 3 2 5 5" xfId="29979" xr:uid="{00000000-0005-0000-0000-0000E67A0000}"/>
    <cellStyle name="Normal 57 3 2 3 2 6" xfId="1679" xr:uid="{00000000-0005-0000-0000-0000E77A0000}"/>
    <cellStyle name="Normal 57 3 2 3 2 6 2" xfId="11056" xr:uid="{00000000-0005-0000-0000-0000E87A0000}"/>
    <cellStyle name="Normal 57 3 2 3 2 6 2 2" xfId="36611" xr:uid="{00000000-0005-0000-0000-0000E97A0000}"/>
    <cellStyle name="Normal 57 3 2 3 2 6 3" xfId="21060" xr:uid="{00000000-0005-0000-0000-0000EA7A0000}"/>
    <cellStyle name="Normal 57 3 2 3 2 6 3 2" xfId="46613" xr:uid="{00000000-0005-0000-0000-0000EB7A0000}"/>
    <cellStyle name="Normal 57 3 2 3 2 6 4" xfId="27543" xr:uid="{00000000-0005-0000-0000-0000EC7A0000}"/>
    <cellStyle name="Normal 57 3 2 3 2 7" xfId="5863" xr:uid="{00000000-0005-0000-0000-0000ED7A0000}"/>
    <cellStyle name="Normal 57 3 2 3 2 7 2" xfId="14690" xr:uid="{00000000-0005-0000-0000-0000EE7A0000}"/>
    <cellStyle name="Normal 57 3 2 3 2 7 2 2" xfId="40245" xr:uid="{00000000-0005-0000-0000-0000EF7A0000}"/>
    <cellStyle name="Normal 57 3 2 3 2 7 3" xfId="24941" xr:uid="{00000000-0005-0000-0000-0000F07A0000}"/>
    <cellStyle name="Normal 57 3 2 3 2 7 3 2" xfId="50494" xr:uid="{00000000-0005-0000-0000-0000F17A0000}"/>
    <cellStyle name="Normal 57 3 2 3 2 7 4" xfId="31424" xr:uid="{00000000-0005-0000-0000-0000F27A0000}"/>
    <cellStyle name="Normal 57 3 2 3 2 8" xfId="7307" xr:uid="{00000000-0005-0000-0000-0000F37A0000}"/>
    <cellStyle name="Normal 57 3 2 3 2 8 2" xfId="20033" xr:uid="{00000000-0005-0000-0000-0000F47A0000}"/>
    <cellStyle name="Normal 57 3 2 3 2 8 2 2" xfId="45586" xr:uid="{00000000-0005-0000-0000-0000F57A0000}"/>
    <cellStyle name="Normal 57 3 2 3 2 8 3" xfId="32864" xr:uid="{00000000-0005-0000-0000-0000F67A0000}"/>
    <cellStyle name="Normal 57 3 2 3 2 9" xfId="16053" xr:uid="{00000000-0005-0000-0000-0000F77A0000}"/>
    <cellStyle name="Normal 57 3 2 3 2 9 2" xfId="41606" xr:uid="{00000000-0005-0000-0000-0000F87A0000}"/>
    <cellStyle name="Normal 57 3 2 3 2_Degree data" xfId="3940" xr:uid="{00000000-0005-0000-0000-0000F97A0000}"/>
    <cellStyle name="Normal 57 3 2 3 3" xfId="383" xr:uid="{00000000-0005-0000-0000-0000FA7A0000}"/>
    <cellStyle name="Normal 57 3 2 3 3 2" xfId="2869" xr:uid="{00000000-0005-0000-0000-0000FB7A0000}"/>
    <cellStyle name="Normal 57 3 2 3 3 2 2" xfId="12157" xr:uid="{00000000-0005-0000-0000-0000FC7A0000}"/>
    <cellStyle name="Normal 57 3 2 3 3 2 2 2" xfId="22230" xr:uid="{00000000-0005-0000-0000-0000FD7A0000}"/>
    <cellStyle name="Normal 57 3 2 3 3 2 2 2 2" xfId="47783" xr:uid="{00000000-0005-0000-0000-0000FE7A0000}"/>
    <cellStyle name="Normal 57 3 2 3 3 2 2 3" xfId="37712" xr:uid="{00000000-0005-0000-0000-0000FF7A0000}"/>
    <cellStyle name="Normal 57 3 2 3 3 2 3" xfId="8521" xr:uid="{00000000-0005-0000-0000-0000007B0000}"/>
    <cellStyle name="Normal 57 3 2 3 3 2 3 2" xfId="34078" xr:uid="{00000000-0005-0000-0000-0000017B0000}"/>
    <cellStyle name="Normal 57 3 2 3 3 2 4" xfId="17223" xr:uid="{00000000-0005-0000-0000-0000027B0000}"/>
    <cellStyle name="Normal 57 3 2 3 3 2 4 2" xfId="42776" xr:uid="{00000000-0005-0000-0000-0000037B0000}"/>
    <cellStyle name="Normal 57 3 2 3 3 2 5" xfId="28713" xr:uid="{00000000-0005-0000-0000-0000047B0000}"/>
    <cellStyle name="Normal 57 3 2 3 3 3" xfId="4647" xr:uid="{00000000-0005-0000-0000-0000057B0000}"/>
    <cellStyle name="Normal 57 3 2 3 3 3 2" xfId="13485" xr:uid="{00000000-0005-0000-0000-0000067B0000}"/>
    <cellStyle name="Normal 57 3 2 3 3 3 2 2" xfId="23736" xr:uid="{00000000-0005-0000-0000-0000077B0000}"/>
    <cellStyle name="Normal 57 3 2 3 3 3 2 2 2" xfId="49289" xr:uid="{00000000-0005-0000-0000-0000087B0000}"/>
    <cellStyle name="Normal 57 3 2 3 3 3 2 3" xfId="39040" xr:uid="{00000000-0005-0000-0000-0000097B0000}"/>
    <cellStyle name="Normal 57 3 2 3 3 3 3" xfId="9906" xr:uid="{00000000-0005-0000-0000-00000A7B0000}"/>
    <cellStyle name="Normal 57 3 2 3 3 3 3 2" xfId="35463" xr:uid="{00000000-0005-0000-0000-00000B7B0000}"/>
    <cellStyle name="Normal 57 3 2 3 3 3 4" xfId="18729" xr:uid="{00000000-0005-0000-0000-00000C7B0000}"/>
    <cellStyle name="Normal 57 3 2 3 3 3 4 2" xfId="44282" xr:uid="{00000000-0005-0000-0000-00000D7B0000}"/>
    <cellStyle name="Normal 57 3 2 3 3 3 5" xfId="30219" xr:uid="{00000000-0005-0000-0000-00000E7B0000}"/>
    <cellStyle name="Normal 57 3 2 3 3 4" xfId="1978" xr:uid="{00000000-0005-0000-0000-00000F7B0000}"/>
    <cellStyle name="Normal 57 3 2 3 3 4 2" xfId="11343" xr:uid="{00000000-0005-0000-0000-0000107B0000}"/>
    <cellStyle name="Normal 57 3 2 3 3 4 2 2" xfId="36898" xr:uid="{00000000-0005-0000-0000-0000117B0000}"/>
    <cellStyle name="Normal 57 3 2 3 3 4 3" xfId="21347" xr:uid="{00000000-0005-0000-0000-0000127B0000}"/>
    <cellStyle name="Normal 57 3 2 3 3 4 3 2" xfId="46900" xr:uid="{00000000-0005-0000-0000-0000137B0000}"/>
    <cellStyle name="Normal 57 3 2 3 3 4 4" xfId="27830" xr:uid="{00000000-0005-0000-0000-0000147B0000}"/>
    <cellStyle name="Normal 57 3 2 3 3 5" xfId="6103" xr:uid="{00000000-0005-0000-0000-0000157B0000}"/>
    <cellStyle name="Normal 57 3 2 3 3 5 2" xfId="14930" xr:uid="{00000000-0005-0000-0000-0000167B0000}"/>
    <cellStyle name="Normal 57 3 2 3 3 5 2 2" xfId="40485" xr:uid="{00000000-0005-0000-0000-0000177B0000}"/>
    <cellStyle name="Normal 57 3 2 3 3 5 3" xfId="25181" xr:uid="{00000000-0005-0000-0000-0000187B0000}"/>
    <cellStyle name="Normal 57 3 2 3 3 5 3 2" xfId="50734" xr:uid="{00000000-0005-0000-0000-0000197B0000}"/>
    <cellStyle name="Normal 57 3 2 3 3 5 4" xfId="31664" xr:uid="{00000000-0005-0000-0000-00001A7B0000}"/>
    <cellStyle name="Normal 57 3 2 3 3 6" xfId="7548" xr:uid="{00000000-0005-0000-0000-00001B7B0000}"/>
    <cellStyle name="Normal 57 3 2 3 3 6 2" xfId="19829" xr:uid="{00000000-0005-0000-0000-00001C7B0000}"/>
    <cellStyle name="Normal 57 3 2 3 3 6 2 2" xfId="45382" xr:uid="{00000000-0005-0000-0000-00001D7B0000}"/>
    <cellStyle name="Normal 57 3 2 3 3 6 3" xfId="33105" xr:uid="{00000000-0005-0000-0000-00001E7B0000}"/>
    <cellStyle name="Normal 57 3 2 3 3 7" xfId="16340" xr:uid="{00000000-0005-0000-0000-00001F7B0000}"/>
    <cellStyle name="Normal 57 3 2 3 3 7 2" xfId="41893" xr:uid="{00000000-0005-0000-0000-0000207B0000}"/>
    <cellStyle name="Normal 57 3 2 3 3 8" xfId="26312" xr:uid="{00000000-0005-0000-0000-0000217B0000}"/>
    <cellStyle name="Normal 57 3 2 3 4" xfId="833" xr:uid="{00000000-0005-0000-0000-0000227B0000}"/>
    <cellStyle name="Normal 57 3 2 3 4 2" xfId="3318" xr:uid="{00000000-0005-0000-0000-0000237B0000}"/>
    <cellStyle name="Normal 57 3 2 3 4 2 2" xfId="12460" xr:uid="{00000000-0005-0000-0000-0000247B0000}"/>
    <cellStyle name="Normal 57 3 2 3 4 2 2 2" xfId="22679" xr:uid="{00000000-0005-0000-0000-0000257B0000}"/>
    <cellStyle name="Normal 57 3 2 3 4 2 2 2 2" xfId="48232" xr:uid="{00000000-0005-0000-0000-0000267B0000}"/>
    <cellStyle name="Normal 57 3 2 3 4 2 2 3" xfId="38015" xr:uid="{00000000-0005-0000-0000-0000277B0000}"/>
    <cellStyle name="Normal 57 3 2 3 4 2 3" xfId="8882" xr:uid="{00000000-0005-0000-0000-0000287B0000}"/>
    <cellStyle name="Normal 57 3 2 3 4 2 3 2" xfId="34439" xr:uid="{00000000-0005-0000-0000-0000297B0000}"/>
    <cellStyle name="Normal 57 3 2 3 4 2 4" xfId="17672" xr:uid="{00000000-0005-0000-0000-00002A7B0000}"/>
    <cellStyle name="Normal 57 3 2 3 4 2 4 2" xfId="43225" xr:uid="{00000000-0005-0000-0000-00002B7B0000}"/>
    <cellStyle name="Normal 57 3 2 3 4 2 5" xfId="29162" xr:uid="{00000000-0005-0000-0000-00002C7B0000}"/>
    <cellStyle name="Normal 57 3 2 3 4 3" xfId="4996" xr:uid="{00000000-0005-0000-0000-00002D7B0000}"/>
    <cellStyle name="Normal 57 3 2 3 4 3 2" xfId="13833" xr:uid="{00000000-0005-0000-0000-00002E7B0000}"/>
    <cellStyle name="Normal 57 3 2 3 4 3 2 2" xfId="24084" xr:uid="{00000000-0005-0000-0000-00002F7B0000}"/>
    <cellStyle name="Normal 57 3 2 3 4 3 2 2 2" xfId="49637" xr:uid="{00000000-0005-0000-0000-0000307B0000}"/>
    <cellStyle name="Normal 57 3 2 3 4 3 2 3" xfId="39388" xr:uid="{00000000-0005-0000-0000-0000317B0000}"/>
    <cellStyle name="Normal 57 3 2 3 4 3 3" xfId="10254" xr:uid="{00000000-0005-0000-0000-0000327B0000}"/>
    <cellStyle name="Normal 57 3 2 3 4 3 3 2" xfId="35811" xr:uid="{00000000-0005-0000-0000-0000337B0000}"/>
    <cellStyle name="Normal 57 3 2 3 4 3 4" xfId="19077" xr:uid="{00000000-0005-0000-0000-0000347B0000}"/>
    <cellStyle name="Normal 57 3 2 3 4 3 4 2" xfId="44630" xr:uid="{00000000-0005-0000-0000-0000357B0000}"/>
    <cellStyle name="Normal 57 3 2 3 4 3 5" xfId="30567" xr:uid="{00000000-0005-0000-0000-0000367B0000}"/>
    <cellStyle name="Normal 57 3 2 3 4 4" xfId="2427" xr:uid="{00000000-0005-0000-0000-0000377B0000}"/>
    <cellStyle name="Normal 57 3 2 3 4 4 2" xfId="11792" xr:uid="{00000000-0005-0000-0000-0000387B0000}"/>
    <cellStyle name="Normal 57 3 2 3 4 4 2 2" xfId="37347" xr:uid="{00000000-0005-0000-0000-0000397B0000}"/>
    <cellStyle name="Normal 57 3 2 3 4 4 3" xfId="21796" xr:uid="{00000000-0005-0000-0000-00003A7B0000}"/>
    <cellStyle name="Normal 57 3 2 3 4 4 3 2" xfId="47349" xr:uid="{00000000-0005-0000-0000-00003B7B0000}"/>
    <cellStyle name="Normal 57 3 2 3 4 4 4" xfId="28279" xr:uid="{00000000-0005-0000-0000-00003C7B0000}"/>
    <cellStyle name="Normal 57 3 2 3 4 5" xfId="6451" xr:uid="{00000000-0005-0000-0000-00003D7B0000}"/>
    <cellStyle name="Normal 57 3 2 3 4 5 2" xfId="15278" xr:uid="{00000000-0005-0000-0000-00003E7B0000}"/>
    <cellStyle name="Normal 57 3 2 3 4 5 2 2" xfId="40833" xr:uid="{00000000-0005-0000-0000-00003F7B0000}"/>
    <cellStyle name="Normal 57 3 2 3 4 5 3" xfId="25529" xr:uid="{00000000-0005-0000-0000-0000407B0000}"/>
    <cellStyle name="Normal 57 3 2 3 4 5 3 2" xfId="51082" xr:uid="{00000000-0005-0000-0000-0000417B0000}"/>
    <cellStyle name="Normal 57 3 2 3 4 5 4" xfId="32012" xr:uid="{00000000-0005-0000-0000-0000427B0000}"/>
    <cellStyle name="Normal 57 3 2 3 4 6" xfId="7897" xr:uid="{00000000-0005-0000-0000-0000437B0000}"/>
    <cellStyle name="Normal 57 3 2 3 4 6 2" xfId="20278" xr:uid="{00000000-0005-0000-0000-0000447B0000}"/>
    <cellStyle name="Normal 57 3 2 3 4 6 2 2" xfId="45831" xr:uid="{00000000-0005-0000-0000-0000457B0000}"/>
    <cellStyle name="Normal 57 3 2 3 4 6 3" xfId="33454" xr:uid="{00000000-0005-0000-0000-0000467B0000}"/>
    <cellStyle name="Normal 57 3 2 3 4 7" xfId="16789" xr:uid="{00000000-0005-0000-0000-0000477B0000}"/>
    <cellStyle name="Normal 57 3 2 3 4 7 2" xfId="42342" xr:uid="{00000000-0005-0000-0000-0000487B0000}"/>
    <cellStyle name="Normal 57 3 2 3 4 8" xfId="26761" xr:uid="{00000000-0005-0000-0000-0000497B0000}"/>
    <cellStyle name="Normal 57 3 2 3 5" xfId="1155" xr:uid="{00000000-0005-0000-0000-00004A7B0000}"/>
    <cellStyle name="Normal 57 3 2 3 5 2" xfId="3584" xr:uid="{00000000-0005-0000-0000-00004B7B0000}"/>
    <cellStyle name="Normal 57 3 2 3 5 2 2" xfId="12720" xr:uid="{00000000-0005-0000-0000-00004C7B0000}"/>
    <cellStyle name="Normal 57 3 2 3 5 2 2 2" xfId="22939" xr:uid="{00000000-0005-0000-0000-00004D7B0000}"/>
    <cellStyle name="Normal 57 3 2 3 5 2 2 2 2" xfId="48492" xr:uid="{00000000-0005-0000-0000-00004E7B0000}"/>
    <cellStyle name="Normal 57 3 2 3 5 2 2 3" xfId="38275" xr:uid="{00000000-0005-0000-0000-00004F7B0000}"/>
    <cellStyle name="Normal 57 3 2 3 5 2 3" xfId="9141" xr:uid="{00000000-0005-0000-0000-0000507B0000}"/>
    <cellStyle name="Normal 57 3 2 3 5 2 3 2" xfId="34698" xr:uid="{00000000-0005-0000-0000-0000517B0000}"/>
    <cellStyle name="Normal 57 3 2 3 5 2 4" xfId="17932" xr:uid="{00000000-0005-0000-0000-0000527B0000}"/>
    <cellStyle name="Normal 57 3 2 3 5 2 4 2" xfId="43485" xr:uid="{00000000-0005-0000-0000-0000537B0000}"/>
    <cellStyle name="Normal 57 3 2 3 5 2 5" xfId="29422" xr:uid="{00000000-0005-0000-0000-0000547B0000}"/>
    <cellStyle name="Normal 57 3 2 3 5 3" xfId="5247" xr:uid="{00000000-0005-0000-0000-0000557B0000}"/>
    <cellStyle name="Normal 57 3 2 3 5 3 2" xfId="14084" xr:uid="{00000000-0005-0000-0000-0000567B0000}"/>
    <cellStyle name="Normal 57 3 2 3 5 3 2 2" xfId="24335" xr:uid="{00000000-0005-0000-0000-0000577B0000}"/>
    <cellStyle name="Normal 57 3 2 3 5 3 2 2 2" xfId="49888" xr:uid="{00000000-0005-0000-0000-0000587B0000}"/>
    <cellStyle name="Normal 57 3 2 3 5 3 2 3" xfId="39639" xr:uid="{00000000-0005-0000-0000-0000597B0000}"/>
    <cellStyle name="Normal 57 3 2 3 5 3 3" xfId="10505" xr:uid="{00000000-0005-0000-0000-00005A7B0000}"/>
    <cellStyle name="Normal 57 3 2 3 5 3 3 2" xfId="36062" xr:uid="{00000000-0005-0000-0000-00005B7B0000}"/>
    <cellStyle name="Normal 57 3 2 3 5 3 4" xfId="19328" xr:uid="{00000000-0005-0000-0000-00005C7B0000}"/>
    <cellStyle name="Normal 57 3 2 3 5 3 4 2" xfId="44881" xr:uid="{00000000-0005-0000-0000-00005D7B0000}"/>
    <cellStyle name="Normal 57 3 2 3 5 3 5" xfId="30818" xr:uid="{00000000-0005-0000-0000-00005E7B0000}"/>
    <cellStyle name="Normal 57 3 2 3 5 4" xfId="1862" xr:uid="{00000000-0005-0000-0000-00005F7B0000}"/>
    <cellStyle name="Normal 57 3 2 3 5 4 2" xfId="11230" xr:uid="{00000000-0005-0000-0000-0000607B0000}"/>
    <cellStyle name="Normal 57 3 2 3 5 4 2 2" xfId="36785" xr:uid="{00000000-0005-0000-0000-0000617B0000}"/>
    <cellStyle name="Normal 57 3 2 3 5 4 3" xfId="21234" xr:uid="{00000000-0005-0000-0000-0000627B0000}"/>
    <cellStyle name="Normal 57 3 2 3 5 4 3 2" xfId="46787" xr:uid="{00000000-0005-0000-0000-0000637B0000}"/>
    <cellStyle name="Normal 57 3 2 3 5 4 4" xfId="27717" xr:uid="{00000000-0005-0000-0000-0000647B0000}"/>
    <cellStyle name="Normal 57 3 2 3 5 5" xfId="6702" xr:uid="{00000000-0005-0000-0000-0000657B0000}"/>
    <cellStyle name="Normal 57 3 2 3 5 5 2" xfId="15529" xr:uid="{00000000-0005-0000-0000-0000667B0000}"/>
    <cellStyle name="Normal 57 3 2 3 5 5 2 2" xfId="41084" xr:uid="{00000000-0005-0000-0000-0000677B0000}"/>
    <cellStyle name="Normal 57 3 2 3 5 5 3" xfId="25780" xr:uid="{00000000-0005-0000-0000-0000687B0000}"/>
    <cellStyle name="Normal 57 3 2 3 5 5 3 2" xfId="51333" xr:uid="{00000000-0005-0000-0000-0000697B0000}"/>
    <cellStyle name="Normal 57 3 2 3 5 5 4" xfId="32263" xr:uid="{00000000-0005-0000-0000-00006A7B0000}"/>
    <cellStyle name="Normal 57 3 2 3 5 6" xfId="8148" xr:uid="{00000000-0005-0000-0000-00006B7B0000}"/>
    <cellStyle name="Normal 57 3 2 3 5 6 2" xfId="20538" xr:uid="{00000000-0005-0000-0000-00006C7B0000}"/>
    <cellStyle name="Normal 57 3 2 3 5 6 2 2" xfId="46091" xr:uid="{00000000-0005-0000-0000-00006D7B0000}"/>
    <cellStyle name="Normal 57 3 2 3 5 6 3" xfId="33705" xr:uid="{00000000-0005-0000-0000-00006E7B0000}"/>
    <cellStyle name="Normal 57 3 2 3 5 7" xfId="16227" xr:uid="{00000000-0005-0000-0000-00006F7B0000}"/>
    <cellStyle name="Normal 57 3 2 3 5 7 2" xfId="41780" xr:uid="{00000000-0005-0000-0000-0000707B0000}"/>
    <cellStyle name="Normal 57 3 2 3 5 8" xfId="27021" xr:uid="{00000000-0005-0000-0000-0000717B0000}"/>
    <cellStyle name="Normal 57 3 2 3 6" xfId="2756" xr:uid="{00000000-0005-0000-0000-0000727B0000}"/>
    <cellStyle name="Normal 57 3 2 3 6 2" xfId="12073" xr:uid="{00000000-0005-0000-0000-0000737B0000}"/>
    <cellStyle name="Normal 57 3 2 3 6 2 2" xfId="22117" xr:uid="{00000000-0005-0000-0000-0000747B0000}"/>
    <cellStyle name="Normal 57 3 2 3 6 2 2 2" xfId="47670" xr:uid="{00000000-0005-0000-0000-0000757B0000}"/>
    <cellStyle name="Normal 57 3 2 3 6 2 3" xfId="37628" xr:uid="{00000000-0005-0000-0000-0000767B0000}"/>
    <cellStyle name="Normal 57 3 2 3 6 3" xfId="8609" xr:uid="{00000000-0005-0000-0000-0000777B0000}"/>
    <cellStyle name="Normal 57 3 2 3 6 3 2" xfId="34166" xr:uid="{00000000-0005-0000-0000-0000787B0000}"/>
    <cellStyle name="Normal 57 3 2 3 6 4" xfId="17110" xr:uid="{00000000-0005-0000-0000-0000797B0000}"/>
    <cellStyle name="Normal 57 3 2 3 6 4 2" xfId="42663" xr:uid="{00000000-0005-0000-0000-00007A7B0000}"/>
    <cellStyle name="Normal 57 3 2 3 6 5" xfId="28600" xr:uid="{00000000-0005-0000-0000-00007B7B0000}"/>
    <cellStyle name="Normal 57 3 2 3 7" xfId="4203" xr:uid="{00000000-0005-0000-0000-00007C7B0000}"/>
    <cellStyle name="Normal 57 3 2 3 7 2" xfId="13041" xr:uid="{00000000-0005-0000-0000-00007D7B0000}"/>
    <cellStyle name="Normal 57 3 2 3 7 2 2" xfId="23292" xr:uid="{00000000-0005-0000-0000-00007E7B0000}"/>
    <cellStyle name="Normal 57 3 2 3 7 2 2 2" xfId="48845" xr:uid="{00000000-0005-0000-0000-00007F7B0000}"/>
    <cellStyle name="Normal 57 3 2 3 7 2 3" xfId="38596" xr:uid="{00000000-0005-0000-0000-0000807B0000}"/>
    <cellStyle name="Normal 57 3 2 3 7 3" xfId="9462" xr:uid="{00000000-0005-0000-0000-0000817B0000}"/>
    <cellStyle name="Normal 57 3 2 3 7 3 2" xfId="35019" xr:uid="{00000000-0005-0000-0000-0000827B0000}"/>
    <cellStyle name="Normal 57 3 2 3 7 4" xfId="18285" xr:uid="{00000000-0005-0000-0000-0000837B0000}"/>
    <cellStyle name="Normal 57 3 2 3 7 4 2" xfId="43838" xr:uid="{00000000-0005-0000-0000-0000847B0000}"/>
    <cellStyle name="Normal 57 3 2 3 7 5" xfId="29775" xr:uid="{00000000-0005-0000-0000-0000857B0000}"/>
    <cellStyle name="Normal 57 3 2 3 8" xfId="1475" xr:uid="{00000000-0005-0000-0000-0000867B0000}"/>
    <cellStyle name="Normal 57 3 2 3 8 2" xfId="10852" xr:uid="{00000000-0005-0000-0000-0000877B0000}"/>
    <cellStyle name="Normal 57 3 2 3 8 2 2" xfId="36407" xr:uid="{00000000-0005-0000-0000-0000887B0000}"/>
    <cellStyle name="Normal 57 3 2 3 8 3" xfId="20856" xr:uid="{00000000-0005-0000-0000-0000897B0000}"/>
    <cellStyle name="Normal 57 3 2 3 8 3 2" xfId="46409" xr:uid="{00000000-0005-0000-0000-00008A7B0000}"/>
    <cellStyle name="Normal 57 3 2 3 8 4" xfId="27339" xr:uid="{00000000-0005-0000-0000-00008B7B0000}"/>
    <cellStyle name="Normal 57 3 2 3 9" xfId="5659" xr:uid="{00000000-0005-0000-0000-00008C7B0000}"/>
    <cellStyle name="Normal 57 3 2 3 9 2" xfId="14486" xr:uid="{00000000-0005-0000-0000-00008D7B0000}"/>
    <cellStyle name="Normal 57 3 2 3 9 2 2" xfId="40041" xr:uid="{00000000-0005-0000-0000-00008E7B0000}"/>
    <cellStyle name="Normal 57 3 2 3 9 3" xfId="24737" xr:uid="{00000000-0005-0000-0000-00008F7B0000}"/>
    <cellStyle name="Normal 57 3 2 3 9 3 2" xfId="50290" xr:uid="{00000000-0005-0000-0000-0000907B0000}"/>
    <cellStyle name="Normal 57 3 2 3 9 4" xfId="31220" xr:uid="{00000000-0005-0000-0000-0000917B0000}"/>
    <cellStyle name="Normal 57 3 2 3_Degree data" xfId="3939" xr:uid="{00000000-0005-0000-0000-0000927B0000}"/>
    <cellStyle name="Normal 57 3 2 4" xfId="483" xr:uid="{00000000-0005-0000-0000-0000937B0000}"/>
    <cellStyle name="Normal 57 3 2 4 10" xfId="26412" xr:uid="{00000000-0005-0000-0000-0000947B0000}"/>
    <cellStyle name="Normal 57 3 2 4 2" xfId="835" xr:uid="{00000000-0005-0000-0000-0000957B0000}"/>
    <cellStyle name="Normal 57 3 2 4 2 2" xfId="3320" xr:uid="{00000000-0005-0000-0000-0000967B0000}"/>
    <cellStyle name="Normal 57 3 2 4 2 2 2" xfId="12462" xr:uid="{00000000-0005-0000-0000-0000977B0000}"/>
    <cellStyle name="Normal 57 3 2 4 2 2 2 2" xfId="22681" xr:uid="{00000000-0005-0000-0000-0000987B0000}"/>
    <cellStyle name="Normal 57 3 2 4 2 2 2 2 2" xfId="48234" xr:uid="{00000000-0005-0000-0000-0000997B0000}"/>
    <cellStyle name="Normal 57 3 2 4 2 2 2 3" xfId="38017" xr:uid="{00000000-0005-0000-0000-00009A7B0000}"/>
    <cellStyle name="Normal 57 3 2 4 2 2 3" xfId="8884" xr:uid="{00000000-0005-0000-0000-00009B7B0000}"/>
    <cellStyle name="Normal 57 3 2 4 2 2 3 2" xfId="34441" xr:uid="{00000000-0005-0000-0000-00009C7B0000}"/>
    <cellStyle name="Normal 57 3 2 4 2 2 4" xfId="17674" xr:uid="{00000000-0005-0000-0000-00009D7B0000}"/>
    <cellStyle name="Normal 57 3 2 4 2 2 4 2" xfId="43227" xr:uid="{00000000-0005-0000-0000-00009E7B0000}"/>
    <cellStyle name="Normal 57 3 2 4 2 2 5" xfId="29164" xr:uid="{00000000-0005-0000-0000-00009F7B0000}"/>
    <cellStyle name="Normal 57 3 2 4 2 3" xfId="4649" xr:uid="{00000000-0005-0000-0000-0000A07B0000}"/>
    <cellStyle name="Normal 57 3 2 4 2 3 2" xfId="13487" xr:uid="{00000000-0005-0000-0000-0000A17B0000}"/>
    <cellStyle name="Normal 57 3 2 4 2 3 2 2" xfId="23738" xr:uid="{00000000-0005-0000-0000-0000A27B0000}"/>
    <cellStyle name="Normal 57 3 2 4 2 3 2 2 2" xfId="49291" xr:uid="{00000000-0005-0000-0000-0000A37B0000}"/>
    <cellStyle name="Normal 57 3 2 4 2 3 2 3" xfId="39042" xr:uid="{00000000-0005-0000-0000-0000A47B0000}"/>
    <cellStyle name="Normal 57 3 2 4 2 3 3" xfId="9908" xr:uid="{00000000-0005-0000-0000-0000A57B0000}"/>
    <cellStyle name="Normal 57 3 2 4 2 3 3 2" xfId="35465" xr:uid="{00000000-0005-0000-0000-0000A67B0000}"/>
    <cellStyle name="Normal 57 3 2 4 2 3 4" xfId="18731" xr:uid="{00000000-0005-0000-0000-0000A77B0000}"/>
    <cellStyle name="Normal 57 3 2 4 2 3 4 2" xfId="44284" xr:uid="{00000000-0005-0000-0000-0000A87B0000}"/>
    <cellStyle name="Normal 57 3 2 4 2 3 5" xfId="30221" xr:uid="{00000000-0005-0000-0000-0000A97B0000}"/>
    <cellStyle name="Normal 57 3 2 4 2 4" xfId="2429" xr:uid="{00000000-0005-0000-0000-0000AA7B0000}"/>
    <cellStyle name="Normal 57 3 2 4 2 4 2" xfId="11794" xr:uid="{00000000-0005-0000-0000-0000AB7B0000}"/>
    <cellStyle name="Normal 57 3 2 4 2 4 2 2" xfId="37349" xr:uid="{00000000-0005-0000-0000-0000AC7B0000}"/>
    <cellStyle name="Normal 57 3 2 4 2 4 3" xfId="21798" xr:uid="{00000000-0005-0000-0000-0000AD7B0000}"/>
    <cellStyle name="Normal 57 3 2 4 2 4 3 2" xfId="47351" xr:uid="{00000000-0005-0000-0000-0000AE7B0000}"/>
    <cellStyle name="Normal 57 3 2 4 2 4 4" xfId="28281" xr:uid="{00000000-0005-0000-0000-0000AF7B0000}"/>
    <cellStyle name="Normal 57 3 2 4 2 5" xfId="6105" xr:uid="{00000000-0005-0000-0000-0000B07B0000}"/>
    <cellStyle name="Normal 57 3 2 4 2 5 2" xfId="14932" xr:uid="{00000000-0005-0000-0000-0000B17B0000}"/>
    <cellStyle name="Normal 57 3 2 4 2 5 2 2" xfId="40487" xr:uid="{00000000-0005-0000-0000-0000B27B0000}"/>
    <cellStyle name="Normal 57 3 2 4 2 5 3" xfId="25183" xr:uid="{00000000-0005-0000-0000-0000B37B0000}"/>
    <cellStyle name="Normal 57 3 2 4 2 5 3 2" xfId="50736" xr:uid="{00000000-0005-0000-0000-0000B47B0000}"/>
    <cellStyle name="Normal 57 3 2 4 2 5 4" xfId="31666" xr:uid="{00000000-0005-0000-0000-0000B57B0000}"/>
    <cellStyle name="Normal 57 3 2 4 2 6" xfId="7550" xr:uid="{00000000-0005-0000-0000-0000B67B0000}"/>
    <cellStyle name="Normal 57 3 2 4 2 6 2" xfId="20280" xr:uid="{00000000-0005-0000-0000-0000B77B0000}"/>
    <cellStyle name="Normal 57 3 2 4 2 6 2 2" xfId="45833" xr:uid="{00000000-0005-0000-0000-0000B87B0000}"/>
    <cellStyle name="Normal 57 3 2 4 2 6 3" xfId="33107" xr:uid="{00000000-0005-0000-0000-0000B97B0000}"/>
    <cellStyle name="Normal 57 3 2 4 2 7" xfId="16791" xr:uid="{00000000-0005-0000-0000-0000BA7B0000}"/>
    <cellStyle name="Normal 57 3 2 4 2 7 2" xfId="42344" xr:uid="{00000000-0005-0000-0000-0000BB7B0000}"/>
    <cellStyle name="Normal 57 3 2 4 2 8" xfId="26763" xr:uid="{00000000-0005-0000-0000-0000BC7B0000}"/>
    <cellStyle name="Normal 57 3 2 4 3" xfId="1255" xr:uid="{00000000-0005-0000-0000-0000BD7B0000}"/>
    <cellStyle name="Normal 57 3 2 4 3 2" xfId="3684" xr:uid="{00000000-0005-0000-0000-0000BE7B0000}"/>
    <cellStyle name="Normal 57 3 2 4 3 2 2" xfId="12820" xr:uid="{00000000-0005-0000-0000-0000BF7B0000}"/>
    <cellStyle name="Normal 57 3 2 4 3 2 2 2" xfId="23039" xr:uid="{00000000-0005-0000-0000-0000C07B0000}"/>
    <cellStyle name="Normal 57 3 2 4 3 2 2 2 2" xfId="48592" xr:uid="{00000000-0005-0000-0000-0000C17B0000}"/>
    <cellStyle name="Normal 57 3 2 4 3 2 2 3" xfId="38375" xr:uid="{00000000-0005-0000-0000-0000C27B0000}"/>
    <cellStyle name="Normal 57 3 2 4 3 2 3" xfId="9241" xr:uid="{00000000-0005-0000-0000-0000C37B0000}"/>
    <cellStyle name="Normal 57 3 2 4 3 2 3 2" xfId="34798" xr:uid="{00000000-0005-0000-0000-0000C47B0000}"/>
    <cellStyle name="Normal 57 3 2 4 3 2 4" xfId="18032" xr:uid="{00000000-0005-0000-0000-0000C57B0000}"/>
    <cellStyle name="Normal 57 3 2 4 3 2 4 2" xfId="43585" xr:uid="{00000000-0005-0000-0000-0000C67B0000}"/>
    <cellStyle name="Normal 57 3 2 4 3 2 5" xfId="29522" xr:uid="{00000000-0005-0000-0000-0000C77B0000}"/>
    <cellStyle name="Normal 57 3 2 4 3 3" xfId="4998" xr:uid="{00000000-0005-0000-0000-0000C87B0000}"/>
    <cellStyle name="Normal 57 3 2 4 3 3 2" xfId="13835" xr:uid="{00000000-0005-0000-0000-0000C97B0000}"/>
    <cellStyle name="Normal 57 3 2 4 3 3 2 2" xfId="24086" xr:uid="{00000000-0005-0000-0000-0000CA7B0000}"/>
    <cellStyle name="Normal 57 3 2 4 3 3 2 2 2" xfId="49639" xr:uid="{00000000-0005-0000-0000-0000CB7B0000}"/>
    <cellStyle name="Normal 57 3 2 4 3 3 2 3" xfId="39390" xr:uid="{00000000-0005-0000-0000-0000CC7B0000}"/>
    <cellStyle name="Normal 57 3 2 4 3 3 3" xfId="10256" xr:uid="{00000000-0005-0000-0000-0000CD7B0000}"/>
    <cellStyle name="Normal 57 3 2 4 3 3 3 2" xfId="35813" xr:uid="{00000000-0005-0000-0000-0000CE7B0000}"/>
    <cellStyle name="Normal 57 3 2 4 3 3 4" xfId="19079" xr:uid="{00000000-0005-0000-0000-0000CF7B0000}"/>
    <cellStyle name="Normal 57 3 2 4 3 3 4 2" xfId="44632" xr:uid="{00000000-0005-0000-0000-0000D07B0000}"/>
    <cellStyle name="Normal 57 3 2 4 3 3 5" xfId="30569" xr:uid="{00000000-0005-0000-0000-0000D17B0000}"/>
    <cellStyle name="Normal 57 3 2 4 3 4" xfId="2078" xr:uid="{00000000-0005-0000-0000-0000D27B0000}"/>
    <cellStyle name="Normal 57 3 2 4 3 4 2" xfId="11443" xr:uid="{00000000-0005-0000-0000-0000D37B0000}"/>
    <cellStyle name="Normal 57 3 2 4 3 4 2 2" xfId="36998" xr:uid="{00000000-0005-0000-0000-0000D47B0000}"/>
    <cellStyle name="Normal 57 3 2 4 3 4 3" xfId="21447" xr:uid="{00000000-0005-0000-0000-0000D57B0000}"/>
    <cellStyle name="Normal 57 3 2 4 3 4 3 2" xfId="47000" xr:uid="{00000000-0005-0000-0000-0000D67B0000}"/>
    <cellStyle name="Normal 57 3 2 4 3 4 4" xfId="27930" xr:uid="{00000000-0005-0000-0000-0000D77B0000}"/>
    <cellStyle name="Normal 57 3 2 4 3 5" xfId="6453" xr:uid="{00000000-0005-0000-0000-0000D87B0000}"/>
    <cellStyle name="Normal 57 3 2 4 3 5 2" xfId="15280" xr:uid="{00000000-0005-0000-0000-0000D97B0000}"/>
    <cellStyle name="Normal 57 3 2 4 3 5 2 2" xfId="40835" xr:uid="{00000000-0005-0000-0000-0000DA7B0000}"/>
    <cellStyle name="Normal 57 3 2 4 3 5 3" xfId="25531" xr:uid="{00000000-0005-0000-0000-0000DB7B0000}"/>
    <cellStyle name="Normal 57 3 2 4 3 5 3 2" xfId="51084" xr:uid="{00000000-0005-0000-0000-0000DC7B0000}"/>
    <cellStyle name="Normal 57 3 2 4 3 5 4" xfId="32014" xr:uid="{00000000-0005-0000-0000-0000DD7B0000}"/>
    <cellStyle name="Normal 57 3 2 4 3 6" xfId="7899" xr:uid="{00000000-0005-0000-0000-0000DE7B0000}"/>
    <cellStyle name="Normal 57 3 2 4 3 6 2" xfId="20638" xr:uid="{00000000-0005-0000-0000-0000DF7B0000}"/>
    <cellStyle name="Normal 57 3 2 4 3 6 2 2" xfId="46191" xr:uid="{00000000-0005-0000-0000-0000E07B0000}"/>
    <cellStyle name="Normal 57 3 2 4 3 6 3" xfId="33456" xr:uid="{00000000-0005-0000-0000-0000E17B0000}"/>
    <cellStyle name="Normal 57 3 2 4 3 7" xfId="16440" xr:uid="{00000000-0005-0000-0000-0000E27B0000}"/>
    <cellStyle name="Normal 57 3 2 4 3 7 2" xfId="41993" xr:uid="{00000000-0005-0000-0000-0000E37B0000}"/>
    <cellStyle name="Normal 57 3 2 4 3 8" xfId="27121" xr:uid="{00000000-0005-0000-0000-0000E47B0000}"/>
    <cellStyle name="Normal 57 3 2 4 4" xfId="2969" xr:uid="{00000000-0005-0000-0000-0000E57B0000}"/>
    <cellStyle name="Normal 57 3 2 4 4 2" xfId="5347" xr:uid="{00000000-0005-0000-0000-0000E67B0000}"/>
    <cellStyle name="Normal 57 3 2 4 4 2 2" xfId="14184" xr:uid="{00000000-0005-0000-0000-0000E77B0000}"/>
    <cellStyle name="Normal 57 3 2 4 4 2 2 2" xfId="24435" xr:uid="{00000000-0005-0000-0000-0000E87B0000}"/>
    <cellStyle name="Normal 57 3 2 4 4 2 2 2 2" xfId="49988" xr:uid="{00000000-0005-0000-0000-0000E97B0000}"/>
    <cellStyle name="Normal 57 3 2 4 4 2 2 3" xfId="39739" xr:uid="{00000000-0005-0000-0000-0000EA7B0000}"/>
    <cellStyle name="Normal 57 3 2 4 4 2 3" xfId="10605" xr:uid="{00000000-0005-0000-0000-0000EB7B0000}"/>
    <cellStyle name="Normal 57 3 2 4 4 2 3 2" xfId="36162" xr:uid="{00000000-0005-0000-0000-0000EC7B0000}"/>
    <cellStyle name="Normal 57 3 2 4 4 2 4" xfId="19428" xr:uid="{00000000-0005-0000-0000-0000ED7B0000}"/>
    <cellStyle name="Normal 57 3 2 4 4 2 4 2" xfId="44981" xr:uid="{00000000-0005-0000-0000-0000EE7B0000}"/>
    <cellStyle name="Normal 57 3 2 4 4 2 5" xfId="30918" xr:uid="{00000000-0005-0000-0000-0000EF7B0000}"/>
    <cellStyle name="Normal 57 3 2 4 4 3" xfId="6802" xr:uid="{00000000-0005-0000-0000-0000F07B0000}"/>
    <cellStyle name="Normal 57 3 2 4 4 3 2" xfId="15629" xr:uid="{00000000-0005-0000-0000-0000F17B0000}"/>
    <cellStyle name="Normal 57 3 2 4 4 3 2 2" xfId="41184" xr:uid="{00000000-0005-0000-0000-0000F27B0000}"/>
    <cellStyle name="Normal 57 3 2 4 4 3 3" xfId="25880" xr:uid="{00000000-0005-0000-0000-0000F37B0000}"/>
    <cellStyle name="Normal 57 3 2 4 4 3 3 2" xfId="51433" xr:uid="{00000000-0005-0000-0000-0000F47B0000}"/>
    <cellStyle name="Normal 57 3 2 4 4 3 4" xfId="32363" xr:uid="{00000000-0005-0000-0000-0000F57B0000}"/>
    <cellStyle name="Normal 57 3 2 4 4 4" xfId="8248" xr:uid="{00000000-0005-0000-0000-0000F67B0000}"/>
    <cellStyle name="Normal 57 3 2 4 4 4 2" xfId="22330" xr:uid="{00000000-0005-0000-0000-0000F77B0000}"/>
    <cellStyle name="Normal 57 3 2 4 4 4 2 2" xfId="47883" xr:uid="{00000000-0005-0000-0000-0000F87B0000}"/>
    <cellStyle name="Normal 57 3 2 4 4 4 3" xfId="33805" xr:uid="{00000000-0005-0000-0000-0000F97B0000}"/>
    <cellStyle name="Normal 57 3 2 4 4 5" xfId="17323" xr:uid="{00000000-0005-0000-0000-0000FA7B0000}"/>
    <cellStyle name="Normal 57 3 2 4 4 5 2" xfId="42876" xr:uid="{00000000-0005-0000-0000-0000FB7B0000}"/>
    <cellStyle name="Normal 57 3 2 4 4 6" xfId="28813" xr:uid="{00000000-0005-0000-0000-0000FC7B0000}"/>
    <cellStyle name="Normal 57 3 2 4 5" xfId="4303" xr:uid="{00000000-0005-0000-0000-0000FD7B0000}"/>
    <cellStyle name="Normal 57 3 2 4 5 2" xfId="13141" xr:uid="{00000000-0005-0000-0000-0000FE7B0000}"/>
    <cellStyle name="Normal 57 3 2 4 5 2 2" xfId="23392" xr:uid="{00000000-0005-0000-0000-0000FF7B0000}"/>
    <cellStyle name="Normal 57 3 2 4 5 2 2 2" xfId="48945" xr:uid="{00000000-0005-0000-0000-0000007C0000}"/>
    <cellStyle name="Normal 57 3 2 4 5 2 3" xfId="38696" xr:uid="{00000000-0005-0000-0000-0000017C0000}"/>
    <cellStyle name="Normal 57 3 2 4 5 3" xfId="9562" xr:uid="{00000000-0005-0000-0000-0000027C0000}"/>
    <cellStyle name="Normal 57 3 2 4 5 3 2" xfId="35119" xr:uid="{00000000-0005-0000-0000-0000037C0000}"/>
    <cellStyle name="Normal 57 3 2 4 5 4" xfId="18385" xr:uid="{00000000-0005-0000-0000-0000047C0000}"/>
    <cellStyle name="Normal 57 3 2 4 5 4 2" xfId="43938" xr:uid="{00000000-0005-0000-0000-0000057C0000}"/>
    <cellStyle name="Normal 57 3 2 4 5 5" xfId="29875" xr:uid="{00000000-0005-0000-0000-0000067C0000}"/>
    <cellStyle name="Normal 57 3 2 4 6" xfId="1575" xr:uid="{00000000-0005-0000-0000-0000077C0000}"/>
    <cellStyle name="Normal 57 3 2 4 6 2" xfId="10952" xr:uid="{00000000-0005-0000-0000-0000087C0000}"/>
    <cellStyle name="Normal 57 3 2 4 6 2 2" xfId="36507" xr:uid="{00000000-0005-0000-0000-0000097C0000}"/>
    <cellStyle name="Normal 57 3 2 4 6 3" xfId="20956" xr:uid="{00000000-0005-0000-0000-00000A7C0000}"/>
    <cellStyle name="Normal 57 3 2 4 6 3 2" xfId="46509" xr:uid="{00000000-0005-0000-0000-00000B7C0000}"/>
    <cellStyle name="Normal 57 3 2 4 6 4" xfId="27439" xr:uid="{00000000-0005-0000-0000-00000C7C0000}"/>
    <cellStyle name="Normal 57 3 2 4 7" xfId="5759" xr:uid="{00000000-0005-0000-0000-00000D7C0000}"/>
    <cellStyle name="Normal 57 3 2 4 7 2" xfId="14586" xr:uid="{00000000-0005-0000-0000-00000E7C0000}"/>
    <cellStyle name="Normal 57 3 2 4 7 2 2" xfId="40141" xr:uid="{00000000-0005-0000-0000-00000F7C0000}"/>
    <cellStyle name="Normal 57 3 2 4 7 3" xfId="24837" xr:uid="{00000000-0005-0000-0000-0000107C0000}"/>
    <cellStyle name="Normal 57 3 2 4 7 3 2" xfId="50390" xr:uid="{00000000-0005-0000-0000-0000117C0000}"/>
    <cellStyle name="Normal 57 3 2 4 7 4" xfId="31320" xr:uid="{00000000-0005-0000-0000-0000127C0000}"/>
    <cellStyle name="Normal 57 3 2 4 8" xfId="7203" xr:uid="{00000000-0005-0000-0000-0000137C0000}"/>
    <cellStyle name="Normal 57 3 2 4 8 2" xfId="19929" xr:uid="{00000000-0005-0000-0000-0000147C0000}"/>
    <cellStyle name="Normal 57 3 2 4 8 2 2" xfId="45482" xr:uid="{00000000-0005-0000-0000-0000157C0000}"/>
    <cellStyle name="Normal 57 3 2 4 8 3" xfId="32760" xr:uid="{00000000-0005-0000-0000-0000167C0000}"/>
    <cellStyle name="Normal 57 3 2 4 9" xfId="15949" xr:uid="{00000000-0005-0000-0000-0000177C0000}"/>
    <cellStyle name="Normal 57 3 2 4 9 2" xfId="41502" xr:uid="{00000000-0005-0000-0000-0000187C0000}"/>
    <cellStyle name="Normal 57 3 2 4_Degree data" xfId="3941" xr:uid="{00000000-0005-0000-0000-0000197C0000}"/>
    <cellStyle name="Normal 57 3 2 5" xfId="326" xr:uid="{00000000-0005-0000-0000-00001A7C0000}"/>
    <cellStyle name="Normal 57 3 2 5 10" xfId="26255" xr:uid="{00000000-0005-0000-0000-00001B7C0000}"/>
    <cellStyle name="Normal 57 3 2 5 2" xfId="836" xr:uid="{00000000-0005-0000-0000-00001C7C0000}"/>
    <cellStyle name="Normal 57 3 2 5 2 2" xfId="3321" xr:uid="{00000000-0005-0000-0000-00001D7C0000}"/>
    <cellStyle name="Normal 57 3 2 5 2 2 2" xfId="12463" xr:uid="{00000000-0005-0000-0000-00001E7C0000}"/>
    <cellStyle name="Normal 57 3 2 5 2 2 2 2" xfId="22682" xr:uid="{00000000-0005-0000-0000-00001F7C0000}"/>
    <cellStyle name="Normal 57 3 2 5 2 2 2 2 2" xfId="48235" xr:uid="{00000000-0005-0000-0000-0000207C0000}"/>
    <cellStyle name="Normal 57 3 2 5 2 2 2 3" xfId="38018" xr:uid="{00000000-0005-0000-0000-0000217C0000}"/>
    <cellStyle name="Normal 57 3 2 5 2 2 3" xfId="8885" xr:uid="{00000000-0005-0000-0000-0000227C0000}"/>
    <cellStyle name="Normal 57 3 2 5 2 2 3 2" xfId="34442" xr:uid="{00000000-0005-0000-0000-0000237C0000}"/>
    <cellStyle name="Normal 57 3 2 5 2 2 4" xfId="17675" xr:uid="{00000000-0005-0000-0000-0000247C0000}"/>
    <cellStyle name="Normal 57 3 2 5 2 2 4 2" xfId="43228" xr:uid="{00000000-0005-0000-0000-0000257C0000}"/>
    <cellStyle name="Normal 57 3 2 5 2 2 5" xfId="29165" xr:uid="{00000000-0005-0000-0000-0000267C0000}"/>
    <cellStyle name="Normal 57 3 2 5 2 3" xfId="4650" xr:uid="{00000000-0005-0000-0000-0000277C0000}"/>
    <cellStyle name="Normal 57 3 2 5 2 3 2" xfId="13488" xr:uid="{00000000-0005-0000-0000-0000287C0000}"/>
    <cellStyle name="Normal 57 3 2 5 2 3 2 2" xfId="23739" xr:uid="{00000000-0005-0000-0000-0000297C0000}"/>
    <cellStyle name="Normal 57 3 2 5 2 3 2 2 2" xfId="49292" xr:uid="{00000000-0005-0000-0000-00002A7C0000}"/>
    <cellStyle name="Normal 57 3 2 5 2 3 2 3" xfId="39043" xr:uid="{00000000-0005-0000-0000-00002B7C0000}"/>
    <cellStyle name="Normal 57 3 2 5 2 3 3" xfId="9909" xr:uid="{00000000-0005-0000-0000-00002C7C0000}"/>
    <cellStyle name="Normal 57 3 2 5 2 3 3 2" xfId="35466" xr:uid="{00000000-0005-0000-0000-00002D7C0000}"/>
    <cellStyle name="Normal 57 3 2 5 2 3 4" xfId="18732" xr:uid="{00000000-0005-0000-0000-00002E7C0000}"/>
    <cellStyle name="Normal 57 3 2 5 2 3 4 2" xfId="44285" xr:uid="{00000000-0005-0000-0000-00002F7C0000}"/>
    <cellStyle name="Normal 57 3 2 5 2 3 5" xfId="30222" xr:uid="{00000000-0005-0000-0000-0000307C0000}"/>
    <cellStyle name="Normal 57 3 2 5 2 4" xfId="2430" xr:uid="{00000000-0005-0000-0000-0000317C0000}"/>
    <cellStyle name="Normal 57 3 2 5 2 4 2" xfId="11795" xr:uid="{00000000-0005-0000-0000-0000327C0000}"/>
    <cellStyle name="Normal 57 3 2 5 2 4 2 2" xfId="37350" xr:uid="{00000000-0005-0000-0000-0000337C0000}"/>
    <cellStyle name="Normal 57 3 2 5 2 4 3" xfId="21799" xr:uid="{00000000-0005-0000-0000-0000347C0000}"/>
    <cellStyle name="Normal 57 3 2 5 2 4 3 2" xfId="47352" xr:uid="{00000000-0005-0000-0000-0000357C0000}"/>
    <cellStyle name="Normal 57 3 2 5 2 4 4" xfId="28282" xr:uid="{00000000-0005-0000-0000-0000367C0000}"/>
    <cellStyle name="Normal 57 3 2 5 2 5" xfId="6106" xr:uid="{00000000-0005-0000-0000-0000377C0000}"/>
    <cellStyle name="Normal 57 3 2 5 2 5 2" xfId="14933" xr:uid="{00000000-0005-0000-0000-0000387C0000}"/>
    <cellStyle name="Normal 57 3 2 5 2 5 2 2" xfId="40488" xr:uid="{00000000-0005-0000-0000-0000397C0000}"/>
    <cellStyle name="Normal 57 3 2 5 2 5 3" xfId="25184" xr:uid="{00000000-0005-0000-0000-00003A7C0000}"/>
    <cellStyle name="Normal 57 3 2 5 2 5 3 2" xfId="50737" xr:uid="{00000000-0005-0000-0000-00003B7C0000}"/>
    <cellStyle name="Normal 57 3 2 5 2 5 4" xfId="31667" xr:uid="{00000000-0005-0000-0000-00003C7C0000}"/>
    <cellStyle name="Normal 57 3 2 5 2 6" xfId="7551" xr:uid="{00000000-0005-0000-0000-00003D7C0000}"/>
    <cellStyle name="Normal 57 3 2 5 2 6 2" xfId="20281" xr:uid="{00000000-0005-0000-0000-00003E7C0000}"/>
    <cellStyle name="Normal 57 3 2 5 2 6 2 2" xfId="45834" xr:uid="{00000000-0005-0000-0000-00003F7C0000}"/>
    <cellStyle name="Normal 57 3 2 5 2 6 3" xfId="33108" xr:uid="{00000000-0005-0000-0000-0000407C0000}"/>
    <cellStyle name="Normal 57 3 2 5 2 7" xfId="16792" xr:uid="{00000000-0005-0000-0000-0000417C0000}"/>
    <cellStyle name="Normal 57 3 2 5 2 7 2" xfId="42345" xr:uid="{00000000-0005-0000-0000-0000427C0000}"/>
    <cellStyle name="Normal 57 3 2 5 2 8" xfId="26764" xr:uid="{00000000-0005-0000-0000-0000437C0000}"/>
    <cellStyle name="Normal 57 3 2 5 3" xfId="1098" xr:uid="{00000000-0005-0000-0000-0000447C0000}"/>
    <cellStyle name="Normal 57 3 2 5 3 2" xfId="3527" xr:uid="{00000000-0005-0000-0000-0000457C0000}"/>
    <cellStyle name="Normal 57 3 2 5 3 2 2" xfId="12663" xr:uid="{00000000-0005-0000-0000-0000467C0000}"/>
    <cellStyle name="Normal 57 3 2 5 3 2 2 2" xfId="22882" xr:uid="{00000000-0005-0000-0000-0000477C0000}"/>
    <cellStyle name="Normal 57 3 2 5 3 2 2 2 2" xfId="48435" xr:uid="{00000000-0005-0000-0000-0000487C0000}"/>
    <cellStyle name="Normal 57 3 2 5 3 2 2 3" xfId="38218" xr:uid="{00000000-0005-0000-0000-0000497C0000}"/>
    <cellStyle name="Normal 57 3 2 5 3 2 3" xfId="9084" xr:uid="{00000000-0005-0000-0000-00004A7C0000}"/>
    <cellStyle name="Normal 57 3 2 5 3 2 3 2" xfId="34641" xr:uid="{00000000-0005-0000-0000-00004B7C0000}"/>
    <cellStyle name="Normal 57 3 2 5 3 2 4" xfId="17875" xr:uid="{00000000-0005-0000-0000-00004C7C0000}"/>
    <cellStyle name="Normal 57 3 2 5 3 2 4 2" xfId="43428" xr:uid="{00000000-0005-0000-0000-00004D7C0000}"/>
    <cellStyle name="Normal 57 3 2 5 3 2 5" xfId="29365" xr:uid="{00000000-0005-0000-0000-00004E7C0000}"/>
    <cellStyle name="Normal 57 3 2 5 3 3" xfId="4999" xr:uid="{00000000-0005-0000-0000-00004F7C0000}"/>
    <cellStyle name="Normal 57 3 2 5 3 3 2" xfId="13836" xr:uid="{00000000-0005-0000-0000-0000507C0000}"/>
    <cellStyle name="Normal 57 3 2 5 3 3 2 2" xfId="24087" xr:uid="{00000000-0005-0000-0000-0000517C0000}"/>
    <cellStyle name="Normal 57 3 2 5 3 3 2 2 2" xfId="49640" xr:uid="{00000000-0005-0000-0000-0000527C0000}"/>
    <cellStyle name="Normal 57 3 2 5 3 3 2 3" xfId="39391" xr:uid="{00000000-0005-0000-0000-0000537C0000}"/>
    <cellStyle name="Normal 57 3 2 5 3 3 3" xfId="10257" xr:uid="{00000000-0005-0000-0000-0000547C0000}"/>
    <cellStyle name="Normal 57 3 2 5 3 3 3 2" xfId="35814" xr:uid="{00000000-0005-0000-0000-0000557C0000}"/>
    <cellStyle name="Normal 57 3 2 5 3 3 4" xfId="19080" xr:uid="{00000000-0005-0000-0000-0000567C0000}"/>
    <cellStyle name="Normal 57 3 2 5 3 3 4 2" xfId="44633" xr:uid="{00000000-0005-0000-0000-0000577C0000}"/>
    <cellStyle name="Normal 57 3 2 5 3 3 5" xfId="30570" xr:uid="{00000000-0005-0000-0000-0000587C0000}"/>
    <cellStyle name="Normal 57 3 2 5 3 4" xfId="2590" xr:uid="{00000000-0005-0000-0000-0000597C0000}"/>
    <cellStyle name="Normal 57 3 2 5 3 4 2" xfId="11954" xr:uid="{00000000-0005-0000-0000-00005A7C0000}"/>
    <cellStyle name="Normal 57 3 2 5 3 4 2 2" xfId="37509" xr:uid="{00000000-0005-0000-0000-00005B7C0000}"/>
    <cellStyle name="Normal 57 3 2 5 3 4 3" xfId="21958" xr:uid="{00000000-0005-0000-0000-00005C7C0000}"/>
    <cellStyle name="Normal 57 3 2 5 3 4 3 2" xfId="47511" xr:uid="{00000000-0005-0000-0000-00005D7C0000}"/>
    <cellStyle name="Normal 57 3 2 5 3 4 4" xfId="28441" xr:uid="{00000000-0005-0000-0000-00005E7C0000}"/>
    <cellStyle name="Normal 57 3 2 5 3 5" xfId="6454" xr:uid="{00000000-0005-0000-0000-00005F7C0000}"/>
    <cellStyle name="Normal 57 3 2 5 3 5 2" xfId="15281" xr:uid="{00000000-0005-0000-0000-0000607C0000}"/>
    <cellStyle name="Normal 57 3 2 5 3 5 2 2" xfId="40836" xr:uid="{00000000-0005-0000-0000-0000617C0000}"/>
    <cellStyle name="Normal 57 3 2 5 3 5 3" xfId="25532" xr:uid="{00000000-0005-0000-0000-0000627C0000}"/>
    <cellStyle name="Normal 57 3 2 5 3 5 3 2" xfId="51085" xr:uid="{00000000-0005-0000-0000-0000637C0000}"/>
    <cellStyle name="Normal 57 3 2 5 3 5 4" xfId="32015" xr:uid="{00000000-0005-0000-0000-0000647C0000}"/>
    <cellStyle name="Normal 57 3 2 5 3 6" xfId="7900" xr:uid="{00000000-0005-0000-0000-0000657C0000}"/>
    <cellStyle name="Normal 57 3 2 5 3 6 2" xfId="20481" xr:uid="{00000000-0005-0000-0000-0000667C0000}"/>
    <cellStyle name="Normal 57 3 2 5 3 6 2 2" xfId="46034" xr:uid="{00000000-0005-0000-0000-0000677C0000}"/>
    <cellStyle name="Normal 57 3 2 5 3 6 3" xfId="33457" xr:uid="{00000000-0005-0000-0000-0000687C0000}"/>
    <cellStyle name="Normal 57 3 2 5 3 7" xfId="16951" xr:uid="{00000000-0005-0000-0000-0000697C0000}"/>
    <cellStyle name="Normal 57 3 2 5 3 7 2" xfId="42504" xr:uid="{00000000-0005-0000-0000-00006A7C0000}"/>
    <cellStyle name="Normal 57 3 2 5 3 8" xfId="26964" xr:uid="{00000000-0005-0000-0000-00006B7C0000}"/>
    <cellStyle name="Normal 57 3 2 5 4" xfId="2812" xr:uid="{00000000-0005-0000-0000-00006C7C0000}"/>
    <cellStyle name="Normal 57 3 2 5 4 2" xfId="5190" xr:uid="{00000000-0005-0000-0000-00006D7C0000}"/>
    <cellStyle name="Normal 57 3 2 5 4 2 2" xfId="14027" xr:uid="{00000000-0005-0000-0000-00006E7C0000}"/>
    <cellStyle name="Normal 57 3 2 5 4 2 2 2" xfId="24278" xr:uid="{00000000-0005-0000-0000-00006F7C0000}"/>
    <cellStyle name="Normal 57 3 2 5 4 2 2 2 2" xfId="49831" xr:uid="{00000000-0005-0000-0000-0000707C0000}"/>
    <cellStyle name="Normal 57 3 2 5 4 2 2 3" xfId="39582" xr:uid="{00000000-0005-0000-0000-0000717C0000}"/>
    <cellStyle name="Normal 57 3 2 5 4 2 3" xfId="10448" xr:uid="{00000000-0005-0000-0000-0000727C0000}"/>
    <cellStyle name="Normal 57 3 2 5 4 2 3 2" xfId="36005" xr:uid="{00000000-0005-0000-0000-0000737C0000}"/>
    <cellStyle name="Normal 57 3 2 5 4 2 4" xfId="19271" xr:uid="{00000000-0005-0000-0000-0000747C0000}"/>
    <cellStyle name="Normal 57 3 2 5 4 2 4 2" xfId="44824" xr:uid="{00000000-0005-0000-0000-0000757C0000}"/>
    <cellStyle name="Normal 57 3 2 5 4 2 5" xfId="30761" xr:uid="{00000000-0005-0000-0000-0000767C0000}"/>
    <cellStyle name="Normal 57 3 2 5 4 3" xfId="6645" xr:uid="{00000000-0005-0000-0000-0000777C0000}"/>
    <cellStyle name="Normal 57 3 2 5 4 3 2" xfId="15472" xr:uid="{00000000-0005-0000-0000-0000787C0000}"/>
    <cellStyle name="Normal 57 3 2 5 4 3 2 2" xfId="41027" xr:uid="{00000000-0005-0000-0000-0000797C0000}"/>
    <cellStyle name="Normal 57 3 2 5 4 3 3" xfId="25723" xr:uid="{00000000-0005-0000-0000-00007A7C0000}"/>
    <cellStyle name="Normal 57 3 2 5 4 3 3 2" xfId="51276" xr:uid="{00000000-0005-0000-0000-00007B7C0000}"/>
    <cellStyle name="Normal 57 3 2 5 4 3 4" xfId="32206" xr:uid="{00000000-0005-0000-0000-00007C7C0000}"/>
    <cellStyle name="Normal 57 3 2 5 4 4" xfId="8091" xr:uid="{00000000-0005-0000-0000-00007D7C0000}"/>
    <cellStyle name="Normal 57 3 2 5 4 4 2" xfId="22173" xr:uid="{00000000-0005-0000-0000-00007E7C0000}"/>
    <cellStyle name="Normal 57 3 2 5 4 4 2 2" xfId="47726" xr:uid="{00000000-0005-0000-0000-00007F7C0000}"/>
    <cellStyle name="Normal 57 3 2 5 4 4 3" xfId="33648" xr:uid="{00000000-0005-0000-0000-0000807C0000}"/>
    <cellStyle name="Normal 57 3 2 5 4 5" xfId="17166" xr:uid="{00000000-0005-0000-0000-0000817C0000}"/>
    <cellStyle name="Normal 57 3 2 5 4 5 2" xfId="42719" xr:uid="{00000000-0005-0000-0000-0000827C0000}"/>
    <cellStyle name="Normal 57 3 2 5 4 6" xfId="28656" xr:uid="{00000000-0005-0000-0000-0000837C0000}"/>
    <cellStyle name="Normal 57 3 2 5 5" xfId="4144" xr:uid="{00000000-0005-0000-0000-0000847C0000}"/>
    <cellStyle name="Normal 57 3 2 5 5 2" xfId="12982" xr:uid="{00000000-0005-0000-0000-0000857C0000}"/>
    <cellStyle name="Normal 57 3 2 5 5 2 2" xfId="23233" xr:uid="{00000000-0005-0000-0000-0000867C0000}"/>
    <cellStyle name="Normal 57 3 2 5 5 2 2 2" xfId="48786" xr:uid="{00000000-0005-0000-0000-0000877C0000}"/>
    <cellStyle name="Normal 57 3 2 5 5 2 3" xfId="38537" xr:uid="{00000000-0005-0000-0000-0000887C0000}"/>
    <cellStyle name="Normal 57 3 2 5 5 3" xfId="9403" xr:uid="{00000000-0005-0000-0000-0000897C0000}"/>
    <cellStyle name="Normal 57 3 2 5 5 3 2" xfId="34960" xr:uid="{00000000-0005-0000-0000-00008A7C0000}"/>
    <cellStyle name="Normal 57 3 2 5 5 4" xfId="18226" xr:uid="{00000000-0005-0000-0000-00008B7C0000}"/>
    <cellStyle name="Normal 57 3 2 5 5 4 2" xfId="43779" xr:uid="{00000000-0005-0000-0000-00008C7C0000}"/>
    <cellStyle name="Normal 57 3 2 5 5 5" xfId="29716" xr:uid="{00000000-0005-0000-0000-00008D7C0000}"/>
    <cellStyle name="Normal 57 3 2 5 6" xfId="1921" xr:uid="{00000000-0005-0000-0000-00008E7C0000}"/>
    <cellStyle name="Normal 57 3 2 5 6 2" xfId="11286" xr:uid="{00000000-0005-0000-0000-00008F7C0000}"/>
    <cellStyle name="Normal 57 3 2 5 6 2 2" xfId="36841" xr:uid="{00000000-0005-0000-0000-0000907C0000}"/>
    <cellStyle name="Normal 57 3 2 5 6 3" xfId="21290" xr:uid="{00000000-0005-0000-0000-0000917C0000}"/>
    <cellStyle name="Normal 57 3 2 5 6 3 2" xfId="46843" xr:uid="{00000000-0005-0000-0000-0000927C0000}"/>
    <cellStyle name="Normal 57 3 2 5 6 4" xfId="27773" xr:uid="{00000000-0005-0000-0000-0000937C0000}"/>
    <cellStyle name="Normal 57 3 2 5 7" xfId="5602" xr:uid="{00000000-0005-0000-0000-0000947C0000}"/>
    <cellStyle name="Normal 57 3 2 5 7 2" xfId="14429" xr:uid="{00000000-0005-0000-0000-0000957C0000}"/>
    <cellStyle name="Normal 57 3 2 5 7 2 2" xfId="39984" xr:uid="{00000000-0005-0000-0000-0000967C0000}"/>
    <cellStyle name="Normal 57 3 2 5 7 3" xfId="24680" xr:uid="{00000000-0005-0000-0000-0000977C0000}"/>
    <cellStyle name="Normal 57 3 2 5 7 3 2" xfId="50233" xr:uid="{00000000-0005-0000-0000-0000987C0000}"/>
    <cellStyle name="Normal 57 3 2 5 7 4" xfId="31163" xr:uid="{00000000-0005-0000-0000-0000997C0000}"/>
    <cellStyle name="Normal 57 3 2 5 8" xfId="7046" xr:uid="{00000000-0005-0000-0000-00009A7C0000}"/>
    <cellStyle name="Normal 57 3 2 5 8 2" xfId="19772" xr:uid="{00000000-0005-0000-0000-00009B7C0000}"/>
    <cellStyle name="Normal 57 3 2 5 8 2 2" xfId="45325" xr:uid="{00000000-0005-0000-0000-00009C7C0000}"/>
    <cellStyle name="Normal 57 3 2 5 8 3" xfId="32603" xr:uid="{00000000-0005-0000-0000-00009D7C0000}"/>
    <cellStyle name="Normal 57 3 2 5 9" xfId="16283" xr:uid="{00000000-0005-0000-0000-00009E7C0000}"/>
    <cellStyle name="Normal 57 3 2 5 9 2" xfId="41836" xr:uid="{00000000-0005-0000-0000-00009F7C0000}"/>
    <cellStyle name="Normal 57 3 2 5_Degree data" xfId="3942" xr:uid="{00000000-0005-0000-0000-0000A07C0000}"/>
    <cellStyle name="Normal 57 3 2 6" xfId="830" xr:uid="{00000000-0005-0000-0000-0000A17C0000}"/>
    <cellStyle name="Normal 57 3 2 6 2" xfId="3315" xr:uid="{00000000-0005-0000-0000-0000A27C0000}"/>
    <cellStyle name="Normal 57 3 2 6 2 2" xfId="12457" xr:uid="{00000000-0005-0000-0000-0000A37C0000}"/>
    <cellStyle name="Normal 57 3 2 6 2 2 2" xfId="22676" xr:uid="{00000000-0005-0000-0000-0000A47C0000}"/>
    <cellStyle name="Normal 57 3 2 6 2 2 2 2" xfId="48229" xr:uid="{00000000-0005-0000-0000-0000A57C0000}"/>
    <cellStyle name="Normal 57 3 2 6 2 2 3" xfId="38012" xr:uid="{00000000-0005-0000-0000-0000A67C0000}"/>
    <cellStyle name="Normal 57 3 2 6 2 3" xfId="8879" xr:uid="{00000000-0005-0000-0000-0000A77C0000}"/>
    <cellStyle name="Normal 57 3 2 6 2 3 2" xfId="34436" xr:uid="{00000000-0005-0000-0000-0000A87C0000}"/>
    <cellStyle name="Normal 57 3 2 6 2 4" xfId="17669" xr:uid="{00000000-0005-0000-0000-0000A97C0000}"/>
    <cellStyle name="Normal 57 3 2 6 2 4 2" xfId="43222" xr:uid="{00000000-0005-0000-0000-0000AA7C0000}"/>
    <cellStyle name="Normal 57 3 2 6 2 5" xfId="29159" xr:uid="{00000000-0005-0000-0000-0000AB7C0000}"/>
    <cellStyle name="Normal 57 3 2 6 3" xfId="4644" xr:uid="{00000000-0005-0000-0000-0000AC7C0000}"/>
    <cellStyle name="Normal 57 3 2 6 3 2" xfId="13482" xr:uid="{00000000-0005-0000-0000-0000AD7C0000}"/>
    <cellStyle name="Normal 57 3 2 6 3 2 2" xfId="23733" xr:uid="{00000000-0005-0000-0000-0000AE7C0000}"/>
    <cellStyle name="Normal 57 3 2 6 3 2 2 2" xfId="49286" xr:uid="{00000000-0005-0000-0000-0000AF7C0000}"/>
    <cellStyle name="Normal 57 3 2 6 3 2 3" xfId="39037" xr:uid="{00000000-0005-0000-0000-0000B07C0000}"/>
    <cellStyle name="Normal 57 3 2 6 3 3" xfId="9903" xr:uid="{00000000-0005-0000-0000-0000B17C0000}"/>
    <cellStyle name="Normal 57 3 2 6 3 3 2" xfId="35460" xr:uid="{00000000-0005-0000-0000-0000B27C0000}"/>
    <cellStyle name="Normal 57 3 2 6 3 4" xfId="18726" xr:uid="{00000000-0005-0000-0000-0000B37C0000}"/>
    <cellStyle name="Normal 57 3 2 6 3 4 2" xfId="44279" xr:uid="{00000000-0005-0000-0000-0000B47C0000}"/>
    <cellStyle name="Normal 57 3 2 6 3 5" xfId="30216" xr:uid="{00000000-0005-0000-0000-0000B57C0000}"/>
    <cellStyle name="Normal 57 3 2 6 4" xfId="2424" xr:uid="{00000000-0005-0000-0000-0000B67C0000}"/>
    <cellStyle name="Normal 57 3 2 6 4 2" xfId="11789" xr:uid="{00000000-0005-0000-0000-0000B77C0000}"/>
    <cellStyle name="Normal 57 3 2 6 4 2 2" xfId="37344" xr:uid="{00000000-0005-0000-0000-0000B87C0000}"/>
    <cellStyle name="Normal 57 3 2 6 4 3" xfId="21793" xr:uid="{00000000-0005-0000-0000-0000B97C0000}"/>
    <cellStyle name="Normal 57 3 2 6 4 3 2" xfId="47346" xr:uid="{00000000-0005-0000-0000-0000BA7C0000}"/>
    <cellStyle name="Normal 57 3 2 6 4 4" xfId="28276" xr:uid="{00000000-0005-0000-0000-0000BB7C0000}"/>
    <cellStyle name="Normal 57 3 2 6 5" xfId="6100" xr:uid="{00000000-0005-0000-0000-0000BC7C0000}"/>
    <cellStyle name="Normal 57 3 2 6 5 2" xfId="14927" xr:uid="{00000000-0005-0000-0000-0000BD7C0000}"/>
    <cellStyle name="Normal 57 3 2 6 5 2 2" xfId="40482" xr:uid="{00000000-0005-0000-0000-0000BE7C0000}"/>
    <cellStyle name="Normal 57 3 2 6 5 3" xfId="25178" xr:uid="{00000000-0005-0000-0000-0000BF7C0000}"/>
    <cellStyle name="Normal 57 3 2 6 5 3 2" xfId="50731" xr:uid="{00000000-0005-0000-0000-0000C07C0000}"/>
    <cellStyle name="Normal 57 3 2 6 5 4" xfId="31661" xr:uid="{00000000-0005-0000-0000-0000C17C0000}"/>
    <cellStyle name="Normal 57 3 2 6 6" xfId="7545" xr:uid="{00000000-0005-0000-0000-0000C27C0000}"/>
    <cellStyle name="Normal 57 3 2 6 6 2" xfId="20275" xr:uid="{00000000-0005-0000-0000-0000C37C0000}"/>
    <cellStyle name="Normal 57 3 2 6 6 2 2" xfId="45828" xr:uid="{00000000-0005-0000-0000-0000C47C0000}"/>
    <cellStyle name="Normal 57 3 2 6 6 3" xfId="33102" xr:uid="{00000000-0005-0000-0000-0000C57C0000}"/>
    <cellStyle name="Normal 57 3 2 6 7" xfId="16786" xr:uid="{00000000-0005-0000-0000-0000C67C0000}"/>
    <cellStyle name="Normal 57 3 2 6 7 2" xfId="42339" xr:uid="{00000000-0005-0000-0000-0000C77C0000}"/>
    <cellStyle name="Normal 57 3 2 6 8" xfId="26758" xr:uid="{00000000-0005-0000-0000-0000C87C0000}"/>
    <cellStyle name="Normal 57 3 2 7" xfId="1053" xr:uid="{00000000-0005-0000-0000-0000C97C0000}"/>
    <cellStyle name="Normal 57 3 2 7 2" xfId="3482" xr:uid="{00000000-0005-0000-0000-0000CA7C0000}"/>
    <cellStyle name="Normal 57 3 2 7 2 2" xfId="12618" xr:uid="{00000000-0005-0000-0000-0000CB7C0000}"/>
    <cellStyle name="Normal 57 3 2 7 2 2 2" xfId="22837" xr:uid="{00000000-0005-0000-0000-0000CC7C0000}"/>
    <cellStyle name="Normal 57 3 2 7 2 2 2 2" xfId="48390" xr:uid="{00000000-0005-0000-0000-0000CD7C0000}"/>
    <cellStyle name="Normal 57 3 2 7 2 2 3" xfId="38173" xr:uid="{00000000-0005-0000-0000-0000CE7C0000}"/>
    <cellStyle name="Normal 57 3 2 7 2 3" xfId="9040" xr:uid="{00000000-0005-0000-0000-0000CF7C0000}"/>
    <cellStyle name="Normal 57 3 2 7 2 3 2" xfId="34597" xr:uid="{00000000-0005-0000-0000-0000D07C0000}"/>
    <cellStyle name="Normal 57 3 2 7 2 4" xfId="17830" xr:uid="{00000000-0005-0000-0000-0000D17C0000}"/>
    <cellStyle name="Normal 57 3 2 7 2 4 2" xfId="43383" xr:uid="{00000000-0005-0000-0000-0000D27C0000}"/>
    <cellStyle name="Normal 57 3 2 7 2 5" xfId="29320" xr:uid="{00000000-0005-0000-0000-0000D37C0000}"/>
    <cellStyle name="Normal 57 3 2 7 3" xfId="4993" xr:uid="{00000000-0005-0000-0000-0000D47C0000}"/>
    <cellStyle name="Normal 57 3 2 7 3 2" xfId="13830" xr:uid="{00000000-0005-0000-0000-0000D57C0000}"/>
    <cellStyle name="Normal 57 3 2 7 3 2 2" xfId="24081" xr:uid="{00000000-0005-0000-0000-0000D67C0000}"/>
    <cellStyle name="Normal 57 3 2 7 3 2 2 2" xfId="49634" xr:uid="{00000000-0005-0000-0000-0000D77C0000}"/>
    <cellStyle name="Normal 57 3 2 7 3 2 3" xfId="39385" xr:uid="{00000000-0005-0000-0000-0000D87C0000}"/>
    <cellStyle name="Normal 57 3 2 7 3 3" xfId="10251" xr:uid="{00000000-0005-0000-0000-0000D97C0000}"/>
    <cellStyle name="Normal 57 3 2 7 3 3 2" xfId="35808" xr:uid="{00000000-0005-0000-0000-0000DA7C0000}"/>
    <cellStyle name="Normal 57 3 2 7 3 4" xfId="19074" xr:uid="{00000000-0005-0000-0000-0000DB7C0000}"/>
    <cellStyle name="Normal 57 3 2 7 3 4 2" xfId="44627" xr:uid="{00000000-0005-0000-0000-0000DC7C0000}"/>
    <cellStyle name="Normal 57 3 2 7 3 5" xfId="30564" xr:uid="{00000000-0005-0000-0000-0000DD7C0000}"/>
    <cellStyle name="Normal 57 3 2 7 4" xfId="1755" xr:uid="{00000000-0005-0000-0000-0000DE7C0000}"/>
    <cellStyle name="Normal 57 3 2 7 4 2" xfId="11126" xr:uid="{00000000-0005-0000-0000-0000DF7C0000}"/>
    <cellStyle name="Normal 57 3 2 7 4 2 2" xfId="36681" xr:uid="{00000000-0005-0000-0000-0000E07C0000}"/>
    <cellStyle name="Normal 57 3 2 7 4 3" xfId="21130" xr:uid="{00000000-0005-0000-0000-0000E17C0000}"/>
    <cellStyle name="Normal 57 3 2 7 4 3 2" xfId="46683" xr:uid="{00000000-0005-0000-0000-0000E27C0000}"/>
    <cellStyle name="Normal 57 3 2 7 4 4" xfId="27613" xr:uid="{00000000-0005-0000-0000-0000E37C0000}"/>
    <cellStyle name="Normal 57 3 2 7 5" xfId="6448" xr:uid="{00000000-0005-0000-0000-0000E47C0000}"/>
    <cellStyle name="Normal 57 3 2 7 5 2" xfId="15275" xr:uid="{00000000-0005-0000-0000-0000E57C0000}"/>
    <cellStyle name="Normal 57 3 2 7 5 2 2" xfId="40830" xr:uid="{00000000-0005-0000-0000-0000E67C0000}"/>
    <cellStyle name="Normal 57 3 2 7 5 3" xfId="25526" xr:uid="{00000000-0005-0000-0000-0000E77C0000}"/>
    <cellStyle name="Normal 57 3 2 7 5 3 2" xfId="51079" xr:uid="{00000000-0005-0000-0000-0000E87C0000}"/>
    <cellStyle name="Normal 57 3 2 7 5 4" xfId="32009" xr:uid="{00000000-0005-0000-0000-0000E97C0000}"/>
    <cellStyle name="Normal 57 3 2 7 6" xfId="7894" xr:uid="{00000000-0005-0000-0000-0000EA7C0000}"/>
    <cellStyle name="Normal 57 3 2 7 6 2" xfId="20436" xr:uid="{00000000-0005-0000-0000-0000EB7C0000}"/>
    <cellStyle name="Normal 57 3 2 7 6 2 2" xfId="45989" xr:uid="{00000000-0005-0000-0000-0000EC7C0000}"/>
    <cellStyle name="Normal 57 3 2 7 6 3" xfId="33451" xr:uid="{00000000-0005-0000-0000-0000ED7C0000}"/>
    <cellStyle name="Normal 57 3 2 7 7" xfId="16123" xr:uid="{00000000-0005-0000-0000-0000EE7C0000}"/>
    <cellStyle name="Normal 57 3 2 7 7 2" xfId="41676" xr:uid="{00000000-0005-0000-0000-0000EF7C0000}"/>
    <cellStyle name="Normal 57 3 2 7 8" xfId="26919" xr:uid="{00000000-0005-0000-0000-0000F07C0000}"/>
    <cellStyle name="Normal 57 3 2 8" xfId="2652" xr:uid="{00000000-0005-0000-0000-0000F17C0000}"/>
    <cellStyle name="Normal 57 3 2 8 2" xfId="5145" xr:uid="{00000000-0005-0000-0000-0000F27C0000}"/>
    <cellStyle name="Normal 57 3 2 8 2 2" xfId="13982" xr:uid="{00000000-0005-0000-0000-0000F37C0000}"/>
    <cellStyle name="Normal 57 3 2 8 2 2 2" xfId="24233" xr:uid="{00000000-0005-0000-0000-0000F47C0000}"/>
    <cellStyle name="Normal 57 3 2 8 2 2 2 2" xfId="49786" xr:uid="{00000000-0005-0000-0000-0000F57C0000}"/>
    <cellStyle name="Normal 57 3 2 8 2 2 3" xfId="39537" xr:uid="{00000000-0005-0000-0000-0000F67C0000}"/>
    <cellStyle name="Normal 57 3 2 8 2 3" xfId="10403" xr:uid="{00000000-0005-0000-0000-0000F77C0000}"/>
    <cellStyle name="Normal 57 3 2 8 2 3 2" xfId="35960" xr:uid="{00000000-0005-0000-0000-0000F87C0000}"/>
    <cellStyle name="Normal 57 3 2 8 2 4" xfId="19226" xr:uid="{00000000-0005-0000-0000-0000F97C0000}"/>
    <cellStyle name="Normal 57 3 2 8 2 4 2" xfId="44779" xr:uid="{00000000-0005-0000-0000-0000FA7C0000}"/>
    <cellStyle name="Normal 57 3 2 8 2 5" xfId="30716" xr:uid="{00000000-0005-0000-0000-0000FB7C0000}"/>
    <cellStyle name="Normal 57 3 2 8 3" xfId="6600" xr:uid="{00000000-0005-0000-0000-0000FC7C0000}"/>
    <cellStyle name="Normal 57 3 2 8 3 2" xfId="15427" xr:uid="{00000000-0005-0000-0000-0000FD7C0000}"/>
    <cellStyle name="Normal 57 3 2 8 3 2 2" xfId="40982" xr:uid="{00000000-0005-0000-0000-0000FE7C0000}"/>
    <cellStyle name="Normal 57 3 2 8 3 3" xfId="25678" xr:uid="{00000000-0005-0000-0000-0000FF7C0000}"/>
    <cellStyle name="Normal 57 3 2 8 3 3 2" xfId="51231" xr:uid="{00000000-0005-0000-0000-0000007D0000}"/>
    <cellStyle name="Normal 57 3 2 8 3 4" xfId="32161" xr:uid="{00000000-0005-0000-0000-0000017D0000}"/>
    <cellStyle name="Normal 57 3 2 8 4" xfId="8046" xr:uid="{00000000-0005-0000-0000-0000027D0000}"/>
    <cellStyle name="Normal 57 3 2 8 4 2" xfId="22013" xr:uid="{00000000-0005-0000-0000-0000037D0000}"/>
    <cellStyle name="Normal 57 3 2 8 4 2 2" xfId="47566" xr:uid="{00000000-0005-0000-0000-0000047D0000}"/>
    <cellStyle name="Normal 57 3 2 8 4 3" xfId="33603" xr:uid="{00000000-0005-0000-0000-0000057D0000}"/>
    <cellStyle name="Normal 57 3 2 8 5" xfId="17006" xr:uid="{00000000-0005-0000-0000-0000067D0000}"/>
    <cellStyle name="Normal 57 3 2 8 5 2" xfId="42559" xr:uid="{00000000-0005-0000-0000-0000077D0000}"/>
    <cellStyle name="Normal 57 3 2 8 6" xfId="28496" xr:uid="{00000000-0005-0000-0000-0000087D0000}"/>
    <cellStyle name="Normal 57 3 2 9" xfId="4099" xr:uid="{00000000-0005-0000-0000-0000097D0000}"/>
    <cellStyle name="Normal 57 3 2 9 2" xfId="5557" xr:uid="{00000000-0005-0000-0000-00000A7D0000}"/>
    <cellStyle name="Normal 57 3 2 9 2 2" xfId="14384" xr:uid="{00000000-0005-0000-0000-00000B7D0000}"/>
    <cellStyle name="Normal 57 3 2 9 2 2 2" xfId="39939" xr:uid="{00000000-0005-0000-0000-00000C7D0000}"/>
    <cellStyle name="Normal 57 3 2 9 2 3" xfId="24635" xr:uid="{00000000-0005-0000-0000-00000D7D0000}"/>
    <cellStyle name="Normal 57 3 2 9 2 3 2" xfId="50188" xr:uid="{00000000-0005-0000-0000-00000E7D0000}"/>
    <cellStyle name="Normal 57 3 2 9 2 4" xfId="31118" xr:uid="{00000000-0005-0000-0000-00000F7D0000}"/>
    <cellStyle name="Normal 57 3 2 9 3" xfId="7001" xr:uid="{00000000-0005-0000-0000-0000107D0000}"/>
    <cellStyle name="Normal 57 3 2 9 3 2" xfId="23188" xr:uid="{00000000-0005-0000-0000-0000117D0000}"/>
    <cellStyle name="Normal 57 3 2 9 3 2 2" xfId="48741" xr:uid="{00000000-0005-0000-0000-0000127D0000}"/>
    <cellStyle name="Normal 57 3 2 9 3 3" xfId="32558" xr:uid="{00000000-0005-0000-0000-0000137D0000}"/>
    <cellStyle name="Normal 57 3 2 9 4" xfId="18181" xr:uid="{00000000-0005-0000-0000-0000147D0000}"/>
    <cellStyle name="Normal 57 3 2 9 4 2" xfId="43734" xr:uid="{00000000-0005-0000-0000-0000157D0000}"/>
    <cellStyle name="Normal 57 3 2 9 5" xfId="29671" xr:uid="{00000000-0005-0000-0000-0000167D0000}"/>
    <cellStyle name="Normal 57 3 2_Degree data" xfId="3936" xr:uid="{00000000-0005-0000-0000-0000177D0000}"/>
    <cellStyle name="Normal 57 3 3" xfId="136" xr:uid="{00000000-0005-0000-0000-0000187D0000}"/>
    <cellStyle name="Normal 57 3 3 10" xfId="1404" xr:uid="{00000000-0005-0000-0000-0000197D0000}"/>
    <cellStyle name="Normal 57 3 3 10 2" xfId="10781" xr:uid="{00000000-0005-0000-0000-00001A7D0000}"/>
    <cellStyle name="Normal 57 3 3 10 2 2" xfId="36336" xr:uid="{00000000-0005-0000-0000-00001B7D0000}"/>
    <cellStyle name="Normal 57 3 3 10 3" xfId="20785" xr:uid="{00000000-0005-0000-0000-00001C7D0000}"/>
    <cellStyle name="Normal 57 3 3 10 3 2" xfId="46338" xr:uid="{00000000-0005-0000-0000-00001D7D0000}"/>
    <cellStyle name="Normal 57 3 3 10 4" xfId="27268" xr:uid="{00000000-0005-0000-0000-00001E7D0000}"/>
    <cellStyle name="Normal 57 3 3 11" xfId="5515" xr:uid="{00000000-0005-0000-0000-00001F7D0000}"/>
    <cellStyle name="Normal 57 3 3 11 2" xfId="14342" xr:uid="{00000000-0005-0000-0000-0000207D0000}"/>
    <cellStyle name="Normal 57 3 3 11 2 2" xfId="39897" xr:uid="{00000000-0005-0000-0000-0000217D0000}"/>
    <cellStyle name="Normal 57 3 3 11 3" xfId="24593" xr:uid="{00000000-0005-0000-0000-0000227D0000}"/>
    <cellStyle name="Normal 57 3 3 11 3 2" xfId="50146" xr:uid="{00000000-0005-0000-0000-0000237D0000}"/>
    <cellStyle name="Normal 57 3 3 11 4" xfId="31076" xr:uid="{00000000-0005-0000-0000-0000247D0000}"/>
    <cellStyle name="Normal 57 3 3 12" xfId="6955" xr:uid="{00000000-0005-0000-0000-0000257D0000}"/>
    <cellStyle name="Normal 57 3 3 12 2" xfId="19600" xr:uid="{00000000-0005-0000-0000-0000267D0000}"/>
    <cellStyle name="Normal 57 3 3 12 2 2" xfId="45153" xr:uid="{00000000-0005-0000-0000-0000277D0000}"/>
    <cellStyle name="Normal 57 3 3 12 3" xfId="32513" xr:uid="{00000000-0005-0000-0000-0000287D0000}"/>
    <cellStyle name="Normal 57 3 3 13" xfId="15778" xr:uid="{00000000-0005-0000-0000-0000297D0000}"/>
    <cellStyle name="Normal 57 3 3 13 2" xfId="41331" xr:uid="{00000000-0005-0000-0000-00002A7D0000}"/>
    <cellStyle name="Normal 57 3 3 14" xfId="26083" xr:uid="{00000000-0005-0000-0000-00002B7D0000}"/>
    <cellStyle name="Normal 57 3 3 2" xfId="186" xr:uid="{00000000-0005-0000-0000-00002C7D0000}"/>
    <cellStyle name="Normal 57 3 3 2 10" xfId="7134" xr:uid="{00000000-0005-0000-0000-00002D7D0000}"/>
    <cellStyle name="Normal 57 3 3 2 10 2" xfId="19643" xr:uid="{00000000-0005-0000-0000-00002E7D0000}"/>
    <cellStyle name="Normal 57 3 3 2 10 2 2" xfId="45196" xr:uid="{00000000-0005-0000-0000-00002F7D0000}"/>
    <cellStyle name="Normal 57 3 3 2 10 3" xfId="32691" xr:uid="{00000000-0005-0000-0000-0000307D0000}"/>
    <cellStyle name="Normal 57 3 3 2 11" xfId="15880" xr:uid="{00000000-0005-0000-0000-0000317D0000}"/>
    <cellStyle name="Normal 57 3 3 2 11 2" xfId="41433" xr:uid="{00000000-0005-0000-0000-0000327D0000}"/>
    <cellStyle name="Normal 57 3 3 2 12" xfId="26126" xr:uid="{00000000-0005-0000-0000-0000337D0000}"/>
    <cellStyle name="Normal 57 3 3 2 2" xfId="514" xr:uid="{00000000-0005-0000-0000-0000347D0000}"/>
    <cellStyle name="Normal 57 3 3 2 2 10" xfId="26443" xr:uid="{00000000-0005-0000-0000-0000357D0000}"/>
    <cellStyle name="Normal 57 3 3 2 2 2" xfId="839" xr:uid="{00000000-0005-0000-0000-0000367D0000}"/>
    <cellStyle name="Normal 57 3 3 2 2 2 2" xfId="3324" xr:uid="{00000000-0005-0000-0000-0000377D0000}"/>
    <cellStyle name="Normal 57 3 3 2 2 2 2 2" xfId="12466" xr:uid="{00000000-0005-0000-0000-0000387D0000}"/>
    <cellStyle name="Normal 57 3 3 2 2 2 2 2 2" xfId="22685" xr:uid="{00000000-0005-0000-0000-0000397D0000}"/>
    <cellStyle name="Normal 57 3 3 2 2 2 2 2 2 2" xfId="48238" xr:uid="{00000000-0005-0000-0000-00003A7D0000}"/>
    <cellStyle name="Normal 57 3 3 2 2 2 2 2 3" xfId="38021" xr:uid="{00000000-0005-0000-0000-00003B7D0000}"/>
    <cellStyle name="Normal 57 3 3 2 2 2 2 3" xfId="8888" xr:uid="{00000000-0005-0000-0000-00003C7D0000}"/>
    <cellStyle name="Normal 57 3 3 2 2 2 2 3 2" xfId="34445" xr:uid="{00000000-0005-0000-0000-00003D7D0000}"/>
    <cellStyle name="Normal 57 3 3 2 2 2 2 4" xfId="17678" xr:uid="{00000000-0005-0000-0000-00003E7D0000}"/>
    <cellStyle name="Normal 57 3 3 2 2 2 2 4 2" xfId="43231" xr:uid="{00000000-0005-0000-0000-00003F7D0000}"/>
    <cellStyle name="Normal 57 3 3 2 2 2 2 5" xfId="29168" xr:uid="{00000000-0005-0000-0000-0000407D0000}"/>
    <cellStyle name="Normal 57 3 3 2 2 2 3" xfId="4653" xr:uid="{00000000-0005-0000-0000-0000417D0000}"/>
    <cellStyle name="Normal 57 3 3 2 2 2 3 2" xfId="13491" xr:uid="{00000000-0005-0000-0000-0000427D0000}"/>
    <cellStyle name="Normal 57 3 3 2 2 2 3 2 2" xfId="23742" xr:uid="{00000000-0005-0000-0000-0000437D0000}"/>
    <cellStyle name="Normal 57 3 3 2 2 2 3 2 2 2" xfId="49295" xr:uid="{00000000-0005-0000-0000-0000447D0000}"/>
    <cellStyle name="Normal 57 3 3 2 2 2 3 2 3" xfId="39046" xr:uid="{00000000-0005-0000-0000-0000457D0000}"/>
    <cellStyle name="Normal 57 3 3 2 2 2 3 3" xfId="9912" xr:uid="{00000000-0005-0000-0000-0000467D0000}"/>
    <cellStyle name="Normal 57 3 3 2 2 2 3 3 2" xfId="35469" xr:uid="{00000000-0005-0000-0000-0000477D0000}"/>
    <cellStyle name="Normal 57 3 3 2 2 2 3 4" xfId="18735" xr:uid="{00000000-0005-0000-0000-0000487D0000}"/>
    <cellStyle name="Normal 57 3 3 2 2 2 3 4 2" xfId="44288" xr:uid="{00000000-0005-0000-0000-0000497D0000}"/>
    <cellStyle name="Normal 57 3 3 2 2 2 3 5" xfId="30225" xr:uid="{00000000-0005-0000-0000-00004A7D0000}"/>
    <cellStyle name="Normal 57 3 3 2 2 2 4" xfId="2433" xr:uid="{00000000-0005-0000-0000-00004B7D0000}"/>
    <cellStyle name="Normal 57 3 3 2 2 2 4 2" xfId="11798" xr:uid="{00000000-0005-0000-0000-00004C7D0000}"/>
    <cellStyle name="Normal 57 3 3 2 2 2 4 2 2" xfId="37353" xr:uid="{00000000-0005-0000-0000-00004D7D0000}"/>
    <cellStyle name="Normal 57 3 3 2 2 2 4 3" xfId="21802" xr:uid="{00000000-0005-0000-0000-00004E7D0000}"/>
    <cellStyle name="Normal 57 3 3 2 2 2 4 3 2" xfId="47355" xr:uid="{00000000-0005-0000-0000-00004F7D0000}"/>
    <cellStyle name="Normal 57 3 3 2 2 2 4 4" xfId="28285" xr:uid="{00000000-0005-0000-0000-0000507D0000}"/>
    <cellStyle name="Normal 57 3 3 2 2 2 5" xfId="6109" xr:uid="{00000000-0005-0000-0000-0000517D0000}"/>
    <cellStyle name="Normal 57 3 3 2 2 2 5 2" xfId="14936" xr:uid="{00000000-0005-0000-0000-0000527D0000}"/>
    <cellStyle name="Normal 57 3 3 2 2 2 5 2 2" xfId="40491" xr:uid="{00000000-0005-0000-0000-0000537D0000}"/>
    <cellStyle name="Normal 57 3 3 2 2 2 5 3" xfId="25187" xr:uid="{00000000-0005-0000-0000-0000547D0000}"/>
    <cellStyle name="Normal 57 3 3 2 2 2 5 3 2" xfId="50740" xr:uid="{00000000-0005-0000-0000-0000557D0000}"/>
    <cellStyle name="Normal 57 3 3 2 2 2 5 4" xfId="31670" xr:uid="{00000000-0005-0000-0000-0000567D0000}"/>
    <cellStyle name="Normal 57 3 3 2 2 2 6" xfId="7554" xr:uid="{00000000-0005-0000-0000-0000577D0000}"/>
    <cellStyle name="Normal 57 3 3 2 2 2 6 2" xfId="20284" xr:uid="{00000000-0005-0000-0000-0000587D0000}"/>
    <cellStyle name="Normal 57 3 3 2 2 2 6 2 2" xfId="45837" xr:uid="{00000000-0005-0000-0000-0000597D0000}"/>
    <cellStyle name="Normal 57 3 3 2 2 2 6 3" xfId="33111" xr:uid="{00000000-0005-0000-0000-00005A7D0000}"/>
    <cellStyle name="Normal 57 3 3 2 2 2 7" xfId="16795" xr:uid="{00000000-0005-0000-0000-00005B7D0000}"/>
    <cellStyle name="Normal 57 3 3 2 2 2 7 2" xfId="42348" xr:uid="{00000000-0005-0000-0000-00005C7D0000}"/>
    <cellStyle name="Normal 57 3 3 2 2 2 8" xfId="26767" xr:uid="{00000000-0005-0000-0000-00005D7D0000}"/>
    <cellStyle name="Normal 57 3 3 2 2 3" xfId="1286" xr:uid="{00000000-0005-0000-0000-00005E7D0000}"/>
    <cellStyle name="Normal 57 3 3 2 2 3 2" xfId="3715" xr:uid="{00000000-0005-0000-0000-00005F7D0000}"/>
    <cellStyle name="Normal 57 3 3 2 2 3 2 2" xfId="12851" xr:uid="{00000000-0005-0000-0000-0000607D0000}"/>
    <cellStyle name="Normal 57 3 3 2 2 3 2 2 2" xfId="23070" xr:uid="{00000000-0005-0000-0000-0000617D0000}"/>
    <cellStyle name="Normal 57 3 3 2 2 3 2 2 2 2" xfId="48623" xr:uid="{00000000-0005-0000-0000-0000627D0000}"/>
    <cellStyle name="Normal 57 3 3 2 2 3 2 2 3" xfId="38406" xr:uid="{00000000-0005-0000-0000-0000637D0000}"/>
    <cellStyle name="Normal 57 3 3 2 2 3 2 3" xfId="9272" xr:uid="{00000000-0005-0000-0000-0000647D0000}"/>
    <cellStyle name="Normal 57 3 3 2 2 3 2 3 2" xfId="34829" xr:uid="{00000000-0005-0000-0000-0000657D0000}"/>
    <cellStyle name="Normal 57 3 3 2 2 3 2 4" xfId="18063" xr:uid="{00000000-0005-0000-0000-0000667D0000}"/>
    <cellStyle name="Normal 57 3 3 2 2 3 2 4 2" xfId="43616" xr:uid="{00000000-0005-0000-0000-0000677D0000}"/>
    <cellStyle name="Normal 57 3 3 2 2 3 2 5" xfId="29553" xr:uid="{00000000-0005-0000-0000-0000687D0000}"/>
    <cellStyle name="Normal 57 3 3 2 2 3 3" xfId="5002" xr:uid="{00000000-0005-0000-0000-0000697D0000}"/>
    <cellStyle name="Normal 57 3 3 2 2 3 3 2" xfId="13839" xr:uid="{00000000-0005-0000-0000-00006A7D0000}"/>
    <cellStyle name="Normal 57 3 3 2 2 3 3 2 2" xfId="24090" xr:uid="{00000000-0005-0000-0000-00006B7D0000}"/>
    <cellStyle name="Normal 57 3 3 2 2 3 3 2 2 2" xfId="49643" xr:uid="{00000000-0005-0000-0000-00006C7D0000}"/>
    <cellStyle name="Normal 57 3 3 2 2 3 3 2 3" xfId="39394" xr:uid="{00000000-0005-0000-0000-00006D7D0000}"/>
    <cellStyle name="Normal 57 3 3 2 2 3 3 3" xfId="10260" xr:uid="{00000000-0005-0000-0000-00006E7D0000}"/>
    <cellStyle name="Normal 57 3 3 2 2 3 3 3 2" xfId="35817" xr:uid="{00000000-0005-0000-0000-00006F7D0000}"/>
    <cellStyle name="Normal 57 3 3 2 2 3 3 4" xfId="19083" xr:uid="{00000000-0005-0000-0000-0000707D0000}"/>
    <cellStyle name="Normal 57 3 3 2 2 3 3 4 2" xfId="44636" xr:uid="{00000000-0005-0000-0000-0000717D0000}"/>
    <cellStyle name="Normal 57 3 3 2 2 3 3 5" xfId="30573" xr:uid="{00000000-0005-0000-0000-0000727D0000}"/>
    <cellStyle name="Normal 57 3 3 2 2 3 4" xfId="2109" xr:uid="{00000000-0005-0000-0000-0000737D0000}"/>
    <cellStyle name="Normal 57 3 3 2 2 3 4 2" xfId="11474" xr:uid="{00000000-0005-0000-0000-0000747D0000}"/>
    <cellStyle name="Normal 57 3 3 2 2 3 4 2 2" xfId="37029" xr:uid="{00000000-0005-0000-0000-0000757D0000}"/>
    <cellStyle name="Normal 57 3 3 2 2 3 4 3" xfId="21478" xr:uid="{00000000-0005-0000-0000-0000767D0000}"/>
    <cellStyle name="Normal 57 3 3 2 2 3 4 3 2" xfId="47031" xr:uid="{00000000-0005-0000-0000-0000777D0000}"/>
    <cellStyle name="Normal 57 3 3 2 2 3 4 4" xfId="27961" xr:uid="{00000000-0005-0000-0000-0000787D0000}"/>
    <cellStyle name="Normal 57 3 3 2 2 3 5" xfId="6457" xr:uid="{00000000-0005-0000-0000-0000797D0000}"/>
    <cellStyle name="Normal 57 3 3 2 2 3 5 2" xfId="15284" xr:uid="{00000000-0005-0000-0000-00007A7D0000}"/>
    <cellStyle name="Normal 57 3 3 2 2 3 5 2 2" xfId="40839" xr:uid="{00000000-0005-0000-0000-00007B7D0000}"/>
    <cellStyle name="Normal 57 3 3 2 2 3 5 3" xfId="25535" xr:uid="{00000000-0005-0000-0000-00007C7D0000}"/>
    <cellStyle name="Normal 57 3 3 2 2 3 5 3 2" xfId="51088" xr:uid="{00000000-0005-0000-0000-00007D7D0000}"/>
    <cellStyle name="Normal 57 3 3 2 2 3 5 4" xfId="32018" xr:uid="{00000000-0005-0000-0000-00007E7D0000}"/>
    <cellStyle name="Normal 57 3 3 2 2 3 6" xfId="7903" xr:uid="{00000000-0005-0000-0000-00007F7D0000}"/>
    <cellStyle name="Normal 57 3 3 2 2 3 6 2" xfId="20669" xr:uid="{00000000-0005-0000-0000-0000807D0000}"/>
    <cellStyle name="Normal 57 3 3 2 2 3 6 2 2" xfId="46222" xr:uid="{00000000-0005-0000-0000-0000817D0000}"/>
    <cellStyle name="Normal 57 3 3 2 2 3 6 3" xfId="33460" xr:uid="{00000000-0005-0000-0000-0000827D0000}"/>
    <cellStyle name="Normal 57 3 3 2 2 3 7" xfId="16471" xr:uid="{00000000-0005-0000-0000-0000837D0000}"/>
    <cellStyle name="Normal 57 3 3 2 2 3 7 2" xfId="42024" xr:uid="{00000000-0005-0000-0000-0000847D0000}"/>
    <cellStyle name="Normal 57 3 3 2 2 3 8" xfId="27152" xr:uid="{00000000-0005-0000-0000-0000857D0000}"/>
    <cellStyle name="Normal 57 3 3 2 2 4" xfId="3000" xr:uid="{00000000-0005-0000-0000-0000867D0000}"/>
    <cellStyle name="Normal 57 3 3 2 2 4 2" xfId="5378" xr:uid="{00000000-0005-0000-0000-0000877D0000}"/>
    <cellStyle name="Normal 57 3 3 2 2 4 2 2" xfId="14215" xr:uid="{00000000-0005-0000-0000-0000887D0000}"/>
    <cellStyle name="Normal 57 3 3 2 2 4 2 2 2" xfId="24466" xr:uid="{00000000-0005-0000-0000-0000897D0000}"/>
    <cellStyle name="Normal 57 3 3 2 2 4 2 2 2 2" xfId="50019" xr:uid="{00000000-0005-0000-0000-00008A7D0000}"/>
    <cellStyle name="Normal 57 3 3 2 2 4 2 2 3" xfId="39770" xr:uid="{00000000-0005-0000-0000-00008B7D0000}"/>
    <cellStyle name="Normal 57 3 3 2 2 4 2 3" xfId="10636" xr:uid="{00000000-0005-0000-0000-00008C7D0000}"/>
    <cellStyle name="Normal 57 3 3 2 2 4 2 3 2" xfId="36193" xr:uid="{00000000-0005-0000-0000-00008D7D0000}"/>
    <cellStyle name="Normal 57 3 3 2 2 4 2 4" xfId="19459" xr:uid="{00000000-0005-0000-0000-00008E7D0000}"/>
    <cellStyle name="Normal 57 3 3 2 2 4 2 4 2" xfId="45012" xr:uid="{00000000-0005-0000-0000-00008F7D0000}"/>
    <cellStyle name="Normal 57 3 3 2 2 4 2 5" xfId="30949" xr:uid="{00000000-0005-0000-0000-0000907D0000}"/>
    <cellStyle name="Normal 57 3 3 2 2 4 3" xfId="6833" xr:uid="{00000000-0005-0000-0000-0000917D0000}"/>
    <cellStyle name="Normal 57 3 3 2 2 4 3 2" xfId="15660" xr:uid="{00000000-0005-0000-0000-0000927D0000}"/>
    <cellStyle name="Normal 57 3 3 2 2 4 3 2 2" xfId="41215" xr:uid="{00000000-0005-0000-0000-0000937D0000}"/>
    <cellStyle name="Normal 57 3 3 2 2 4 3 3" xfId="25911" xr:uid="{00000000-0005-0000-0000-0000947D0000}"/>
    <cellStyle name="Normal 57 3 3 2 2 4 3 3 2" xfId="51464" xr:uid="{00000000-0005-0000-0000-0000957D0000}"/>
    <cellStyle name="Normal 57 3 3 2 2 4 3 4" xfId="32394" xr:uid="{00000000-0005-0000-0000-0000967D0000}"/>
    <cellStyle name="Normal 57 3 3 2 2 4 4" xfId="8279" xr:uid="{00000000-0005-0000-0000-0000977D0000}"/>
    <cellStyle name="Normal 57 3 3 2 2 4 4 2" xfId="22361" xr:uid="{00000000-0005-0000-0000-0000987D0000}"/>
    <cellStyle name="Normal 57 3 3 2 2 4 4 2 2" xfId="47914" xr:uid="{00000000-0005-0000-0000-0000997D0000}"/>
    <cellStyle name="Normal 57 3 3 2 2 4 4 3" xfId="33836" xr:uid="{00000000-0005-0000-0000-00009A7D0000}"/>
    <cellStyle name="Normal 57 3 3 2 2 4 5" xfId="17354" xr:uid="{00000000-0005-0000-0000-00009B7D0000}"/>
    <cellStyle name="Normal 57 3 3 2 2 4 5 2" xfId="42907" xr:uid="{00000000-0005-0000-0000-00009C7D0000}"/>
    <cellStyle name="Normal 57 3 3 2 2 4 6" xfId="28844" xr:uid="{00000000-0005-0000-0000-00009D7D0000}"/>
    <cellStyle name="Normal 57 3 3 2 2 5" xfId="4334" xr:uid="{00000000-0005-0000-0000-00009E7D0000}"/>
    <cellStyle name="Normal 57 3 3 2 2 5 2" xfId="13172" xr:uid="{00000000-0005-0000-0000-00009F7D0000}"/>
    <cellStyle name="Normal 57 3 3 2 2 5 2 2" xfId="23423" xr:uid="{00000000-0005-0000-0000-0000A07D0000}"/>
    <cellStyle name="Normal 57 3 3 2 2 5 2 2 2" xfId="48976" xr:uid="{00000000-0005-0000-0000-0000A17D0000}"/>
    <cellStyle name="Normal 57 3 3 2 2 5 2 3" xfId="38727" xr:uid="{00000000-0005-0000-0000-0000A27D0000}"/>
    <cellStyle name="Normal 57 3 3 2 2 5 3" xfId="9593" xr:uid="{00000000-0005-0000-0000-0000A37D0000}"/>
    <cellStyle name="Normal 57 3 3 2 2 5 3 2" xfId="35150" xr:uid="{00000000-0005-0000-0000-0000A47D0000}"/>
    <cellStyle name="Normal 57 3 3 2 2 5 4" xfId="18416" xr:uid="{00000000-0005-0000-0000-0000A57D0000}"/>
    <cellStyle name="Normal 57 3 3 2 2 5 4 2" xfId="43969" xr:uid="{00000000-0005-0000-0000-0000A67D0000}"/>
    <cellStyle name="Normal 57 3 3 2 2 5 5" xfId="29906" xr:uid="{00000000-0005-0000-0000-0000A77D0000}"/>
    <cellStyle name="Normal 57 3 3 2 2 6" xfId="1606" xr:uid="{00000000-0005-0000-0000-0000A87D0000}"/>
    <cellStyle name="Normal 57 3 3 2 2 6 2" xfId="10983" xr:uid="{00000000-0005-0000-0000-0000A97D0000}"/>
    <cellStyle name="Normal 57 3 3 2 2 6 2 2" xfId="36538" xr:uid="{00000000-0005-0000-0000-0000AA7D0000}"/>
    <cellStyle name="Normal 57 3 3 2 2 6 3" xfId="20987" xr:uid="{00000000-0005-0000-0000-0000AB7D0000}"/>
    <cellStyle name="Normal 57 3 3 2 2 6 3 2" xfId="46540" xr:uid="{00000000-0005-0000-0000-0000AC7D0000}"/>
    <cellStyle name="Normal 57 3 3 2 2 6 4" xfId="27470" xr:uid="{00000000-0005-0000-0000-0000AD7D0000}"/>
    <cellStyle name="Normal 57 3 3 2 2 7" xfId="5790" xr:uid="{00000000-0005-0000-0000-0000AE7D0000}"/>
    <cellStyle name="Normal 57 3 3 2 2 7 2" xfId="14617" xr:uid="{00000000-0005-0000-0000-0000AF7D0000}"/>
    <cellStyle name="Normal 57 3 3 2 2 7 2 2" xfId="40172" xr:uid="{00000000-0005-0000-0000-0000B07D0000}"/>
    <cellStyle name="Normal 57 3 3 2 2 7 3" xfId="24868" xr:uid="{00000000-0005-0000-0000-0000B17D0000}"/>
    <cellStyle name="Normal 57 3 3 2 2 7 3 2" xfId="50421" xr:uid="{00000000-0005-0000-0000-0000B27D0000}"/>
    <cellStyle name="Normal 57 3 3 2 2 7 4" xfId="31351" xr:uid="{00000000-0005-0000-0000-0000B37D0000}"/>
    <cellStyle name="Normal 57 3 3 2 2 8" xfId="7234" xr:uid="{00000000-0005-0000-0000-0000B47D0000}"/>
    <cellStyle name="Normal 57 3 3 2 2 8 2" xfId="19960" xr:uid="{00000000-0005-0000-0000-0000B57D0000}"/>
    <cellStyle name="Normal 57 3 3 2 2 8 2 2" xfId="45513" xr:uid="{00000000-0005-0000-0000-0000B67D0000}"/>
    <cellStyle name="Normal 57 3 3 2 2 8 3" xfId="32791" xr:uid="{00000000-0005-0000-0000-0000B77D0000}"/>
    <cellStyle name="Normal 57 3 3 2 2 9" xfId="15980" xr:uid="{00000000-0005-0000-0000-0000B87D0000}"/>
    <cellStyle name="Normal 57 3 3 2 2 9 2" xfId="41533" xr:uid="{00000000-0005-0000-0000-0000B97D0000}"/>
    <cellStyle name="Normal 57 3 3 2 2_Degree data" xfId="3945" xr:uid="{00000000-0005-0000-0000-0000BA7D0000}"/>
    <cellStyle name="Normal 57 3 3 2 3" xfId="414" xr:uid="{00000000-0005-0000-0000-0000BB7D0000}"/>
    <cellStyle name="Normal 57 3 3 2 3 2" xfId="2900" xr:uid="{00000000-0005-0000-0000-0000BC7D0000}"/>
    <cellStyle name="Normal 57 3 3 2 3 2 2" xfId="12188" xr:uid="{00000000-0005-0000-0000-0000BD7D0000}"/>
    <cellStyle name="Normal 57 3 3 2 3 2 2 2" xfId="22261" xr:uid="{00000000-0005-0000-0000-0000BE7D0000}"/>
    <cellStyle name="Normal 57 3 3 2 3 2 2 2 2" xfId="47814" xr:uid="{00000000-0005-0000-0000-0000BF7D0000}"/>
    <cellStyle name="Normal 57 3 3 2 3 2 2 3" xfId="37743" xr:uid="{00000000-0005-0000-0000-0000C07D0000}"/>
    <cellStyle name="Normal 57 3 3 2 3 2 3" xfId="8511" xr:uid="{00000000-0005-0000-0000-0000C17D0000}"/>
    <cellStyle name="Normal 57 3 3 2 3 2 3 2" xfId="34068" xr:uid="{00000000-0005-0000-0000-0000C27D0000}"/>
    <cellStyle name="Normal 57 3 3 2 3 2 4" xfId="17254" xr:uid="{00000000-0005-0000-0000-0000C37D0000}"/>
    <cellStyle name="Normal 57 3 3 2 3 2 4 2" xfId="42807" xr:uid="{00000000-0005-0000-0000-0000C47D0000}"/>
    <cellStyle name="Normal 57 3 3 2 3 2 5" xfId="28744" xr:uid="{00000000-0005-0000-0000-0000C57D0000}"/>
    <cellStyle name="Normal 57 3 3 2 3 3" xfId="4652" xr:uid="{00000000-0005-0000-0000-0000C67D0000}"/>
    <cellStyle name="Normal 57 3 3 2 3 3 2" xfId="13490" xr:uid="{00000000-0005-0000-0000-0000C77D0000}"/>
    <cellStyle name="Normal 57 3 3 2 3 3 2 2" xfId="23741" xr:uid="{00000000-0005-0000-0000-0000C87D0000}"/>
    <cellStyle name="Normal 57 3 3 2 3 3 2 2 2" xfId="49294" xr:uid="{00000000-0005-0000-0000-0000C97D0000}"/>
    <cellStyle name="Normal 57 3 3 2 3 3 2 3" xfId="39045" xr:uid="{00000000-0005-0000-0000-0000CA7D0000}"/>
    <cellStyle name="Normal 57 3 3 2 3 3 3" xfId="9911" xr:uid="{00000000-0005-0000-0000-0000CB7D0000}"/>
    <cellStyle name="Normal 57 3 3 2 3 3 3 2" xfId="35468" xr:uid="{00000000-0005-0000-0000-0000CC7D0000}"/>
    <cellStyle name="Normal 57 3 3 2 3 3 4" xfId="18734" xr:uid="{00000000-0005-0000-0000-0000CD7D0000}"/>
    <cellStyle name="Normal 57 3 3 2 3 3 4 2" xfId="44287" xr:uid="{00000000-0005-0000-0000-0000CE7D0000}"/>
    <cellStyle name="Normal 57 3 3 2 3 3 5" xfId="30224" xr:uid="{00000000-0005-0000-0000-0000CF7D0000}"/>
    <cellStyle name="Normal 57 3 3 2 3 4" xfId="2009" xr:uid="{00000000-0005-0000-0000-0000D07D0000}"/>
    <cellStyle name="Normal 57 3 3 2 3 4 2" xfId="11374" xr:uid="{00000000-0005-0000-0000-0000D17D0000}"/>
    <cellStyle name="Normal 57 3 3 2 3 4 2 2" xfId="36929" xr:uid="{00000000-0005-0000-0000-0000D27D0000}"/>
    <cellStyle name="Normal 57 3 3 2 3 4 3" xfId="21378" xr:uid="{00000000-0005-0000-0000-0000D37D0000}"/>
    <cellStyle name="Normal 57 3 3 2 3 4 3 2" xfId="46931" xr:uid="{00000000-0005-0000-0000-0000D47D0000}"/>
    <cellStyle name="Normal 57 3 3 2 3 4 4" xfId="27861" xr:uid="{00000000-0005-0000-0000-0000D57D0000}"/>
    <cellStyle name="Normal 57 3 3 2 3 5" xfId="6108" xr:uid="{00000000-0005-0000-0000-0000D67D0000}"/>
    <cellStyle name="Normal 57 3 3 2 3 5 2" xfId="14935" xr:uid="{00000000-0005-0000-0000-0000D77D0000}"/>
    <cellStyle name="Normal 57 3 3 2 3 5 2 2" xfId="40490" xr:uid="{00000000-0005-0000-0000-0000D87D0000}"/>
    <cellStyle name="Normal 57 3 3 2 3 5 3" xfId="25186" xr:uid="{00000000-0005-0000-0000-0000D97D0000}"/>
    <cellStyle name="Normal 57 3 3 2 3 5 3 2" xfId="50739" xr:uid="{00000000-0005-0000-0000-0000DA7D0000}"/>
    <cellStyle name="Normal 57 3 3 2 3 5 4" xfId="31669" xr:uid="{00000000-0005-0000-0000-0000DB7D0000}"/>
    <cellStyle name="Normal 57 3 3 2 3 6" xfId="7553" xr:uid="{00000000-0005-0000-0000-0000DC7D0000}"/>
    <cellStyle name="Normal 57 3 3 2 3 6 2" xfId="19860" xr:uid="{00000000-0005-0000-0000-0000DD7D0000}"/>
    <cellStyle name="Normal 57 3 3 2 3 6 2 2" xfId="45413" xr:uid="{00000000-0005-0000-0000-0000DE7D0000}"/>
    <cellStyle name="Normal 57 3 3 2 3 6 3" xfId="33110" xr:uid="{00000000-0005-0000-0000-0000DF7D0000}"/>
    <cellStyle name="Normal 57 3 3 2 3 7" xfId="16371" xr:uid="{00000000-0005-0000-0000-0000E07D0000}"/>
    <cellStyle name="Normal 57 3 3 2 3 7 2" xfId="41924" xr:uid="{00000000-0005-0000-0000-0000E17D0000}"/>
    <cellStyle name="Normal 57 3 3 2 3 8" xfId="26343" xr:uid="{00000000-0005-0000-0000-0000E27D0000}"/>
    <cellStyle name="Normal 57 3 3 2 4" xfId="838" xr:uid="{00000000-0005-0000-0000-0000E37D0000}"/>
    <cellStyle name="Normal 57 3 3 2 4 2" xfId="3323" xr:uid="{00000000-0005-0000-0000-0000E47D0000}"/>
    <cellStyle name="Normal 57 3 3 2 4 2 2" xfId="12465" xr:uid="{00000000-0005-0000-0000-0000E57D0000}"/>
    <cellStyle name="Normal 57 3 3 2 4 2 2 2" xfId="22684" xr:uid="{00000000-0005-0000-0000-0000E67D0000}"/>
    <cellStyle name="Normal 57 3 3 2 4 2 2 2 2" xfId="48237" xr:uid="{00000000-0005-0000-0000-0000E77D0000}"/>
    <cellStyle name="Normal 57 3 3 2 4 2 2 3" xfId="38020" xr:uid="{00000000-0005-0000-0000-0000E87D0000}"/>
    <cellStyle name="Normal 57 3 3 2 4 2 3" xfId="8887" xr:uid="{00000000-0005-0000-0000-0000E97D0000}"/>
    <cellStyle name="Normal 57 3 3 2 4 2 3 2" xfId="34444" xr:uid="{00000000-0005-0000-0000-0000EA7D0000}"/>
    <cellStyle name="Normal 57 3 3 2 4 2 4" xfId="17677" xr:uid="{00000000-0005-0000-0000-0000EB7D0000}"/>
    <cellStyle name="Normal 57 3 3 2 4 2 4 2" xfId="43230" xr:uid="{00000000-0005-0000-0000-0000EC7D0000}"/>
    <cellStyle name="Normal 57 3 3 2 4 2 5" xfId="29167" xr:uid="{00000000-0005-0000-0000-0000ED7D0000}"/>
    <cellStyle name="Normal 57 3 3 2 4 3" xfId="5001" xr:uid="{00000000-0005-0000-0000-0000EE7D0000}"/>
    <cellStyle name="Normal 57 3 3 2 4 3 2" xfId="13838" xr:uid="{00000000-0005-0000-0000-0000EF7D0000}"/>
    <cellStyle name="Normal 57 3 3 2 4 3 2 2" xfId="24089" xr:uid="{00000000-0005-0000-0000-0000F07D0000}"/>
    <cellStyle name="Normal 57 3 3 2 4 3 2 2 2" xfId="49642" xr:uid="{00000000-0005-0000-0000-0000F17D0000}"/>
    <cellStyle name="Normal 57 3 3 2 4 3 2 3" xfId="39393" xr:uid="{00000000-0005-0000-0000-0000F27D0000}"/>
    <cellStyle name="Normal 57 3 3 2 4 3 3" xfId="10259" xr:uid="{00000000-0005-0000-0000-0000F37D0000}"/>
    <cellStyle name="Normal 57 3 3 2 4 3 3 2" xfId="35816" xr:uid="{00000000-0005-0000-0000-0000F47D0000}"/>
    <cellStyle name="Normal 57 3 3 2 4 3 4" xfId="19082" xr:uid="{00000000-0005-0000-0000-0000F57D0000}"/>
    <cellStyle name="Normal 57 3 3 2 4 3 4 2" xfId="44635" xr:uid="{00000000-0005-0000-0000-0000F67D0000}"/>
    <cellStyle name="Normal 57 3 3 2 4 3 5" xfId="30572" xr:uid="{00000000-0005-0000-0000-0000F77D0000}"/>
    <cellStyle name="Normal 57 3 3 2 4 4" xfId="2432" xr:uid="{00000000-0005-0000-0000-0000F87D0000}"/>
    <cellStyle name="Normal 57 3 3 2 4 4 2" xfId="11797" xr:uid="{00000000-0005-0000-0000-0000F97D0000}"/>
    <cellStyle name="Normal 57 3 3 2 4 4 2 2" xfId="37352" xr:uid="{00000000-0005-0000-0000-0000FA7D0000}"/>
    <cellStyle name="Normal 57 3 3 2 4 4 3" xfId="21801" xr:uid="{00000000-0005-0000-0000-0000FB7D0000}"/>
    <cellStyle name="Normal 57 3 3 2 4 4 3 2" xfId="47354" xr:uid="{00000000-0005-0000-0000-0000FC7D0000}"/>
    <cellStyle name="Normal 57 3 3 2 4 4 4" xfId="28284" xr:uid="{00000000-0005-0000-0000-0000FD7D0000}"/>
    <cellStyle name="Normal 57 3 3 2 4 5" xfId="6456" xr:uid="{00000000-0005-0000-0000-0000FE7D0000}"/>
    <cellStyle name="Normal 57 3 3 2 4 5 2" xfId="15283" xr:uid="{00000000-0005-0000-0000-0000FF7D0000}"/>
    <cellStyle name="Normal 57 3 3 2 4 5 2 2" xfId="40838" xr:uid="{00000000-0005-0000-0000-0000007E0000}"/>
    <cellStyle name="Normal 57 3 3 2 4 5 3" xfId="25534" xr:uid="{00000000-0005-0000-0000-0000017E0000}"/>
    <cellStyle name="Normal 57 3 3 2 4 5 3 2" xfId="51087" xr:uid="{00000000-0005-0000-0000-0000027E0000}"/>
    <cellStyle name="Normal 57 3 3 2 4 5 4" xfId="32017" xr:uid="{00000000-0005-0000-0000-0000037E0000}"/>
    <cellStyle name="Normal 57 3 3 2 4 6" xfId="7902" xr:uid="{00000000-0005-0000-0000-0000047E0000}"/>
    <cellStyle name="Normal 57 3 3 2 4 6 2" xfId="20283" xr:uid="{00000000-0005-0000-0000-0000057E0000}"/>
    <cellStyle name="Normal 57 3 3 2 4 6 2 2" xfId="45836" xr:uid="{00000000-0005-0000-0000-0000067E0000}"/>
    <cellStyle name="Normal 57 3 3 2 4 6 3" xfId="33459" xr:uid="{00000000-0005-0000-0000-0000077E0000}"/>
    <cellStyle name="Normal 57 3 3 2 4 7" xfId="16794" xr:uid="{00000000-0005-0000-0000-0000087E0000}"/>
    <cellStyle name="Normal 57 3 3 2 4 7 2" xfId="42347" xr:uid="{00000000-0005-0000-0000-0000097E0000}"/>
    <cellStyle name="Normal 57 3 3 2 4 8" xfId="26766" xr:uid="{00000000-0005-0000-0000-00000A7E0000}"/>
    <cellStyle name="Normal 57 3 3 2 5" xfId="1186" xr:uid="{00000000-0005-0000-0000-00000B7E0000}"/>
    <cellStyle name="Normal 57 3 3 2 5 2" xfId="3615" xr:uid="{00000000-0005-0000-0000-00000C7E0000}"/>
    <cellStyle name="Normal 57 3 3 2 5 2 2" xfId="12751" xr:uid="{00000000-0005-0000-0000-00000D7E0000}"/>
    <cellStyle name="Normal 57 3 3 2 5 2 2 2" xfId="22970" xr:uid="{00000000-0005-0000-0000-00000E7E0000}"/>
    <cellStyle name="Normal 57 3 3 2 5 2 2 2 2" xfId="48523" xr:uid="{00000000-0005-0000-0000-00000F7E0000}"/>
    <cellStyle name="Normal 57 3 3 2 5 2 2 3" xfId="38306" xr:uid="{00000000-0005-0000-0000-0000107E0000}"/>
    <cellStyle name="Normal 57 3 3 2 5 2 3" xfId="9172" xr:uid="{00000000-0005-0000-0000-0000117E0000}"/>
    <cellStyle name="Normal 57 3 3 2 5 2 3 2" xfId="34729" xr:uid="{00000000-0005-0000-0000-0000127E0000}"/>
    <cellStyle name="Normal 57 3 3 2 5 2 4" xfId="17963" xr:uid="{00000000-0005-0000-0000-0000137E0000}"/>
    <cellStyle name="Normal 57 3 3 2 5 2 4 2" xfId="43516" xr:uid="{00000000-0005-0000-0000-0000147E0000}"/>
    <cellStyle name="Normal 57 3 3 2 5 2 5" xfId="29453" xr:uid="{00000000-0005-0000-0000-0000157E0000}"/>
    <cellStyle name="Normal 57 3 3 2 5 3" xfId="5278" xr:uid="{00000000-0005-0000-0000-0000167E0000}"/>
    <cellStyle name="Normal 57 3 3 2 5 3 2" xfId="14115" xr:uid="{00000000-0005-0000-0000-0000177E0000}"/>
    <cellStyle name="Normal 57 3 3 2 5 3 2 2" xfId="24366" xr:uid="{00000000-0005-0000-0000-0000187E0000}"/>
    <cellStyle name="Normal 57 3 3 2 5 3 2 2 2" xfId="49919" xr:uid="{00000000-0005-0000-0000-0000197E0000}"/>
    <cellStyle name="Normal 57 3 3 2 5 3 2 3" xfId="39670" xr:uid="{00000000-0005-0000-0000-00001A7E0000}"/>
    <cellStyle name="Normal 57 3 3 2 5 3 3" xfId="10536" xr:uid="{00000000-0005-0000-0000-00001B7E0000}"/>
    <cellStyle name="Normal 57 3 3 2 5 3 3 2" xfId="36093" xr:uid="{00000000-0005-0000-0000-00001C7E0000}"/>
    <cellStyle name="Normal 57 3 3 2 5 3 4" xfId="19359" xr:uid="{00000000-0005-0000-0000-00001D7E0000}"/>
    <cellStyle name="Normal 57 3 3 2 5 3 4 2" xfId="44912" xr:uid="{00000000-0005-0000-0000-00001E7E0000}"/>
    <cellStyle name="Normal 57 3 3 2 5 3 5" xfId="30849" xr:uid="{00000000-0005-0000-0000-00001F7E0000}"/>
    <cellStyle name="Normal 57 3 3 2 5 4" xfId="1788" xr:uid="{00000000-0005-0000-0000-0000207E0000}"/>
    <cellStyle name="Normal 57 3 3 2 5 4 2" xfId="11157" xr:uid="{00000000-0005-0000-0000-0000217E0000}"/>
    <cellStyle name="Normal 57 3 3 2 5 4 2 2" xfId="36712" xr:uid="{00000000-0005-0000-0000-0000227E0000}"/>
    <cellStyle name="Normal 57 3 3 2 5 4 3" xfId="21161" xr:uid="{00000000-0005-0000-0000-0000237E0000}"/>
    <cellStyle name="Normal 57 3 3 2 5 4 3 2" xfId="46714" xr:uid="{00000000-0005-0000-0000-0000247E0000}"/>
    <cellStyle name="Normal 57 3 3 2 5 4 4" xfId="27644" xr:uid="{00000000-0005-0000-0000-0000257E0000}"/>
    <cellStyle name="Normal 57 3 3 2 5 5" xfId="6733" xr:uid="{00000000-0005-0000-0000-0000267E0000}"/>
    <cellStyle name="Normal 57 3 3 2 5 5 2" xfId="15560" xr:uid="{00000000-0005-0000-0000-0000277E0000}"/>
    <cellStyle name="Normal 57 3 3 2 5 5 2 2" xfId="41115" xr:uid="{00000000-0005-0000-0000-0000287E0000}"/>
    <cellStyle name="Normal 57 3 3 2 5 5 3" xfId="25811" xr:uid="{00000000-0005-0000-0000-0000297E0000}"/>
    <cellStyle name="Normal 57 3 3 2 5 5 3 2" xfId="51364" xr:uid="{00000000-0005-0000-0000-00002A7E0000}"/>
    <cellStyle name="Normal 57 3 3 2 5 5 4" xfId="32294" xr:uid="{00000000-0005-0000-0000-00002B7E0000}"/>
    <cellStyle name="Normal 57 3 3 2 5 6" xfId="8179" xr:uid="{00000000-0005-0000-0000-00002C7E0000}"/>
    <cellStyle name="Normal 57 3 3 2 5 6 2" xfId="20569" xr:uid="{00000000-0005-0000-0000-00002D7E0000}"/>
    <cellStyle name="Normal 57 3 3 2 5 6 2 2" xfId="46122" xr:uid="{00000000-0005-0000-0000-00002E7E0000}"/>
    <cellStyle name="Normal 57 3 3 2 5 6 3" xfId="33736" xr:uid="{00000000-0005-0000-0000-00002F7E0000}"/>
    <cellStyle name="Normal 57 3 3 2 5 7" xfId="16154" xr:uid="{00000000-0005-0000-0000-0000307E0000}"/>
    <cellStyle name="Normal 57 3 3 2 5 7 2" xfId="41707" xr:uid="{00000000-0005-0000-0000-0000317E0000}"/>
    <cellStyle name="Normal 57 3 3 2 5 8" xfId="27052" xr:uid="{00000000-0005-0000-0000-0000327E0000}"/>
    <cellStyle name="Normal 57 3 3 2 6" xfId="2683" xr:uid="{00000000-0005-0000-0000-0000337E0000}"/>
    <cellStyle name="Normal 57 3 3 2 6 2" xfId="12000" xr:uid="{00000000-0005-0000-0000-0000347E0000}"/>
    <cellStyle name="Normal 57 3 3 2 6 2 2" xfId="22044" xr:uid="{00000000-0005-0000-0000-0000357E0000}"/>
    <cellStyle name="Normal 57 3 3 2 6 2 2 2" xfId="47597" xr:uid="{00000000-0005-0000-0000-0000367E0000}"/>
    <cellStyle name="Normal 57 3 3 2 6 2 3" xfId="37555" xr:uid="{00000000-0005-0000-0000-0000377E0000}"/>
    <cellStyle name="Normal 57 3 3 2 6 3" xfId="8599" xr:uid="{00000000-0005-0000-0000-0000387E0000}"/>
    <cellStyle name="Normal 57 3 3 2 6 3 2" xfId="34156" xr:uid="{00000000-0005-0000-0000-0000397E0000}"/>
    <cellStyle name="Normal 57 3 3 2 6 4" xfId="17037" xr:uid="{00000000-0005-0000-0000-00003A7E0000}"/>
    <cellStyle name="Normal 57 3 3 2 6 4 2" xfId="42590" xr:uid="{00000000-0005-0000-0000-00003B7E0000}"/>
    <cellStyle name="Normal 57 3 3 2 6 5" xfId="28527" xr:uid="{00000000-0005-0000-0000-00003C7E0000}"/>
    <cellStyle name="Normal 57 3 3 2 7" xfId="4234" xr:uid="{00000000-0005-0000-0000-00003D7E0000}"/>
    <cellStyle name="Normal 57 3 3 2 7 2" xfId="13072" xr:uid="{00000000-0005-0000-0000-00003E7E0000}"/>
    <cellStyle name="Normal 57 3 3 2 7 2 2" xfId="23323" xr:uid="{00000000-0005-0000-0000-00003F7E0000}"/>
    <cellStyle name="Normal 57 3 3 2 7 2 2 2" xfId="48876" xr:uid="{00000000-0005-0000-0000-0000407E0000}"/>
    <cellStyle name="Normal 57 3 3 2 7 2 3" xfId="38627" xr:uid="{00000000-0005-0000-0000-0000417E0000}"/>
    <cellStyle name="Normal 57 3 3 2 7 3" xfId="9493" xr:uid="{00000000-0005-0000-0000-0000427E0000}"/>
    <cellStyle name="Normal 57 3 3 2 7 3 2" xfId="35050" xr:uid="{00000000-0005-0000-0000-0000437E0000}"/>
    <cellStyle name="Normal 57 3 3 2 7 4" xfId="18316" xr:uid="{00000000-0005-0000-0000-0000447E0000}"/>
    <cellStyle name="Normal 57 3 3 2 7 4 2" xfId="43869" xr:uid="{00000000-0005-0000-0000-0000457E0000}"/>
    <cellStyle name="Normal 57 3 3 2 7 5" xfId="29806" xr:uid="{00000000-0005-0000-0000-0000467E0000}"/>
    <cellStyle name="Normal 57 3 3 2 8" xfId="1506" xr:uid="{00000000-0005-0000-0000-0000477E0000}"/>
    <cellStyle name="Normal 57 3 3 2 8 2" xfId="10883" xr:uid="{00000000-0005-0000-0000-0000487E0000}"/>
    <cellStyle name="Normal 57 3 3 2 8 2 2" xfId="36438" xr:uid="{00000000-0005-0000-0000-0000497E0000}"/>
    <cellStyle name="Normal 57 3 3 2 8 3" xfId="20887" xr:uid="{00000000-0005-0000-0000-00004A7E0000}"/>
    <cellStyle name="Normal 57 3 3 2 8 3 2" xfId="46440" xr:uid="{00000000-0005-0000-0000-00004B7E0000}"/>
    <cellStyle name="Normal 57 3 3 2 8 4" xfId="27370" xr:uid="{00000000-0005-0000-0000-00004C7E0000}"/>
    <cellStyle name="Normal 57 3 3 2 9" xfId="5690" xr:uid="{00000000-0005-0000-0000-00004D7E0000}"/>
    <cellStyle name="Normal 57 3 3 2 9 2" xfId="14517" xr:uid="{00000000-0005-0000-0000-00004E7E0000}"/>
    <cellStyle name="Normal 57 3 3 2 9 2 2" xfId="40072" xr:uid="{00000000-0005-0000-0000-00004F7E0000}"/>
    <cellStyle name="Normal 57 3 3 2 9 3" xfId="24768" xr:uid="{00000000-0005-0000-0000-0000507E0000}"/>
    <cellStyle name="Normal 57 3 3 2 9 3 2" xfId="50321" xr:uid="{00000000-0005-0000-0000-0000517E0000}"/>
    <cellStyle name="Normal 57 3 3 2 9 4" xfId="31251" xr:uid="{00000000-0005-0000-0000-0000527E0000}"/>
    <cellStyle name="Normal 57 3 3 2_Degree data" xfId="3944" xr:uid="{00000000-0005-0000-0000-0000537E0000}"/>
    <cellStyle name="Normal 57 3 3 3" xfId="253" xr:uid="{00000000-0005-0000-0000-0000547E0000}"/>
    <cellStyle name="Normal 57 3 3 3 10" xfId="7091" xr:uid="{00000000-0005-0000-0000-0000557E0000}"/>
    <cellStyle name="Normal 57 3 3 3 10 2" xfId="19705" xr:uid="{00000000-0005-0000-0000-0000567E0000}"/>
    <cellStyle name="Normal 57 3 3 3 10 2 2" xfId="45258" xr:uid="{00000000-0005-0000-0000-0000577E0000}"/>
    <cellStyle name="Normal 57 3 3 3 10 3" xfId="32648" xr:uid="{00000000-0005-0000-0000-0000587E0000}"/>
    <cellStyle name="Normal 57 3 3 3 11" xfId="15837" xr:uid="{00000000-0005-0000-0000-0000597E0000}"/>
    <cellStyle name="Normal 57 3 3 3 11 2" xfId="41390" xr:uid="{00000000-0005-0000-0000-00005A7E0000}"/>
    <cellStyle name="Normal 57 3 3 3 12" xfId="26188" xr:uid="{00000000-0005-0000-0000-00005B7E0000}"/>
    <cellStyle name="Normal 57 3 3 3 2" xfId="576" xr:uid="{00000000-0005-0000-0000-00005C7E0000}"/>
    <cellStyle name="Normal 57 3 3 3 2 10" xfId="26505" xr:uid="{00000000-0005-0000-0000-00005D7E0000}"/>
    <cellStyle name="Normal 57 3 3 3 2 2" xfId="841" xr:uid="{00000000-0005-0000-0000-00005E7E0000}"/>
    <cellStyle name="Normal 57 3 3 3 2 2 2" xfId="3326" xr:uid="{00000000-0005-0000-0000-00005F7E0000}"/>
    <cellStyle name="Normal 57 3 3 3 2 2 2 2" xfId="12468" xr:uid="{00000000-0005-0000-0000-0000607E0000}"/>
    <cellStyle name="Normal 57 3 3 3 2 2 2 2 2" xfId="22687" xr:uid="{00000000-0005-0000-0000-0000617E0000}"/>
    <cellStyle name="Normal 57 3 3 3 2 2 2 2 2 2" xfId="48240" xr:uid="{00000000-0005-0000-0000-0000627E0000}"/>
    <cellStyle name="Normal 57 3 3 3 2 2 2 2 3" xfId="38023" xr:uid="{00000000-0005-0000-0000-0000637E0000}"/>
    <cellStyle name="Normal 57 3 3 3 2 2 2 3" xfId="8890" xr:uid="{00000000-0005-0000-0000-0000647E0000}"/>
    <cellStyle name="Normal 57 3 3 3 2 2 2 3 2" xfId="34447" xr:uid="{00000000-0005-0000-0000-0000657E0000}"/>
    <cellStyle name="Normal 57 3 3 3 2 2 2 4" xfId="17680" xr:uid="{00000000-0005-0000-0000-0000667E0000}"/>
    <cellStyle name="Normal 57 3 3 3 2 2 2 4 2" xfId="43233" xr:uid="{00000000-0005-0000-0000-0000677E0000}"/>
    <cellStyle name="Normal 57 3 3 3 2 2 2 5" xfId="29170" xr:uid="{00000000-0005-0000-0000-0000687E0000}"/>
    <cellStyle name="Normal 57 3 3 3 2 2 3" xfId="4655" xr:uid="{00000000-0005-0000-0000-0000697E0000}"/>
    <cellStyle name="Normal 57 3 3 3 2 2 3 2" xfId="13493" xr:uid="{00000000-0005-0000-0000-00006A7E0000}"/>
    <cellStyle name="Normal 57 3 3 3 2 2 3 2 2" xfId="23744" xr:uid="{00000000-0005-0000-0000-00006B7E0000}"/>
    <cellStyle name="Normal 57 3 3 3 2 2 3 2 2 2" xfId="49297" xr:uid="{00000000-0005-0000-0000-00006C7E0000}"/>
    <cellStyle name="Normal 57 3 3 3 2 2 3 2 3" xfId="39048" xr:uid="{00000000-0005-0000-0000-00006D7E0000}"/>
    <cellStyle name="Normal 57 3 3 3 2 2 3 3" xfId="9914" xr:uid="{00000000-0005-0000-0000-00006E7E0000}"/>
    <cellStyle name="Normal 57 3 3 3 2 2 3 3 2" xfId="35471" xr:uid="{00000000-0005-0000-0000-00006F7E0000}"/>
    <cellStyle name="Normal 57 3 3 3 2 2 3 4" xfId="18737" xr:uid="{00000000-0005-0000-0000-0000707E0000}"/>
    <cellStyle name="Normal 57 3 3 3 2 2 3 4 2" xfId="44290" xr:uid="{00000000-0005-0000-0000-0000717E0000}"/>
    <cellStyle name="Normal 57 3 3 3 2 2 3 5" xfId="30227" xr:uid="{00000000-0005-0000-0000-0000727E0000}"/>
    <cellStyle name="Normal 57 3 3 3 2 2 4" xfId="2435" xr:uid="{00000000-0005-0000-0000-0000737E0000}"/>
    <cellStyle name="Normal 57 3 3 3 2 2 4 2" xfId="11800" xr:uid="{00000000-0005-0000-0000-0000747E0000}"/>
    <cellStyle name="Normal 57 3 3 3 2 2 4 2 2" xfId="37355" xr:uid="{00000000-0005-0000-0000-0000757E0000}"/>
    <cellStyle name="Normal 57 3 3 3 2 2 4 3" xfId="21804" xr:uid="{00000000-0005-0000-0000-0000767E0000}"/>
    <cellStyle name="Normal 57 3 3 3 2 2 4 3 2" xfId="47357" xr:uid="{00000000-0005-0000-0000-0000777E0000}"/>
    <cellStyle name="Normal 57 3 3 3 2 2 4 4" xfId="28287" xr:uid="{00000000-0005-0000-0000-0000787E0000}"/>
    <cellStyle name="Normal 57 3 3 3 2 2 5" xfId="6111" xr:uid="{00000000-0005-0000-0000-0000797E0000}"/>
    <cellStyle name="Normal 57 3 3 3 2 2 5 2" xfId="14938" xr:uid="{00000000-0005-0000-0000-00007A7E0000}"/>
    <cellStyle name="Normal 57 3 3 3 2 2 5 2 2" xfId="40493" xr:uid="{00000000-0005-0000-0000-00007B7E0000}"/>
    <cellStyle name="Normal 57 3 3 3 2 2 5 3" xfId="25189" xr:uid="{00000000-0005-0000-0000-00007C7E0000}"/>
    <cellStyle name="Normal 57 3 3 3 2 2 5 3 2" xfId="50742" xr:uid="{00000000-0005-0000-0000-00007D7E0000}"/>
    <cellStyle name="Normal 57 3 3 3 2 2 5 4" xfId="31672" xr:uid="{00000000-0005-0000-0000-00007E7E0000}"/>
    <cellStyle name="Normal 57 3 3 3 2 2 6" xfId="7556" xr:uid="{00000000-0005-0000-0000-00007F7E0000}"/>
    <cellStyle name="Normal 57 3 3 3 2 2 6 2" xfId="20286" xr:uid="{00000000-0005-0000-0000-0000807E0000}"/>
    <cellStyle name="Normal 57 3 3 3 2 2 6 2 2" xfId="45839" xr:uid="{00000000-0005-0000-0000-0000817E0000}"/>
    <cellStyle name="Normal 57 3 3 3 2 2 6 3" xfId="33113" xr:uid="{00000000-0005-0000-0000-0000827E0000}"/>
    <cellStyle name="Normal 57 3 3 3 2 2 7" xfId="16797" xr:uid="{00000000-0005-0000-0000-0000837E0000}"/>
    <cellStyle name="Normal 57 3 3 3 2 2 7 2" xfId="42350" xr:uid="{00000000-0005-0000-0000-0000847E0000}"/>
    <cellStyle name="Normal 57 3 3 3 2 2 8" xfId="26769" xr:uid="{00000000-0005-0000-0000-0000857E0000}"/>
    <cellStyle name="Normal 57 3 3 3 2 3" xfId="1348" xr:uid="{00000000-0005-0000-0000-0000867E0000}"/>
    <cellStyle name="Normal 57 3 3 3 2 3 2" xfId="3777" xr:uid="{00000000-0005-0000-0000-0000877E0000}"/>
    <cellStyle name="Normal 57 3 3 3 2 3 2 2" xfId="12913" xr:uid="{00000000-0005-0000-0000-0000887E0000}"/>
    <cellStyle name="Normal 57 3 3 3 2 3 2 2 2" xfId="23132" xr:uid="{00000000-0005-0000-0000-0000897E0000}"/>
    <cellStyle name="Normal 57 3 3 3 2 3 2 2 2 2" xfId="48685" xr:uid="{00000000-0005-0000-0000-00008A7E0000}"/>
    <cellStyle name="Normal 57 3 3 3 2 3 2 2 3" xfId="38468" xr:uid="{00000000-0005-0000-0000-00008B7E0000}"/>
    <cellStyle name="Normal 57 3 3 3 2 3 2 3" xfId="9334" xr:uid="{00000000-0005-0000-0000-00008C7E0000}"/>
    <cellStyle name="Normal 57 3 3 3 2 3 2 3 2" xfId="34891" xr:uid="{00000000-0005-0000-0000-00008D7E0000}"/>
    <cellStyle name="Normal 57 3 3 3 2 3 2 4" xfId="18125" xr:uid="{00000000-0005-0000-0000-00008E7E0000}"/>
    <cellStyle name="Normal 57 3 3 3 2 3 2 4 2" xfId="43678" xr:uid="{00000000-0005-0000-0000-00008F7E0000}"/>
    <cellStyle name="Normal 57 3 3 3 2 3 2 5" xfId="29615" xr:uid="{00000000-0005-0000-0000-0000907E0000}"/>
    <cellStyle name="Normal 57 3 3 3 2 3 3" xfId="5004" xr:uid="{00000000-0005-0000-0000-0000917E0000}"/>
    <cellStyle name="Normal 57 3 3 3 2 3 3 2" xfId="13841" xr:uid="{00000000-0005-0000-0000-0000927E0000}"/>
    <cellStyle name="Normal 57 3 3 3 2 3 3 2 2" xfId="24092" xr:uid="{00000000-0005-0000-0000-0000937E0000}"/>
    <cellStyle name="Normal 57 3 3 3 2 3 3 2 2 2" xfId="49645" xr:uid="{00000000-0005-0000-0000-0000947E0000}"/>
    <cellStyle name="Normal 57 3 3 3 2 3 3 2 3" xfId="39396" xr:uid="{00000000-0005-0000-0000-0000957E0000}"/>
    <cellStyle name="Normal 57 3 3 3 2 3 3 3" xfId="10262" xr:uid="{00000000-0005-0000-0000-0000967E0000}"/>
    <cellStyle name="Normal 57 3 3 3 2 3 3 3 2" xfId="35819" xr:uid="{00000000-0005-0000-0000-0000977E0000}"/>
    <cellStyle name="Normal 57 3 3 3 2 3 3 4" xfId="19085" xr:uid="{00000000-0005-0000-0000-0000987E0000}"/>
    <cellStyle name="Normal 57 3 3 3 2 3 3 4 2" xfId="44638" xr:uid="{00000000-0005-0000-0000-0000997E0000}"/>
    <cellStyle name="Normal 57 3 3 3 2 3 3 5" xfId="30575" xr:uid="{00000000-0005-0000-0000-00009A7E0000}"/>
    <cellStyle name="Normal 57 3 3 3 2 3 4" xfId="2171" xr:uid="{00000000-0005-0000-0000-00009B7E0000}"/>
    <cellStyle name="Normal 57 3 3 3 2 3 4 2" xfId="11536" xr:uid="{00000000-0005-0000-0000-00009C7E0000}"/>
    <cellStyle name="Normal 57 3 3 3 2 3 4 2 2" xfId="37091" xr:uid="{00000000-0005-0000-0000-00009D7E0000}"/>
    <cellStyle name="Normal 57 3 3 3 2 3 4 3" xfId="21540" xr:uid="{00000000-0005-0000-0000-00009E7E0000}"/>
    <cellStyle name="Normal 57 3 3 3 2 3 4 3 2" xfId="47093" xr:uid="{00000000-0005-0000-0000-00009F7E0000}"/>
    <cellStyle name="Normal 57 3 3 3 2 3 4 4" xfId="28023" xr:uid="{00000000-0005-0000-0000-0000A07E0000}"/>
    <cellStyle name="Normal 57 3 3 3 2 3 5" xfId="6459" xr:uid="{00000000-0005-0000-0000-0000A17E0000}"/>
    <cellStyle name="Normal 57 3 3 3 2 3 5 2" xfId="15286" xr:uid="{00000000-0005-0000-0000-0000A27E0000}"/>
    <cellStyle name="Normal 57 3 3 3 2 3 5 2 2" xfId="40841" xr:uid="{00000000-0005-0000-0000-0000A37E0000}"/>
    <cellStyle name="Normal 57 3 3 3 2 3 5 3" xfId="25537" xr:uid="{00000000-0005-0000-0000-0000A47E0000}"/>
    <cellStyle name="Normal 57 3 3 3 2 3 5 3 2" xfId="51090" xr:uid="{00000000-0005-0000-0000-0000A57E0000}"/>
    <cellStyle name="Normal 57 3 3 3 2 3 5 4" xfId="32020" xr:uid="{00000000-0005-0000-0000-0000A67E0000}"/>
    <cellStyle name="Normal 57 3 3 3 2 3 6" xfId="7905" xr:uid="{00000000-0005-0000-0000-0000A77E0000}"/>
    <cellStyle name="Normal 57 3 3 3 2 3 6 2" xfId="20731" xr:uid="{00000000-0005-0000-0000-0000A87E0000}"/>
    <cellStyle name="Normal 57 3 3 3 2 3 6 2 2" xfId="46284" xr:uid="{00000000-0005-0000-0000-0000A97E0000}"/>
    <cellStyle name="Normal 57 3 3 3 2 3 6 3" xfId="33462" xr:uid="{00000000-0005-0000-0000-0000AA7E0000}"/>
    <cellStyle name="Normal 57 3 3 3 2 3 7" xfId="16533" xr:uid="{00000000-0005-0000-0000-0000AB7E0000}"/>
    <cellStyle name="Normal 57 3 3 3 2 3 7 2" xfId="42086" xr:uid="{00000000-0005-0000-0000-0000AC7E0000}"/>
    <cellStyle name="Normal 57 3 3 3 2 3 8" xfId="27214" xr:uid="{00000000-0005-0000-0000-0000AD7E0000}"/>
    <cellStyle name="Normal 57 3 3 3 2 4" xfId="3062" xr:uid="{00000000-0005-0000-0000-0000AE7E0000}"/>
    <cellStyle name="Normal 57 3 3 3 2 4 2" xfId="5440" xr:uid="{00000000-0005-0000-0000-0000AF7E0000}"/>
    <cellStyle name="Normal 57 3 3 3 2 4 2 2" xfId="14277" xr:uid="{00000000-0005-0000-0000-0000B07E0000}"/>
    <cellStyle name="Normal 57 3 3 3 2 4 2 2 2" xfId="24528" xr:uid="{00000000-0005-0000-0000-0000B17E0000}"/>
    <cellStyle name="Normal 57 3 3 3 2 4 2 2 2 2" xfId="50081" xr:uid="{00000000-0005-0000-0000-0000B27E0000}"/>
    <cellStyle name="Normal 57 3 3 3 2 4 2 2 3" xfId="39832" xr:uid="{00000000-0005-0000-0000-0000B37E0000}"/>
    <cellStyle name="Normal 57 3 3 3 2 4 2 3" xfId="10698" xr:uid="{00000000-0005-0000-0000-0000B47E0000}"/>
    <cellStyle name="Normal 57 3 3 3 2 4 2 3 2" xfId="36255" xr:uid="{00000000-0005-0000-0000-0000B57E0000}"/>
    <cellStyle name="Normal 57 3 3 3 2 4 2 4" xfId="19521" xr:uid="{00000000-0005-0000-0000-0000B67E0000}"/>
    <cellStyle name="Normal 57 3 3 3 2 4 2 4 2" xfId="45074" xr:uid="{00000000-0005-0000-0000-0000B77E0000}"/>
    <cellStyle name="Normal 57 3 3 3 2 4 2 5" xfId="31011" xr:uid="{00000000-0005-0000-0000-0000B87E0000}"/>
    <cellStyle name="Normal 57 3 3 3 2 4 3" xfId="6895" xr:uid="{00000000-0005-0000-0000-0000B97E0000}"/>
    <cellStyle name="Normal 57 3 3 3 2 4 3 2" xfId="15722" xr:uid="{00000000-0005-0000-0000-0000BA7E0000}"/>
    <cellStyle name="Normal 57 3 3 3 2 4 3 2 2" xfId="41277" xr:uid="{00000000-0005-0000-0000-0000BB7E0000}"/>
    <cellStyle name="Normal 57 3 3 3 2 4 3 3" xfId="25973" xr:uid="{00000000-0005-0000-0000-0000BC7E0000}"/>
    <cellStyle name="Normal 57 3 3 3 2 4 3 3 2" xfId="51526" xr:uid="{00000000-0005-0000-0000-0000BD7E0000}"/>
    <cellStyle name="Normal 57 3 3 3 2 4 3 4" xfId="32456" xr:uid="{00000000-0005-0000-0000-0000BE7E0000}"/>
    <cellStyle name="Normal 57 3 3 3 2 4 4" xfId="8341" xr:uid="{00000000-0005-0000-0000-0000BF7E0000}"/>
    <cellStyle name="Normal 57 3 3 3 2 4 4 2" xfId="22423" xr:uid="{00000000-0005-0000-0000-0000C07E0000}"/>
    <cellStyle name="Normal 57 3 3 3 2 4 4 2 2" xfId="47976" xr:uid="{00000000-0005-0000-0000-0000C17E0000}"/>
    <cellStyle name="Normal 57 3 3 3 2 4 4 3" xfId="33898" xr:uid="{00000000-0005-0000-0000-0000C27E0000}"/>
    <cellStyle name="Normal 57 3 3 3 2 4 5" xfId="17416" xr:uid="{00000000-0005-0000-0000-0000C37E0000}"/>
    <cellStyle name="Normal 57 3 3 3 2 4 5 2" xfId="42969" xr:uid="{00000000-0005-0000-0000-0000C47E0000}"/>
    <cellStyle name="Normal 57 3 3 3 2 4 6" xfId="28906" xr:uid="{00000000-0005-0000-0000-0000C57E0000}"/>
    <cellStyle name="Normal 57 3 3 3 2 5" xfId="4396" xr:uid="{00000000-0005-0000-0000-0000C67E0000}"/>
    <cellStyle name="Normal 57 3 3 3 2 5 2" xfId="13234" xr:uid="{00000000-0005-0000-0000-0000C77E0000}"/>
    <cellStyle name="Normal 57 3 3 3 2 5 2 2" xfId="23485" xr:uid="{00000000-0005-0000-0000-0000C87E0000}"/>
    <cellStyle name="Normal 57 3 3 3 2 5 2 2 2" xfId="49038" xr:uid="{00000000-0005-0000-0000-0000C97E0000}"/>
    <cellStyle name="Normal 57 3 3 3 2 5 2 3" xfId="38789" xr:uid="{00000000-0005-0000-0000-0000CA7E0000}"/>
    <cellStyle name="Normal 57 3 3 3 2 5 3" xfId="9655" xr:uid="{00000000-0005-0000-0000-0000CB7E0000}"/>
    <cellStyle name="Normal 57 3 3 3 2 5 3 2" xfId="35212" xr:uid="{00000000-0005-0000-0000-0000CC7E0000}"/>
    <cellStyle name="Normal 57 3 3 3 2 5 4" xfId="18478" xr:uid="{00000000-0005-0000-0000-0000CD7E0000}"/>
    <cellStyle name="Normal 57 3 3 3 2 5 4 2" xfId="44031" xr:uid="{00000000-0005-0000-0000-0000CE7E0000}"/>
    <cellStyle name="Normal 57 3 3 3 2 5 5" xfId="29968" xr:uid="{00000000-0005-0000-0000-0000CF7E0000}"/>
    <cellStyle name="Normal 57 3 3 3 2 6" xfId="1668" xr:uid="{00000000-0005-0000-0000-0000D07E0000}"/>
    <cellStyle name="Normal 57 3 3 3 2 6 2" xfId="11045" xr:uid="{00000000-0005-0000-0000-0000D17E0000}"/>
    <cellStyle name="Normal 57 3 3 3 2 6 2 2" xfId="36600" xr:uid="{00000000-0005-0000-0000-0000D27E0000}"/>
    <cellStyle name="Normal 57 3 3 3 2 6 3" xfId="21049" xr:uid="{00000000-0005-0000-0000-0000D37E0000}"/>
    <cellStyle name="Normal 57 3 3 3 2 6 3 2" xfId="46602" xr:uid="{00000000-0005-0000-0000-0000D47E0000}"/>
    <cellStyle name="Normal 57 3 3 3 2 6 4" xfId="27532" xr:uid="{00000000-0005-0000-0000-0000D57E0000}"/>
    <cellStyle name="Normal 57 3 3 3 2 7" xfId="5852" xr:uid="{00000000-0005-0000-0000-0000D67E0000}"/>
    <cellStyle name="Normal 57 3 3 3 2 7 2" xfId="14679" xr:uid="{00000000-0005-0000-0000-0000D77E0000}"/>
    <cellStyle name="Normal 57 3 3 3 2 7 2 2" xfId="40234" xr:uid="{00000000-0005-0000-0000-0000D87E0000}"/>
    <cellStyle name="Normal 57 3 3 3 2 7 3" xfId="24930" xr:uid="{00000000-0005-0000-0000-0000D97E0000}"/>
    <cellStyle name="Normal 57 3 3 3 2 7 3 2" xfId="50483" xr:uid="{00000000-0005-0000-0000-0000DA7E0000}"/>
    <cellStyle name="Normal 57 3 3 3 2 7 4" xfId="31413" xr:uid="{00000000-0005-0000-0000-0000DB7E0000}"/>
    <cellStyle name="Normal 57 3 3 3 2 8" xfId="7296" xr:uid="{00000000-0005-0000-0000-0000DC7E0000}"/>
    <cellStyle name="Normal 57 3 3 3 2 8 2" xfId="20022" xr:uid="{00000000-0005-0000-0000-0000DD7E0000}"/>
    <cellStyle name="Normal 57 3 3 3 2 8 2 2" xfId="45575" xr:uid="{00000000-0005-0000-0000-0000DE7E0000}"/>
    <cellStyle name="Normal 57 3 3 3 2 8 3" xfId="32853" xr:uid="{00000000-0005-0000-0000-0000DF7E0000}"/>
    <cellStyle name="Normal 57 3 3 3 2 9" xfId="16042" xr:uid="{00000000-0005-0000-0000-0000E07E0000}"/>
    <cellStyle name="Normal 57 3 3 3 2 9 2" xfId="41595" xr:uid="{00000000-0005-0000-0000-0000E17E0000}"/>
    <cellStyle name="Normal 57 3 3 3 2_Degree data" xfId="3947" xr:uid="{00000000-0005-0000-0000-0000E27E0000}"/>
    <cellStyle name="Normal 57 3 3 3 3" xfId="371" xr:uid="{00000000-0005-0000-0000-0000E37E0000}"/>
    <cellStyle name="Normal 57 3 3 3 3 2" xfId="2857" xr:uid="{00000000-0005-0000-0000-0000E47E0000}"/>
    <cellStyle name="Normal 57 3 3 3 3 2 2" xfId="12145" xr:uid="{00000000-0005-0000-0000-0000E57E0000}"/>
    <cellStyle name="Normal 57 3 3 3 3 2 2 2" xfId="22218" xr:uid="{00000000-0005-0000-0000-0000E67E0000}"/>
    <cellStyle name="Normal 57 3 3 3 3 2 2 2 2" xfId="47771" xr:uid="{00000000-0005-0000-0000-0000E77E0000}"/>
    <cellStyle name="Normal 57 3 3 3 3 2 2 3" xfId="37700" xr:uid="{00000000-0005-0000-0000-0000E87E0000}"/>
    <cellStyle name="Normal 57 3 3 3 3 2 3" xfId="8592" xr:uid="{00000000-0005-0000-0000-0000E97E0000}"/>
    <cellStyle name="Normal 57 3 3 3 3 2 3 2" xfId="34149" xr:uid="{00000000-0005-0000-0000-0000EA7E0000}"/>
    <cellStyle name="Normal 57 3 3 3 3 2 4" xfId="17211" xr:uid="{00000000-0005-0000-0000-0000EB7E0000}"/>
    <cellStyle name="Normal 57 3 3 3 3 2 4 2" xfId="42764" xr:uid="{00000000-0005-0000-0000-0000EC7E0000}"/>
    <cellStyle name="Normal 57 3 3 3 3 2 5" xfId="28701" xr:uid="{00000000-0005-0000-0000-0000ED7E0000}"/>
    <cellStyle name="Normal 57 3 3 3 3 3" xfId="4654" xr:uid="{00000000-0005-0000-0000-0000EE7E0000}"/>
    <cellStyle name="Normal 57 3 3 3 3 3 2" xfId="13492" xr:uid="{00000000-0005-0000-0000-0000EF7E0000}"/>
    <cellStyle name="Normal 57 3 3 3 3 3 2 2" xfId="23743" xr:uid="{00000000-0005-0000-0000-0000F07E0000}"/>
    <cellStyle name="Normal 57 3 3 3 3 3 2 2 2" xfId="49296" xr:uid="{00000000-0005-0000-0000-0000F17E0000}"/>
    <cellStyle name="Normal 57 3 3 3 3 3 2 3" xfId="39047" xr:uid="{00000000-0005-0000-0000-0000F27E0000}"/>
    <cellStyle name="Normal 57 3 3 3 3 3 3" xfId="9913" xr:uid="{00000000-0005-0000-0000-0000F37E0000}"/>
    <cellStyle name="Normal 57 3 3 3 3 3 3 2" xfId="35470" xr:uid="{00000000-0005-0000-0000-0000F47E0000}"/>
    <cellStyle name="Normal 57 3 3 3 3 3 4" xfId="18736" xr:uid="{00000000-0005-0000-0000-0000F57E0000}"/>
    <cellStyle name="Normal 57 3 3 3 3 3 4 2" xfId="44289" xr:uid="{00000000-0005-0000-0000-0000F67E0000}"/>
    <cellStyle name="Normal 57 3 3 3 3 3 5" xfId="30226" xr:uid="{00000000-0005-0000-0000-0000F77E0000}"/>
    <cellStyle name="Normal 57 3 3 3 3 4" xfId="1966" xr:uid="{00000000-0005-0000-0000-0000F87E0000}"/>
    <cellStyle name="Normal 57 3 3 3 3 4 2" xfId="11331" xr:uid="{00000000-0005-0000-0000-0000F97E0000}"/>
    <cellStyle name="Normal 57 3 3 3 3 4 2 2" xfId="36886" xr:uid="{00000000-0005-0000-0000-0000FA7E0000}"/>
    <cellStyle name="Normal 57 3 3 3 3 4 3" xfId="21335" xr:uid="{00000000-0005-0000-0000-0000FB7E0000}"/>
    <cellStyle name="Normal 57 3 3 3 3 4 3 2" xfId="46888" xr:uid="{00000000-0005-0000-0000-0000FC7E0000}"/>
    <cellStyle name="Normal 57 3 3 3 3 4 4" xfId="27818" xr:uid="{00000000-0005-0000-0000-0000FD7E0000}"/>
    <cellStyle name="Normal 57 3 3 3 3 5" xfId="6110" xr:uid="{00000000-0005-0000-0000-0000FE7E0000}"/>
    <cellStyle name="Normal 57 3 3 3 3 5 2" xfId="14937" xr:uid="{00000000-0005-0000-0000-0000FF7E0000}"/>
    <cellStyle name="Normal 57 3 3 3 3 5 2 2" xfId="40492" xr:uid="{00000000-0005-0000-0000-0000007F0000}"/>
    <cellStyle name="Normal 57 3 3 3 3 5 3" xfId="25188" xr:uid="{00000000-0005-0000-0000-0000017F0000}"/>
    <cellStyle name="Normal 57 3 3 3 3 5 3 2" xfId="50741" xr:uid="{00000000-0005-0000-0000-0000027F0000}"/>
    <cellStyle name="Normal 57 3 3 3 3 5 4" xfId="31671" xr:uid="{00000000-0005-0000-0000-0000037F0000}"/>
    <cellStyle name="Normal 57 3 3 3 3 6" xfId="7555" xr:uid="{00000000-0005-0000-0000-0000047F0000}"/>
    <cellStyle name="Normal 57 3 3 3 3 6 2" xfId="19817" xr:uid="{00000000-0005-0000-0000-0000057F0000}"/>
    <cellStyle name="Normal 57 3 3 3 3 6 2 2" xfId="45370" xr:uid="{00000000-0005-0000-0000-0000067F0000}"/>
    <cellStyle name="Normal 57 3 3 3 3 6 3" xfId="33112" xr:uid="{00000000-0005-0000-0000-0000077F0000}"/>
    <cellStyle name="Normal 57 3 3 3 3 7" xfId="16328" xr:uid="{00000000-0005-0000-0000-0000087F0000}"/>
    <cellStyle name="Normal 57 3 3 3 3 7 2" xfId="41881" xr:uid="{00000000-0005-0000-0000-0000097F0000}"/>
    <cellStyle name="Normal 57 3 3 3 3 8" xfId="26300" xr:uid="{00000000-0005-0000-0000-00000A7F0000}"/>
    <cellStyle name="Normal 57 3 3 3 4" xfId="840" xr:uid="{00000000-0005-0000-0000-00000B7F0000}"/>
    <cellStyle name="Normal 57 3 3 3 4 2" xfId="3325" xr:uid="{00000000-0005-0000-0000-00000C7F0000}"/>
    <cellStyle name="Normal 57 3 3 3 4 2 2" xfId="12467" xr:uid="{00000000-0005-0000-0000-00000D7F0000}"/>
    <cellStyle name="Normal 57 3 3 3 4 2 2 2" xfId="22686" xr:uid="{00000000-0005-0000-0000-00000E7F0000}"/>
    <cellStyle name="Normal 57 3 3 3 4 2 2 2 2" xfId="48239" xr:uid="{00000000-0005-0000-0000-00000F7F0000}"/>
    <cellStyle name="Normal 57 3 3 3 4 2 2 3" xfId="38022" xr:uid="{00000000-0005-0000-0000-0000107F0000}"/>
    <cellStyle name="Normal 57 3 3 3 4 2 3" xfId="8889" xr:uid="{00000000-0005-0000-0000-0000117F0000}"/>
    <cellStyle name="Normal 57 3 3 3 4 2 3 2" xfId="34446" xr:uid="{00000000-0005-0000-0000-0000127F0000}"/>
    <cellStyle name="Normal 57 3 3 3 4 2 4" xfId="17679" xr:uid="{00000000-0005-0000-0000-0000137F0000}"/>
    <cellStyle name="Normal 57 3 3 3 4 2 4 2" xfId="43232" xr:uid="{00000000-0005-0000-0000-0000147F0000}"/>
    <cellStyle name="Normal 57 3 3 3 4 2 5" xfId="29169" xr:uid="{00000000-0005-0000-0000-0000157F0000}"/>
    <cellStyle name="Normal 57 3 3 3 4 3" xfId="5003" xr:uid="{00000000-0005-0000-0000-0000167F0000}"/>
    <cellStyle name="Normal 57 3 3 3 4 3 2" xfId="13840" xr:uid="{00000000-0005-0000-0000-0000177F0000}"/>
    <cellStyle name="Normal 57 3 3 3 4 3 2 2" xfId="24091" xr:uid="{00000000-0005-0000-0000-0000187F0000}"/>
    <cellStyle name="Normal 57 3 3 3 4 3 2 2 2" xfId="49644" xr:uid="{00000000-0005-0000-0000-0000197F0000}"/>
    <cellStyle name="Normal 57 3 3 3 4 3 2 3" xfId="39395" xr:uid="{00000000-0005-0000-0000-00001A7F0000}"/>
    <cellStyle name="Normal 57 3 3 3 4 3 3" xfId="10261" xr:uid="{00000000-0005-0000-0000-00001B7F0000}"/>
    <cellStyle name="Normal 57 3 3 3 4 3 3 2" xfId="35818" xr:uid="{00000000-0005-0000-0000-00001C7F0000}"/>
    <cellStyle name="Normal 57 3 3 3 4 3 4" xfId="19084" xr:uid="{00000000-0005-0000-0000-00001D7F0000}"/>
    <cellStyle name="Normal 57 3 3 3 4 3 4 2" xfId="44637" xr:uid="{00000000-0005-0000-0000-00001E7F0000}"/>
    <cellStyle name="Normal 57 3 3 3 4 3 5" xfId="30574" xr:uid="{00000000-0005-0000-0000-00001F7F0000}"/>
    <cellStyle name="Normal 57 3 3 3 4 4" xfId="2434" xr:uid="{00000000-0005-0000-0000-0000207F0000}"/>
    <cellStyle name="Normal 57 3 3 3 4 4 2" xfId="11799" xr:uid="{00000000-0005-0000-0000-0000217F0000}"/>
    <cellStyle name="Normal 57 3 3 3 4 4 2 2" xfId="37354" xr:uid="{00000000-0005-0000-0000-0000227F0000}"/>
    <cellStyle name="Normal 57 3 3 3 4 4 3" xfId="21803" xr:uid="{00000000-0005-0000-0000-0000237F0000}"/>
    <cellStyle name="Normal 57 3 3 3 4 4 3 2" xfId="47356" xr:uid="{00000000-0005-0000-0000-0000247F0000}"/>
    <cellStyle name="Normal 57 3 3 3 4 4 4" xfId="28286" xr:uid="{00000000-0005-0000-0000-0000257F0000}"/>
    <cellStyle name="Normal 57 3 3 3 4 5" xfId="6458" xr:uid="{00000000-0005-0000-0000-0000267F0000}"/>
    <cellStyle name="Normal 57 3 3 3 4 5 2" xfId="15285" xr:uid="{00000000-0005-0000-0000-0000277F0000}"/>
    <cellStyle name="Normal 57 3 3 3 4 5 2 2" xfId="40840" xr:uid="{00000000-0005-0000-0000-0000287F0000}"/>
    <cellStyle name="Normal 57 3 3 3 4 5 3" xfId="25536" xr:uid="{00000000-0005-0000-0000-0000297F0000}"/>
    <cellStyle name="Normal 57 3 3 3 4 5 3 2" xfId="51089" xr:uid="{00000000-0005-0000-0000-00002A7F0000}"/>
    <cellStyle name="Normal 57 3 3 3 4 5 4" xfId="32019" xr:uid="{00000000-0005-0000-0000-00002B7F0000}"/>
    <cellStyle name="Normal 57 3 3 3 4 6" xfId="7904" xr:uid="{00000000-0005-0000-0000-00002C7F0000}"/>
    <cellStyle name="Normal 57 3 3 3 4 6 2" xfId="20285" xr:uid="{00000000-0005-0000-0000-00002D7F0000}"/>
    <cellStyle name="Normal 57 3 3 3 4 6 2 2" xfId="45838" xr:uid="{00000000-0005-0000-0000-00002E7F0000}"/>
    <cellStyle name="Normal 57 3 3 3 4 6 3" xfId="33461" xr:uid="{00000000-0005-0000-0000-00002F7F0000}"/>
    <cellStyle name="Normal 57 3 3 3 4 7" xfId="16796" xr:uid="{00000000-0005-0000-0000-0000307F0000}"/>
    <cellStyle name="Normal 57 3 3 3 4 7 2" xfId="42349" xr:uid="{00000000-0005-0000-0000-0000317F0000}"/>
    <cellStyle name="Normal 57 3 3 3 4 8" xfId="26768" xr:uid="{00000000-0005-0000-0000-0000327F0000}"/>
    <cellStyle name="Normal 57 3 3 3 5" xfId="1143" xr:uid="{00000000-0005-0000-0000-0000337F0000}"/>
    <cellStyle name="Normal 57 3 3 3 5 2" xfId="3572" xr:uid="{00000000-0005-0000-0000-0000347F0000}"/>
    <cellStyle name="Normal 57 3 3 3 5 2 2" xfId="12708" xr:uid="{00000000-0005-0000-0000-0000357F0000}"/>
    <cellStyle name="Normal 57 3 3 3 5 2 2 2" xfId="22927" xr:uid="{00000000-0005-0000-0000-0000367F0000}"/>
    <cellStyle name="Normal 57 3 3 3 5 2 2 2 2" xfId="48480" xr:uid="{00000000-0005-0000-0000-0000377F0000}"/>
    <cellStyle name="Normal 57 3 3 3 5 2 2 3" xfId="38263" xr:uid="{00000000-0005-0000-0000-0000387F0000}"/>
    <cellStyle name="Normal 57 3 3 3 5 2 3" xfId="9129" xr:uid="{00000000-0005-0000-0000-0000397F0000}"/>
    <cellStyle name="Normal 57 3 3 3 5 2 3 2" xfId="34686" xr:uid="{00000000-0005-0000-0000-00003A7F0000}"/>
    <cellStyle name="Normal 57 3 3 3 5 2 4" xfId="17920" xr:uid="{00000000-0005-0000-0000-00003B7F0000}"/>
    <cellStyle name="Normal 57 3 3 3 5 2 4 2" xfId="43473" xr:uid="{00000000-0005-0000-0000-00003C7F0000}"/>
    <cellStyle name="Normal 57 3 3 3 5 2 5" xfId="29410" xr:uid="{00000000-0005-0000-0000-00003D7F0000}"/>
    <cellStyle name="Normal 57 3 3 3 5 3" xfId="5235" xr:uid="{00000000-0005-0000-0000-00003E7F0000}"/>
    <cellStyle name="Normal 57 3 3 3 5 3 2" xfId="14072" xr:uid="{00000000-0005-0000-0000-00003F7F0000}"/>
    <cellStyle name="Normal 57 3 3 3 5 3 2 2" xfId="24323" xr:uid="{00000000-0005-0000-0000-0000407F0000}"/>
    <cellStyle name="Normal 57 3 3 3 5 3 2 2 2" xfId="49876" xr:uid="{00000000-0005-0000-0000-0000417F0000}"/>
    <cellStyle name="Normal 57 3 3 3 5 3 2 3" xfId="39627" xr:uid="{00000000-0005-0000-0000-0000427F0000}"/>
    <cellStyle name="Normal 57 3 3 3 5 3 3" xfId="10493" xr:uid="{00000000-0005-0000-0000-0000437F0000}"/>
    <cellStyle name="Normal 57 3 3 3 5 3 3 2" xfId="36050" xr:uid="{00000000-0005-0000-0000-0000447F0000}"/>
    <cellStyle name="Normal 57 3 3 3 5 3 4" xfId="19316" xr:uid="{00000000-0005-0000-0000-0000457F0000}"/>
    <cellStyle name="Normal 57 3 3 3 5 3 4 2" xfId="44869" xr:uid="{00000000-0005-0000-0000-0000467F0000}"/>
    <cellStyle name="Normal 57 3 3 3 5 3 5" xfId="30806" xr:uid="{00000000-0005-0000-0000-0000477F0000}"/>
    <cellStyle name="Normal 57 3 3 3 5 4" xfId="1851" xr:uid="{00000000-0005-0000-0000-0000487F0000}"/>
    <cellStyle name="Normal 57 3 3 3 5 4 2" xfId="11219" xr:uid="{00000000-0005-0000-0000-0000497F0000}"/>
    <cellStyle name="Normal 57 3 3 3 5 4 2 2" xfId="36774" xr:uid="{00000000-0005-0000-0000-00004A7F0000}"/>
    <cellStyle name="Normal 57 3 3 3 5 4 3" xfId="21223" xr:uid="{00000000-0005-0000-0000-00004B7F0000}"/>
    <cellStyle name="Normal 57 3 3 3 5 4 3 2" xfId="46776" xr:uid="{00000000-0005-0000-0000-00004C7F0000}"/>
    <cellStyle name="Normal 57 3 3 3 5 4 4" xfId="27706" xr:uid="{00000000-0005-0000-0000-00004D7F0000}"/>
    <cellStyle name="Normal 57 3 3 3 5 5" xfId="6690" xr:uid="{00000000-0005-0000-0000-00004E7F0000}"/>
    <cellStyle name="Normal 57 3 3 3 5 5 2" xfId="15517" xr:uid="{00000000-0005-0000-0000-00004F7F0000}"/>
    <cellStyle name="Normal 57 3 3 3 5 5 2 2" xfId="41072" xr:uid="{00000000-0005-0000-0000-0000507F0000}"/>
    <cellStyle name="Normal 57 3 3 3 5 5 3" xfId="25768" xr:uid="{00000000-0005-0000-0000-0000517F0000}"/>
    <cellStyle name="Normal 57 3 3 3 5 5 3 2" xfId="51321" xr:uid="{00000000-0005-0000-0000-0000527F0000}"/>
    <cellStyle name="Normal 57 3 3 3 5 5 4" xfId="32251" xr:uid="{00000000-0005-0000-0000-0000537F0000}"/>
    <cellStyle name="Normal 57 3 3 3 5 6" xfId="8136" xr:uid="{00000000-0005-0000-0000-0000547F0000}"/>
    <cellStyle name="Normal 57 3 3 3 5 6 2" xfId="20526" xr:uid="{00000000-0005-0000-0000-0000557F0000}"/>
    <cellStyle name="Normal 57 3 3 3 5 6 2 2" xfId="46079" xr:uid="{00000000-0005-0000-0000-0000567F0000}"/>
    <cellStyle name="Normal 57 3 3 3 5 6 3" xfId="33693" xr:uid="{00000000-0005-0000-0000-0000577F0000}"/>
    <cellStyle name="Normal 57 3 3 3 5 7" xfId="16216" xr:uid="{00000000-0005-0000-0000-0000587F0000}"/>
    <cellStyle name="Normal 57 3 3 3 5 7 2" xfId="41769" xr:uid="{00000000-0005-0000-0000-0000597F0000}"/>
    <cellStyle name="Normal 57 3 3 3 5 8" xfId="27009" xr:uid="{00000000-0005-0000-0000-00005A7F0000}"/>
    <cellStyle name="Normal 57 3 3 3 6" xfId="2745" xr:uid="{00000000-0005-0000-0000-00005B7F0000}"/>
    <cellStyle name="Normal 57 3 3 3 6 2" xfId="12062" xr:uid="{00000000-0005-0000-0000-00005C7F0000}"/>
    <cellStyle name="Normal 57 3 3 3 6 2 2" xfId="22106" xr:uid="{00000000-0005-0000-0000-00005D7F0000}"/>
    <cellStyle name="Normal 57 3 3 3 6 2 2 2" xfId="47659" xr:uid="{00000000-0005-0000-0000-00005E7F0000}"/>
    <cellStyle name="Normal 57 3 3 3 6 2 3" xfId="37617" xr:uid="{00000000-0005-0000-0000-00005F7F0000}"/>
    <cellStyle name="Normal 57 3 3 3 6 3" xfId="8597" xr:uid="{00000000-0005-0000-0000-0000607F0000}"/>
    <cellStyle name="Normal 57 3 3 3 6 3 2" xfId="34154" xr:uid="{00000000-0005-0000-0000-0000617F0000}"/>
    <cellStyle name="Normal 57 3 3 3 6 4" xfId="17099" xr:uid="{00000000-0005-0000-0000-0000627F0000}"/>
    <cellStyle name="Normal 57 3 3 3 6 4 2" xfId="42652" xr:uid="{00000000-0005-0000-0000-0000637F0000}"/>
    <cellStyle name="Normal 57 3 3 3 6 5" xfId="28589" xr:uid="{00000000-0005-0000-0000-0000647F0000}"/>
    <cellStyle name="Normal 57 3 3 3 7" xfId="4191" xr:uid="{00000000-0005-0000-0000-0000657F0000}"/>
    <cellStyle name="Normal 57 3 3 3 7 2" xfId="13029" xr:uid="{00000000-0005-0000-0000-0000667F0000}"/>
    <cellStyle name="Normal 57 3 3 3 7 2 2" xfId="23280" xr:uid="{00000000-0005-0000-0000-0000677F0000}"/>
    <cellStyle name="Normal 57 3 3 3 7 2 2 2" xfId="48833" xr:uid="{00000000-0005-0000-0000-0000687F0000}"/>
    <cellStyle name="Normal 57 3 3 3 7 2 3" xfId="38584" xr:uid="{00000000-0005-0000-0000-0000697F0000}"/>
    <cellStyle name="Normal 57 3 3 3 7 3" xfId="9450" xr:uid="{00000000-0005-0000-0000-00006A7F0000}"/>
    <cellStyle name="Normal 57 3 3 3 7 3 2" xfId="35007" xr:uid="{00000000-0005-0000-0000-00006B7F0000}"/>
    <cellStyle name="Normal 57 3 3 3 7 4" xfId="18273" xr:uid="{00000000-0005-0000-0000-00006C7F0000}"/>
    <cellStyle name="Normal 57 3 3 3 7 4 2" xfId="43826" xr:uid="{00000000-0005-0000-0000-00006D7F0000}"/>
    <cellStyle name="Normal 57 3 3 3 7 5" xfId="29763" xr:uid="{00000000-0005-0000-0000-00006E7F0000}"/>
    <cellStyle name="Normal 57 3 3 3 8" xfId="1463" xr:uid="{00000000-0005-0000-0000-00006F7F0000}"/>
    <cellStyle name="Normal 57 3 3 3 8 2" xfId="10840" xr:uid="{00000000-0005-0000-0000-0000707F0000}"/>
    <cellStyle name="Normal 57 3 3 3 8 2 2" xfId="36395" xr:uid="{00000000-0005-0000-0000-0000717F0000}"/>
    <cellStyle name="Normal 57 3 3 3 8 3" xfId="20844" xr:uid="{00000000-0005-0000-0000-0000727F0000}"/>
    <cellStyle name="Normal 57 3 3 3 8 3 2" xfId="46397" xr:uid="{00000000-0005-0000-0000-0000737F0000}"/>
    <cellStyle name="Normal 57 3 3 3 8 4" xfId="27327" xr:uid="{00000000-0005-0000-0000-0000747F0000}"/>
    <cellStyle name="Normal 57 3 3 3 9" xfId="5647" xr:uid="{00000000-0005-0000-0000-0000757F0000}"/>
    <cellStyle name="Normal 57 3 3 3 9 2" xfId="14474" xr:uid="{00000000-0005-0000-0000-0000767F0000}"/>
    <cellStyle name="Normal 57 3 3 3 9 2 2" xfId="40029" xr:uid="{00000000-0005-0000-0000-0000777F0000}"/>
    <cellStyle name="Normal 57 3 3 3 9 3" xfId="24725" xr:uid="{00000000-0005-0000-0000-0000787F0000}"/>
    <cellStyle name="Normal 57 3 3 3 9 3 2" xfId="50278" xr:uid="{00000000-0005-0000-0000-0000797F0000}"/>
    <cellStyle name="Normal 57 3 3 3 9 4" xfId="31208" xr:uid="{00000000-0005-0000-0000-00007A7F0000}"/>
    <cellStyle name="Normal 57 3 3 3_Degree data" xfId="3946" xr:uid="{00000000-0005-0000-0000-00007B7F0000}"/>
    <cellStyle name="Normal 57 3 3 4" xfId="471" xr:uid="{00000000-0005-0000-0000-00007C7F0000}"/>
    <cellStyle name="Normal 57 3 3 4 10" xfId="26400" xr:uid="{00000000-0005-0000-0000-00007D7F0000}"/>
    <cellStyle name="Normal 57 3 3 4 2" xfId="842" xr:uid="{00000000-0005-0000-0000-00007E7F0000}"/>
    <cellStyle name="Normal 57 3 3 4 2 2" xfId="3327" xr:uid="{00000000-0005-0000-0000-00007F7F0000}"/>
    <cellStyle name="Normal 57 3 3 4 2 2 2" xfId="12469" xr:uid="{00000000-0005-0000-0000-0000807F0000}"/>
    <cellStyle name="Normal 57 3 3 4 2 2 2 2" xfId="22688" xr:uid="{00000000-0005-0000-0000-0000817F0000}"/>
    <cellStyle name="Normal 57 3 3 4 2 2 2 2 2" xfId="48241" xr:uid="{00000000-0005-0000-0000-0000827F0000}"/>
    <cellStyle name="Normal 57 3 3 4 2 2 2 3" xfId="38024" xr:uid="{00000000-0005-0000-0000-0000837F0000}"/>
    <cellStyle name="Normal 57 3 3 4 2 2 3" xfId="8891" xr:uid="{00000000-0005-0000-0000-0000847F0000}"/>
    <cellStyle name="Normal 57 3 3 4 2 2 3 2" xfId="34448" xr:uid="{00000000-0005-0000-0000-0000857F0000}"/>
    <cellStyle name="Normal 57 3 3 4 2 2 4" xfId="17681" xr:uid="{00000000-0005-0000-0000-0000867F0000}"/>
    <cellStyle name="Normal 57 3 3 4 2 2 4 2" xfId="43234" xr:uid="{00000000-0005-0000-0000-0000877F0000}"/>
    <cellStyle name="Normal 57 3 3 4 2 2 5" xfId="29171" xr:uid="{00000000-0005-0000-0000-0000887F0000}"/>
    <cellStyle name="Normal 57 3 3 4 2 3" xfId="4656" xr:uid="{00000000-0005-0000-0000-0000897F0000}"/>
    <cellStyle name="Normal 57 3 3 4 2 3 2" xfId="13494" xr:uid="{00000000-0005-0000-0000-00008A7F0000}"/>
    <cellStyle name="Normal 57 3 3 4 2 3 2 2" xfId="23745" xr:uid="{00000000-0005-0000-0000-00008B7F0000}"/>
    <cellStyle name="Normal 57 3 3 4 2 3 2 2 2" xfId="49298" xr:uid="{00000000-0005-0000-0000-00008C7F0000}"/>
    <cellStyle name="Normal 57 3 3 4 2 3 2 3" xfId="39049" xr:uid="{00000000-0005-0000-0000-00008D7F0000}"/>
    <cellStyle name="Normal 57 3 3 4 2 3 3" xfId="9915" xr:uid="{00000000-0005-0000-0000-00008E7F0000}"/>
    <cellStyle name="Normal 57 3 3 4 2 3 3 2" xfId="35472" xr:uid="{00000000-0005-0000-0000-00008F7F0000}"/>
    <cellStyle name="Normal 57 3 3 4 2 3 4" xfId="18738" xr:uid="{00000000-0005-0000-0000-0000907F0000}"/>
    <cellStyle name="Normal 57 3 3 4 2 3 4 2" xfId="44291" xr:uid="{00000000-0005-0000-0000-0000917F0000}"/>
    <cellStyle name="Normal 57 3 3 4 2 3 5" xfId="30228" xr:uid="{00000000-0005-0000-0000-0000927F0000}"/>
    <cellStyle name="Normal 57 3 3 4 2 4" xfId="2436" xr:uid="{00000000-0005-0000-0000-0000937F0000}"/>
    <cellStyle name="Normal 57 3 3 4 2 4 2" xfId="11801" xr:uid="{00000000-0005-0000-0000-0000947F0000}"/>
    <cellStyle name="Normal 57 3 3 4 2 4 2 2" xfId="37356" xr:uid="{00000000-0005-0000-0000-0000957F0000}"/>
    <cellStyle name="Normal 57 3 3 4 2 4 3" xfId="21805" xr:uid="{00000000-0005-0000-0000-0000967F0000}"/>
    <cellStyle name="Normal 57 3 3 4 2 4 3 2" xfId="47358" xr:uid="{00000000-0005-0000-0000-0000977F0000}"/>
    <cellStyle name="Normal 57 3 3 4 2 4 4" xfId="28288" xr:uid="{00000000-0005-0000-0000-0000987F0000}"/>
    <cellStyle name="Normal 57 3 3 4 2 5" xfId="6112" xr:uid="{00000000-0005-0000-0000-0000997F0000}"/>
    <cellStyle name="Normal 57 3 3 4 2 5 2" xfId="14939" xr:uid="{00000000-0005-0000-0000-00009A7F0000}"/>
    <cellStyle name="Normal 57 3 3 4 2 5 2 2" xfId="40494" xr:uid="{00000000-0005-0000-0000-00009B7F0000}"/>
    <cellStyle name="Normal 57 3 3 4 2 5 3" xfId="25190" xr:uid="{00000000-0005-0000-0000-00009C7F0000}"/>
    <cellStyle name="Normal 57 3 3 4 2 5 3 2" xfId="50743" xr:uid="{00000000-0005-0000-0000-00009D7F0000}"/>
    <cellStyle name="Normal 57 3 3 4 2 5 4" xfId="31673" xr:uid="{00000000-0005-0000-0000-00009E7F0000}"/>
    <cellStyle name="Normal 57 3 3 4 2 6" xfId="7557" xr:uid="{00000000-0005-0000-0000-00009F7F0000}"/>
    <cellStyle name="Normal 57 3 3 4 2 6 2" xfId="20287" xr:uid="{00000000-0005-0000-0000-0000A07F0000}"/>
    <cellStyle name="Normal 57 3 3 4 2 6 2 2" xfId="45840" xr:uid="{00000000-0005-0000-0000-0000A17F0000}"/>
    <cellStyle name="Normal 57 3 3 4 2 6 3" xfId="33114" xr:uid="{00000000-0005-0000-0000-0000A27F0000}"/>
    <cellStyle name="Normal 57 3 3 4 2 7" xfId="16798" xr:uid="{00000000-0005-0000-0000-0000A37F0000}"/>
    <cellStyle name="Normal 57 3 3 4 2 7 2" xfId="42351" xr:uid="{00000000-0005-0000-0000-0000A47F0000}"/>
    <cellStyle name="Normal 57 3 3 4 2 8" xfId="26770" xr:uid="{00000000-0005-0000-0000-0000A57F0000}"/>
    <cellStyle name="Normal 57 3 3 4 3" xfId="1243" xr:uid="{00000000-0005-0000-0000-0000A67F0000}"/>
    <cellStyle name="Normal 57 3 3 4 3 2" xfId="3672" xr:uid="{00000000-0005-0000-0000-0000A77F0000}"/>
    <cellStyle name="Normal 57 3 3 4 3 2 2" xfId="12808" xr:uid="{00000000-0005-0000-0000-0000A87F0000}"/>
    <cellStyle name="Normal 57 3 3 4 3 2 2 2" xfId="23027" xr:uid="{00000000-0005-0000-0000-0000A97F0000}"/>
    <cellStyle name="Normal 57 3 3 4 3 2 2 2 2" xfId="48580" xr:uid="{00000000-0005-0000-0000-0000AA7F0000}"/>
    <cellStyle name="Normal 57 3 3 4 3 2 2 3" xfId="38363" xr:uid="{00000000-0005-0000-0000-0000AB7F0000}"/>
    <cellStyle name="Normal 57 3 3 4 3 2 3" xfId="9229" xr:uid="{00000000-0005-0000-0000-0000AC7F0000}"/>
    <cellStyle name="Normal 57 3 3 4 3 2 3 2" xfId="34786" xr:uid="{00000000-0005-0000-0000-0000AD7F0000}"/>
    <cellStyle name="Normal 57 3 3 4 3 2 4" xfId="18020" xr:uid="{00000000-0005-0000-0000-0000AE7F0000}"/>
    <cellStyle name="Normal 57 3 3 4 3 2 4 2" xfId="43573" xr:uid="{00000000-0005-0000-0000-0000AF7F0000}"/>
    <cellStyle name="Normal 57 3 3 4 3 2 5" xfId="29510" xr:uid="{00000000-0005-0000-0000-0000B07F0000}"/>
    <cellStyle name="Normal 57 3 3 4 3 3" xfId="5005" xr:uid="{00000000-0005-0000-0000-0000B17F0000}"/>
    <cellStyle name="Normal 57 3 3 4 3 3 2" xfId="13842" xr:uid="{00000000-0005-0000-0000-0000B27F0000}"/>
    <cellStyle name="Normal 57 3 3 4 3 3 2 2" xfId="24093" xr:uid="{00000000-0005-0000-0000-0000B37F0000}"/>
    <cellStyle name="Normal 57 3 3 4 3 3 2 2 2" xfId="49646" xr:uid="{00000000-0005-0000-0000-0000B47F0000}"/>
    <cellStyle name="Normal 57 3 3 4 3 3 2 3" xfId="39397" xr:uid="{00000000-0005-0000-0000-0000B57F0000}"/>
    <cellStyle name="Normal 57 3 3 4 3 3 3" xfId="10263" xr:uid="{00000000-0005-0000-0000-0000B67F0000}"/>
    <cellStyle name="Normal 57 3 3 4 3 3 3 2" xfId="35820" xr:uid="{00000000-0005-0000-0000-0000B77F0000}"/>
    <cellStyle name="Normal 57 3 3 4 3 3 4" xfId="19086" xr:uid="{00000000-0005-0000-0000-0000B87F0000}"/>
    <cellStyle name="Normal 57 3 3 4 3 3 4 2" xfId="44639" xr:uid="{00000000-0005-0000-0000-0000B97F0000}"/>
    <cellStyle name="Normal 57 3 3 4 3 3 5" xfId="30576" xr:uid="{00000000-0005-0000-0000-0000BA7F0000}"/>
    <cellStyle name="Normal 57 3 3 4 3 4" xfId="2066" xr:uid="{00000000-0005-0000-0000-0000BB7F0000}"/>
    <cellStyle name="Normal 57 3 3 4 3 4 2" xfId="11431" xr:uid="{00000000-0005-0000-0000-0000BC7F0000}"/>
    <cellStyle name="Normal 57 3 3 4 3 4 2 2" xfId="36986" xr:uid="{00000000-0005-0000-0000-0000BD7F0000}"/>
    <cellStyle name="Normal 57 3 3 4 3 4 3" xfId="21435" xr:uid="{00000000-0005-0000-0000-0000BE7F0000}"/>
    <cellStyle name="Normal 57 3 3 4 3 4 3 2" xfId="46988" xr:uid="{00000000-0005-0000-0000-0000BF7F0000}"/>
    <cellStyle name="Normal 57 3 3 4 3 4 4" xfId="27918" xr:uid="{00000000-0005-0000-0000-0000C07F0000}"/>
    <cellStyle name="Normal 57 3 3 4 3 5" xfId="6460" xr:uid="{00000000-0005-0000-0000-0000C17F0000}"/>
    <cellStyle name="Normal 57 3 3 4 3 5 2" xfId="15287" xr:uid="{00000000-0005-0000-0000-0000C27F0000}"/>
    <cellStyle name="Normal 57 3 3 4 3 5 2 2" xfId="40842" xr:uid="{00000000-0005-0000-0000-0000C37F0000}"/>
    <cellStyle name="Normal 57 3 3 4 3 5 3" xfId="25538" xr:uid="{00000000-0005-0000-0000-0000C47F0000}"/>
    <cellStyle name="Normal 57 3 3 4 3 5 3 2" xfId="51091" xr:uid="{00000000-0005-0000-0000-0000C57F0000}"/>
    <cellStyle name="Normal 57 3 3 4 3 5 4" xfId="32021" xr:uid="{00000000-0005-0000-0000-0000C67F0000}"/>
    <cellStyle name="Normal 57 3 3 4 3 6" xfId="7906" xr:uid="{00000000-0005-0000-0000-0000C77F0000}"/>
    <cellStyle name="Normal 57 3 3 4 3 6 2" xfId="20626" xr:uid="{00000000-0005-0000-0000-0000C87F0000}"/>
    <cellStyle name="Normal 57 3 3 4 3 6 2 2" xfId="46179" xr:uid="{00000000-0005-0000-0000-0000C97F0000}"/>
    <cellStyle name="Normal 57 3 3 4 3 6 3" xfId="33463" xr:uid="{00000000-0005-0000-0000-0000CA7F0000}"/>
    <cellStyle name="Normal 57 3 3 4 3 7" xfId="16428" xr:uid="{00000000-0005-0000-0000-0000CB7F0000}"/>
    <cellStyle name="Normal 57 3 3 4 3 7 2" xfId="41981" xr:uid="{00000000-0005-0000-0000-0000CC7F0000}"/>
    <cellStyle name="Normal 57 3 3 4 3 8" xfId="27109" xr:uid="{00000000-0005-0000-0000-0000CD7F0000}"/>
    <cellStyle name="Normal 57 3 3 4 4" xfId="2957" xr:uid="{00000000-0005-0000-0000-0000CE7F0000}"/>
    <cellStyle name="Normal 57 3 3 4 4 2" xfId="5335" xr:uid="{00000000-0005-0000-0000-0000CF7F0000}"/>
    <cellStyle name="Normal 57 3 3 4 4 2 2" xfId="14172" xr:uid="{00000000-0005-0000-0000-0000D07F0000}"/>
    <cellStyle name="Normal 57 3 3 4 4 2 2 2" xfId="24423" xr:uid="{00000000-0005-0000-0000-0000D17F0000}"/>
    <cellStyle name="Normal 57 3 3 4 4 2 2 2 2" xfId="49976" xr:uid="{00000000-0005-0000-0000-0000D27F0000}"/>
    <cellStyle name="Normal 57 3 3 4 4 2 2 3" xfId="39727" xr:uid="{00000000-0005-0000-0000-0000D37F0000}"/>
    <cellStyle name="Normal 57 3 3 4 4 2 3" xfId="10593" xr:uid="{00000000-0005-0000-0000-0000D47F0000}"/>
    <cellStyle name="Normal 57 3 3 4 4 2 3 2" xfId="36150" xr:uid="{00000000-0005-0000-0000-0000D57F0000}"/>
    <cellStyle name="Normal 57 3 3 4 4 2 4" xfId="19416" xr:uid="{00000000-0005-0000-0000-0000D67F0000}"/>
    <cellStyle name="Normal 57 3 3 4 4 2 4 2" xfId="44969" xr:uid="{00000000-0005-0000-0000-0000D77F0000}"/>
    <cellStyle name="Normal 57 3 3 4 4 2 5" xfId="30906" xr:uid="{00000000-0005-0000-0000-0000D87F0000}"/>
    <cellStyle name="Normal 57 3 3 4 4 3" xfId="6790" xr:uid="{00000000-0005-0000-0000-0000D97F0000}"/>
    <cellStyle name="Normal 57 3 3 4 4 3 2" xfId="15617" xr:uid="{00000000-0005-0000-0000-0000DA7F0000}"/>
    <cellStyle name="Normal 57 3 3 4 4 3 2 2" xfId="41172" xr:uid="{00000000-0005-0000-0000-0000DB7F0000}"/>
    <cellStyle name="Normal 57 3 3 4 4 3 3" xfId="25868" xr:uid="{00000000-0005-0000-0000-0000DC7F0000}"/>
    <cellStyle name="Normal 57 3 3 4 4 3 3 2" xfId="51421" xr:uid="{00000000-0005-0000-0000-0000DD7F0000}"/>
    <cellStyle name="Normal 57 3 3 4 4 3 4" xfId="32351" xr:uid="{00000000-0005-0000-0000-0000DE7F0000}"/>
    <cellStyle name="Normal 57 3 3 4 4 4" xfId="8236" xr:uid="{00000000-0005-0000-0000-0000DF7F0000}"/>
    <cellStyle name="Normal 57 3 3 4 4 4 2" xfId="22318" xr:uid="{00000000-0005-0000-0000-0000E07F0000}"/>
    <cellStyle name="Normal 57 3 3 4 4 4 2 2" xfId="47871" xr:uid="{00000000-0005-0000-0000-0000E17F0000}"/>
    <cellStyle name="Normal 57 3 3 4 4 4 3" xfId="33793" xr:uid="{00000000-0005-0000-0000-0000E27F0000}"/>
    <cellStyle name="Normal 57 3 3 4 4 5" xfId="17311" xr:uid="{00000000-0005-0000-0000-0000E37F0000}"/>
    <cellStyle name="Normal 57 3 3 4 4 5 2" xfId="42864" xr:uid="{00000000-0005-0000-0000-0000E47F0000}"/>
    <cellStyle name="Normal 57 3 3 4 4 6" xfId="28801" xr:uid="{00000000-0005-0000-0000-0000E57F0000}"/>
    <cellStyle name="Normal 57 3 3 4 5" xfId="4291" xr:uid="{00000000-0005-0000-0000-0000E67F0000}"/>
    <cellStyle name="Normal 57 3 3 4 5 2" xfId="13129" xr:uid="{00000000-0005-0000-0000-0000E77F0000}"/>
    <cellStyle name="Normal 57 3 3 4 5 2 2" xfId="23380" xr:uid="{00000000-0005-0000-0000-0000E87F0000}"/>
    <cellStyle name="Normal 57 3 3 4 5 2 2 2" xfId="48933" xr:uid="{00000000-0005-0000-0000-0000E97F0000}"/>
    <cellStyle name="Normal 57 3 3 4 5 2 3" xfId="38684" xr:uid="{00000000-0005-0000-0000-0000EA7F0000}"/>
    <cellStyle name="Normal 57 3 3 4 5 3" xfId="9550" xr:uid="{00000000-0005-0000-0000-0000EB7F0000}"/>
    <cellStyle name="Normal 57 3 3 4 5 3 2" xfId="35107" xr:uid="{00000000-0005-0000-0000-0000EC7F0000}"/>
    <cellStyle name="Normal 57 3 3 4 5 4" xfId="18373" xr:uid="{00000000-0005-0000-0000-0000ED7F0000}"/>
    <cellStyle name="Normal 57 3 3 4 5 4 2" xfId="43926" xr:uid="{00000000-0005-0000-0000-0000EE7F0000}"/>
    <cellStyle name="Normal 57 3 3 4 5 5" xfId="29863" xr:uid="{00000000-0005-0000-0000-0000EF7F0000}"/>
    <cellStyle name="Normal 57 3 3 4 6" xfId="1563" xr:uid="{00000000-0005-0000-0000-0000F07F0000}"/>
    <cellStyle name="Normal 57 3 3 4 6 2" xfId="10940" xr:uid="{00000000-0005-0000-0000-0000F17F0000}"/>
    <cellStyle name="Normal 57 3 3 4 6 2 2" xfId="36495" xr:uid="{00000000-0005-0000-0000-0000F27F0000}"/>
    <cellStyle name="Normal 57 3 3 4 6 3" xfId="20944" xr:uid="{00000000-0005-0000-0000-0000F37F0000}"/>
    <cellStyle name="Normal 57 3 3 4 6 3 2" xfId="46497" xr:uid="{00000000-0005-0000-0000-0000F47F0000}"/>
    <cellStyle name="Normal 57 3 3 4 6 4" xfId="27427" xr:uid="{00000000-0005-0000-0000-0000F57F0000}"/>
    <cellStyle name="Normal 57 3 3 4 7" xfId="5747" xr:uid="{00000000-0005-0000-0000-0000F67F0000}"/>
    <cellStyle name="Normal 57 3 3 4 7 2" xfId="14574" xr:uid="{00000000-0005-0000-0000-0000F77F0000}"/>
    <cellStyle name="Normal 57 3 3 4 7 2 2" xfId="40129" xr:uid="{00000000-0005-0000-0000-0000F87F0000}"/>
    <cellStyle name="Normal 57 3 3 4 7 3" xfId="24825" xr:uid="{00000000-0005-0000-0000-0000F97F0000}"/>
    <cellStyle name="Normal 57 3 3 4 7 3 2" xfId="50378" xr:uid="{00000000-0005-0000-0000-0000FA7F0000}"/>
    <cellStyle name="Normal 57 3 3 4 7 4" xfId="31308" xr:uid="{00000000-0005-0000-0000-0000FB7F0000}"/>
    <cellStyle name="Normal 57 3 3 4 8" xfId="7191" xr:uid="{00000000-0005-0000-0000-0000FC7F0000}"/>
    <cellStyle name="Normal 57 3 3 4 8 2" xfId="19917" xr:uid="{00000000-0005-0000-0000-0000FD7F0000}"/>
    <cellStyle name="Normal 57 3 3 4 8 2 2" xfId="45470" xr:uid="{00000000-0005-0000-0000-0000FE7F0000}"/>
    <cellStyle name="Normal 57 3 3 4 8 3" xfId="32748" xr:uid="{00000000-0005-0000-0000-0000FF7F0000}"/>
    <cellStyle name="Normal 57 3 3 4 9" xfId="15937" xr:uid="{00000000-0005-0000-0000-000000800000}"/>
    <cellStyle name="Normal 57 3 3 4 9 2" xfId="41490" xr:uid="{00000000-0005-0000-0000-000001800000}"/>
    <cellStyle name="Normal 57 3 3 4_Degree data" xfId="3948" xr:uid="{00000000-0005-0000-0000-000002800000}"/>
    <cellStyle name="Normal 57 3 3 5" xfId="312" xr:uid="{00000000-0005-0000-0000-000003800000}"/>
    <cellStyle name="Normal 57 3 3 5 2" xfId="2798" xr:uid="{00000000-0005-0000-0000-000004800000}"/>
    <cellStyle name="Normal 57 3 3 5 2 2" xfId="12102" xr:uid="{00000000-0005-0000-0000-000005800000}"/>
    <cellStyle name="Normal 57 3 3 5 2 2 2" xfId="22159" xr:uid="{00000000-0005-0000-0000-000006800000}"/>
    <cellStyle name="Normal 57 3 3 5 2 2 2 2" xfId="47712" xr:uid="{00000000-0005-0000-0000-000007800000}"/>
    <cellStyle name="Normal 57 3 3 5 2 2 3" xfId="37657" xr:uid="{00000000-0005-0000-0000-000008800000}"/>
    <cellStyle name="Normal 57 3 3 5 2 3" xfId="8471" xr:uid="{00000000-0005-0000-0000-000009800000}"/>
    <cellStyle name="Normal 57 3 3 5 2 3 2" xfId="34028" xr:uid="{00000000-0005-0000-0000-00000A800000}"/>
    <cellStyle name="Normal 57 3 3 5 2 4" xfId="17152" xr:uid="{00000000-0005-0000-0000-00000B800000}"/>
    <cellStyle name="Normal 57 3 3 5 2 4 2" xfId="42705" xr:uid="{00000000-0005-0000-0000-00000C800000}"/>
    <cellStyle name="Normal 57 3 3 5 2 5" xfId="28642" xr:uid="{00000000-0005-0000-0000-00000D800000}"/>
    <cellStyle name="Normal 57 3 3 5 3" xfId="4651" xr:uid="{00000000-0005-0000-0000-00000E800000}"/>
    <cellStyle name="Normal 57 3 3 5 3 2" xfId="13489" xr:uid="{00000000-0005-0000-0000-00000F800000}"/>
    <cellStyle name="Normal 57 3 3 5 3 2 2" xfId="23740" xr:uid="{00000000-0005-0000-0000-000010800000}"/>
    <cellStyle name="Normal 57 3 3 5 3 2 2 2" xfId="49293" xr:uid="{00000000-0005-0000-0000-000011800000}"/>
    <cellStyle name="Normal 57 3 3 5 3 2 3" xfId="39044" xr:uid="{00000000-0005-0000-0000-000012800000}"/>
    <cellStyle name="Normal 57 3 3 5 3 3" xfId="9910" xr:uid="{00000000-0005-0000-0000-000013800000}"/>
    <cellStyle name="Normal 57 3 3 5 3 3 2" xfId="35467" xr:uid="{00000000-0005-0000-0000-000014800000}"/>
    <cellStyle name="Normal 57 3 3 5 3 4" xfId="18733" xr:uid="{00000000-0005-0000-0000-000015800000}"/>
    <cellStyle name="Normal 57 3 3 5 3 4 2" xfId="44286" xr:uid="{00000000-0005-0000-0000-000016800000}"/>
    <cellStyle name="Normal 57 3 3 5 3 5" xfId="30223" xr:uid="{00000000-0005-0000-0000-000017800000}"/>
    <cellStyle name="Normal 57 3 3 5 4" xfId="1907" xr:uid="{00000000-0005-0000-0000-000018800000}"/>
    <cellStyle name="Normal 57 3 3 5 4 2" xfId="11272" xr:uid="{00000000-0005-0000-0000-000019800000}"/>
    <cellStyle name="Normal 57 3 3 5 4 2 2" xfId="36827" xr:uid="{00000000-0005-0000-0000-00001A800000}"/>
    <cellStyle name="Normal 57 3 3 5 4 3" xfId="21276" xr:uid="{00000000-0005-0000-0000-00001B800000}"/>
    <cellStyle name="Normal 57 3 3 5 4 3 2" xfId="46829" xr:uid="{00000000-0005-0000-0000-00001C800000}"/>
    <cellStyle name="Normal 57 3 3 5 4 4" xfId="27759" xr:uid="{00000000-0005-0000-0000-00001D800000}"/>
    <cellStyle name="Normal 57 3 3 5 5" xfId="6107" xr:uid="{00000000-0005-0000-0000-00001E800000}"/>
    <cellStyle name="Normal 57 3 3 5 5 2" xfId="14934" xr:uid="{00000000-0005-0000-0000-00001F800000}"/>
    <cellStyle name="Normal 57 3 3 5 5 2 2" xfId="40489" xr:uid="{00000000-0005-0000-0000-000020800000}"/>
    <cellStyle name="Normal 57 3 3 5 5 3" xfId="25185" xr:uid="{00000000-0005-0000-0000-000021800000}"/>
    <cellStyle name="Normal 57 3 3 5 5 3 2" xfId="50738" xr:uid="{00000000-0005-0000-0000-000022800000}"/>
    <cellStyle name="Normal 57 3 3 5 5 4" xfId="31668" xr:uid="{00000000-0005-0000-0000-000023800000}"/>
    <cellStyle name="Normal 57 3 3 5 6" xfId="7552" xr:uid="{00000000-0005-0000-0000-000024800000}"/>
    <cellStyle name="Normal 57 3 3 5 6 2" xfId="19758" xr:uid="{00000000-0005-0000-0000-000025800000}"/>
    <cellStyle name="Normal 57 3 3 5 6 2 2" xfId="45311" xr:uid="{00000000-0005-0000-0000-000026800000}"/>
    <cellStyle name="Normal 57 3 3 5 6 3" xfId="33109" xr:uid="{00000000-0005-0000-0000-000027800000}"/>
    <cellStyle name="Normal 57 3 3 5 7" xfId="16269" xr:uid="{00000000-0005-0000-0000-000028800000}"/>
    <cellStyle name="Normal 57 3 3 5 7 2" xfId="41822" xr:uid="{00000000-0005-0000-0000-000029800000}"/>
    <cellStyle name="Normal 57 3 3 5 8" xfId="26241" xr:uid="{00000000-0005-0000-0000-00002A800000}"/>
    <cellStyle name="Normal 57 3 3 6" xfId="837" xr:uid="{00000000-0005-0000-0000-00002B800000}"/>
    <cellStyle name="Normal 57 3 3 6 2" xfId="3322" xr:uid="{00000000-0005-0000-0000-00002C800000}"/>
    <cellStyle name="Normal 57 3 3 6 2 2" xfId="12464" xr:uid="{00000000-0005-0000-0000-00002D800000}"/>
    <cellStyle name="Normal 57 3 3 6 2 2 2" xfId="22683" xr:uid="{00000000-0005-0000-0000-00002E800000}"/>
    <cellStyle name="Normal 57 3 3 6 2 2 2 2" xfId="48236" xr:uid="{00000000-0005-0000-0000-00002F800000}"/>
    <cellStyle name="Normal 57 3 3 6 2 2 3" xfId="38019" xr:uid="{00000000-0005-0000-0000-000030800000}"/>
    <cellStyle name="Normal 57 3 3 6 2 3" xfId="8886" xr:uid="{00000000-0005-0000-0000-000031800000}"/>
    <cellStyle name="Normal 57 3 3 6 2 3 2" xfId="34443" xr:uid="{00000000-0005-0000-0000-000032800000}"/>
    <cellStyle name="Normal 57 3 3 6 2 4" xfId="17676" xr:uid="{00000000-0005-0000-0000-000033800000}"/>
    <cellStyle name="Normal 57 3 3 6 2 4 2" xfId="43229" xr:uid="{00000000-0005-0000-0000-000034800000}"/>
    <cellStyle name="Normal 57 3 3 6 2 5" xfId="29166" xr:uid="{00000000-0005-0000-0000-000035800000}"/>
    <cellStyle name="Normal 57 3 3 6 3" xfId="5000" xr:uid="{00000000-0005-0000-0000-000036800000}"/>
    <cellStyle name="Normal 57 3 3 6 3 2" xfId="13837" xr:uid="{00000000-0005-0000-0000-000037800000}"/>
    <cellStyle name="Normal 57 3 3 6 3 2 2" xfId="24088" xr:uid="{00000000-0005-0000-0000-000038800000}"/>
    <cellStyle name="Normal 57 3 3 6 3 2 2 2" xfId="49641" xr:uid="{00000000-0005-0000-0000-000039800000}"/>
    <cellStyle name="Normal 57 3 3 6 3 2 3" xfId="39392" xr:uid="{00000000-0005-0000-0000-00003A800000}"/>
    <cellStyle name="Normal 57 3 3 6 3 3" xfId="10258" xr:uid="{00000000-0005-0000-0000-00003B800000}"/>
    <cellStyle name="Normal 57 3 3 6 3 3 2" xfId="35815" xr:uid="{00000000-0005-0000-0000-00003C800000}"/>
    <cellStyle name="Normal 57 3 3 6 3 4" xfId="19081" xr:uid="{00000000-0005-0000-0000-00003D800000}"/>
    <cellStyle name="Normal 57 3 3 6 3 4 2" xfId="44634" xr:uid="{00000000-0005-0000-0000-00003E800000}"/>
    <cellStyle name="Normal 57 3 3 6 3 5" xfId="30571" xr:uid="{00000000-0005-0000-0000-00003F800000}"/>
    <cellStyle name="Normal 57 3 3 6 4" xfId="2431" xr:uid="{00000000-0005-0000-0000-000040800000}"/>
    <cellStyle name="Normal 57 3 3 6 4 2" xfId="11796" xr:uid="{00000000-0005-0000-0000-000041800000}"/>
    <cellStyle name="Normal 57 3 3 6 4 2 2" xfId="37351" xr:uid="{00000000-0005-0000-0000-000042800000}"/>
    <cellStyle name="Normal 57 3 3 6 4 3" xfId="21800" xr:uid="{00000000-0005-0000-0000-000043800000}"/>
    <cellStyle name="Normal 57 3 3 6 4 3 2" xfId="47353" xr:uid="{00000000-0005-0000-0000-000044800000}"/>
    <cellStyle name="Normal 57 3 3 6 4 4" xfId="28283" xr:uid="{00000000-0005-0000-0000-000045800000}"/>
    <cellStyle name="Normal 57 3 3 6 5" xfId="6455" xr:uid="{00000000-0005-0000-0000-000046800000}"/>
    <cellStyle name="Normal 57 3 3 6 5 2" xfId="15282" xr:uid="{00000000-0005-0000-0000-000047800000}"/>
    <cellStyle name="Normal 57 3 3 6 5 2 2" xfId="40837" xr:uid="{00000000-0005-0000-0000-000048800000}"/>
    <cellStyle name="Normal 57 3 3 6 5 3" xfId="25533" xr:uid="{00000000-0005-0000-0000-000049800000}"/>
    <cellStyle name="Normal 57 3 3 6 5 3 2" xfId="51086" xr:uid="{00000000-0005-0000-0000-00004A800000}"/>
    <cellStyle name="Normal 57 3 3 6 5 4" xfId="32016" xr:uid="{00000000-0005-0000-0000-00004B800000}"/>
    <cellStyle name="Normal 57 3 3 6 6" xfId="7901" xr:uid="{00000000-0005-0000-0000-00004C800000}"/>
    <cellStyle name="Normal 57 3 3 6 6 2" xfId="20282" xr:uid="{00000000-0005-0000-0000-00004D800000}"/>
    <cellStyle name="Normal 57 3 3 6 6 2 2" xfId="45835" xr:uid="{00000000-0005-0000-0000-00004E800000}"/>
    <cellStyle name="Normal 57 3 3 6 6 3" xfId="33458" xr:uid="{00000000-0005-0000-0000-00004F800000}"/>
    <cellStyle name="Normal 57 3 3 6 7" xfId="16793" xr:uid="{00000000-0005-0000-0000-000050800000}"/>
    <cellStyle name="Normal 57 3 3 6 7 2" xfId="42346" xr:uid="{00000000-0005-0000-0000-000051800000}"/>
    <cellStyle name="Normal 57 3 3 6 8" xfId="26765" xr:uid="{00000000-0005-0000-0000-000052800000}"/>
    <cellStyle name="Normal 57 3 3 7" xfId="1084" xr:uid="{00000000-0005-0000-0000-000053800000}"/>
    <cellStyle name="Normal 57 3 3 7 2" xfId="3513" xr:uid="{00000000-0005-0000-0000-000054800000}"/>
    <cellStyle name="Normal 57 3 3 7 2 2" xfId="12649" xr:uid="{00000000-0005-0000-0000-000055800000}"/>
    <cellStyle name="Normal 57 3 3 7 2 2 2" xfId="22868" xr:uid="{00000000-0005-0000-0000-000056800000}"/>
    <cellStyle name="Normal 57 3 3 7 2 2 2 2" xfId="48421" xr:uid="{00000000-0005-0000-0000-000057800000}"/>
    <cellStyle name="Normal 57 3 3 7 2 2 3" xfId="38204" xr:uid="{00000000-0005-0000-0000-000058800000}"/>
    <cellStyle name="Normal 57 3 3 7 2 3" xfId="9071" xr:uid="{00000000-0005-0000-0000-000059800000}"/>
    <cellStyle name="Normal 57 3 3 7 2 3 2" xfId="34628" xr:uid="{00000000-0005-0000-0000-00005A800000}"/>
    <cellStyle name="Normal 57 3 3 7 2 4" xfId="17861" xr:uid="{00000000-0005-0000-0000-00005B800000}"/>
    <cellStyle name="Normal 57 3 3 7 2 4 2" xfId="43414" xr:uid="{00000000-0005-0000-0000-00005C800000}"/>
    <cellStyle name="Normal 57 3 3 7 2 5" xfId="29351" xr:uid="{00000000-0005-0000-0000-00005D800000}"/>
    <cellStyle name="Normal 57 3 3 7 3" xfId="5176" xr:uid="{00000000-0005-0000-0000-00005E800000}"/>
    <cellStyle name="Normal 57 3 3 7 3 2" xfId="14013" xr:uid="{00000000-0005-0000-0000-00005F800000}"/>
    <cellStyle name="Normal 57 3 3 7 3 2 2" xfId="24264" xr:uid="{00000000-0005-0000-0000-000060800000}"/>
    <cellStyle name="Normal 57 3 3 7 3 2 2 2" xfId="49817" xr:uid="{00000000-0005-0000-0000-000061800000}"/>
    <cellStyle name="Normal 57 3 3 7 3 2 3" xfId="39568" xr:uid="{00000000-0005-0000-0000-000062800000}"/>
    <cellStyle name="Normal 57 3 3 7 3 3" xfId="10434" xr:uid="{00000000-0005-0000-0000-000063800000}"/>
    <cellStyle name="Normal 57 3 3 7 3 3 2" xfId="35991" xr:uid="{00000000-0005-0000-0000-000064800000}"/>
    <cellStyle name="Normal 57 3 3 7 3 4" xfId="19257" xr:uid="{00000000-0005-0000-0000-000065800000}"/>
    <cellStyle name="Normal 57 3 3 7 3 4 2" xfId="44810" xr:uid="{00000000-0005-0000-0000-000066800000}"/>
    <cellStyle name="Normal 57 3 3 7 3 5" xfId="30747" xr:uid="{00000000-0005-0000-0000-000067800000}"/>
    <cellStyle name="Normal 57 3 3 7 4" xfId="1742" xr:uid="{00000000-0005-0000-0000-000068800000}"/>
    <cellStyle name="Normal 57 3 3 7 4 2" xfId="11113" xr:uid="{00000000-0005-0000-0000-000069800000}"/>
    <cellStyle name="Normal 57 3 3 7 4 2 2" xfId="36668" xr:uid="{00000000-0005-0000-0000-00006A800000}"/>
    <cellStyle name="Normal 57 3 3 7 4 3" xfId="21117" xr:uid="{00000000-0005-0000-0000-00006B800000}"/>
    <cellStyle name="Normal 57 3 3 7 4 3 2" xfId="46670" xr:uid="{00000000-0005-0000-0000-00006C800000}"/>
    <cellStyle name="Normal 57 3 3 7 4 4" xfId="27600" xr:uid="{00000000-0005-0000-0000-00006D800000}"/>
    <cellStyle name="Normal 57 3 3 7 5" xfId="6631" xr:uid="{00000000-0005-0000-0000-00006E800000}"/>
    <cellStyle name="Normal 57 3 3 7 5 2" xfId="15458" xr:uid="{00000000-0005-0000-0000-00006F800000}"/>
    <cellStyle name="Normal 57 3 3 7 5 2 2" xfId="41013" xr:uid="{00000000-0005-0000-0000-000070800000}"/>
    <cellStyle name="Normal 57 3 3 7 5 3" xfId="25709" xr:uid="{00000000-0005-0000-0000-000071800000}"/>
    <cellStyle name="Normal 57 3 3 7 5 3 2" xfId="51262" xr:uid="{00000000-0005-0000-0000-000072800000}"/>
    <cellStyle name="Normal 57 3 3 7 5 4" xfId="32192" xr:uid="{00000000-0005-0000-0000-000073800000}"/>
    <cellStyle name="Normal 57 3 3 7 6" xfId="8077" xr:uid="{00000000-0005-0000-0000-000074800000}"/>
    <cellStyle name="Normal 57 3 3 7 6 2" xfId="20467" xr:uid="{00000000-0005-0000-0000-000075800000}"/>
    <cellStyle name="Normal 57 3 3 7 6 2 2" xfId="46020" xr:uid="{00000000-0005-0000-0000-000076800000}"/>
    <cellStyle name="Normal 57 3 3 7 6 3" xfId="33634" xr:uid="{00000000-0005-0000-0000-000077800000}"/>
    <cellStyle name="Normal 57 3 3 7 7" xfId="16110" xr:uid="{00000000-0005-0000-0000-000078800000}"/>
    <cellStyle name="Normal 57 3 3 7 7 2" xfId="41663" xr:uid="{00000000-0005-0000-0000-000079800000}"/>
    <cellStyle name="Normal 57 3 3 7 8" xfId="26950" xr:uid="{00000000-0005-0000-0000-00007A800000}"/>
    <cellStyle name="Normal 57 3 3 8" xfId="2640" xr:uid="{00000000-0005-0000-0000-00007B800000}"/>
    <cellStyle name="Normal 57 3 3 8 2" xfId="5588" xr:uid="{00000000-0005-0000-0000-00007C800000}"/>
    <cellStyle name="Normal 57 3 3 8 2 2" xfId="14415" xr:uid="{00000000-0005-0000-0000-00007D800000}"/>
    <cellStyle name="Normal 57 3 3 8 2 2 2" xfId="39970" xr:uid="{00000000-0005-0000-0000-00007E800000}"/>
    <cellStyle name="Normal 57 3 3 8 2 3" xfId="24666" xr:uid="{00000000-0005-0000-0000-00007F800000}"/>
    <cellStyle name="Normal 57 3 3 8 2 3 2" xfId="50219" xr:uid="{00000000-0005-0000-0000-000080800000}"/>
    <cellStyle name="Normal 57 3 3 8 2 4" xfId="31149" xr:uid="{00000000-0005-0000-0000-000081800000}"/>
    <cellStyle name="Normal 57 3 3 8 3" xfId="7032" xr:uid="{00000000-0005-0000-0000-000082800000}"/>
    <cellStyle name="Normal 57 3 3 8 3 2" xfId="22001" xr:uid="{00000000-0005-0000-0000-000083800000}"/>
    <cellStyle name="Normal 57 3 3 8 3 2 2" xfId="47554" xr:uid="{00000000-0005-0000-0000-000084800000}"/>
    <cellStyle name="Normal 57 3 3 8 3 3" xfId="32589" xr:uid="{00000000-0005-0000-0000-000085800000}"/>
    <cellStyle name="Normal 57 3 3 8 4" xfId="16994" xr:uid="{00000000-0005-0000-0000-000086800000}"/>
    <cellStyle name="Normal 57 3 3 8 4 2" xfId="42547" xr:uid="{00000000-0005-0000-0000-000087800000}"/>
    <cellStyle name="Normal 57 3 3 8 5" xfId="28484" xr:uid="{00000000-0005-0000-0000-000088800000}"/>
    <cellStyle name="Normal 57 3 3 9" xfId="4130" xr:uid="{00000000-0005-0000-0000-000089800000}"/>
    <cellStyle name="Normal 57 3 3 9 2" xfId="12968" xr:uid="{00000000-0005-0000-0000-00008A800000}"/>
    <cellStyle name="Normal 57 3 3 9 2 2" xfId="23219" xr:uid="{00000000-0005-0000-0000-00008B800000}"/>
    <cellStyle name="Normal 57 3 3 9 2 2 2" xfId="48772" xr:uid="{00000000-0005-0000-0000-00008C800000}"/>
    <cellStyle name="Normal 57 3 3 9 2 3" xfId="38523" xr:uid="{00000000-0005-0000-0000-00008D800000}"/>
    <cellStyle name="Normal 57 3 3 9 3" xfId="9389" xr:uid="{00000000-0005-0000-0000-00008E800000}"/>
    <cellStyle name="Normal 57 3 3 9 3 2" xfId="34946" xr:uid="{00000000-0005-0000-0000-00008F800000}"/>
    <cellStyle name="Normal 57 3 3 9 4" xfId="18212" xr:uid="{00000000-0005-0000-0000-000090800000}"/>
    <cellStyle name="Normal 57 3 3 9 4 2" xfId="43765" xr:uid="{00000000-0005-0000-0000-000091800000}"/>
    <cellStyle name="Normal 57 3 3 9 5" xfId="29702" xr:uid="{00000000-0005-0000-0000-000092800000}"/>
    <cellStyle name="Normal 57 3 3_Degree data" xfId="3943" xr:uid="{00000000-0005-0000-0000-000093800000}"/>
    <cellStyle name="Normal 57 3 4" xfId="180" xr:uid="{00000000-0005-0000-0000-000094800000}"/>
    <cellStyle name="Normal 57 3 4 10" xfId="7128" xr:uid="{00000000-0005-0000-0000-000095800000}"/>
    <cellStyle name="Normal 57 3 4 10 2" xfId="19637" xr:uid="{00000000-0005-0000-0000-000096800000}"/>
    <cellStyle name="Normal 57 3 4 10 2 2" xfId="45190" xr:uid="{00000000-0005-0000-0000-000097800000}"/>
    <cellStyle name="Normal 57 3 4 10 3" xfId="32685" xr:uid="{00000000-0005-0000-0000-000098800000}"/>
    <cellStyle name="Normal 57 3 4 11" xfId="15874" xr:uid="{00000000-0005-0000-0000-000099800000}"/>
    <cellStyle name="Normal 57 3 4 11 2" xfId="41427" xr:uid="{00000000-0005-0000-0000-00009A800000}"/>
    <cellStyle name="Normal 57 3 4 12" xfId="26120" xr:uid="{00000000-0005-0000-0000-00009B800000}"/>
    <cellStyle name="Normal 57 3 4 2" xfId="508" xr:uid="{00000000-0005-0000-0000-00009C800000}"/>
    <cellStyle name="Normal 57 3 4 2 10" xfId="26437" xr:uid="{00000000-0005-0000-0000-00009D800000}"/>
    <cellStyle name="Normal 57 3 4 2 2" xfId="844" xr:uid="{00000000-0005-0000-0000-00009E800000}"/>
    <cellStyle name="Normal 57 3 4 2 2 2" xfId="3329" xr:uid="{00000000-0005-0000-0000-00009F800000}"/>
    <cellStyle name="Normal 57 3 4 2 2 2 2" xfId="12471" xr:uid="{00000000-0005-0000-0000-0000A0800000}"/>
    <cellStyle name="Normal 57 3 4 2 2 2 2 2" xfId="22690" xr:uid="{00000000-0005-0000-0000-0000A1800000}"/>
    <cellStyle name="Normal 57 3 4 2 2 2 2 2 2" xfId="48243" xr:uid="{00000000-0005-0000-0000-0000A2800000}"/>
    <cellStyle name="Normal 57 3 4 2 2 2 2 3" xfId="38026" xr:uid="{00000000-0005-0000-0000-0000A3800000}"/>
    <cellStyle name="Normal 57 3 4 2 2 2 3" xfId="8893" xr:uid="{00000000-0005-0000-0000-0000A4800000}"/>
    <cellStyle name="Normal 57 3 4 2 2 2 3 2" xfId="34450" xr:uid="{00000000-0005-0000-0000-0000A5800000}"/>
    <cellStyle name="Normal 57 3 4 2 2 2 4" xfId="17683" xr:uid="{00000000-0005-0000-0000-0000A6800000}"/>
    <cellStyle name="Normal 57 3 4 2 2 2 4 2" xfId="43236" xr:uid="{00000000-0005-0000-0000-0000A7800000}"/>
    <cellStyle name="Normal 57 3 4 2 2 2 5" xfId="29173" xr:uid="{00000000-0005-0000-0000-0000A8800000}"/>
    <cellStyle name="Normal 57 3 4 2 2 3" xfId="4658" xr:uid="{00000000-0005-0000-0000-0000A9800000}"/>
    <cellStyle name="Normal 57 3 4 2 2 3 2" xfId="13496" xr:uid="{00000000-0005-0000-0000-0000AA800000}"/>
    <cellStyle name="Normal 57 3 4 2 2 3 2 2" xfId="23747" xr:uid="{00000000-0005-0000-0000-0000AB800000}"/>
    <cellStyle name="Normal 57 3 4 2 2 3 2 2 2" xfId="49300" xr:uid="{00000000-0005-0000-0000-0000AC800000}"/>
    <cellStyle name="Normal 57 3 4 2 2 3 2 3" xfId="39051" xr:uid="{00000000-0005-0000-0000-0000AD800000}"/>
    <cellStyle name="Normal 57 3 4 2 2 3 3" xfId="9917" xr:uid="{00000000-0005-0000-0000-0000AE800000}"/>
    <cellStyle name="Normal 57 3 4 2 2 3 3 2" xfId="35474" xr:uid="{00000000-0005-0000-0000-0000AF800000}"/>
    <cellStyle name="Normal 57 3 4 2 2 3 4" xfId="18740" xr:uid="{00000000-0005-0000-0000-0000B0800000}"/>
    <cellStyle name="Normal 57 3 4 2 2 3 4 2" xfId="44293" xr:uid="{00000000-0005-0000-0000-0000B1800000}"/>
    <cellStyle name="Normal 57 3 4 2 2 3 5" xfId="30230" xr:uid="{00000000-0005-0000-0000-0000B2800000}"/>
    <cellStyle name="Normal 57 3 4 2 2 4" xfId="2438" xr:uid="{00000000-0005-0000-0000-0000B3800000}"/>
    <cellStyle name="Normal 57 3 4 2 2 4 2" xfId="11803" xr:uid="{00000000-0005-0000-0000-0000B4800000}"/>
    <cellStyle name="Normal 57 3 4 2 2 4 2 2" xfId="37358" xr:uid="{00000000-0005-0000-0000-0000B5800000}"/>
    <cellStyle name="Normal 57 3 4 2 2 4 3" xfId="21807" xr:uid="{00000000-0005-0000-0000-0000B6800000}"/>
    <cellStyle name="Normal 57 3 4 2 2 4 3 2" xfId="47360" xr:uid="{00000000-0005-0000-0000-0000B7800000}"/>
    <cellStyle name="Normal 57 3 4 2 2 4 4" xfId="28290" xr:uid="{00000000-0005-0000-0000-0000B8800000}"/>
    <cellStyle name="Normal 57 3 4 2 2 5" xfId="6114" xr:uid="{00000000-0005-0000-0000-0000B9800000}"/>
    <cellStyle name="Normal 57 3 4 2 2 5 2" xfId="14941" xr:uid="{00000000-0005-0000-0000-0000BA800000}"/>
    <cellStyle name="Normal 57 3 4 2 2 5 2 2" xfId="40496" xr:uid="{00000000-0005-0000-0000-0000BB800000}"/>
    <cellStyle name="Normal 57 3 4 2 2 5 3" xfId="25192" xr:uid="{00000000-0005-0000-0000-0000BC800000}"/>
    <cellStyle name="Normal 57 3 4 2 2 5 3 2" xfId="50745" xr:uid="{00000000-0005-0000-0000-0000BD800000}"/>
    <cellStyle name="Normal 57 3 4 2 2 5 4" xfId="31675" xr:uid="{00000000-0005-0000-0000-0000BE800000}"/>
    <cellStyle name="Normal 57 3 4 2 2 6" xfId="7559" xr:uid="{00000000-0005-0000-0000-0000BF800000}"/>
    <cellStyle name="Normal 57 3 4 2 2 6 2" xfId="20289" xr:uid="{00000000-0005-0000-0000-0000C0800000}"/>
    <cellStyle name="Normal 57 3 4 2 2 6 2 2" xfId="45842" xr:uid="{00000000-0005-0000-0000-0000C1800000}"/>
    <cellStyle name="Normal 57 3 4 2 2 6 3" xfId="33116" xr:uid="{00000000-0005-0000-0000-0000C2800000}"/>
    <cellStyle name="Normal 57 3 4 2 2 7" xfId="16800" xr:uid="{00000000-0005-0000-0000-0000C3800000}"/>
    <cellStyle name="Normal 57 3 4 2 2 7 2" xfId="42353" xr:uid="{00000000-0005-0000-0000-0000C4800000}"/>
    <cellStyle name="Normal 57 3 4 2 2 8" xfId="26772" xr:uid="{00000000-0005-0000-0000-0000C5800000}"/>
    <cellStyle name="Normal 57 3 4 2 3" xfId="1280" xr:uid="{00000000-0005-0000-0000-0000C6800000}"/>
    <cellStyle name="Normal 57 3 4 2 3 2" xfId="3709" xr:uid="{00000000-0005-0000-0000-0000C7800000}"/>
    <cellStyle name="Normal 57 3 4 2 3 2 2" xfId="12845" xr:uid="{00000000-0005-0000-0000-0000C8800000}"/>
    <cellStyle name="Normal 57 3 4 2 3 2 2 2" xfId="23064" xr:uid="{00000000-0005-0000-0000-0000C9800000}"/>
    <cellStyle name="Normal 57 3 4 2 3 2 2 2 2" xfId="48617" xr:uid="{00000000-0005-0000-0000-0000CA800000}"/>
    <cellStyle name="Normal 57 3 4 2 3 2 2 3" xfId="38400" xr:uid="{00000000-0005-0000-0000-0000CB800000}"/>
    <cellStyle name="Normal 57 3 4 2 3 2 3" xfId="9266" xr:uid="{00000000-0005-0000-0000-0000CC800000}"/>
    <cellStyle name="Normal 57 3 4 2 3 2 3 2" xfId="34823" xr:uid="{00000000-0005-0000-0000-0000CD800000}"/>
    <cellStyle name="Normal 57 3 4 2 3 2 4" xfId="18057" xr:uid="{00000000-0005-0000-0000-0000CE800000}"/>
    <cellStyle name="Normal 57 3 4 2 3 2 4 2" xfId="43610" xr:uid="{00000000-0005-0000-0000-0000CF800000}"/>
    <cellStyle name="Normal 57 3 4 2 3 2 5" xfId="29547" xr:uid="{00000000-0005-0000-0000-0000D0800000}"/>
    <cellStyle name="Normal 57 3 4 2 3 3" xfId="5007" xr:uid="{00000000-0005-0000-0000-0000D1800000}"/>
    <cellStyle name="Normal 57 3 4 2 3 3 2" xfId="13844" xr:uid="{00000000-0005-0000-0000-0000D2800000}"/>
    <cellStyle name="Normal 57 3 4 2 3 3 2 2" xfId="24095" xr:uid="{00000000-0005-0000-0000-0000D3800000}"/>
    <cellStyle name="Normal 57 3 4 2 3 3 2 2 2" xfId="49648" xr:uid="{00000000-0005-0000-0000-0000D4800000}"/>
    <cellStyle name="Normal 57 3 4 2 3 3 2 3" xfId="39399" xr:uid="{00000000-0005-0000-0000-0000D5800000}"/>
    <cellStyle name="Normal 57 3 4 2 3 3 3" xfId="10265" xr:uid="{00000000-0005-0000-0000-0000D6800000}"/>
    <cellStyle name="Normal 57 3 4 2 3 3 3 2" xfId="35822" xr:uid="{00000000-0005-0000-0000-0000D7800000}"/>
    <cellStyle name="Normal 57 3 4 2 3 3 4" xfId="19088" xr:uid="{00000000-0005-0000-0000-0000D8800000}"/>
    <cellStyle name="Normal 57 3 4 2 3 3 4 2" xfId="44641" xr:uid="{00000000-0005-0000-0000-0000D9800000}"/>
    <cellStyle name="Normal 57 3 4 2 3 3 5" xfId="30578" xr:uid="{00000000-0005-0000-0000-0000DA800000}"/>
    <cellStyle name="Normal 57 3 4 2 3 4" xfId="2103" xr:uid="{00000000-0005-0000-0000-0000DB800000}"/>
    <cellStyle name="Normal 57 3 4 2 3 4 2" xfId="11468" xr:uid="{00000000-0005-0000-0000-0000DC800000}"/>
    <cellStyle name="Normal 57 3 4 2 3 4 2 2" xfId="37023" xr:uid="{00000000-0005-0000-0000-0000DD800000}"/>
    <cellStyle name="Normal 57 3 4 2 3 4 3" xfId="21472" xr:uid="{00000000-0005-0000-0000-0000DE800000}"/>
    <cellStyle name="Normal 57 3 4 2 3 4 3 2" xfId="47025" xr:uid="{00000000-0005-0000-0000-0000DF800000}"/>
    <cellStyle name="Normal 57 3 4 2 3 4 4" xfId="27955" xr:uid="{00000000-0005-0000-0000-0000E0800000}"/>
    <cellStyle name="Normal 57 3 4 2 3 5" xfId="6462" xr:uid="{00000000-0005-0000-0000-0000E1800000}"/>
    <cellStyle name="Normal 57 3 4 2 3 5 2" xfId="15289" xr:uid="{00000000-0005-0000-0000-0000E2800000}"/>
    <cellStyle name="Normal 57 3 4 2 3 5 2 2" xfId="40844" xr:uid="{00000000-0005-0000-0000-0000E3800000}"/>
    <cellStyle name="Normal 57 3 4 2 3 5 3" xfId="25540" xr:uid="{00000000-0005-0000-0000-0000E4800000}"/>
    <cellStyle name="Normal 57 3 4 2 3 5 3 2" xfId="51093" xr:uid="{00000000-0005-0000-0000-0000E5800000}"/>
    <cellStyle name="Normal 57 3 4 2 3 5 4" xfId="32023" xr:uid="{00000000-0005-0000-0000-0000E6800000}"/>
    <cellStyle name="Normal 57 3 4 2 3 6" xfId="7908" xr:uid="{00000000-0005-0000-0000-0000E7800000}"/>
    <cellStyle name="Normal 57 3 4 2 3 6 2" xfId="20663" xr:uid="{00000000-0005-0000-0000-0000E8800000}"/>
    <cellStyle name="Normal 57 3 4 2 3 6 2 2" xfId="46216" xr:uid="{00000000-0005-0000-0000-0000E9800000}"/>
    <cellStyle name="Normal 57 3 4 2 3 6 3" xfId="33465" xr:uid="{00000000-0005-0000-0000-0000EA800000}"/>
    <cellStyle name="Normal 57 3 4 2 3 7" xfId="16465" xr:uid="{00000000-0005-0000-0000-0000EB800000}"/>
    <cellStyle name="Normal 57 3 4 2 3 7 2" xfId="42018" xr:uid="{00000000-0005-0000-0000-0000EC800000}"/>
    <cellStyle name="Normal 57 3 4 2 3 8" xfId="27146" xr:uid="{00000000-0005-0000-0000-0000ED800000}"/>
    <cellStyle name="Normal 57 3 4 2 4" xfId="2994" xr:uid="{00000000-0005-0000-0000-0000EE800000}"/>
    <cellStyle name="Normal 57 3 4 2 4 2" xfId="5372" xr:uid="{00000000-0005-0000-0000-0000EF800000}"/>
    <cellStyle name="Normal 57 3 4 2 4 2 2" xfId="14209" xr:uid="{00000000-0005-0000-0000-0000F0800000}"/>
    <cellStyle name="Normal 57 3 4 2 4 2 2 2" xfId="24460" xr:uid="{00000000-0005-0000-0000-0000F1800000}"/>
    <cellStyle name="Normal 57 3 4 2 4 2 2 2 2" xfId="50013" xr:uid="{00000000-0005-0000-0000-0000F2800000}"/>
    <cellStyle name="Normal 57 3 4 2 4 2 2 3" xfId="39764" xr:uid="{00000000-0005-0000-0000-0000F3800000}"/>
    <cellStyle name="Normal 57 3 4 2 4 2 3" xfId="10630" xr:uid="{00000000-0005-0000-0000-0000F4800000}"/>
    <cellStyle name="Normal 57 3 4 2 4 2 3 2" xfId="36187" xr:uid="{00000000-0005-0000-0000-0000F5800000}"/>
    <cellStyle name="Normal 57 3 4 2 4 2 4" xfId="19453" xr:uid="{00000000-0005-0000-0000-0000F6800000}"/>
    <cellStyle name="Normal 57 3 4 2 4 2 4 2" xfId="45006" xr:uid="{00000000-0005-0000-0000-0000F7800000}"/>
    <cellStyle name="Normal 57 3 4 2 4 2 5" xfId="30943" xr:uid="{00000000-0005-0000-0000-0000F8800000}"/>
    <cellStyle name="Normal 57 3 4 2 4 3" xfId="6827" xr:uid="{00000000-0005-0000-0000-0000F9800000}"/>
    <cellStyle name="Normal 57 3 4 2 4 3 2" xfId="15654" xr:uid="{00000000-0005-0000-0000-0000FA800000}"/>
    <cellStyle name="Normal 57 3 4 2 4 3 2 2" xfId="41209" xr:uid="{00000000-0005-0000-0000-0000FB800000}"/>
    <cellStyle name="Normal 57 3 4 2 4 3 3" xfId="25905" xr:uid="{00000000-0005-0000-0000-0000FC800000}"/>
    <cellStyle name="Normal 57 3 4 2 4 3 3 2" xfId="51458" xr:uid="{00000000-0005-0000-0000-0000FD800000}"/>
    <cellStyle name="Normal 57 3 4 2 4 3 4" xfId="32388" xr:uid="{00000000-0005-0000-0000-0000FE800000}"/>
    <cellStyle name="Normal 57 3 4 2 4 4" xfId="8273" xr:uid="{00000000-0005-0000-0000-0000FF800000}"/>
    <cellStyle name="Normal 57 3 4 2 4 4 2" xfId="22355" xr:uid="{00000000-0005-0000-0000-000000810000}"/>
    <cellStyle name="Normal 57 3 4 2 4 4 2 2" xfId="47908" xr:uid="{00000000-0005-0000-0000-000001810000}"/>
    <cellStyle name="Normal 57 3 4 2 4 4 3" xfId="33830" xr:uid="{00000000-0005-0000-0000-000002810000}"/>
    <cellStyle name="Normal 57 3 4 2 4 5" xfId="17348" xr:uid="{00000000-0005-0000-0000-000003810000}"/>
    <cellStyle name="Normal 57 3 4 2 4 5 2" xfId="42901" xr:uid="{00000000-0005-0000-0000-000004810000}"/>
    <cellStyle name="Normal 57 3 4 2 4 6" xfId="28838" xr:uid="{00000000-0005-0000-0000-000005810000}"/>
    <cellStyle name="Normal 57 3 4 2 5" xfId="4328" xr:uid="{00000000-0005-0000-0000-000006810000}"/>
    <cellStyle name="Normal 57 3 4 2 5 2" xfId="13166" xr:uid="{00000000-0005-0000-0000-000007810000}"/>
    <cellStyle name="Normal 57 3 4 2 5 2 2" xfId="23417" xr:uid="{00000000-0005-0000-0000-000008810000}"/>
    <cellStyle name="Normal 57 3 4 2 5 2 2 2" xfId="48970" xr:uid="{00000000-0005-0000-0000-000009810000}"/>
    <cellStyle name="Normal 57 3 4 2 5 2 3" xfId="38721" xr:uid="{00000000-0005-0000-0000-00000A810000}"/>
    <cellStyle name="Normal 57 3 4 2 5 3" xfId="9587" xr:uid="{00000000-0005-0000-0000-00000B810000}"/>
    <cellStyle name="Normal 57 3 4 2 5 3 2" xfId="35144" xr:uid="{00000000-0005-0000-0000-00000C810000}"/>
    <cellStyle name="Normal 57 3 4 2 5 4" xfId="18410" xr:uid="{00000000-0005-0000-0000-00000D810000}"/>
    <cellStyle name="Normal 57 3 4 2 5 4 2" xfId="43963" xr:uid="{00000000-0005-0000-0000-00000E810000}"/>
    <cellStyle name="Normal 57 3 4 2 5 5" xfId="29900" xr:uid="{00000000-0005-0000-0000-00000F810000}"/>
    <cellStyle name="Normal 57 3 4 2 6" xfId="1600" xr:uid="{00000000-0005-0000-0000-000010810000}"/>
    <cellStyle name="Normal 57 3 4 2 6 2" xfId="10977" xr:uid="{00000000-0005-0000-0000-000011810000}"/>
    <cellStyle name="Normal 57 3 4 2 6 2 2" xfId="36532" xr:uid="{00000000-0005-0000-0000-000012810000}"/>
    <cellStyle name="Normal 57 3 4 2 6 3" xfId="20981" xr:uid="{00000000-0005-0000-0000-000013810000}"/>
    <cellStyle name="Normal 57 3 4 2 6 3 2" xfId="46534" xr:uid="{00000000-0005-0000-0000-000014810000}"/>
    <cellStyle name="Normal 57 3 4 2 6 4" xfId="27464" xr:uid="{00000000-0005-0000-0000-000015810000}"/>
    <cellStyle name="Normal 57 3 4 2 7" xfId="5784" xr:uid="{00000000-0005-0000-0000-000016810000}"/>
    <cellStyle name="Normal 57 3 4 2 7 2" xfId="14611" xr:uid="{00000000-0005-0000-0000-000017810000}"/>
    <cellStyle name="Normal 57 3 4 2 7 2 2" xfId="40166" xr:uid="{00000000-0005-0000-0000-000018810000}"/>
    <cellStyle name="Normal 57 3 4 2 7 3" xfId="24862" xr:uid="{00000000-0005-0000-0000-000019810000}"/>
    <cellStyle name="Normal 57 3 4 2 7 3 2" xfId="50415" xr:uid="{00000000-0005-0000-0000-00001A810000}"/>
    <cellStyle name="Normal 57 3 4 2 7 4" xfId="31345" xr:uid="{00000000-0005-0000-0000-00001B810000}"/>
    <cellStyle name="Normal 57 3 4 2 8" xfId="7228" xr:uid="{00000000-0005-0000-0000-00001C810000}"/>
    <cellStyle name="Normal 57 3 4 2 8 2" xfId="19954" xr:uid="{00000000-0005-0000-0000-00001D810000}"/>
    <cellStyle name="Normal 57 3 4 2 8 2 2" xfId="45507" xr:uid="{00000000-0005-0000-0000-00001E810000}"/>
    <cellStyle name="Normal 57 3 4 2 8 3" xfId="32785" xr:uid="{00000000-0005-0000-0000-00001F810000}"/>
    <cellStyle name="Normal 57 3 4 2 9" xfId="15974" xr:uid="{00000000-0005-0000-0000-000020810000}"/>
    <cellStyle name="Normal 57 3 4 2 9 2" xfId="41527" xr:uid="{00000000-0005-0000-0000-000021810000}"/>
    <cellStyle name="Normal 57 3 4 2_Degree data" xfId="3950" xr:uid="{00000000-0005-0000-0000-000022810000}"/>
    <cellStyle name="Normal 57 3 4 3" xfId="408" xr:uid="{00000000-0005-0000-0000-000023810000}"/>
    <cellStyle name="Normal 57 3 4 3 2" xfId="2894" xr:uid="{00000000-0005-0000-0000-000024810000}"/>
    <cellStyle name="Normal 57 3 4 3 2 2" xfId="12182" xr:uid="{00000000-0005-0000-0000-000025810000}"/>
    <cellStyle name="Normal 57 3 4 3 2 2 2" xfId="22255" xr:uid="{00000000-0005-0000-0000-000026810000}"/>
    <cellStyle name="Normal 57 3 4 3 2 2 2 2" xfId="47808" xr:uid="{00000000-0005-0000-0000-000027810000}"/>
    <cellStyle name="Normal 57 3 4 3 2 2 3" xfId="37737" xr:uid="{00000000-0005-0000-0000-000028810000}"/>
    <cellStyle name="Normal 57 3 4 3 2 3" xfId="8411" xr:uid="{00000000-0005-0000-0000-000029810000}"/>
    <cellStyle name="Normal 57 3 4 3 2 3 2" xfId="33968" xr:uid="{00000000-0005-0000-0000-00002A810000}"/>
    <cellStyle name="Normal 57 3 4 3 2 4" xfId="17248" xr:uid="{00000000-0005-0000-0000-00002B810000}"/>
    <cellStyle name="Normal 57 3 4 3 2 4 2" xfId="42801" xr:uid="{00000000-0005-0000-0000-00002C810000}"/>
    <cellStyle name="Normal 57 3 4 3 2 5" xfId="28738" xr:uid="{00000000-0005-0000-0000-00002D810000}"/>
    <cellStyle name="Normal 57 3 4 3 3" xfId="4657" xr:uid="{00000000-0005-0000-0000-00002E810000}"/>
    <cellStyle name="Normal 57 3 4 3 3 2" xfId="13495" xr:uid="{00000000-0005-0000-0000-00002F810000}"/>
    <cellStyle name="Normal 57 3 4 3 3 2 2" xfId="23746" xr:uid="{00000000-0005-0000-0000-000030810000}"/>
    <cellStyle name="Normal 57 3 4 3 3 2 2 2" xfId="49299" xr:uid="{00000000-0005-0000-0000-000031810000}"/>
    <cellStyle name="Normal 57 3 4 3 3 2 3" xfId="39050" xr:uid="{00000000-0005-0000-0000-000032810000}"/>
    <cellStyle name="Normal 57 3 4 3 3 3" xfId="9916" xr:uid="{00000000-0005-0000-0000-000033810000}"/>
    <cellStyle name="Normal 57 3 4 3 3 3 2" xfId="35473" xr:uid="{00000000-0005-0000-0000-000034810000}"/>
    <cellStyle name="Normal 57 3 4 3 3 4" xfId="18739" xr:uid="{00000000-0005-0000-0000-000035810000}"/>
    <cellStyle name="Normal 57 3 4 3 3 4 2" xfId="44292" xr:uid="{00000000-0005-0000-0000-000036810000}"/>
    <cellStyle name="Normal 57 3 4 3 3 5" xfId="30229" xr:uid="{00000000-0005-0000-0000-000037810000}"/>
    <cellStyle name="Normal 57 3 4 3 4" xfId="2003" xr:uid="{00000000-0005-0000-0000-000038810000}"/>
    <cellStyle name="Normal 57 3 4 3 4 2" xfId="11368" xr:uid="{00000000-0005-0000-0000-000039810000}"/>
    <cellStyle name="Normal 57 3 4 3 4 2 2" xfId="36923" xr:uid="{00000000-0005-0000-0000-00003A810000}"/>
    <cellStyle name="Normal 57 3 4 3 4 3" xfId="21372" xr:uid="{00000000-0005-0000-0000-00003B810000}"/>
    <cellStyle name="Normal 57 3 4 3 4 3 2" xfId="46925" xr:uid="{00000000-0005-0000-0000-00003C810000}"/>
    <cellStyle name="Normal 57 3 4 3 4 4" xfId="27855" xr:uid="{00000000-0005-0000-0000-00003D810000}"/>
    <cellStyle name="Normal 57 3 4 3 5" xfId="6113" xr:uid="{00000000-0005-0000-0000-00003E810000}"/>
    <cellStyle name="Normal 57 3 4 3 5 2" xfId="14940" xr:uid="{00000000-0005-0000-0000-00003F810000}"/>
    <cellStyle name="Normal 57 3 4 3 5 2 2" xfId="40495" xr:uid="{00000000-0005-0000-0000-000040810000}"/>
    <cellStyle name="Normal 57 3 4 3 5 3" xfId="25191" xr:uid="{00000000-0005-0000-0000-000041810000}"/>
    <cellStyle name="Normal 57 3 4 3 5 3 2" xfId="50744" xr:uid="{00000000-0005-0000-0000-000042810000}"/>
    <cellStyle name="Normal 57 3 4 3 5 4" xfId="31674" xr:uid="{00000000-0005-0000-0000-000043810000}"/>
    <cellStyle name="Normal 57 3 4 3 6" xfId="7558" xr:uid="{00000000-0005-0000-0000-000044810000}"/>
    <cellStyle name="Normal 57 3 4 3 6 2" xfId="19854" xr:uid="{00000000-0005-0000-0000-000045810000}"/>
    <cellStyle name="Normal 57 3 4 3 6 2 2" xfId="45407" xr:uid="{00000000-0005-0000-0000-000046810000}"/>
    <cellStyle name="Normal 57 3 4 3 6 3" xfId="33115" xr:uid="{00000000-0005-0000-0000-000047810000}"/>
    <cellStyle name="Normal 57 3 4 3 7" xfId="16365" xr:uid="{00000000-0005-0000-0000-000048810000}"/>
    <cellStyle name="Normal 57 3 4 3 7 2" xfId="41918" xr:uid="{00000000-0005-0000-0000-000049810000}"/>
    <cellStyle name="Normal 57 3 4 3 8" xfId="26337" xr:uid="{00000000-0005-0000-0000-00004A810000}"/>
    <cellStyle name="Normal 57 3 4 4" xfId="843" xr:uid="{00000000-0005-0000-0000-00004B810000}"/>
    <cellStyle name="Normal 57 3 4 4 2" xfId="3328" xr:uid="{00000000-0005-0000-0000-00004C810000}"/>
    <cellStyle name="Normal 57 3 4 4 2 2" xfId="12470" xr:uid="{00000000-0005-0000-0000-00004D810000}"/>
    <cellStyle name="Normal 57 3 4 4 2 2 2" xfId="22689" xr:uid="{00000000-0005-0000-0000-00004E810000}"/>
    <cellStyle name="Normal 57 3 4 4 2 2 2 2" xfId="48242" xr:uid="{00000000-0005-0000-0000-00004F810000}"/>
    <cellStyle name="Normal 57 3 4 4 2 2 3" xfId="38025" xr:uid="{00000000-0005-0000-0000-000050810000}"/>
    <cellStyle name="Normal 57 3 4 4 2 3" xfId="8892" xr:uid="{00000000-0005-0000-0000-000051810000}"/>
    <cellStyle name="Normal 57 3 4 4 2 3 2" xfId="34449" xr:uid="{00000000-0005-0000-0000-000052810000}"/>
    <cellStyle name="Normal 57 3 4 4 2 4" xfId="17682" xr:uid="{00000000-0005-0000-0000-000053810000}"/>
    <cellStyle name="Normal 57 3 4 4 2 4 2" xfId="43235" xr:uid="{00000000-0005-0000-0000-000054810000}"/>
    <cellStyle name="Normal 57 3 4 4 2 5" xfId="29172" xr:uid="{00000000-0005-0000-0000-000055810000}"/>
    <cellStyle name="Normal 57 3 4 4 3" xfId="5006" xr:uid="{00000000-0005-0000-0000-000056810000}"/>
    <cellStyle name="Normal 57 3 4 4 3 2" xfId="13843" xr:uid="{00000000-0005-0000-0000-000057810000}"/>
    <cellStyle name="Normal 57 3 4 4 3 2 2" xfId="24094" xr:uid="{00000000-0005-0000-0000-000058810000}"/>
    <cellStyle name="Normal 57 3 4 4 3 2 2 2" xfId="49647" xr:uid="{00000000-0005-0000-0000-000059810000}"/>
    <cellStyle name="Normal 57 3 4 4 3 2 3" xfId="39398" xr:uid="{00000000-0005-0000-0000-00005A810000}"/>
    <cellStyle name="Normal 57 3 4 4 3 3" xfId="10264" xr:uid="{00000000-0005-0000-0000-00005B810000}"/>
    <cellStyle name="Normal 57 3 4 4 3 3 2" xfId="35821" xr:uid="{00000000-0005-0000-0000-00005C810000}"/>
    <cellStyle name="Normal 57 3 4 4 3 4" xfId="19087" xr:uid="{00000000-0005-0000-0000-00005D810000}"/>
    <cellStyle name="Normal 57 3 4 4 3 4 2" xfId="44640" xr:uid="{00000000-0005-0000-0000-00005E810000}"/>
    <cellStyle name="Normal 57 3 4 4 3 5" xfId="30577" xr:uid="{00000000-0005-0000-0000-00005F810000}"/>
    <cellStyle name="Normal 57 3 4 4 4" xfId="2437" xr:uid="{00000000-0005-0000-0000-000060810000}"/>
    <cellStyle name="Normal 57 3 4 4 4 2" xfId="11802" xr:uid="{00000000-0005-0000-0000-000061810000}"/>
    <cellStyle name="Normal 57 3 4 4 4 2 2" xfId="37357" xr:uid="{00000000-0005-0000-0000-000062810000}"/>
    <cellStyle name="Normal 57 3 4 4 4 3" xfId="21806" xr:uid="{00000000-0005-0000-0000-000063810000}"/>
    <cellStyle name="Normal 57 3 4 4 4 3 2" xfId="47359" xr:uid="{00000000-0005-0000-0000-000064810000}"/>
    <cellStyle name="Normal 57 3 4 4 4 4" xfId="28289" xr:uid="{00000000-0005-0000-0000-000065810000}"/>
    <cellStyle name="Normal 57 3 4 4 5" xfId="6461" xr:uid="{00000000-0005-0000-0000-000066810000}"/>
    <cellStyle name="Normal 57 3 4 4 5 2" xfId="15288" xr:uid="{00000000-0005-0000-0000-000067810000}"/>
    <cellStyle name="Normal 57 3 4 4 5 2 2" xfId="40843" xr:uid="{00000000-0005-0000-0000-000068810000}"/>
    <cellStyle name="Normal 57 3 4 4 5 3" xfId="25539" xr:uid="{00000000-0005-0000-0000-000069810000}"/>
    <cellStyle name="Normal 57 3 4 4 5 3 2" xfId="51092" xr:uid="{00000000-0005-0000-0000-00006A810000}"/>
    <cellStyle name="Normal 57 3 4 4 5 4" xfId="32022" xr:uid="{00000000-0005-0000-0000-00006B810000}"/>
    <cellStyle name="Normal 57 3 4 4 6" xfId="7907" xr:uid="{00000000-0005-0000-0000-00006C810000}"/>
    <cellStyle name="Normal 57 3 4 4 6 2" xfId="20288" xr:uid="{00000000-0005-0000-0000-00006D810000}"/>
    <cellStyle name="Normal 57 3 4 4 6 2 2" xfId="45841" xr:uid="{00000000-0005-0000-0000-00006E810000}"/>
    <cellStyle name="Normal 57 3 4 4 6 3" xfId="33464" xr:uid="{00000000-0005-0000-0000-00006F810000}"/>
    <cellStyle name="Normal 57 3 4 4 7" xfId="16799" xr:uid="{00000000-0005-0000-0000-000070810000}"/>
    <cellStyle name="Normal 57 3 4 4 7 2" xfId="42352" xr:uid="{00000000-0005-0000-0000-000071810000}"/>
    <cellStyle name="Normal 57 3 4 4 8" xfId="26771" xr:uid="{00000000-0005-0000-0000-000072810000}"/>
    <cellStyle name="Normal 57 3 4 5" xfId="1180" xr:uid="{00000000-0005-0000-0000-000073810000}"/>
    <cellStyle name="Normal 57 3 4 5 2" xfId="3609" xr:uid="{00000000-0005-0000-0000-000074810000}"/>
    <cellStyle name="Normal 57 3 4 5 2 2" xfId="12745" xr:uid="{00000000-0005-0000-0000-000075810000}"/>
    <cellStyle name="Normal 57 3 4 5 2 2 2" xfId="22964" xr:uid="{00000000-0005-0000-0000-000076810000}"/>
    <cellStyle name="Normal 57 3 4 5 2 2 2 2" xfId="48517" xr:uid="{00000000-0005-0000-0000-000077810000}"/>
    <cellStyle name="Normal 57 3 4 5 2 2 3" xfId="38300" xr:uid="{00000000-0005-0000-0000-000078810000}"/>
    <cellStyle name="Normal 57 3 4 5 2 3" xfId="9166" xr:uid="{00000000-0005-0000-0000-000079810000}"/>
    <cellStyle name="Normal 57 3 4 5 2 3 2" xfId="34723" xr:uid="{00000000-0005-0000-0000-00007A810000}"/>
    <cellStyle name="Normal 57 3 4 5 2 4" xfId="17957" xr:uid="{00000000-0005-0000-0000-00007B810000}"/>
    <cellStyle name="Normal 57 3 4 5 2 4 2" xfId="43510" xr:uid="{00000000-0005-0000-0000-00007C810000}"/>
    <cellStyle name="Normal 57 3 4 5 2 5" xfId="29447" xr:uid="{00000000-0005-0000-0000-00007D810000}"/>
    <cellStyle name="Normal 57 3 4 5 3" xfId="5272" xr:uid="{00000000-0005-0000-0000-00007E810000}"/>
    <cellStyle name="Normal 57 3 4 5 3 2" xfId="14109" xr:uid="{00000000-0005-0000-0000-00007F810000}"/>
    <cellStyle name="Normal 57 3 4 5 3 2 2" xfId="24360" xr:uid="{00000000-0005-0000-0000-000080810000}"/>
    <cellStyle name="Normal 57 3 4 5 3 2 2 2" xfId="49913" xr:uid="{00000000-0005-0000-0000-000081810000}"/>
    <cellStyle name="Normal 57 3 4 5 3 2 3" xfId="39664" xr:uid="{00000000-0005-0000-0000-000082810000}"/>
    <cellStyle name="Normal 57 3 4 5 3 3" xfId="10530" xr:uid="{00000000-0005-0000-0000-000083810000}"/>
    <cellStyle name="Normal 57 3 4 5 3 3 2" xfId="36087" xr:uid="{00000000-0005-0000-0000-000084810000}"/>
    <cellStyle name="Normal 57 3 4 5 3 4" xfId="19353" xr:uid="{00000000-0005-0000-0000-000085810000}"/>
    <cellStyle name="Normal 57 3 4 5 3 4 2" xfId="44906" xr:uid="{00000000-0005-0000-0000-000086810000}"/>
    <cellStyle name="Normal 57 3 4 5 3 5" xfId="30843" xr:uid="{00000000-0005-0000-0000-000087810000}"/>
    <cellStyle name="Normal 57 3 4 5 4" xfId="1782" xr:uid="{00000000-0005-0000-0000-000088810000}"/>
    <cellStyle name="Normal 57 3 4 5 4 2" xfId="11151" xr:uid="{00000000-0005-0000-0000-000089810000}"/>
    <cellStyle name="Normal 57 3 4 5 4 2 2" xfId="36706" xr:uid="{00000000-0005-0000-0000-00008A810000}"/>
    <cellStyle name="Normal 57 3 4 5 4 3" xfId="21155" xr:uid="{00000000-0005-0000-0000-00008B810000}"/>
    <cellStyle name="Normal 57 3 4 5 4 3 2" xfId="46708" xr:uid="{00000000-0005-0000-0000-00008C810000}"/>
    <cellStyle name="Normal 57 3 4 5 4 4" xfId="27638" xr:uid="{00000000-0005-0000-0000-00008D810000}"/>
    <cellStyle name="Normal 57 3 4 5 5" xfId="6727" xr:uid="{00000000-0005-0000-0000-00008E810000}"/>
    <cellStyle name="Normal 57 3 4 5 5 2" xfId="15554" xr:uid="{00000000-0005-0000-0000-00008F810000}"/>
    <cellStyle name="Normal 57 3 4 5 5 2 2" xfId="41109" xr:uid="{00000000-0005-0000-0000-000090810000}"/>
    <cellStyle name="Normal 57 3 4 5 5 3" xfId="25805" xr:uid="{00000000-0005-0000-0000-000091810000}"/>
    <cellStyle name="Normal 57 3 4 5 5 3 2" xfId="51358" xr:uid="{00000000-0005-0000-0000-000092810000}"/>
    <cellStyle name="Normal 57 3 4 5 5 4" xfId="32288" xr:uid="{00000000-0005-0000-0000-000093810000}"/>
    <cellStyle name="Normal 57 3 4 5 6" xfId="8173" xr:uid="{00000000-0005-0000-0000-000094810000}"/>
    <cellStyle name="Normal 57 3 4 5 6 2" xfId="20563" xr:uid="{00000000-0005-0000-0000-000095810000}"/>
    <cellStyle name="Normal 57 3 4 5 6 2 2" xfId="46116" xr:uid="{00000000-0005-0000-0000-000096810000}"/>
    <cellStyle name="Normal 57 3 4 5 6 3" xfId="33730" xr:uid="{00000000-0005-0000-0000-000097810000}"/>
    <cellStyle name="Normal 57 3 4 5 7" xfId="16148" xr:uid="{00000000-0005-0000-0000-000098810000}"/>
    <cellStyle name="Normal 57 3 4 5 7 2" xfId="41701" xr:uid="{00000000-0005-0000-0000-000099810000}"/>
    <cellStyle name="Normal 57 3 4 5 8" xfId="27046" xr:uid="{00000000-0005-0000-0000-00009A810000}"/>
    <cellStyle name="Normal 57 3 4 6" xfId="2677" xr:uid="{00000000-0005-0000-0000-00009B810000}"/>
    <cellStyle name="Normal 57 3 4 6 2" xfId="11994" xr:uid="{00000000-0005-0000-0000-00009C810000}"/>
    <cellStyle name="Normal 57 3 4 6 2 2" xfId="22038" xr:uid="{00000000-0005-0000-0000-00009D810000}"/>
    <cellStyle name="Normal 57 3 4 6 2 2 2" xfId="47591" xr:uid="{00000000-0005-0000-0000-00009E810000}"/>
    <cellStyle name="Normal 57 3 4 6 2 3" xfId="37549" xr:uid="{00000000-0005-0000-0000-00009F810000}"/>
    <cellStyle name="Normal 57 3 4 6 3" xfId="8586" xr:uid="{00000000-0005-0000-0000-0000A0810000}"/>
    <cellStyle name="Normal 57 3 4 6 3 2" xfId="34143" xr:uid="{00000000-0005-0000-0000-0000A1810000}"/>
    <cellStyle name="Normal 57 3 4 6 4" xfId="17031" xr:uid="{00000000-0005-0000-0000-0000A2810000}"/>
    <cellStyle name="Normal 57 3 4 6 4 2" xfId="42584" xr:uid="{00000000-0005-0000-0000-0000A3810000}"/>
    <cellStyle name="Normal 57 3 4 6 5" xfId="28521" xr:uid="{00000000-0005-0000-0000-0000A4810000}"/>
    <cellStyle name="Normal 57 3 4 7" xfId="4228" xr:uid="{00000000-0005-0000-0000-0000A5810000}"/>
    <cellStyle name="Normal 57 3 4 7 2" xfId="13066" xr:uid="{00000000-0005-0000-0000-0000A6810000}"/>
    <cellStyle name="Normal 57 3 4 7 2 2" xfId="23317" xr:uid="{00000000-0005-0000-0000-0000A7810000}"/>
    <cellStyle name="Normal 57 3 4 7 2 2 2" xfId="48870" xr:uid="{00000000-0005-0000-0000-0000A8810000}"/>
    <cellStyle name="Normal 57 3 4 7 2 3" xfId="38621" xr:uid="{00000000-0005-0000-0000-0000A9810000}"/>
    <cellStyle name="Normal 57 3 4 7 3" xfId="9487" xr:uid="{00000000-0005-0000-0000-0000AA810000}"/>
    <cellStyle name="Normal 57 3 4 7 3 2" xfId="35044" xr:uid="{00000000-0005-0000-0000-0000AB810000}"/>
    <cellStyle name="Normal 57 3 4 7 4" xfId="18310" xr:uid="{00000000-0005-0000-0000-0000AC810000}"/>
    <cellStyle name="Normal 57 3 4 7 4 2" xfId="43863" xr:uid="{00000000-0005-0000-0000-0000AD810000}"/>
    <cellStyle name="Normal 57 3 4 7 5" xfId="29800" xr:uid="{00000000-0005-0000-0000-0000AE810000}"/>
    <cellStyle name="Normal 57 3 4 8" xfId="1500" xr:uid="{00000000-0005-0000-0000-0000AF810000}"/>
    <cellStyle name="Normal 57 3 4 8 2" xfId="10877" xr:uid="{00000000-0005-0000-0000-0000B0810000}"/>
    <cellStyle name="Normal 57 3 4 8 2 2" xfId="36432" xr:uid="{00000000-0005-0000-0000-0000B1810000}"/>
    <cellStyle name="Normal 57 3 4 8 3" xfId="20881" xr:uid="{00000000-0005-0000-0000-0000B2810000}"/>
    <cellStyle name="Normal 57 3 4 8 3 2" xfId="46434" xr:uid="{00000000-0005-0000-0000-0000B3810000}"/>
    <cellStyle name="Normal 57 3 4 8 4" xfId="27364" xr:uid="{00000000-0005-0000-0000-0000B4810000}"/>
    <cellStyle name="Normal 57 3 4 9" xfId="5684" xr:uid="{00000000-0005-0000-0000-0000B5810000}"/>
    <cellStyle name="Normal 57 3 4 9 2" xfId="14511" xr:uid="{00000000-0005-0000-0000-0000B6810000}"/>
    <cellStyle name="Normal 57 3 4 9 2 2" xfId="40066" xr:uid="{00000000-0005-0000-0000-0000B7810000}"/>
    <cellStyle name="Normal 57 3 4 9 3" xfId="24762" xr:uid="{00000000-0005-0000-0000-0000B8810000}"/>
    <cellStyle name="Normal 57 3 4 9 3 2" xfId="50315" xr:uid="{00000000-0005-0000-0000-0000B9810000}"/>
    <cellStyle name="Normal 57 3 4 9 4" xfId="31245" xr:uid="{00000000-0005-0000-0000-0000BA810000}"/>
    <cellStyle name="Normal 57 3 4_Degree data" xfId="3949" xr:uid="{00000000-0005-0000-0000-0000BB810000}"/>
    <cellStyle name="Normal 57 3 5" xfId="235" xr:uid="{00000000-0005-0000-0000-0000BC810000}"/>
    <cellStyle name="Normal 57 3 5 10" xfId="7073" xr:uid="{00000000-0005-0000-0000-0000BD810000}"/>
    <cellStyle name="Normal 57 3 5 10 2" xfId="19687" xr:uid="{00000000-0005-0000-0000-0000BE810000}"/>
    <cellStyle name="Normal 57 3 5 10 2 2" xfId="45240" xr:uid="{00000000-0005-0000-0000-0000BF810000}"/>
    <cellStyle name="Normal 57 3 5 10 3" xfId="32630" xr:uid="{00000000-0005-0000-0000-0000C0810000}"/>
    <cellStyle name="Normal 57 3 5 11" xfId="15819" xr:uid="{00000000-0005-0000-0000-0000C1810000}"/>
    <cellStyle name="Normal 57 3 5 11 2" xfId="41372" xr:uid="{00000000-0005-0000-0000-0000C2810000}"/>
    <cellStyle name="Normal 57 3 5 12" xfId="26170" xr:uid="{00000000-0005-0000-0000-0000C3810000}"/>
    <cellStyle name="Normal 57 3 5 2" xfId="558" xr:uid="{00000000-0005-0000-0000-0000C4810000}"/>
    <cellStyle name="Normal 57 3 5 2 10" xfId="26487" xr:uid="{00000000-0005-0000-0000-0000C5810000}"/>
    <cellStyle name="Normal 57 3 5 2 2" xfId="846" xr:uid="{00000000-0005-0000-0000-0000C6810000}"/>
    <cellStyle name="Normal 57 3 5 2 2 2" xfId="3331" xr:uid="{00000000-0005-0000-0000-0000C7810000}"/>
    <cellStyle name="Normal 57 3 5 2 2 2 2" xfId="12473" xr:uid="{00000000-0005-0000-0000-0000C8810000}"/>
    <cellStyle name="Normal 57 3 5 2 2 2 2 2" xfId="22692" xr:uid="{00000000-0005-0000-0000-0000C9810000}"/>
    <cellStyle name="Normal 57 3 5 2 2 2 2 2 2" xfId="48245" xr:uid="{00000000-0005-0000-0000-0000CA810000}"/>
    <cellStyle name="Normal 57 3 5 2 2 2 2 3" xfId="38028" xr:uid="{00000000-0005-0000-0000-0000CB810000}"/>
    <cellStyle name="Normal 57 3 5 2 2 2 3" xfId="8895" xr:uid="{00000000-0005-0000-0000-0000CC810000}"/>
    <cellStyle name="Normal 57 3 5 2 2 2 3 2" xfId="34452" xr:uid="{00000000-0005-0000-0000-0000CD810000}"/>
    <cellStyle name="Normal 57 3 5 2 2 2 4" xfId="17685" xr:uid="{00000000-0005-0000-0000-0000CE810000}"/>
    <cellStyle name="Normal 57 3 5 2 2 2 4 2" xfId="43238" xr:uid="{00000000-0005-0000-0000-0000CF810000}"/>
    <cellStyle name="Normal 57 3 5 2 2 2 5" xfId="29175" xr:uid="{00000000-0005-0000-0000-0000D0810000}"/>
    <cellStyle name="Normal 57 3 5 2 2 3" xfId="4660" xr:uid="{00000000-0005-0000-0000-0000D1810000}"/>
    <cellStyle name="Normal 57 3 5 2 2 3 2" xfId="13498" xr:uid="{00000000-0005-0000-0000-0000D2810000}"/>
    <cellStyle name="Normal 57 3 5 2 2 3 2 2" xfId="23749" xr:uid="{00000000-0005-0000-0000-0000D3810000}"/>
    <cellStyle name="Normal 57 3 5 2 2 3 2 2 2" xfId="49302" xr:uid="{00000000-0005-0000-0000-0000D4810000}"/>
    <cellStyle name="Normal 57 3 5 2 2 3 2 3" xfId="39053" xr:uid="{00000000-0005-0000-0000-0000D5810000}"/>
    <cellStyle name="Normal 57 3 5 2 2 3 3" xfId="9919" xr:uid="{00000000-0005-0000-0000-0000D6810000}"/>
    <cellStyle name="Normal 57 3 5 2 2 3 3 2" xfId="35476" xr:uid="{00000000-0005-0000-0000-0000D7810000}"/>
    <cellStyle name="Normal 57 3 5 2 2 3 4" xfId="18742" xr:uid="{00000000-0005-0000-0000-0000D8810000}"/>
    <cellStyle name="Normal 57 3 5 2 2 3 4 2" xfId="44295" xr:uid="{00000000-0005-0000-0000-0000D9810000}"/>
    <cellStyle name="Normal 57 3 5 2 2 3 5" xfId="30232" xr:uid="{00000000-0005-0000-0000-0000DA810000}"/>
    <cellStyle name="Normal 57 3 5 2 2 4" xfId="2440" xr:uid="{00000000-0005-0000-0000-0000DB810000}"/>
    <cellStyle name="Normal 57 3 5 2 2 4 2" xfId="11805" xr:uid="{00000000-0005-0000-0000-0000DC810000}"/>
    <cellStyle name="Normal 57 3 5 2 2 4 2 2" xfId="37360" xr:uid="{00000000-0005-0000-0000-0000DD810000}"/>
    <cellStyle name="Normal 57 3 5 2 2 4 3" xfId="21809" xr:uid="{00000000-0005-0000-0000-0000DE810000}"/>
    <cellStyle name="Normal 57 3 5 2 2 4 3 2" xfId="47362" xr:uid="{00000000-0005-0000-0000-0000DF810000}"/>
    <cellStyle name="Normal 57 3 5 2 2 4 4" xfId="28292" xr:uid="{00000000-0005-0000-0000-0000E0810000}"/>
    <cellStyle name="Normal 57 3 5 2 2 5" xfId="6116" xr:uid="{00000000-0005-0000-0000-0000E1810000}"/>
    <cellStyle name="Normal 57 3 5 2 2 5 2" xfId="14943" xr:uid="{00000000-0005-0000-0000-0000E2810000}"/>
    <cellStyle name="Normal 57 3 5 2 2 5 2 2" xfId="40498" xr:uid="{00000000-0005-0000-0000-0000E3810000}"/>
    <cellStyle name="Normal 57 3 5 2 2 5 3" xfId="25194" xr:uid="{00000000-0005-0000-0000-0000E4810000}"/>
    <cellStyle name="Normal 57 3 5 2 2 5 3 2" xfId="50747" xr:uid="{00000000-0005-0000-0000-0000E5810000}"/>
    <cellStyle name="Normal 57 3 5 2 2 5 4" xfId="31677" xr:uid="{00000000-0005-0000-0000-0000E6810000}"/>
    <cellStyle name="Normal 57 3 5 2 2 6" xfId="7561" xr:uid="{00000000-0005-0000-0000-0000E7810000}"/>
    <cellStyle name="Normal 57 3 5 2 2 6 2" xfId="20291" xr:uid="{00000000-0005-0000-0000-0000E8810000}"/>
    <cellStyle name="Normal 57 3 5 2 2 6 2 2" xfId="45844" xr:uid="{00000000-0005-0000-0000-0000E9810000}"/>
    <cellStyle name="Normal 57 3 5 2 2 6 3" xfId="33118" xr:uid="{00000000-0005-0000-0000-0000EA810000}"/>
    <cellStyle name="Normal 57 3 5 2 2 7" xfId="16802" xr:uid="{00000000-0005-0000-0000-0000EB810000}"/>
    <cellStyle name="Normal 57 3 5 2 2 7 2" xfId="42355" xr:uid="{00000000-0005-0000-0000-0000EC810000}"/>
    <cellStyle name="Normal 57 3 5 2 2 8" xfId="26774" xr:uid="{00000000-0005-0000-0000-0000ED810000}"/>
    <cellStyle name="Normal 57 3 5 2 3" xfId="1330" xr:uid="{00000000-0005-0000-0000-0000EE810000}"/>
    <cellStyle name="Normal 57 3 5 2 3 2" xfId="3759" xr:uid="{00000000-0005-0000-0000-0000EF810000}"/>
    <cellStyle name="Normal 57 3 5 2 3 2 2" xfId="12895" xr:uid="{00000000-0005-0000-0000-0000F0810000}"/>
    <cellStyle name="Normal 57 3 5 2 3 2 2 2" xfId="23114" xr:uid="{00000000-0005-0000-0000-0000F1810000}"/>
    <cellStyle name="Normal 57 3 5 2 3 2 2 2 2" xfId="48667" xr:uid="{00000000-0005-0000-0000-0000F2810000}"/>
    <cellStyle name="Normal 57 3 5 2 3 2 2 3" xfId="38450" xr:uid="{00000000-0005-0000-0000-0000F3810000}"/>
    <cellStyle name="Normal 57 3 5 2 3 2 3" xfId="9316" xr:uid="{00000000-0005-0000-0000-0000F4810000}"/>
    <cellStyle name="Normal 57 3 5 2 3 2 3 2" xfId="34873" xr:uid="{00000000-0005-0000-0000-0000F5810000}"/>
    <cellStyle name="Normal 57 3 5 2 3 2 4" xfId="18107" xr:uid="{00000000-0005-0000-0000-0000F6810000}"/>
    <cellStyle name="Normal 57 3 5 2 3 2 4 2" xfId="43660" xr:uid="{00000000-0005-0000-0000-0000F7810000}"/>
    <cellStyle name="Normal 57 3 5 2 3 2 5" xfId="29597" xr:uid="{00000000-0005-0000-0000-0000F8810000}"/>
    <cellStyle name="Normal 57 3 5 2 3 3" xfId="5009" xr:uid="{00000000-0005-0000-0000-0000F9810000}"/>
    <cellStyle name="Normal 57 3 5 2 3 3 2" xfId="13846" xr:uid="{00000000-0005-0000-0000-0000FA810000}"/>
    <cellStyle name="Normal 57 3 5 2 3 3 2 2" xfId="24097" xr:uid="{00000000-0005-0000-0000-0000FB810000}"/>
    <cellStyle name="Normal 57 3 5 2 3 3 2 2 2" xfId="49650" xr:uid="{00000000-0005-0000-0000-0000FC810000}"/>
    <cellStyle name="Normal 57 3 5 2 3 3 2 3" xfId="39401" xr:uid="{00000000-0005-0000-0000-0000FD810000}"/>
    <cellStyle name="Normal 57 3 5 2 3 3 3" xfId="10267" xr:uid="{00000000-0005-0000-0000-0000FE810000}"/>
    <cellStyle name="Normal 57 3 5 2 3 3 3 2" xfId="35824" xr:uid="{00000000-0005-0000-0000-0000FF810000}"/>
    <cellStyle name="Normal 57 3 5 2 3 3 4" xfId="19090" xr:uid="{00000000-0005-0000-0000-000000820000}"/>
    <cellStyle name="Normal 57 3 5 2 3 3 4 2" xfId="44643" xr:uid="{00000000-0005-0000-0000-000001820000}"/>
    <cellStyle name="Normal 57 3 5 2 3 3 5" xfId="30580" xr:uid="{00000000-0005-0000-0000-000002820000}"/>
    <cellStyle name="Normal 57 3 5 2 3 4" xfId="2153" xr:uid="{00000000-0005-0000-0000-000003820000}"/>
    <cellStyle name="Normal 57 3 5 2 3 4 2" xfId="11518" xr:uid="{00000000-0005-0000-0000-000004820000}"/>
    <cellStyle name="Normal 57 3 5 2 3 4 2 2" xfId="37073" xr:uid="{00000000-0005-0000-0000-000005820000}"/>
    <cellStyle name="Normal 57 3 5 2 3 4 3" xfId="21522" xr:uid="{00000000-0005-0000-0000-000006820000}"/>
    <cellStyle name="Normal 57 3 5 2 3 4 3 2" xfId="47075" xr:uid="{00000000-0005-0000-0000-000007820000}"/>
    <cellStyle name="Normal 57 3 5 2 3 4 4" xfId="28005" xr:uid="{00000000-0005-0000-0000-000008820000}"/>
    <cellStyle name="Normal 57 3 5 2 3 5" xfId="6464" xr:uid="{00000000-0005-0000-0000-000009820000}"/>
    <cellStyle name="Normal 57 3 5 2 3 5 2" xfId="15291" xr:uid="{00000000-0005-0000-0000-00000A820000}"/>
    <cellStyle name="Normal 57 3 5 2 3 5 2 2" xfId="40846" xr:uid="{00000000-0005-0000-0000-00000B820000}"/>
    <cellStyle name="Normal 57 3 5 2 3 5 3" xfId="25542" xr:uid="{00000000-0005-0000-0000-00000C820000}"/>
    <cellStyle name="Normal 57 3 5 2 3 5 3 2" xfId="51095" xr:uid="{00000000-0005-0000-0000-00000D820000}"/>
    <cellStyle name="Normal 57 3 5 2 3 5 4" xfId="32025" xr:uid="{00000000-0005-0000-0000-00000E820000}"/>
    <cellStyle name="Normal 57 3 5 2 3 6" xfId="7910" xr:uid="{00000000-0005-0000-0000-00000F820000}"/>
    <cellStyle name="Normal 57 3 5 2 3 6 2" xfId="20713" xr:uid="{00000000-0005-0000-0000-000010820000}"/>
    <cellStyle name="Normal 57 3 5 2 3 6 2 2" xfId="46266" xr:uid="{00000000-0005-0000-0000-000011820000}"/>
    <cellStyle name="Normal 57 3 5 2 3 6 3" xfId="33467" xr:uid="{00000000-0005-0000-0000-000012820000}"/>
    <cellStyle name="Normal 57 3 5 2 3 7" xfId="16515" xr:uid="{00000000-0005-0000-0000-000013820000}"/>
    <cellStyle name="Normal 57 3 5 2 3 7 2" xfId="42068" xr:uid="{00000000-0005-0000-0000-000014820000}"/>
    <cellStyle name="Normal 57 3 5 2 3 8" xfId="27196" xr:uid="{00000000-0005-0000-0000-000015820000}"/>
    <cellStyle name="Normal 57 3 5 2 4" xfId="3044" xr:uid="{00000000-0005-0000-0000-000016820000}"/>
    <cellStyle name="Normal 57 3 5 2 4 2" xfId="5422" xr:uid="{00000000-0005-0000-0000-000017820000}"/>
    <cellStyle name="Normal 57 3 5 2 4 2 2" xfId="14259" xr:uid="{00000000-0005-0000-0000-000018820000}"/>
    <cellStyle name="Normal 57 3 5 2 4 2 2 2" xfId="24510" xr:uid="{00000000-0005-0000-0000-000019820000}"/>
    <cellStyle name="Normal 57 3 5 2 4 2 2 2 2" xfId="50063" xr:uid="{00000000-0005-0000-0000-00001A820000}"/>
    <cellStyle name="Normal 57 3 5 2 4 2 2 3" xfId="39814" xr:uid="{00000000-0005-0000-0000-00001B820000}"/>
    <cellStyle name="Normal 57 3 5 2 4 2 3" xfId="10680" xr:uid="{00000000-0005-0000-0000-00001C820000}"/>
    <cellStyle name="Normal 57 3 5 2 4 2 3 2" xfId="36237" xr:uid="{00000000-0005-0000-0000-00001D820000}"/>
    <cellStyle name="Normal 57 3 5 2 4 2 4" xfId="19503" xr:uid="{00000000-0005-0000-0000-00001E820000}"/>
    <cellStyle name="Normal 57 3 5 2 4 2 4 2" xfId="45056" xr:uid="{00000000-0005-0000-0000-00001F820000}"/>
    <cellStyle name="Normal 57 3 5 2 4 2 5" xfId="30993" xr:uid="{00000000-0005-0000-0000-000020820000}"/>
    <cellStyle name="Normal 57 3 5 2 4 3" xfId="6877" xr:uid="{00000000-0005-0000-0000-000021820000}"/>
    <cellStyle name="Normal 57 3 5 2 4 3 2" xfId="15704" xr:uid="{00000000-0005-0000-0000-000022820000}"/>
    <cellStyle name="Normal 57 3 5 2 4 3 2 2" xfId="41259" xr:uid="{00000000-0005-0000-0000-000023820000}"/>
    <cellStyle name="Normal 57 3 5 2 4 3 3" xfId="25955" xr:uid="{00000000-0005-0000-0000-000024820000}"/>
    <cellStyle name="Normal 57 3 5 2 4 3 3 2" xfId="51508" xr:uid="{00000000-0005-0000-0000-000025820000}"/>
    <cellStyle name="Normal 57 3 5 2 4 3 4" xfId="32438" xr:uid="{00000000-0005-0000-0000-000026820000}"/>
    <cellStyle name="Normal 57 3 5 2 4 4" xfId="8323" xr:uid="{00000000-0005-0000-0000-000027820000}"/>
    <cellStyle name="Normal 57 3 5 2 4 4 2" xfId="22405" xr:uid="{00000000-0005-0000-0000-000028820000}"/>
    <cellStyle name="Normal 57 3 5 2 4 4 2 2" xfId="47958" xr:uid="{00000000-0005-0000-0000-000029820000}"/>
    <cellStyle name="Normal 57 3 5 2 4 4 3" xfId="33880" xr:uid="{00000000-0005-0000-0000-00002A820000}"/>
    <cellStyle name="Normal 57 3 5 2 4 5" xfId="17398" xr:uid="{00000000-0005-0000-0000-00002B820000}"/>
    <cellStyle name="Normal 57 3 5 2 4 5 2" xfId="42951" xr:uid="{00000000-0005-0000-0000-00002C820000}"/>
    <cellStyle name="Normal 57 3 5 2 4 6" xfId="28888" xr:uid="{00000000-0005-0000-0000-00002D820000}"/>
    <cellStyle name="Normal 57 3 5 2 5" xfId="4378" xr:uid="{00000000-0005-0000-0000-00002E820000}"/>
    <cellStyle name="Normal 57 3 5 2 5 2" xfId="13216" xr:uid="{00000000-0005-0000-0000-00002F820000}"/>
    <cellStyle name="Normal 57 3 5 2 5 2 2" xfId="23467" xr:uid="{00000000-0005-0000-0000-000030820000}"/>
    <cellStyle name="Normal 57 3 5 2 5 2 2 2" xfId="49020" xr:uid="{00000000-0005-0000-0000-000031820000}"/>
    <cellStyle name="Normal 57 3 5 2 5 2 3" xfId="38771" xr:uid="{00000000-0005-0000-0000-000032820000}"/>
    <cellStyle name="Normal 57 3 5 2 5 3" xfId="9637" xr:uid="{00000000-0005-0000-0000-000033820000}"/>
    <cellStyle name="Normal 57 3 5 2 5 3 2" xfId="35194" xr:uid="{00000000-0005-0000-0000-000034820000}"/>
    <cellStyle name="Normal 57 3 5 2 5 4" xfId="18460" xr:uid="{00000000-0005-0000-0000-000035820000}"/>
    <cellStyle name="Normal 57 3 5 2 5 4 2" xfId="44013" xr:uid="{00000000-0005-0000-0000-000036820000}"/>
    <cellStyle name="Normal 57 3 5 2 5 5" xfId="29950" xr:uid="{00000000-0005-0000-0000-000037820000}"/>
    <cellStyle name="Normal 57 3 5 2 6" xfId="1650" xr:uid="{00000000-0005-0000-0000-000038820000}"/>
    <cellStyle name="Normal 57 3 5 2 6 2" xfId="11027" xr:uid="{00000000-0005-0000-0000-000039820000}"/>
    <cellStyle name="Normal 57 3 5 2 6 2 2" xfId="36582" xr:uid="{00000000-0005-0000-0000-00003A820000}"/>
    <cellStyle name="Normal 57 3 5 2 6 3" xfId="21031" xr:uid="{00000000-0005-0000-0000-00003B820000}"/>
    <cellStyle name="Normal 57 3 5 2 6 3 2" xfId="46584" xr:uid="{00000000-0005-0000-0000-00003C820000}"/>
    <cellStyle name="Normal 57 3 5 2 6 4" xfId="27514" xr:uid="{00000000-0005-0000-0000-00003D820000}"/>
    <cellStyle name="Normal 57 3 5 2 7" xfId="5834" xr:uid="{00000000-0005-0000-0000-00003E820000}"/>
    <cellStyle name="Normal 57 3 5 2 7 2" xfId="14661" xr:uid="{00000000-0005-0000-0000-00003F820000}"/>
    <cellStyle name="Normal 57 3 5 2 7 2 2" xfId="40216" xr:uid="{00000000-0005-0000-0000-000040820000}"/>
    <cellStyle name="Normal 57 3 5 2 7 3" xfId="24912" xr:uid="{00000000-0005-0000-0000-000041820000}"/>
    <cellStyle name="Normal 57 3 5 2 7 3 2" xfId="50465" xr:uid="{00000000-0005-0000-0000-000042820000}"/>
    <cellStyle name="Normal 57 3 5 2 7 4" xfId="31395" xr:uid="{00000000-0005-0000-0000-000043820000}"/>
    <cellStyle name="Normal 57 3 5 2 8" xfId="7278" xr:uid="{00000000-0005-0000-0000-000044820000}"/>
    <cellStyle name="Normal 57 3 5 2 8 2" xfId="20004" xr:uid="{00000000-0005-0000-0000-000045820000}"/>
    <cellStyle name="Normal 57 3 5 2 8 2 2" xfId="45557" xr:uid="{00000000-0005-0000-0000-000046820000}"/>
    <cellStyle name="Normal 57 3 5 2 8 3" xfId="32835" xr:uid="{00000000-0005-0000-0000-000047820000}"/>
    <cellStyle name="Normal 57 3 5 2 9" xfId="16024" xr:uid="{00000000-0005-0000-0000-000048820000}"/>
    <cellStyle name="Normal 57 3 5 2 9 2" xfId="41577" xr:uid="{00000000-0005-0000-0000-000049820000}"/>
    <cellStyle name="Normal 57 3 5 2_Degree data" xfId="3952" xr:uid="{00000000-0005-0000-0000-00004A820000}"/>
    <cellStyle name="Normal 57 3 5 3" xfId="353" xr:uid="{00000000-0005-0000-0000-00004B820000}"/>
    <cellStyle name="Normal 57 3 5 3 2" xfId="2839" xr:uid="{00000000-0005-0000-0000-00004C820000}"/>
    <cellStyle name="Normal 57 3 5 3 2 2" xfId="12127" xr:uid="{00000000-0005-0000-0000-00004D820000}"/>
    <cellStyle name="Normal 57 3 5 3 2 2 2" xfId="22200" xr:uid="{00000000-0005-0000-0000-00004E820000}"/>
    <cellStyle name="Normal 57 3 5 3 2 2 2 2" xfId="47753" xr:uid="{00000000-0005-0000-0000-00004F820000}"/>
    <cellStyle name="Normal 57 3 5 3 2 2 3" xfId="37682" xr:uid="{00000000-0005-0000-0000-000050820000}"/>
    <cellStyle name="Normal 57 3 5 3 2 3" xfId="8638" xr:uid="{00000000-0005-0000-0000-000051820000}"/>
    <cellStyle name="Normal 57 3 5 3 2 3 2" xfId="34195" xr:uid="{00000000-0005-0000-0000-000052820000}"/>
    <cellStyle name="Normal 57 3 5 3 2 4" xfId="17193" xr:uid="{00000000-0005-0000-0000-000053820000}"/>
    <cellStyle name="Normal 57 3 5 3 2 4 2" xfId="42746" xr:uid="{00000000-0005-0000-0000-000054820000}"/>
    <cellStyle name="Normal 57 3 5 3 2 5" xfId="28683" xr:uid="{00000000-0005-0000-0000-000055820000}"/>
    <cellStyle name="Normal 57 3 5 3 3" xfId="4659" xr:uid="{00000000-0005-0000-0000-000056820000}"/>
    <cellStyle name="Normal 57 3 5 3 3 2" xfId="13497" xr:uid="{00000000-0005-0000-0000-000057820000}"/>
    <cellStyle name="Normal 57 3 5 3 3 2 2" xfId="23748" xr:uid="{00000000-0005-0000-0000-000058820000}"/>
    <cellStyle name="Normal 57 3 5 3 3 2 2 2" xfId="49301" xr:uid="{00000000-0005-0000-0000-000059820000}"/>
    <cellStyle name="Normal 57 3 5 3 3 2 3" xfId="39052" xr:uid="{00000000-0005-0000-0000-00005A820000}"/>
    <cellStyle name="Normal 57 3 5 3 3 3" xfId="9918" xr:uid="{00000000-0005-0000-0000-00005B820000}"/>
    <cellStyle name="Normal 57 3 5 3 3 3 2" xfId="35475" xr:uid="{00000000-0005-0000-0000-00005C820000}"/>
    <cellStyle name="Normal 57 3 5 3 3 4" xfId="18741" xr:uid="{00000000-0005-0000-0000-00005D820000}"/>
    <cellStyle name="Normal 57 3 5 3 3 4 2" xfId="44294" xr:uid="{00000000-0005-0000-0000-00005E820000}"/>
    <cellStyle name="Normal 57 3 5 3 3 5" xfId="30231" xr:uid="{00000000-0005-0000-0000-00005F820000}"/>
    <cellStyle name="Normal 57 3 5 3 4" xfId="1948" xr:uid="{00000000-0005-0000-0000-000060820000}"/>
    <cellStyle name="Normal 57 3 5 3 4 2" xfId="11313" xr:uid="{00000000-0005-0000-0000-000061820000}"/>
    <cellStyle name="Normal 57 3 5 3 4 2 2" xfId="36868" xr:uid="{00000000-0005-0000-0000-000062820000}"/>
    <cellStyle name="Normal 57 3 5 3 4 3" xfId="21317" xr:uid="{00000000-0005-0000-0000-000063820000}"/>
    <cellStyle name="Normal 57 3 5 3 4 3 2" xfId="46870" xr:uid="{00000000-0005-0000-0000-000064820000}"/>
    <cellStyle name="Normal 57 3 5 3 4 4" xfId="27800" xr:uid="{00000000-0005-0000-0000-000065820000}"/>
    <cellStyle name="Normal 57 3 5 3 5" xfId="6115" xr:uid="{00000000-0005-0000-0000-000066820000}"/>
    <cellStyle name="Normal 57 3 5 3 5 2" xfId="14942" xr:uid="{00000000-0005-0000-0000-000067820000}"/>
    <cellStyle name="Normal 57 3 5 3 5 2 2" xfId="40497" xr:uid="{00000000-0005-0000-0000-000068820000}"/>
    <cellStyle name="Normal 57 3 5 3 5 3" xfId="25193" xr:uid="{00000000-0005-0000-0000-000069820000}"/>
    <cellStyle name="Normal 57 3 5 3 5 3 2" xfId="50746" xr:uid="{00000000-0005-0000-0000-00006A820000}"/>
    <cellStyle name="Normal 57 3 5 3 5 4" xfId="31676" xr:uid="{00000000-0005-0000-0000-00006B820000}"/>
    <cellStyle name="Normal 57 3 5 3 6" xfId="7560" xr:uid="{00000000-0005-0000-0000-00006C820000}"/>
    <cellStyle name="Normal 57 3 5 3 6 2" xfId="19799" xr:uid="{00000000-0005-0000-0000-00006D820000}"/>
    <cellStyle name="Normal 57 3 5 3 6 2 2" xfId="45352" xr:uid="{00000000-0005-0000-0000-00006E820000}"/>
    <cellStyle name="Normal 57 3 5 3 6 3" xfId="33117" xr:uid="{00000000-0005-0000-0000-00006F820000}"/>
    <cellStyle name="Normal 57 3 5 3 7" xfId="16310" xr:uid="{00000000-0005-0000-0000-000070820000}"/>
    <cellStyle name="Normal 57 3 5 3 7 2" xfId="41863" xr:uid="{00000000-0005-0000-0000-000071820000}"/>
    <cellStyle name="Normal 57 3 5 3 8" xfId="26282" xr:uid="{00000000-0005-0000-0000-000072820000}"/>
    <cellStyle name="Normal 57 3 5 4" xfId="845" xr:uid="{00000000-0005-0000-0000-000073820000}"/>
    <cellStyle name="Normal 57 3 5 4 2" xfId="3330" xr:uid="{00000000-0005-0000-0000-000074820000}"/>
    <cellStyle name="Normal 57 3 5 4 2 2" xfId="12472" xr:uid="{00000000-0005-0000-0000-000075820000}"/>
    <cellStyle name="Normal 57 3 5 4 2 2 2" xfId="22691" xr:uid="{00000000-0005-0000-0000-000076820000}"/>
    <cellStyle name="Normal 57 3 5 4 2 2 2 2" xfId="48244" xr:uid="{00000000-0005-0000-0000-000077820000}"/>
    <cellStyle name="Normal 57 3 5 4 2 2 3" xfId="38027" xr:uid="{00000000-0005-0000-0000-000078820000}"/>
    <cellStyle name="Normal 57 3 5 4 2 3" xfId="8894" xr:uid="{00000000-0005-0000-0000-000079820000}"/>
    <cellStyle name="Normal 57 3 5 4 2 3 2" xfId="34451" xr:uid="{00000000-0005-0000-0000-00007A820000}"/>
    <cellStyle name="Normal 57 3 5 4 2 4" xfId="17684" xr:uid="{00000000-0005-0000-0000-00007B820000}"/>
    <cellStyle name="Normal 57 3 5 4 2 4 2" xfId="43237" xr:uid="{00000000-0005-0000-0000-00007C820000}"/>
    <cellStyle name="Normal 57 3 5 4 2 5" xfId="29174" xr:uid="{00000000-0005-0000-0000-00007D820000}"/>
    <cellStyle name="Normal 57 3 5 4 3" xfId="5008" xr:uid="{00000000-0005-0000-0000-00007E820000}"/>
    <cellStyle name="Normal 57 3 5 4 3 2" xfId="13845" xr:uid="{00000000-0005-0000-0000-00007F820000}"/>
    <cellStyle name="Normal 57 3 5 4 3 2 2" xfId="24096" xr:uid="{00000000-0005-0000-0000-000080820000}"/>
    <cellStyle name="Normal 57 3 5 4 3 2 2 2" xfId="49649" xr:uid="{00000000-0005-0000-0000-000081820000}"/>
    <cellStyle name="Normal 57 3 5 4 3 2 3" xfId="39400" xr:uid="{00000000-0005-0000-0000-000082820000}"/>
    <cellStyle name="Normal 57 3 5 4 3 3" xfId="10266" xr:uid="{00000000-0005-0000-0000-000083820000}"/>
    <cellStyle name="Normal 57 3 5 4 3 3 2" xfId="35823" xr:uid="{00000000-0005-0000-0000-000084820000}"/>
    <cellStyle name="Normal 57 3 5 4 3 4" xfId="19089" xr:uid="{00000000-0005-0000-0000-000085820000}"/>
    <cellStyle name="Normal 57 3 5 4 3 4 2" xfId="44642" xr:uid="{00000000-0005-0000-0000-000086820000}"/>
    <cellStyle name="Normal 57 3 5 4 3 5" xfId="30579" xr:uid="{00000000-0005-0000-0000-000087820000}"/>
    <cellStyle name="Normal 57 3 5 4 4" xfId="2439" xr:uid="{00000000-0005-0000-0000-000088820000}"/>
    <cellStyle name="Normal 57 3 5 4 4 2" xfId="11804" xr:uid="{00000000-0005-0000-0000-000089820000}"/>
    <cellStyle name="Normal 57 3 5 4 4 2 2" xfId="37359" xr:uid="{00000000-0005-0000-0000-00008A820000}"/>
    <cellStyle name="Normal 57 3 5 4 4 3" xfId="21808" xr:uid="{00000000-0005-0000-0000-00008B820000}"/>
    <cellStyle name="Normal 57 3 5 4 4 3 2" xfId="47361" xr:uid="{00000000-0005-0000-0000-00008C820000}"/>
    <cellStyle name="Normal 57 3 5 4 4 4" xfId="28291" xr:uid="{00000000-0005-0000-0000-00008D820000}"/>
    <cellStyle name="Normal 57 3 5 4 5" xfId="6463" xr:uid="{00000000-0005-0000-0000-00008E820000}"/>
    <cellStyle name="Normal 57 3 5 4 5 2" xfId="15290" xr:uid="{00000000-0005-0000-0000-00008F820000}"/>
    <cellStyle name="Normal 57 3 5 4 5 2 2" xfId="40845" xr:uid="{00000000-0005-0000-0000-000090820000}"/>
    <cellStyle name="Normal 57 3 5 4 5 3" xfId="25541" xr:uid="{00000000-0005-0000-0000-000091820000}"/>
    <cellStyle name="Normal 57 3 5 4 5 3 2" xfId="51094" xr:uid="{00000000-0005-0000-0000-000092820000}"/>
    <cellStyle name="Normal 57 3 5 4 5 4" xfId="32024" xr:uid="{00000000-0005-0000-0000-000093820000}"/>
    <cellStyle name="Normal 57 3 5 4 6" xfId="7909" xr:uid="{00000000-0005-0000-0000-000094820000}"/>
    <cellStyle name="Normal 57 3 5 4 6 2" xfId="20290" xr:uid="{00000000-0005-0000-0000-000095820000}"/>
    <cellStyle name="Normal 57 3 5 4 6 2 2" xfId="45843" xr:uid="{00000000-0005-0000-0000-000096820000}"/>
    <cellStyle name="Normal 57 3 5 4 6 3" xfId="33466" xr:uid="{00000000-0005-0000-0000-000097820000}"/>
    <cellStyle name="Normal 57 3 5 4 7" xfId="16801" xr:uid="{00000000-0005-0000-0000-000098820000}"/>
    <cellStyle name="Normal 57 3 5 4 7 2" xfId="42354" xr:uid="{00000000-0005-0000-0000-000099820000}"/>
    <cellStyle name="Normal 57 3 5 4 8" xfId="26773" xr:uid="{00000000-0005-0000-0000-00009A820000}"/>
    <cellStyle name="Normal 57 3 5 5" xfId="1125" xr:uid="{00000000-0005-0000-0000-00009B820000}"/>
    <cellStyle name="Normal 57 3 5 5 2" xfId="3554" xr:uid="{00000000-0005-0000-0000-00009C820000}"/>
    <cellStyle name="Normal 57 3 5 5 2 2" xfId="12690" xr:uid="{00000000-0005-0000-0000-00009D820000}"/>
    <cellStyle name="Normal 57 3 5 5 2 2 2" xfId="22909" xr:uid="{00000000-0005-0000-0000-00009E820000}"/>
    <cellStyle name="Normal 57 3 5 5 2 2 2 2" xfId="48462" xr:uid="{00000000-0005-0000-0000-00009F820000}"/>
    <cellStyle name="Normal 57 3 5 5 2 2 3" xfId="38245" xr:uid="{00000000-0005-0000-0000-0000A0820000}"/>
    <cellStyle name="Normal 57 3 5 5 2 3" xfId="9111" xr:uid="{00000000-0005-0000-0000-0000A1820000}"/>
    <cellStyle name="Normal 57 3 5 5 2 3 2" xfId="34668" xr:uid="{00000000-0005-0000-0000-0000A2820000}"/>
    <cellStyle name="Normal 57 3 5 5 2 4" xfId="17902" xr:uid="{00000000-0005-0000-0000-0000A3820000}"/>
    <cellStyle name="Normal 57 3 5 5 2 4 2" xfId="43455" xr:uid="{00000000-0005-0000-0000-0000A4820000}"/>
    <cellStyle name="Normal 57 3 5 5 2 5" xfId="29392" xr:uid="{00000000-0005-0000-0000-0000A5820000}"/>
    <cellStyle name="Normal 57 3 5 5 3" xfId="5217" xr:uid="{00000000-0005-0000-0000-0000A6820000}"/>
    <cellStyle name="Normal 57 3 5 5 3 2" xfId="14054" xr:uid="{00000000-0005-0000-0000-0000A7820000}"/>
    <cellStyle name="Normal 57 3 5 5 3 2 2" xfId="24305" xr:uid="{00000000-0005-0000-0000-0000A8820000}"/>
    <cellStyle name="Normal 57 3 5 5 3 2 2 2" xfId="49858" xr:uid="{00000000-0005-0000-0000-0000A9820000}"/>
    <cellStyle name="Normal 57 3 5 5 3 2 3" xfId="39609" xr:uid="{00000000-0005-0000-0000-0000AA820000}"/>
    <cellStyle name="Normal 57 3 5 5 3 3" xfId="10475" xr:uid="{00000000-0005-0000-0000-0000AB820000}"/>
    <cellStyle name="Normal 57 3 5 5 3 3 2" xfId="36032" xr:uid="{00000000-0005-0000-0000-0000AC820000}"/>
    <cellStyle name="Normal 57 3 5 5 3 4" xfId="19298" xr:uid="{00000000-0005-0000-0000-0000AD820000}"/>
    <cellStyle name="Normal 57 3 5 5 3 4 2" xfId="44851" xr:uid="{00000000-0005-0000-0000-0000AE820000}"/>
    <cellStyle name="Normal 57 3 5 5 3 5" xfId="30788" xr:uid="{00000000-0005-0000-0000-0000AF820000}"/>
    <cellStyle name="Normal 57 3 5 5 4" xfId="1833" xr:uid="{00000000-0005-0000-0000-0000B0820000}"/>
    <cellStyle name="Normal 57 3 5 5 4 2" xfId="11201" xr:uid="{00000000-0005-0000-0000-0000B1820000}"/>
    <cellStyle name="Normal 57 3 5 5 4 2 2" xfId="36756" xr:uid="{00000000-0005-0000-0000-0000B2820000}"/>
    <cellStyle name="Normal 57 3 5 5 4 3" xfId="21205" xr:uid="{00000000-0005-0000-0000-0000B3820000}"/>
    <cellStyle name="Normal 57 3 5 5 4 3 2" xfId="46758" xr:uid="{00000000-0005-0000-0000-0000B4820000}"/>
    <cellStyle name="Normal 57 3 5 5 4 4" xfId="27688" xr:uid="{00000000-0005-0000-0000-0000B5820000}"/>
    <cellStyle name="Normal 57 3 5 5 5" xfId="6672" xr:uid="{00000000-0005-0000-0000-0000B6820000}"/>
    <cellStyle name="Normal 57 3 5 5 5 2" xfId="15499" xr:uid="{00000000-0005-0000-0000-0000B7820000}"/>
    <cellStyle name="Normal 57 3 5 5 5 2 2" xfId="41054" xr:uid="{00000000-0005-0000-0000-0000B8820000}"/>
    <cellStyle name="Normal 57 3 5 5 5 3" xfId="25750" xr:uid="{00000000-0005-0000-0000-0000B9820000}"/>
    <cellStyle name="Normal 57 3 5 5 5 3 2" xfId="51303" xr:uid="{00000000-0005-0000-0000-0000BA820000}"/>
    <cellStyle name="Normal 57 3 5 5 5 4" xfId="32233" xr:uid="{00000000-0005-0000-0000-0000BB820000}"/>
    <cellStyle name="Normal 57 3 5 5 6" xfId="8118" xr:uid="{00000000-0005-0000-0000-0000BC820000}"/>
    <cellStyle name="Normal 57 3 5 5 6 2" xfId="20508" xr:uid="{00000000-0005-0000-0000-0000BD820000}"/>
    <cellStyle name="Normal 57 3 5 5 6 2 2" xfId="46061" xr:uid="{00000000-0005-0000-0000-0000BE820000}"/>
    <cellStyle name="Normal 57 3 5 5 6 3" xfId="33675" xr:uid="{00000000-0005-0000-0000-0000BF820000}"/>
    <cellStyle name="Normal 57 3 5 5 7" xfId="16198" xr:uid="{00000000-0005-0000-0000-0000C0820000}"/>
    <cellStyle name="Normal 57 3 5 5 7 2" xfId="41751" xr:uid="{00000000-0005-0000-0000-0000C1820000}"/>
    <cellStyle name="Normal 57 3 5 5 8" xfId="26991" xr:uid="{00000000-0005-0000-0000-0000C2820000}"/>
    <cellStyle name="Normal 57 3 5 6" xfId="2727" xr:uid="{00000000-0005-0000-0000-0000C3820000}"/>
    <cellStyle name="Normal 57 3 5 6 2" xfId="12044" xr:uid="{00000000-0005-0000-0000-0000C4820000}"/>
    <cellStyle name="Normal 57 3 5 6 2 2" xfId="22088" xr:uid="{00000000-0005-0000-0000-0000C5820000}"/>
    <cellStyle name="Normal 57 3 5 6 2 2 2" xfId="47641" xr:uid="{00000000-0005-0000-0000-0000C6820000}"/>
    <cellStyle name="Normal 57 3 5 6 2 3" xfId="37599" xr:uid="{00000000-0005-0000-0000-0000C7820000}"/>
    <cellStyle name="Normal 57 3 5 6 3" xfId="8546" xr:uid="{00000000-0005-0000-0000-0000C8820000}"/>
    <cellStyle name="Normal 57 3 5 6 3 2" xfId="34103" xr:uid="{00000000-0005-0000-0000-0000C9820000}"/>
    <cellStyle name="Normal 57 3 5 6 4" xfId="17081" xr:uid="{00000000-0005-0000-0000-0000CA820000}"/>
    <cellStyle name="Normal 57 3 5 6 4 2" xfId="42634" xr:uid="{00000000-0005-0000-0000-0000CB820000}"/>
    <cellStyle name="Normal 57 3 5 6 5" xfId="28571" xr:uid="{00000000-0005-0000-0000-0000CC820000}"/>
    <cellStyle name="Normal 57 3 5 7" xfId="4173" xr:uid="{00000000-0005-0000-0000-0000CD820000}"/>
    <cellStyle name="Normal 57 3 5 7 2" xfId="13011" xr:uid="{00000000-0005-0000-0000-0000CE820000}"/>
    <cellStyle name="Normal 57 3 5 7 2 2" xfId="23262" xr:uid="{00000000-0005-0000-0000-0000CF820000}"/>
    <cellStyle name="Normal 57 3 5 7 2 2 2" xfId="48815" xr:uid="{00000000-0005-0000-0000-0000D0820000}"/>
    <cellStyle name="Normal 57 3 5 7 2 3" xfId="38566" xr:uid="{00000000-0005-0000-0000-0000D1820000}"/>
    <cellStyle name="Normal 57 3 5 7 3" xfId="9432" xr:uid="{00000000-0005-0000-0000-0000D2820000}"/>
    <cellStyle name="Normal 57 3 5 7 3 2" xfId="34989" xr:uid="{00000000-0005-0000-0000-0000D3820000}"/>
    <cellStyle name="Normal 57 3 5 7 4" xfId="18255" xr:uid="{00000000-0005-0000-0000-0000D4820000}"/>
    <cellStyle name="Normal 57 3 5 7 4 2" xfId="43808" xr:uid="{00000000-0005-0000-0000-0000D5820000}"/>
    <cellStyle name="Normal 57 3 5 7 5" xfId="29745" xr:uid="{00000000-0005-0000-0000-0000D6820000}"/>
    <cellStyle name="Normal 57 3 5 8" xfId="1445" xr:uid="{00000000-0005-0000-0000-0000D7820000}"/>
    <cellStyle name="Normal 57 3 5 8 2" xfId="10822" xr:uid="{00000000-0005-0000-0000-0000D8820000}"/>
    <cellStyle name="Normal 57 3 5 8 2 2" xfId="36377" xr:uid="{00000000-0005-0000-0000-0000D9820000}"/>
    <cellStyle name="Normal 57 3 5 8 3" xfId="20826" xr:uid="{00000000-0005-0000-0000-0000DA820000}"/>
    <cellStyle name="Normal 57 3 5 8 3 2" xfId="46379" xr:uid="{00000000-0005-0000-0000-0000DB820000}"/>
    <cellStyle name="Normal 57 3 5 8 4" xfId="27309" xr:uid="{00000000-0005-0000-0000-0000DC820000}"/>
    <cellStyle name="Normal 57 3 5 9" xfId="5629" xr:uid="{00000000-0005-0000-0000-0000DD820000}"/>
    <cellStyle name="Normal 57 3 5 9 2" xfId="14456" xr:uid="{00000000-0005-0000-0000-0000DE820000}"/>
    <cellStyle name="Normal 57 3 5 9 2 2" xfId="40011" xr:uid="{00000000-0005-0000-0000-0000DF820000}"/>
    <cellStyle name="Normal 57 3 5 9 3" xfId="24707" xr:uid="{00000000-0005-0000-0000-0000E0820000}"/>
    <cellStyle name="Normal 57 3 5 9 3 2" xfId="50260" xr:uid="{00000000-0005-0000-0000-0000E1820000}"/>
    <cellStyle name="Normal 57 3 5 9 4" xfId="31190" xr:uid="{00000000-0005-0000-0000-0000E2820000}"/>
    <cellStyle name="Normal 57 3 5_Degree data" xfId="3951" xr:uid="{00000000-0005-0000-0000-0000E3820000}"/>
    <cellStyle name="Normal 57 3 6" xfId="453" xr:uid="{00000000-0005-0000-0000-0000E4820000}"/>
    <cellStyle name="Normal 57 3 6 10" xfId="26382" xr:uid="{00000000-0005-0000-0000-0000E5820000}"/>
    <cellStyle name="Normal 57 3 6 2" xfId="847" xr:uid="{00000000-0005-0000-0000-0000E6820000}"/>
    <cellStyle name="Normal 57 3 6 2 2" xfId="3332" xr:uid="{00000000-0005-0000-0000-0000E7820000}"/>
    <cellStyle name="Normal 57 3 6 2 2 2" xfId="12474" xr:uid="{00000000-0005-0000-0000-0000E8820000}"/>
    <cellStyle name="Normal 57 3 6 2 2 2 2" xfId="22693" xr:uid="{00000000-0005-0000-0000-0000E9820000}"/>
    <cellStyle name="Normal 57 3 6 2 2 2 2 2" xfId="48246" xr:uid="{00000000-0005-0000-0000-0000EA820000}"/>
    <cellStyle name="Normal 57 3 6 2 2 2 3" xfId="38029" xr:uid="{00000000-0005-0000-0000-0000EB820000}"/>
    <cellStyle name="Normal 57 3 6 2 2 3" xfId="8896" xr:uid="{00000000-0005-0000-0000-0000EC820000}"/>
    <cellStyle name="Normal 57 3 6 2 2 3 2" xfId="34453" xr:uid="{00000000-0005-0000-0000-0000ED820000}"/>
    <cellStyle name="Normal 57 3 6 2 2 4" xfId="17686" xr:uid="{00000000-0005-0000-0000-0000EE820000}"/>
    <cellStyle name="Normal 57 3 6 2 2 4 2" xfId="43239" xr:uid="{00000000-0005-0000-0000-0000EF820000}"/>
    <cellStyle name="Normal 57 3 6 2 2 5" xfId="29176" xr:uid="{00000000-0005-0000-0000-0000F0820000}"/>
    <cellStyle name="Normal 57 3 6 2 3" xfId="4661" xr:uid="{00000000-0005-0000-0000-0000F1820000}"/>
    <cellStyle name="Normal 57 3 6 2 3 2" xfId="13499" xr:uid="{00000000-0005-0000-0000-0000F2820000}"/>
    <cellStyle name="Normal 57 3 6 2 3 2 2" xfId="23750" xr:uid="{00000000-0005-0000-0000-0000F3820000}"/>
    <cellStyle name="Normal 57 3 6 2 3 2 2 2" xfId="49303" xr:uid="{00000000-0005-0000-0000-0000F4820000}"/>
    <cellStyle name="Normal 57 3 6 2 3 2 3" xfId="39054" xr:uid="{00000000-0005-0000-0000-0000F5820000}"/>
    <cellStyle name="Normal 57 3 6 2 3 3" xfId="9920" xr:uid="{00000000-0005-0000-0000-0000F6820000}"/>
    <cellStyle name="Normal 57 3 6 2 3 3 2" xfId="35477" xr:uid="{00000000-0005-0000-0000-0000F7820000}"/>
    <cellStyle name="Normal 57 3 6 2 3 4" xfId="18743" xr:uid="{00000000-0005-0000-0000-0000F8820000}"/>
    <cellStyle name="Normal 57 3 6 2 3 4 2" xfId="44296" xr:uid="{00000000-0005-0000-0000-0000F9820000}"/>
    <cellStyle name="Normal 57 3 6 2 3 5" xfId="30233" xr:uid="{00000000-0005-0000-0000-0000FA820000}"/>
    <cellStyle name="Normal 57 3 6 2 4" xfId="2441" xr:uid="{00000000-0005-0000-0000-0000FB820000}"/>
    <cellStyle name="Normal 57 3 6 2 4 2" xfId="11806" xr:uid="{00000000-0005-0000-0000-0000FC820000}"/>
    <cellStyle name="Normal 57 3 6 2 4 2 2" xfId="37361" xr:uid="{00000000-0005-0000-0000-0000FD820000}"/>
    <cellStyle name="Normal 57 3 6 2 4 3" xfId="21810" xr:uid="{00000000-0005-0000-0000-0000FE820000}"/>
    <cellStyle name="Normal 57 3 6 2 4 3 2" xfId="47363" xr:uid="{00000000-0005-0000-0000-0000FF820000}"/>
    <cellStyle name="Normal 57 3 6 2 4 4" xfId="28293" xr:uid="{00000000-0005-0000-0000-000000830000}"/>
    <cellStyle name="Normal 57 3 6 2 5" xfId="6117" xr:uid="{00000000-0005-0000-0000-000001830000}"/>
    <cellStyle name="Normal 57 3 6 2 5 2" xfId="14944" xr:uid="{00000000-0005-0000-0000-000002830000}"/>
    <cellStyle name="Normal 57 3 6 2 5 2 2" xfId="40499" xr:uid="{00000000-0005-0000-0000-000003830000}"/>
    <cellStyle name="Normal 57 3 6 2 5 3" xfId="25195" xr:uid="{00000000-0005-0000-0000-000004830000}"/>
    <cellStyle name="Normal 57 3 6 2 5 3 2" xfId="50748" xr:uid="{00000000-0005-0000-0000-000005830000}"/>
    <cellStyle name="Normal 57 3 6 2 5 4" xfId="31678" xr:uid="{00000000-0005-0000-0000-000006830000}"/>
    <cellStyle name="Normal 57 3 6 2 6" xfId="7562" xr:uid="{00000000-0005-0000-0000-000007830000}"/>
    <cellStyle name="Normal 57 3 6 2 6 2" xfId="20292" xr:uid="{00000000-0005-0000-0000-000008830000}"/>
    <cellStyle name="Normal 57 3 6 2 6 2 2" xfId="45845" xr:uid="{00000000-0005-0000-0000-000009830000}"/>
    <cellStyle name="Normal 57 3 6 2 6 3" xfId="33119" xr:uid="{00000000-0005-0000-0000-00000A830000}"/>
    <cellStyle name="Normal 57 3 6 2 7" xfId="16803" xr:uid="{00000000-0005-0000-0000-00000B830000}"/>
    <cellStyle name="Normal 57 3 6 2 7 2" xfId="42356" xr:uid="{00000000-0005-0000-0000-00000C830000}"/>
    <cellStyle name="Normal 57 3 6 2 8" xfId="26775" xr:uid="{00000000-0005-0000-0000-00000D830000}"/>
    <cellStyle name="Normal 57 3 6 3" xfId="1225" xr:uid="{00000000-0005-0000-0000-00000E830000}"/>
    <cellStyle name="Normal 57 3 6 3 2" xfId="3654" xr:uid="{00000000-0005-0000-0000-00000F830000}"/>
    <cellStyle name="Normal 57 3 6 3 2 2" xfId="12790" xr:uid="{00000000-0005-0000-0000-000010830000}"/>
    <cellStyle name="Normal 57 3 6 3 2 2 2" xfId="23009" xr:uid="{00000000-0005-0000-0000-000011830000}"/>
    <cellStyle name="Normal 57 3 6 3 2 2 2 2" xfId="48562" xr:uid="{00000000-0005-0000-0000-000012830000}"/>
    <cellStyle name="Normal 57 3 6 3 2 2 3" xfId="38345" xr:uid="{00000000-0005-0000-0000-000013830000}"/>
    <cellStyle name="Normal 57 3 6 3 2 3" xfId="9211" xr:uid="{00000000-0005-0000-0000-000014830000}"/>
    <cellStyle name="Normal 57 3 6 3 2 3 2" xfId="34768" xr:uid="{00000000-0005-0000-0000-000015830000}"/>
    <cellStyle name="Normal 57 3 6 3 2 4" xfId="18002" xr:uid="{00000000-0005-0000-0000-000016830000}"/>
    <cellStyle name="Normal 57 3 6 3 2 4 2" xfId="43555" xr:uid="{00000000-0005-0000-0000-000017830000}"/>
    <cellStyle name="Normal 57 3 6 3 2 5" xfId="29492" xr:uid="{00000000-0005-0000-0000-000018830000}"/>
    <cellStyle name="Normal 57 3 6 3 3" xfId="5010" xr:uid="{00000000-0005-0000-0000-000019830000}"/>
    <cellStyle name="Normal 57 3 6 3 3 2" xfId="13847" xr:uid="{00000000-0005-0000-0000-00001A830000}"/>
    <cellStyle name="Normal 57 3 6 3 3 2 2" xfId="24098" xr:uid="{00000000-0005-0000-0000-00001B830000}"/>
    <cellStyle name="Normal 57 3 6 3 3 2 2 2" xfId="49651" xr:uid="{00000000-0005-0000-0000-00001C830000}"/>
    <cellStyle name="Normal 57 3 6 3 3 2 3" xfId="39402" xr:uid="{00000000-0005-0000-0000-00001D830000}"/>
    <cellStyle name="Normal 57 3 6 3 3 3" xfId="10268" xr:uid="{00000000-0005-0000-0000-00001E830000}"/>
    <cellStyle name="Normal 57 3 6 3 3 3 2" xfId="35825" xr:uid="{00000000-0005-0000-0000-00001F830000}"/>
    <cellStyle name="Normal 57 3 6 3 3 4" xfId="19091" xr:uid="{00000000-0005-0000-0000-000020830000}"/>
    <cellStyle name="Normal 57 3 6 3 3 4 2" xfId="44644" xr:uid="{00000000-0005-0000-0000-000021830000}"/>
    <cellStyle name="Normal 57 3 6 3 3 5" xfId="30581" xr:uid="{00000000-0005-0000-0000-000022830000}"/>
    <cellStyle name="Normal 57 3 6 3 4" xfId="2048" xr:uid="{00000000-0005-0000-0000-000023830000}"/>
    <cellStyle name="Normal 57 3 6 3 4 2" xfId="11413" xr:uid="{00000000-0005-0000-0000-000024830000}"/>
    <cellStyle name="Normal 57 3 6 3 4 2 2" xfId="36968" xr:uid="{00000000-0005-0000-0000-000025830000}"/>
    <cellStyle name="Normal 57 3 6 3 4 3" xfId="21417" xr:uid="{00000000-0005-0000-0000-000026830000}"/>
    <cellStyle name="Normal 57 3 6 3 4 3 2" xfId="46970" xr:uid="{00000000-0005-0000-0000-000027830000}"/>
    <cellStyle name="Normal 57 3 6 3 4 4" xfId="27900" xr:uid="{00000000-0005-0000-0000-000028830000}"/>
    <cellStyle name="Normal 57 3 6 3 5" xfId="6465" xr:uid="{00000000-0005-0000-0000-000029830000}"/>
    <cellStyle name="Normal 57 3 6 3 5 2" xfId="15292" xr:uid="{00000000-0005-0000-0000-00002A830000}"/>
    <cellStyle name="Normal 57 3 6 3 5 2 2" xfId="40847" xr:uid="{00000000-0005-0000-0000-00002B830000}"/>
    <cellStyle name="Normal 57 3 6 3 5 3" xfId="25543" xr:uid="{00000000-0005-0000-0000-00002C830000}"/>
    <cellStyle name="Normal 57 3 6 3 5 3 2" xfId="51096" xr:uid="{00000000-0005-0000-0000-00002D830000}"/>
    <cellStyle name="Normal 57 3 6 3 5 4" xfId="32026" xr:uid="{00000000-0005-0000-0000-00002E830000}"/>
    <cellStyle name="Normal 57 3 6 3 6" xfId="7911" xr:uid="{00000000-0005-0000-0000-00002F830000}"/>
    <cellStyle name="Normal 57 3 6 3 6 2" xfId="20608" xr:uid="{00000000-0005-0000-0000-000030830000}"/>
    <cellStyle name="Normal 57 3 6 3 6 2 2" xfId="46161" xr:uid="{00000000-0005-0000-0000-000031830000}"/>
    <cellStyle name="Normal 57 3 6 3 6 3" xfId="33468" xr:uid="{00000000-0005-0000-0000-000032830000}"/>
    <cellStyle name="Normal 57 3 6 3 7" xfId="16410" xr:uid="{00000000-0005-0000-0000-000033830000}"/>
    <cellStyle name="Normal 57 3 6 3 7 2" xfId="41963" xr:uid="{00000000-0005-0000-0000-000034830000}"/>
    <cellStyle name="Normal 57 3 6 3 8" xfId="27091" xr:uid="{00000000-0005-0000-0000-000035830000}"/>
    <cellStyle name="Normal 57 3 6 4" xfId="2939" xr:uid="{00000000-0005-0000-0000-000036830000}"/>
    <cellStyle name="Normal 57 3 6 4 2" xfId="5317" xr:uid="{00000000-0005-0000-0000-000037830000}"/>
    <cellStyle name="Normal 57 3 6 4 2 2" xfId="14154" xr:uid="{00000000-0005-0000-0000-000038830000}"/>
    <cellStyle name="Normal 57 3 6 4 2 2 2" xfId="24405" xr:uid="{00000000-0005-0000-0000-000039830000}"/>
    <cellStyle name="Normal 57 3 6 4 2 2 2 2" xfId="49958" xr:uid="{00000000-0005-0000-0000-00003A830000}"/>
    <cellStyle name="Normal 57 3 6 4 2 2 3" xfId="39709" xr:uid="{00000000-0005-0000-0000-00003B830000}"/>
    <cellStyle name="Normal 57 3 6 4 2 3" xfId="10575" xr:uid="{00000000-0005-0000-0000-00003C830000}"/>
    <cellStyle name="Normal 57 3 6 4 2 3 2" xfId="36132" xr:uid="{00000000-0005-0000-0000-00003D830000}"/>
    <cellStyle name="Normal 57 3 6 4 2 4" xfId="19398" xr:uid="{00000000-0005-0000-0000-00003E830000}"/>
    <cellStyle name="Normal 57 3 6 4 2 4 2" xfId="44951" xr:uid="{00000000-0005-0000-0000-00003F830000}"/>
    <cellStyle name="Normal 57 3 6 4 2 5" xfId="30888" xr:uid="{00000000-0005-0000-0000-000040830000}"/>
    <cellStyle name="Normal 57 3 6 4 3" xfId="6772" xr:uid="{00000000-0005-0000-0000-000041830000}"/>
    <cellStyle name="Normal 57 3 6 4 3 2" xfId="15599" xr:uid="{00000000-0005-0000-0000-000042830000}"/>
    <cellStyle name="Normal 57 3 6 4 3 2 2" xfId="41154" xr:uid="{00000000-0005-0000-0000-000043830000}"/>
    <cellStyle name="Normal 57 3 6 4 3 3" xfId="25850" xr:uid="{00000000-0005-0000-0000-000044830000}"/>
    <cellStyle name="Normal 57 3 6 4 3 3 2" xfId="51403" xr:uid="{00000000-0005-0000-0000-000045830000}"/>
    <cellStyle name="Normal 57 3 6 4 3 4" xfId="32333" xr:uid="{00000000-0005-0000-0000-000046830000}"/>
    <cellStyle name="Normal 57 3 6 4 4" xfId="8218" xr:uid="{00000000-0005-0000-0000-000047830000}"/>
    <cellStyle name="Normal 57 3 6 4 4 2" xfId="22300" xr:uid="{00000000-0005-0000-0000-000048830000}"/>
    <cellStyle name="Normal 57 3 6 4 4 2 2" xfId="47853" xr:uid="{00000000-0005-0000-0000-000049830000}"/>
    <cellStyle name="Normal 57 3 6 4 4 3" xfId="33775" xr:uid="{00000000-0005-0000-0000-00004A830000}"/>
    <cellStyle name="Normal 57 3 6 4 5" xfId="17293" xr:uid="{00000000-0005-0000-0000-00004B830000}"/>
    <cellStyle name="Normal 57 3 6 4 5 2" xfId="42846" xr:uid="{00000000-0005-0000-0000-00004C830000}"/>
    <cellStyle name="Normal 57 3 6 4 6" xfId="28783" xr:uid="{00000000-0005-0000-0000-00004D830000}"/>
    <cellStyle name="Normal 57 3 6 5" xfId="4273" xr:uid="{00000000-0005-0000-0000-00004E830000}"/>
    <cellStyle name="Normal 57 3 6 5 2" xfId="13111" xr:uid="{00000000-0005-0000-0000-00004F830000}"/>
    <cellStyle name="Normal 57 3 6 5 2 2" xfId="23362" xr:uid="{00000000-0005-0000-0000-000050830000}"/>
    <cellStyle name="Normal 57 3 6 5 2 2 2" xfId="48915" xr:uid="{00000000-0005-0000-0000-000051830000}"/>
    <cellStyle name="Normal 57 3 6 5 2 3" xfId="38666" xr:uid="{00000000-0005-0000-0000-000052830000}"/>
    <cellStyle name="Normal 57 3 6 5 3" xfId="9532" xr:uid="{00000000-0005-0000-0000-000053830000}"/>
    <cellStyle name="Normal 57 3 6 5 3 2" xfId="35089" xr:uid="{00000000-0005-0000-0000-000054830000}"/>
    <cellStyle name="Normal 57 3 6 5 4" xfId="18355" xr:uid="{00000000-0005-0000-0000-000055830000}"/>
    <cellStyle name="Normal 57 3 6 5 4 2" xfId="43908" xr:uid="{00000000-0005-0000-0000-000056830000}"/>
    <cellStyle name="Normal 57 3 6 5 5" xfId="29845" xr:uid="{00000000-0005-0000-0000-000057830000}"/>
    <cellStyle name="Normal 57 3 6 6" xfId="1545" xr:uid="{00000000-0005-0000-0000-000058830000}"/>
    <cellStyle name="Normal 57 3 6 6 2" xfId="10922" xr:uid="{00000000-0005-0000-0000-000059830000}"/>
    <cellStyle name="Normal 57 3 6 6 2 2" xfId="36477" xr:uid="{00000000-0005-0000-0000-00005A830000}"/>
    <cellStyle name="Normal 57 3 6 6 3" xfId="20926" xr:uid="{00000000-0005-0000-0000-00005B830000}"/>
    <cellStyle name="Normal 57 3 6 6 3 2" xfId="46479" xr:uid="{00000000-0005-0000-0000-00005C830000}"/>
    <cellStyle name="Normal 57 3 6 6 4" xfId="27409" xr:uid="{00000000-0005-0000-0000-00005D830000}"/>
    <cellStyle name="Normal 57 3 6 7" xfId="5729" xr:uid="{00000000-0005-0000-0000-00005E830000}"/>
    <cellStyle name="Normal 57 3 6 7 2" xfId="14556" xr:uid="{00000000-0005-0000-0000-00005F830000}"/>
    <cellStyle name="Normal 57 3 6 7 2 2" xfId="40111" xr:uid="{00000000-0005-0000-0000-000060830000}"/>
    <cellStyle name="Normal 57 3 6 7 3" xfId="24807" xr:uid="{00000000-0005-0000-0000-000061830000}"/>
    <cellStyle name="Normal 57 3 6 7 3 2" xfId="50360" xr:uid="{00000000-0005-0000-0000-000062830000}"/>
    <cellStyle name="Normal 57 3 6 7 4" xfId="31290" xr:uid="{00000000-0005-0000-0000-000063830000}"/>
    <cellStyle name="Normal 57 3 6 8" xfId="7173" xr:uid="{00000000-0005-0000-0000-000064830000}"/>
    <cellStyle name="Normal 57 3 6 8 2" xfId="19899" xr:uid="{00000000-0005-0000-0000-000065830000}"/>
    <cellStyle name="Normal 57 3 6 8 2 2" xfId="45452" xr:uid="{00000000-0005-0000-0000-000066830000}"/>
    <cellStyle name="Normal 57 3 6 8 3" xfId="32730" xr:uid="{00000000-0005-0000-0000-000067830000}"/>
    <cellStyle name="Normal 57 3 6 9" xfId="15919" xr:uid="{00000000-0005-0000-0000-000068830000}"/>
    <cellStyle name="Normal 57 3 6 9 2" xfId="41472" xr:uid="{00000000-0005-0000-0000-000069830000}"/>
    <cellStyle name="Normal 57 3 6_Degree data" xfId="3953" xr:uid="{00000000-0005-0000-0000-00006A830000}"/>
    <cellStyle name="Normal 57 3 7" xfId="301" xr:uid="{00000000-0005-0000-0000-00006B830000}"/>
    <cellStyle name="Normal 57 3 7 10" xfId="26230" xr:uid="{00000000-0005-0000-0000-00006C830000}"/>
    <cellStyle name="Normal 57 3 7 2" xfId="848" xr:uid="{00000000-0005-0000-0000-00006D830000}"/>
    <cellStyle name="Normal 57 3 7 2 2" xfId="3333" xr:uid="{00000000-0005-0000-0000-00006E830000}"/>
    <cellStyle name="Normal 57 3 7 2 2 2" xfId="12475" xr:uid="{00000000-0005-0000-0000-00006F830000}"/>
    <cellStyle name="Normal 57 3 7 2 2 2 2" xfId="22694" xr:uid="{00000000-0005-0000-0000-000070830000}"/>
    <cellStyle name="Normal 57 3 7 2 2 2 2 2" xfId="48247" xr:uid="{00000000-0005-0000-0000-000071830000}"/>
    <cellStyle name="Normal 57 3 7 2 2 2 3" xfId="38030" xr:uid="{00000000-0005-0000-0000-000072830000}"/>
    <cellStyle name="Normal 57 3 7 2 2 3" xfId="8897" xr:uid="{00000000-0005-0000-0000-000073830000}"/>
    <cellStyle name="Normal 57 3 7 2 2 3 2" xfId="34454" xr:uid="{00000000-0005-0000-0000-000074830000}"/>
    <cellStyle name="Normal 57 3 7 2 2 4" xfId="17687" xr:uid="{00000000-0005-0000-0000-000075830000}"/>
    <cellStyle name="Normal 57 3 7 2 2 4 2" xfId="43240" xr:uid="{00000000-0005-0000-0000-000076830000}"/>
    <cellStyle name="Normal 57 3 7 2 2 5" xfId="29177" xr:uid="{00000000-0005-0000-0000-000077830000}"/>
    <cellStyle name="Normal 57 3 7 2 3" xfId="4662" xr:uid="{00000000-0005-0000-0000-000078830000}"/>
    <cellStyle name="Normal 57 3 7 2 3 2" xfId="13500" xr:uid="{00000000-0005-0000-0000-000079830000}"/>
    <cellStyle name="Normal 57 3 7 2 3 2 2" xfId="23751" xr:uid="{00000000-0005-0000-0000-00007A830000}"/>
    <cellStyle name="Normal 57 3 7 2 3 2 2 2" xfId="49304" xr:uid="{00000000-0005-0000-0000-00007B830000}"/>
    <cellStyle name="Normal 57 3 7 2 3 2 3" xfId="39055" xr:uid="{00000000-0005-0000-0000-00007C830000}"/>
    <cellStyle name="Normal 57 3 7 2 3 3" xfId="9921" xr:uid="{00000000-0005-0000-0000-00007D830000}"/>
    <cellStyle name="Normal 57 3 7 2 3 3 2" xfId="35478" xr:uid="{00000000-0005-0000-0000-00007E830000}"/>
    <cellStyle name="Normal 57 3 7 2 3 4" xfId="18744" xr:uid="{00000000-0005-0000-0000-00007F830000}"/>
    <cellStyle name="Normal 57 3 7 2 3 4 2" xfId="44297" xr:uid="{00000000-0005-0000-0000-000080830000}"/>
    <cellStyle name="Normal 57 3 7 2 3 5" xfId="30234" xr:uid="{00000000-0005-0000-0000-000081830000}"/>
    <cellStyle name="Normal 57 3 7 2 4" xfId="2442" xr:uid="{00000000-0005-0000-0000-000082830000}"/>
    <cellStyle name="Normal 57 3 7 2 4 2" xfId="11807" xr:uid="{00000000-0005-0000-0000-000083830000}"/>
    <cellStyle name="Normal 57 3 7 2 4 2 2" xfId="37362" xr:uid="{00000000-0005-0000-0000-000084830000}"/>
    <cellStyle name="Normal 57 3 7 2 4 3" xfId="21811" xr:uid="{00000000-0005-0000-0000-000085830000}"/>
    <cellStyle name="Normal 57 3 7 2 4 3 2" xfId="47364" xr:uid="{00000000-0005-0000-0000-000086830000}"/>
    <cellStyle name="Normal 57 3 7 2 4 4" xfId="28294" xr:uid="{00000000-0005-0000-0000-000087830000}"/>
    <cellStyle name="Normal 57 3 7 2 5" xfId="6118" xr:uid="{00000000-0005-0000-0000-000088830000}"/>
    <cellStyle name="Normal 57 3 7 2 5 2" xfId="14945" xr:uid="{00000000-0005-0000-0000-000089830000}"/>
    <cellStyle name="Normal 57 3 7 2 5 2 2" xfId="40500" xr:uid="{00000000-0005-0000-0000-00008A830000}"/>
    <cellStyle name="Normal 57 3 7 2 5 3" xfId="25196" xr:uid="{00000000-0005-0000-0000-00008B830000}"/>
    <cellStyle name="Normal 57 3 7 2 5 3 2" xfId="50749" xr:uid="{00000000-0005-0000-0000-00008C830000}"/>
    <cellStyle name="Normal 57 3 7 2 5 4" xfId="31679" xr:uid="{00000000-0005-0000-0000-00008D830000}"/>
    <cellStyle name="Normal 57 3 7 2 6" xfId="7563" xr:uid="{00000000-0005-0000-0000-00008E830000}"/>
    <cellStyle name="Normal 57 3 7 2 6 2" xfId="20293" xr:uid="{00000000-0005-0000-0000-00008F830000}"/>
    <cellStyle name="Normal 57 3 7 2 6 2 2" xfId="45846" xr:uid="{00000000-0005-0000-0000-000090830000}"/>
    <cellStyle name="Normal 57 3 7 2 6 3" xfId="33120" xr:uid="{00000000-0005-0000-0000-000091830000}"/>
    <cellStyle name="Normal 57 3 7 2 7" xfId="16804" xr:uid="{00000000-0005-0000-0000-000092830000}"/>
    <cellStyle name="Normal 57 3 7 2 7 2" xfId="42357" xr:uid="{00000000-0005-0000-0000-000093830000}"/>
    <cellStyle name="Normal 57 3 7 2 8" xfId="26776" xr:uid="{00000000-0005-0000-0000-000094830000}"/>
    <cellStyle name="Normal 57 3 7 3" xfId="1073" xr:uid="{00000000-0005-0000-0000-000095830000}"/>
    <cellStyle name="Normal 57 3 7 3 2" xfId="3502" xr:uid="{00000000-0005-0000-0000-000096830000}"/>
    <cellStyle name="Normal 57 3 7 3 2 2" xfId="12638" xr:uid="{00000000-0005-0000-0000-000097830000}"/>
    <cellStyle name="Normal 57 3 7 3 2 2 2" xfId="22857" xr:uid="{00000000-0005-0000-0000-000098830000}"/>
    <cellStyle name="Normal 57 3 7 3 2 2 2 2" xfId="48410" xr:uid="{00000000-0005-0000-0000-000099830000}"/>
    <cellStyle name="Normal 57 3 7 3 2 2 3" xfId="38193" xr:uid="{00000000-0005-0000-0000-00009A830000}"/>
    <cellStyle name="Normal 57 3 7 3 2 3" xfId="9060" xr:uid="{00000000-0005-0000-0000-00009B830000}"/>
    <cellStyle name="Normal 57 3 7 3 2 3 2" xfId="34617" xr:uid="{00000000-0005-0000-0000-00009C830000}"/>
    <cellStyle name="Normal 57 3 7 3 2 4" xfId="17850" xr:uid="{00000000-0005-0000-0000-00009D830000}"/>
    <cellStyle name="Normal 57 3 7 3 2 4 2" xfId="43403" xr:uid="{00000000-0005-0000-0000-00009E830000}"/>
    <cellStyle name="Normal 57 3 7 3 2 5" xfId="29340" xr:uid="{00000000-0005-0000-0000-00009F830000}"/>
    <cellStyle name="Normal 57 3 7 3 3" xfId="5011" xr:uid="{00000000-0005-0000-0000-0000A0830000}"/>
    <cellStyle name="Normal 57 3 7 3 3 2" xfId="13848" xr:uid="{00000000-0005-0000-0000-0000A1830000}"/>
    <cellStyle name="Normal 57 3 7 3 3 2 2" xfId="24099" xr:uid="{00000000-0005-0000-0000-0000A2830000}"/>
    <cellStyle name="Normal 57 3 7 3 3 2 2 2" xfId="49652" xr:uid="{00000000-0005-0000-0000-0000A3830000}"/>
    <cellStyle name="Normal 57 3 7 3 3 2 3" xfId="39403" xr:uid="{00000000-0005-0000-0000-0000A4830000}"/>
    <cellStyle name="Normal 57 3 7 3 3 3" xfId="10269" xr:uid="{00000000-0005-0000-0000-0000A5830000}"/>
    <cellStyle name="Normal 57 3 7 3 3 3 2" xfId="35826" xr:uid="{00000000-0005-0000-0000-0000A6830000}"/>
    <cellStyle name="Normal 57 3 7 3 3 4" xfId="19092" xr:uid="{00000000-0005-0000-0000-0000A7830000}"/>
    <cellStyle name="Normal 57 3 7 3 3 4 2" xfId="44645" xr:uid="{00000000-0005-0000-0000-0000A8830000}"/>
    <cellStyle name="Normal 57 3 7 3 3 5" xfId="30582" xr:uid="{00000000-0005-0000-0000-0000A9830000}"/>
    <cellStyle name="Normal 57 3 7 3 4" xfId="2591" xr:uid="{00000000-0005-0000-0000-0000AA830000}"/>
    <cellStyle name="Normal 57 3 7 3 4 2" xfId="11955" xr:uid="{00000000-0005-0000-0000-0000AB830000}"/>
    <cellStyle name="Normal 57 3 7 3 4 2 2" xfId="37510" xr:uid="{00000000-0005-0000-0000-0000AC830000}"/>
    <cellStyle name="Normal 57 3 7 3 4 3" xfId="21959" xr:uid="{00000000-0005-0000-0000-0000AD830000}"/>
    <cellStyle name="Normal 57 3 7 3 4 3 2" xfId="47512" xr:uid="{00000000-0005-0000-0000-0000AE830000}"/>
    <cellStyle name="Normal 57 3 7 3 4 4" xfId="28442" xr:uid="{00000000-0005-0000-0000-0000AF830000}"/>
    <cellStyle name="Normal 57 3 7 3 5" xfId="6466" xr:uid="{00000000-0005-0000-0000-0000B0830000}"/>
    <cellStyle name="Normal 57 3 7 3 5 2" xfId="15293" xr:uid="{00000000-0005-0000-0000-0000B1830000}"/>
    <cellStyle name="Normal 57 3 7 3 5 2 2" xfId="40848" xr:uid="{00000000-0005-0000-0000-0000B2830000}"/>
    <cellStyle name="Normal 57 3 7 3 5 3" xfId="25544" xr:uid="{00000000-0005-0000-0000-0000B3830000}"/>
    <cellStyle name="Normal 57 3 7 3 5 3 2" xfId="51097" xr:uid="{00000000-0005-0000-0000-0000B4830000}"/>
    <cellStyle name="Normal 57 3 7 3 5 4" xfId="32027" xr:uid="{00000000-0005-0000-0000-0000B5830000}"/>
    <cellStyle name="Normal 57 3 7 3 6" xfId="7912" xr:uid="{00000000-0005-0000-0000-0000B6830000}"/>
    <cellStyle name="Normal 57 3 7 3 6 2" xfId="20456" xr:uid="{00000000-0005-0000-0000-0000B7830000}"/>
    <cellStyle name="Normal 57 3 7 3 6 2 2" xfId="46009" xr:uid="{00000000-0005-0000-0000-0000B8830000}"/>
    <cellStyle name="Normal 57 3 7 3 6 3" xfId="33469" xr:uid="{00000000-0005-0000-0000-0000B9830000}"/>
    <cellStyle name="Normal 57 3 7 3 7" xfId="16952" xr:uid="{00000000-0005-0000-0000-0000BA830000}"/>
    <cellStyle name="Normal 57 3 7 3 7 2" xfId="42505" xr:uid="{00000000-0005-0000-0000-0000BB830000}"/>
    <cellStyle name="Normal 57 3 7 3 8" xfId="26939" xr:uid="{00000000-0005-0000-0000-0000BC830000}"/>
    <cellStyle name="Normal 57 3 7 4" xfId="2787" xr:uid="{00000000-0005-0000-0000-0000BD830000}"/>
    <cellStyle name="Normal 57 3 7 4 2" xfId="5165" xr:uid="{00000000-0005-0000-0000-0000BE830000}"/>
    <cellStyle name="Normal 57 3 7 4 2 2" xfId="14002" xr:uid="{00000000-0005-0000-0000-0000BF830000}"/>
    <cellStyle name="Normal 57 3 7 4 2 2 2" xfId="24253" xr:uid="{00000000-0005-0000-0000-0000C0830000}"/>
    <cellStyle name="Normal 57 3 7 4 2 2 2 2" xfId="49806" xr:uid="{00000000-0005-0000-0000-0000C1830000}"/>
    <cellStyle name="Normal 57 3 7 4 2 2 3" xfId="39557" xr:uid="{00000000-0005-0000-0000-0000C2830000}"/>
    <cellStyle name="Normal 57 3 7 4 2 3" xfId="10423" xr:uid="{00000000-0005-0000-0000-0000C3830000}"/>
    <cellStyle name="Normal 57 3 7 4 2 3 2" xfId="35980" xr:uid="{00000000-0005-0000-0000-0000C4830000}"/>
    <cellStyle name="Normal 57 3 7 4 2 4" xfId="19246" xr:uid="{00000000-0005-0000-0000-0000C5830000}"/>
    <cellStyle name="Normal 57 3 7 4 2 4 2" xfId="44799" xr:uid="{00000000-0005-0000-0000-0000C6830000}"/>
    <cellStyle name="Normal 57 3 7 4 2 5" xfId="30736" xr:uid="{00000000-0005-0000-0000-0000C7830000}"/>
    <cellStyle name="Normal 57 3 7 4 3" xfId="6620" xr:uid="{00000000-0005-0000-0000-0000C8830000}"/>
    <cellStyle name="Normal 57 3 7 4 3 2" xfId="15447" xr:uid="{00000000-0005-0000-0000-0000C9830000}"/>
    <cellStyle name="Normal 57 3 7 4 3 2 2" xfId="41002" xr:uid="{00000000-0005-0000-0000-0000CA830000}"/>
    <cellStyle name="Normal 57 3 7 4 3 3" xfId="25698" xr:uid="{00000000-0005-0000-0000-0000CB830000}"/>
    <cellStyle name="Normal 57 3 7 4 3 3 2" xfId="51251" xr:uid="{00000000-0005-0000-0000-0000CC830000}"/>
    <cellStyle name="Normal 57 3 7 4 3 4" xfId="32181" xr:uid="{00000000-0005-0000-0000-0000CD830000}"/>
    <cellStyle name="Normal 57 3 7 4 4" xfId="8066" xr:uid="{00000000-0005-0000-0000-0000CE830000}"/>
    <cellStyle name="Normal 57 3 7 4 4 2" xfId="22148" xr:uid="{00000000-0005-0000-0000-0000CF830000}"/>
    <cellStyle name="Normal 57 3 7 4 4 2 2" xfId="47701" xr:uid="{00000000-0005-0000-0000-0000D0830000}"/>
    <cellStyle name="Normal 57 3 7 4 4 3" xfId="33623" xr:uid="{00000000-0005-0000-0000-0000D1830000}"/>
    <cellStyle name="Normal 57 3 7 4 5" xfId="17141" xr:uid="{00000000-0005-0000-0000-0000D2830000}"/>
    <cellStyle name="Normal 57 3 7 4 5 2" xfId="42694" xr:uid="{00000000-0005-0000-0000-0000D3830000}"/>
    <cellStyle name="Normal 57 3 7 4 6" xfId="28631" xr:uid="{00000000-0005-0000-0000-0000D4830000}"/>
    <cellStyle name="Normal 57 3 7 5" xfId="4119" xr:uid="{00000000-0005-0000-0000-0000D5830000}"/>
    <cellStyle name="Normal 57 3 7 5 2" xfId="12957" xr:uid="{00000000-0005-0000-0000-0000D6830000}"/>
    <cellStyle name="Normal 57 3 7 5 2 2" xfId="23208" xr:uid="{00000000-0005-0000-0000-0000D7830000}"/>
    <cellStyle name="Normal 57 3 7 5 2 2 2" xfId="48761" xr:uid="{00000000-0005-0000-0000-0000D8830000}"/>
    <cellStyle name="Normal 57 3 7 5 2 3" xfId="38512" xr:uid="{00000000-0005-0000-0000-0000D9830000}"/>
    <cellStyle name="Normal 57 3 7 5 3" xfId="9378" xr:uid="{00000000-0005-0000-0000-0000DA830000}"/>
    <cellStyle name="Normal 57 3 7 5 3 2" xfId="34935" xr:uid="{00000000-0005-0000-0000-0000DB830000}"/>
    <cellStyle name="Normal 57 3 7 5 4" xfId="18201" xr:uid="{00000000-0005-0000-0000-0000DC830000}"/>
    <cellStyle name="Normal 57 3 7 5 4 2" xfId="43754" xr:uid="{00000000-0005-0000-0000-0000DD830000}"/>
    <cellStyle name="Normal 57 3 7 5 5" xfId="29691" xr:uid="{00000000-0005-0000-0000-0000DE830000}"/>
    <cellStyle name="Normal 57 3 7 6" xfId="1896" xr:uid="{00000000-0005-0000-0000-0000DF830000}"/>
    <cellStyle name="Normal 57 3 7 6 2" xfId="11261" xr:uid="{00000000-0005-0000-0000-0000E0830000}"/>
    <cellStyle name="Normal 57 3 7 6 2 2" xfId="36816" xr:uid="{00000000-0005-0000-0000-0000E1830000}"/>
    <cellStyle name="Normal 57 3 7 6 3" xfId="21265" xr:uid="{00000000-0005-0000-0000-0000E2830000}"/>
    <cellStyle name="Normal 57 3 7 6 3 2" xfId="46818" xr:uid="{00000000-0005-0000-0000-0000E3830000}"/>
    <cellStyle name="Normal 57 3 7 6 4" xfId="27748" xr:uid="{00000000-0005-0000-0000-0000E4830000}"/>
    <cellStyle name="Normal 57 3 7 7" xfId="5577" xr:uid="{00000000-0005-0000-0000-0000E5830000}"/>
    <cellStyle name="Normal 57 3 7 7 2" xfId="14404" xr:uid="{00000000-0005-0000-0000-0000E6830000}"/>
    <cellStyle name="Normal 57 3 7 7 2 2" xfId="39959" xr:uid="{00000000-0005-0000-0000-0000E7830000}"/>
    <cellStyle name="Normal 57 3 7 7 3" xfId="24655" xr:uid="{00000000-0005-0000-0000-0000E8830000}"/>
    <cellStyle name="Normal 57 3 7 7 3 2" xfId="50208" xr:uid="{00000000-0005-0000-0000-0000E9830000}"/>
    <cellStyle name="Normal 57 3 7 7 4" xfId="31138" xr:uid="{00000000-0005-0000-0000-0000EA830000}"/>
    <cellStyle name="Normal 57 3 7 8" xfId="7021" xr:uid="{00000000-0005-0000-0000-0000EB830000}"/>
    <cellStyle name="Normal 57 3 7 8 2" xfId="19747" xr:uid="{00000000-0005-0000-0000-0000EC830000}"/>
    <cellStyle name="Normal 57 3 7 8 2 2" xfId="45300" xr:uid="{00000000-0005-0000-0000-0000ED830000}"/>
    <cellStyle name="Normal 57 3 7 8 3" xfId="32578" xr:uid="{00000000-0005-0000-0000-0000EE830000}"/>
    <cellStyle name="Normal 57 3 7 9" xfId="16258" xr:uid="{00000000-0005-0000-0000-0000EF830000}"/>
    <cellStyle name="Normal 57 3 7 9 2" xfId="41811" xr:uid="{00000000-0005-0000-0000-0000F0830000}"/>
    <cellStyle name="Normal 57 3 7_Degree data" xfId="3954" xr:uid="{00000000-0005-0000-0000-0000F1830000}"/>
    <cellStyle name="Normal 57 3 8" xfId="829" xr:uid="{00000000-0005-0000-0000-0000F2830000}"/>
    <cellStyle name="Normal 57 3 8 2" xfId="3314" xr:uid="{00000000-0005-0000-0000-0000F3830000}"/>
    <cellStyle name="Normal 57 3 8 2 2" xfId="12456" xr:uid="{00000000-0005-0000-0000-0000F4830000}"/>
    <cellStyle name="Normal 57 3 8 2 2 2" xfId="22675" xr:uid="{00000000-0005-0000-0000-0000F5830000}"/>
    <cellStyle name="Normal 57 3 8 2 2 2 2" xfId="48228" xr:uid="{00000000-0005-0000-0000-0000F6830000}"/>
    <cellStyle name="Normal 57 3 8 2 2 3" xfId="38011" xr:uid="{00000000-0005-0000-0000-0000F7830000}"/>
    <cellStyle name="Normal 57 3 8 2 3" xfId="8878" xr:uid="{00000000-0005-0000-0000-0000F8830000}"/>
    <cellStyle name="Normal 57 3 8 2 3 2" xfId="34435" xr:uid="{00000000-0005-0000-0000-0000F9830000}"/>
    <cellStyle name="Normal 57 3 8 2 4" xfId="17668" xr:uid="{00000000-0005-0000-0000-0000FA830000}"/>
    <cellStyle name="Normal 57 3 8 2 4 2" xfId="43221" xr:uid="{00000000-0005-0000-0000-0000FB830000}"/>
    <cellStyle name="Normal 57 3 8 2 5" xfId="29158" xr:uid="{00000000-0005-0000-0000-0000FC830000}"/>
    <cellStyle name="Normal 57 3 8 3" xfId="4643" xr:uid="{00000000-0005-0000-0000-0000FD830000}"/>
    <cellStyle name="Normal 57 3 8 3 2" xfId="13481" xr:uid="{00000000-0005-0000-0000-0000FE830000}"/>
    <cellStyle name="Normal 57 3 8 3 2 2" xfId="23732" xr:uid="{00000000-0005-0000-0000-0000FF830000}"/>
    <cellStyle name="Normal 57 3 8 3 2 2 2" xfId="49285" xr:uid="{00000000-0005-0000-0000-000000840000}"/>
    <cellStyle name="Normal 57 3 8 3 2 3" xfId="39036" xr:uid="{00000000-0005-0000-0000-000001840000}"/>
    <cellStyle name="Normal 57 3 8 3 3" xfId="9902" xr:uid="{00000000-0005-0000-0000-000002840000}"/>
    <cellStyle name="Normal 57 3 8 3 3 2" xfId="35459" xr:uid="{00000000-0005-0000-0000-000003840000}"/>
    <cellStyle name="Normal 57 3 8 3 4" xfId="18725" xr:uid="{00000000-0005-0000-0000-000004840000}"/>
    <cellStyle name="Normal 57 3 8 3 4 2" xfId="44278" xr:uid="{00000000-0005-0000-0000-000005840000}"/>
    <cellStyle name="Normal 57 3 8 3 5" xfId="30215" xr:uid="{00000000-0005-0000-0000-000006840000}"/>
    <cellStyle name="Normal 57 3 8 4" xfId="2423" xr:uid="{00000000-0005-0000-0000-000007840000}"/>
    <cellStyle name="Normal 57 3 8 4 2" xfId="11788" xr:uid="{00000000-0005-0000-0000-000008840000}"/>
    <cellStyle name="Normal 57 3 8 4 2 2" xfId="37343" xr:uid="{00000000-0005-0000-0000-000009840000}"/>
    <cellStyle name="Normal 57 3 8 4 3" xfId="21792" xr:uid="{00000000-0005-0000-0000-00000A840000}"/>
    <cellStyle name="Normal 57 3 8 4 3 2" xfId="47345" xr:uid="{00000000-0005-0000-0000-00000B840000}"/>
    <cellStyle name="Normal 57 3 8 4 4" xfId="28275" xr:uid="{00000000-0005-0000-0000-00000C840000}"/>
    <cellStyle name="Normal 57 3 8 5" xfId="6099" xr:uid="{00000000-0005-0000-0000-00000D840000}"/>
    <cellStyle name="Normal 57 3 8 5 2" xfId="14926" xr:uid="{00000000-0005-0000-0000-00000E840000}"/>
    <cellStyle name="Normal 57 3 8 5 2 2" xfId="40481" xr:uid="{00000000-0005-0000-0000-00000F840000}"/>
    <cellStyle name="Normal 57 3 8 5 3" xfId="25177" xr:uid="{00000000-0005-0000-0000-000010840000}"/>
    <cellStyle name="Normal 57 3 8 5 3 2" xfId="50730" xr:uid="{00000000-0005-0000-0000-000011840000}"/>
    <cellStyle name="Normal 57 3 8 5 4" xfId="31660" xr:uid="{00000000-0005-0000-0000-000012840000}"/>
    <cellStyle name="Normal 57 3 8 6" xfId="7544" xr:uid="{00000000-0005-0000-0000-000013840000}"/>
    <cellStyle name="Normal 57 3 8 6 2" xfId="20274" xr:uid="{00000000-0005-0000-0000-000014840000}"/>
    <cellStyle name="Normal 57 3 8 6 2 2" xfId="45827" xr:uid="{00000000-0005-0000-0000-000015840000}"/>
    <cellStyle name="Normal 57 3 8 6 3" xfId="33101" xr:uid="{00000000-0005-0000-0000-000016840000}"/>
    <cellStyle name="Normal 57 3 8 7" xfId="16785" xr:uid="{00000000-0005-0000-0000-000017840000}"/>
    <cellStyle name="Normal 57 3 8 7 2" xfId="42338" xr:uid="{00000000-0005-0000-0000-000018840000}"/>
    <cellStyle name="Normal 57 3 8 8" xfId="26757" xr:uid="{00000000-0005-0000-0000-000019840000}"/>
    <cellStyle name="Normal 57 3 9" xfId="1041" xr:uid="{00000000-0005-0000-0000-00001A840000}"/>
    <cellStyle name="Normal 57 3 9 2" xfId="3470" xr:uid="{00000000-0005-0000-0000-00001B840000}"/>
    <cellStyle name="Normal 57 3 9 2 2" xfId="12606" xr:uid="{00000000-0005-0000-0000-00001C840000}"/>
    <cellStyle name="Normal 57 3 9 2 2 2" xfId="22825" xr:uid="{00000000-0005-0000-0000-00001D840000}"/>
    <cellStyle name="Normal 57 3 9 2 2 2 2" xfId="48378" xr:uid="{00000000-0005-0000-0000-00001E840000}"/>
    <cellStyle name="Normal 57 3 9 2 2 3" xfId="38161" xr:uid="{00000000-0005-0000-0000-00001F840000}"/>
    <cellStyle name="Normal 57 3 9 2 3" xfId="9028" xr:uid="{00000000-0005-0000-0000-000020840000}"/>
    <cellStyle name="Normal 57 3 9 2 3 2" xfId="34585" xr:uid="{00000000-0005-0000-0000-000021840000}"/>
    <cellStyle name="Normal 57 3 9 2 4" xfId="17818" xr:uid="{00000000-0005-0000-0000-000022840000}"/>
    <cellStyle name="Normal 57 3 9 2 4 2" xfId="43371" xr:uid="{00000000-0005-0000-0000-000023840000}"/>
    <cellStyle name="Normal 57 3 9 2 5" xfId="29308" xr:uid="{00000000-0005-0000-0000-000024840000}"/>
    <cellStyle name="Normal 57 3 9 3" xfId="4992" xr:uid="{00000000-0005-0000-0000-000025840000}"/>
    <cellStyle name="Normal 57 3 9 3 2" xfId="13829" xr:uid="{00000000-0005-0000-0000-000026840000}"/>
    <cellStyle name="Normal 57 3 9 3 2 2" xfId="24080" xr:uid="{00000000-0005-0000-0000-000027840000}"/>
    <cellStyle name="Normal 57 3 9 3 2 2 2" xfId="49633" xr:uid="{00000000-0005-0000-0000-000028840000}"/>
    <cellStyle name="Normal 57 3 9 3 2 3" xfId="39384" xr:uid="{00000000-0005-0000-0000-000029840000}"/>
    <cellStyle name="Normal 57 3 9 3 3" xfId="10250" xr:uid="{00000000-0005-0000-0000-00002A840000}"/>
    <cellStyle name="Normal 57 3 9 3 3 2" xfId="35807" xr:uid="{00000000-0005-0000-0000-00002B840000}"/>
    <cellStyle name="Normal 57 3 9 3 4" xfId="19073" xr:uid="{00000000-0005-0000-0000-00002C840000}"/>
    <cellStyle name="Normal 57 3 9 3 4 2" xfId="44626" xr:uid="{00000000-0005-0000-0000-00002D840000}"/>
    <cellStyle name="Normal 57 3 9 3 5" xfId="30563" xr:uid="{00000000-0005-0000-0000-00002E840000}"/>
    <cellStyle name="Normal 57 3 9 4" xfId="1721" xr:uid="{00000000-0005-0000-0000-00002F840000}"/>
    <cellStyle name="Normal 57 3 9 4 2" xfId="11095" xr:uid="{00000000-0005-0000-0000-000030840000}"/>
    <cellStyle name="Normal 57 3 9 4 2 2" xfId="36650" xr:uid="{00000000-0005-0000-0000-000031840000}"/>
    <cellStyle name="Normal 57 3 9 4 3" xfId="21099" xr:uid="{00000000-0005-0000-0000-000032840000}"/>
    <cellStyle name="Normal 57 3 9 4 3 2" xfId="46652" xr:uid="{00000000-0005-0000-0000-000033840000}"/>
    <cellStyle name="Normal 57 3 9 4 4" xfId="27582" xr:uid="{00000000-0005-0000-0000-000034840000}"/>
    <cellStyle name="Normal 57 3 9 5" xfId="6447" xr:uid="{00000000-0005-0000-0000-000035840000}"/>
    <cellStyle name="Normal 57 3 9 5 2" xfId="15274" xr:uid="{00000000-0005-0000-0000-000036840000}"/>
    <cellStyle name="Normal 57 3 9 5 2 2" xfId="40829" xr:uid="{00000000-0005-0000-0000-000037840000}"/>
    <cellStyle name="Normal 57 3 9 5 3" xfId="25525" xr:uid="{00000000-0005-0000-0000-000038840000}"/>
    <cellStyle name="Normal 57 3 9 5 3 2" xfId="51078" xr:uid="{00000000-0005-0000-0000-000039840000}"/>
    <cellStyle name="Normal 57 3 9 5 4" xfId="32008" xr:uid="{00000000-0005-0000-0000-00003A840000}"/>
    <cellStyle name="Normal 57 3 9 6" xfId="7893" xr:uid="{00000000-0005-0000-0000-00003B840000}"/>
    <cellStyle name="Normal 57 3 9 6 2" xfId="20424" xr:uid="{00000000-0005-0000-0000-00003C840000}"/>
    <cellStyle name="Normal 57 3 9 6 2 2" xfId="45977" xr:uid="{00000000-0005-0000-0000-00003D840000}"/>
    <cellStyle name="Normal 57 3 9 6 3" xfId="33450" xr:uid="{00000000-0005-0000-0000-00003E840000}"/>
    <cellStyle name="Normal 57 3 9 7" xfId="16092" xr:uid="{00000000-0005-0000-0000-00003F840000}"/>
    <cellStyle name="Normal 57 3 9 7 2" xfId="41645" xr:uid="{00000000-0005-0000-0000-000040840000}"/>
    <cellStyle name="Normal 57 3 9 8" xfId="26907" xr:uid="{00000000-0005-0000-0000-000041840000}"/>
    <cellStyle name="Normal 57 3_Degree data" xfId="3935" xr:uid="{00000000-0005-0000-0000-000042840000}"/>
    <cellStyle name="Normal 57 4" xfId="103" xr:uid="{00000000-0005-0000-0000-000043840000}"/>
    <cellStyle name="Normal 57 4 10" xfId="4093" xr:uid="{00000000-0005-0000-0000-000044840000}"/>
    <cellStyle name="Normal 57 4 10 2" xfId="5551" xr:uid="{00000000-0005-0000-0000-000045840000}"/>
    <cellStyle name="Normal 57 4 10 2 2" xfId="14378" xr:uid="{00000000-0005-0000-0000-000046840000}"/>
    <cellStyle name="Normal 57 4 10 2 2 2" xfId="39933" xr:uid="{00000000-0005-0000-0000-000047840000}"/>
    <cellStyle name="Normal 57 4 10 2 3" xfId="24629" xr:uid="{00000000-0005-0000-0000-000048840000}"/>
    <cellStyle name="Normal 57 4 10 2 3 2" xfId="50182" xr:uid="{00000000-0005-0000-0000-000049840000}"/>
    <cellStyle name="Normal 57 4 10 2 4" xfId="31112" xr:uid="{00000000-0005-0000-0000-00004A840000}"/>
    <cellStyle name="Normal 57 4 10 3" xfId="6995" xr:uid="{00000000-0005-0000-0000-00004B840000}"/>
    <cellStyle name="Normal 57 4 10 3 2" xfId="23182" xr:uid="{00000000-0005-0000-0000-00004C840000}"/>
    <cellStyle name="Normal 57 4 10 3 2 2" xfId="48735" xr:uid="{00000000-0005-0000-0000-00004D840000}"/>
    <cellStyle name="Normal 57 4 10 3 3" xfId="32552" xr:uid="{00000000-0005-0000-0000-00004E840000}"/>
    <cellStyle name="Normal 57 4 10 4" xfId="18175" xr:uid="{00000000-0005-0000-0000-00004F840000}"/>
    <cellStyle name="Normal 57 4 10 4 2" xfId="43728" xr:uid="{00000000-0005-0000-0000-000050840000}"/>
    <cellStyle name="Normal 57 4 10 5" xfId="29665" xr:uid="{00000000-0005-0000-0000-000051840000}"/>
    <cellStyle name="Normal 57 4 11" xfId="1410" xr:uid="{00000000-0005-0000-0000-000052840000}"/>
    <cellStyle name="Normal 57 4 11 2" xfId="10787" xr:uid="{00000000-0005-0000-0000-000053840000}"/>
    <cellStyle name="Normal 57 4 11 2 2" xfId="36342" xr:uid="{00000000-0005-0000-0000-000054840000}"/>
    <cellStyle name="Normal 57 4 11 3" xfId="20791" xr:uid="{00000000-0005-0000-0000-000055840000}"/>
    <cellStyle name="Normal 57 4 11 3 2" xfId="46344" xr:uid="{00000000-0005-0000-0000-000056840000}"/>
    <cellStyle name="Normal 57 4 11 4" xfId="27274" xr:uid="{00000000-0005-0000-0000-000057840000}"/>
    <cellStyle name="Normal 57 4 12" xfId="5501" xr:uid="{00000000-0005-0000-0000-000058840000}"/>
    <cellStyle name="Normal 57 4 12 2" xfId="14328" xr:uid="{00000000-0005-0000-0000-000059840000}"/>
    <cellStyle name="Normal 57 4 12 2 2" xfId="39883" xr:uid="{00000000-0005-0000-0000-00005A840000}"/>
    <cellStyle name="Normal 57 4 12 3" xfId="24579" xr:uid="{00000000-0005-0000-0000-00005B840000}"/>
    <cellStyle name="Normal 57 4 12 3 2" xfId="50132" xr:uid="{00000000-0005-0000-0000-00005C840000}"/>
    <cellStyle name="Normal 57 4 12 4" xfId="31062" xr:uid="{00000000-0005-0000-0000-00005D840000}"/>
    <cellStyle name="Normal 57 4 13" xfId="6940" xr:uid="{00000000-0005-0000-0000-00005E840000}"/>
    <cellStyle name="Normal 57 4 13 2" xfId="19578" xr:uid="{00000000-0005-0000-0000-00005F840000}"/>
    <cellStyle name="Normal 57 4 13 2 2" xfId="45131" xr:uid="{00000000-0005-0000-0000-000060840000}"/>
    <cellStyle name="Normal 57 4 13 3" xfId="32498" xr:uid="{00000000-0005-0000-0000-000061840000}"/>
    <cellStyle name="Normal 57 4 14" xfId="15784" xr:uid="{00000000-0005-0000-0000-000062840000}"/>
    <cellStyle name="Normal 57 4 14 2" xfId="41337" xr:uid="{00000000-0005-0000-0000-000063840000}"/>
    <cellStyle name="Normal 57 4 15" xfId="26061" xr:uid="{00000000-0005-0000-0000-000064840000}"/>
    <cellStyle name="Normal 57 4 2" xfId="142" xr:uid="{00000000-0005-0000-0000-000065840000}"/>
    <cellStyle name="Normal 57 4 2 10" xfId="5521" xr:uid="{00000000-0005-0000-0000-000066840000}"/>
    <cellStyle name="Normal 57 4 2 10 2" xfId="14348" xr:uid="{00000000-0005-0000-0000-000067840000}"/>
    <cellStyle name="Normal 57 4 2 10 2 2" xfId="39903" xr:uid="{00000000-0005-0000-0000-000068840000}"/>
    <cellStyle name="Normal 57 4 2 10 3" xfId="24599" xr:uid="{00000000-0005-0000-0000-000069840000}"/>
    <cellStyle name="Normal 57 4 2 10 3 2" xfId="50152" xr:uid="{00000000-0005-0000-0000-00006A840000}"/>
    <cellStyle name="Normal 57 4 2 10 4" xfId="31082" xr:uid="{00000000-0005-0000-0000-00006B840000}"/>
    <cellStyle name="Normal 57 4 2 11" xfId="6962" xr:uid="{00000000-0005-0000-0000-00006C840000}"/>
    <cellStyle name="Normal 57 4 2 11 2" xfId="19606" xr:uid="{00000000-0005-0000-0000-00006D840000}"/>
    <cellStyle name="Normal 57 4 2 11 2 2" xfId="45159" xr:uid="{00000000-0005-0000-0000-00006E840000}"/>
    <cellStyle name="Normal 57 4 2 11 3" xfId="32520" xr:uid="{00000000-0005-0000-0000-00006F840000}"/>
    <cellStyle name="Normal 57 4 2 12" xfId="15843" xr:uid="{00000000-0005-0000-0000-000070840000}"/>
    <cellStyle name="Normal 57 4 2 12 2" xfId="41396" xr:uid="{00000000-0005-0000-0000-000071840000}"/>
    <cellStyle name="Normal 57 4 2 13" xfId="26089" xr:uid="{00000000-0005-0000-0000-000072840000}"/>
    <cellStyle name="Normal 57 4 2 2" xfId="192" xr:uid="{00000000-0005-0000-0000-000073840000}"/>
    <cellStyle name="Normal 57 4 2 2 10" xfId="7140" xr:uid="{00000000-0005-0000-0000-000074840000}"/>
    <cellStyle name="Normal 57 4 2 2 10 2" xfId="19649" xr:uid="{00000000-0005-0000-0000-000075840000}"/>
    <cellStyle name="Normal 57 4 2 2 10 2 2" xfId="45202" xr:uid="{00000000-0005-0000-0000-000076840000}"/>
    <cellStyle name="Normal 57 4 2 2 10 3" xfId="32697" xr:uid="{00000000-0005-0000-0000-000077840000}"/>
    <cellStyle name="Normal 57 4 2 2 11" xfId="15886" xr:uid="{00000000-0005-0000-0000-000078840000}"/>
    <cellStyle name="Normal 57 4 2 2 11 2" xfId="41439" xr:uid="{00000000-0005-0000-0000-000079840000}"/>
    <cellStyle name="Normal 57 4 2 2 12" xfId="26132" xr:uid="{00000000-0005-0000-0000-00007A840000}"/>
    <cellStyle name="Normal 57 4 2 2 2" xfId="520" xr:uid="{00000000-0005-0000-0000-00007B840000}"/>
    <cellStyle name="Normal 57 4 2 2 2 10" xfId="26449" xr:uid="{00000000-0005-0000-0000-00007C840000}"/>
    <cellStyle name="Normal 57 4 2 2 2 2" xfId="852" xr:uid="{00000000-0005-0000-0000-00007D840000}"/>
    <cellStyle name="Normal 57 4 2 2 2 2 2" xfId="3337" xr:uid="{00000000-0005-0000-0000-00007E840000}"/>
    <cellStyle name="Normal 57 4 2 2 2 2 2 2" xfId="12479" xr:uid="{00000000-0005-0000-0000-00007F840000}"/>
    <cellStyle name="Normal 57 4 2 2 2 2 2 2 2" xfId="22698" xr:uid="{00000000-0005-0000-0000-000080840000}"/>
    <cellStyle name="Normal 57 4 2 2 2 2 2 2 2 2" xfId="48251" xr:uid="{00000000-0005-0000-0000-000081840000}"/>
    <cellStyle name="Normal 57 4 2 2 2 2 2 2 3" xfId="38034" xr:uid="{00000000-0005-0000-0000-000082840000}"/>
    <cellStyle name="Normal 57 4 2 2 2 2 2 3" xfId="8901" xr:uid="{00000000-0005-0000-0000-000083840000}"/>
    <cellStyle name="Normal 57 4 2 2 2 2 2 3 2" xfId="34458" xr:uid="{00000000-0005-0000-0000-000084840000}"/>
    <cellStyle name="Normal 57 4 2 2 2 2 2 4" xfId="17691" xr:uid="{00000000-0005-0000-0000-000085840000}"/>
    <cellStyle name="Normal 57 4 2 2 2 2 2 4 2" xfId="43244" xr:uid="{00000000-0005-0000-0000-000086840000}"/>
    <cellStyle name="Normal 57 4 2 2 2 2 2 5" xfId="29181" xr:uid="{00000000-0005-0000-0000-000087840000}"/>
    <cellStyle name="Normal 57 4 2 2 2 2 3" xfId="4666" xr:uid="{00000000-0005-0000-0000-000088840000}"/>
    <cellStyle name="Normal 57 4 2 2 2 2 3 2" xfId="13504" xr:uid="{00000000-0005-0000-0000-000089840000}"/>
    <cellStyle name="Normal 57 4 2 2 2 2 3 2 2" xfId="23755" xr:uid="{00000000-0005-0000-0000-00008A840000}"/>
    <cellStyle name="Normal 57 4 2 2 2 2 3 2 2 2" xfId="49308" xr:uid="{00000000-0005-0000-0000-00008B840000}"/>
    <cellStyle name="Normal 57 4 2 2 2 2 3 2 3" xfId="39059" xr:uid="{00000000-0005-0000-0000-00008C840000}"/>
    <cellStyle name="Normal 57 4 2 2 2 2 3 3" xfId="9925" xr:uid="{00000000-0005-0000-0000-00008D840000}"/>
    <cellStyle name="Normal 57 4 2 2 2 2 3 3 2" xfId="35482" xr:uid="{00000000-0005-0000-0000-00008E840000}"/>
    <cellStyle name="Normal 57 4 2 2 2 2 3 4" xfId="18748" xr:uid="{00000000-0005-0000-0000-00008F840000}"/>
    <cellStyle name="Normal 57 4 2 2 2 2 3 4 2" xfId="44301" xr:uid="{00000000-0005-0000-0000-000090840000}"/>
    <cellStyle name="Normal 57 4 2 2 2 2 3 5" xfId="30238" xr:uid="{00000000-0005-0000-0000-000091840000}"/>
    <cellStyle name="Normal 57 4 2 2 2 2 4" xfId="2446" xr:uid="{00000000-0005-0000-0000-000092840000}"/>
    <cellStyle name="Normal 57 4 2 2 2 2 4 2" xfId="11811" xr:uid="{00000000-0005-0000-0000-000093840000}"/>
    <cellStyle name="Normal 57 4 2 2 2 2 4 2 2" xfId="37366" xr:uid="{00000000-0005-0000-0000-000094840000}"/>
    <cellStyle name="Normal 57 4 2 2 2 2 4 3" xfId="21815" xr:uid="{00000000-0005-0000-0000-000095840000}"/>
    <cellStyle name="Normal 57 4 2 2 2 2 4 3 2" xfId="47368" xr:uid="{00000000-0005-0000-0000-000096840000}"/>
    <cellStyle name="Normal 57 4 2 2 2 2 4 4" xfId="28298" xr:uid="{00000000-0005-0000-0000-000097840000}"/>
    <cellStyle name="Normal 57 4 2 2 2 2 5" xfId="6122" xr:uid="{00000000-0005-0000-0000-000098840000}"/>
    <cellStyle name="Normal 57 4 2 2 2 2 5 2" xfId="14949" xr:uid="{00000000-0005-0000-0000-000099840000}"/>
    <cellStyle name="Normal 57 4 2 2 2 2 5 2 2" xfId="40504" xr:uid="{00000000-0005-0000-0000-00009A840000}"/>
    <cellStyle name="Normal 57 4 2 2 2 2 5 3" xfId="25200" xr:uid="{00000000-0005-0000-0000-00009B840000}"/>
    <cellStyle name="Normal 57 4 2 2 2 2 5 3 2" xfId="50753" xr:uid="{00000000-0005-0000-0000-00009C840000}"/>
    <cellStyle name="Normal 57 4 2 2 2 2 5 4" xfId="31683" xr:uid="{00000000-0005-0000-0000-00009D840000}"/>
    <cellStyle name="Normal 57 4 2 2 2 2 6" xfId="7567" xr:uid="{00000000-0005-0000-0000-00009E840000}"/>
    <cellStyle name="Normal 57 4 2 2 2 2 6 2" xfId="20297" xr:uid="{00000000-0005-0000-0000-00009F840000}"/>
    <cellStyle name="Normal 57 4 2 2 2 2 6 2 2" xfId="45850" xr:uid="{00000000-0005-0000-0000-0000A0840000}"/>
    <cellStyle name="Normal 57 4 2 2 2 2 6 3" xfId="33124" xr:uid="{00000000-0005-0000-0000-0000A1840000}"/>
    <cellStyle name="Normal 57 4 2 2 2 2 7" xfId="16808" xr:uid="{00000000-0005-0000-0000-0000A2840000}"/>
    <cellStyle name="Normal 57 4 2 2 2 2 7 2" xfId="42361" xr:uid="{00000000-0005-0000-0000-0000A3840000}"/>
    <cellStyle name="Normal 57 4 2 2 2 2 8" xfId="26780" xr:uid="{00000000-0005-0000-0000-0000A4840000}"/>
    <cellStyle name="Normal 57 4 2 2 2 3" xfId="1292" xr:uid="{00000000-0005-0000-0000-0000A5840000}"/>
    <cellStyle name="Normal 57 4 2 2 2 3 2" xfId="3721" xr:uid="{00000000-0005-0000-0000-0000A6840000}"/>
    <cellStyle name="Normal 57 4 2 2 2 3 2 2" xfId="12857" xr:uid="{00000000-0005-0000-0000-0000A7840000}"/>
    <cellStyle name="Normal 57 4 2 2 2 3 2 2 2" xfId="23076" xr:uid="{00000000-0005-0000-0000-0000A8840000}"/>
    <cellStyle name="Normal 57 4 2 2 2 3 2 2 2 2" xfId="48629" xr:uid="{00000000-0005-0000-0000-0000A9840000}"/>
    <cellStyle name="Normal 57 4 2 2 2 3 2 2 3" xfId="38412" xr:uid="{00000000-0005-0000-0000-0000AA840000}"/>
    <cellStyle name="Normal 57 4 2 2 2 3 2 3" xfId="9278" xr:uid="{00000000-0005-0000-0000-0000AB840000}"/>
    <cellStyle name="Normal 57 4 2 2 2 3 2 3 2" xfId="34835" xr:uid="{00000000-0005-0000-0000-0000AC840000}"/>
    <cellStyle name="Normal 57 4 2 2 2 3 2 4" xfId="18069" xr:uid="{00000000-0005-0000-0000-0000AD840000}"/>
    <cellStyle name="Normal 57 4 2 2 2 3 2 4 2" xfId="43622" xr:uid="{00000000-0005-0000-0000-0000AE840000}"/>
    <cellStyle name="Normal 57 4 2 2 2 3 2 5" xfId="29559" xr:uid="{00000000-0005-0000-0000-0000AF840000}"/>
    <cellStyle name="Normal 57 4 2 2 2 3 3" xfId="5015" xr:uid="{00000000-0005-0000-0000-0000B0840000}"/>
    <cellStyle name="Normal 57 4 2 2 2 3 3 2" xfId="13852" xr:uid="{00000000-0005-0000-0000-0000B1840000}"/>
    <cellStyle name="Normal 57 4 2 2 2 3 3 2 2" xfId="24103" xr:uid="{00000000-0005-0000-0000-0000B2840000}"/>
    <cellStyle name="Normal 57 4 2 2 2 3 3 2 2 2" xfId="49656" xr:uid="{00000000-0005-0000-0000-0000B3840000}"/>
    <cellStyle name="Normal 57 4 2 2 2 3 3 2 3" xfId="39407" xr:uid="{00000000-0005-0000-0000-0000B4840000}"/>
    <cellStyle name="Normal 57 4 2 2 2 3 3 3" xfId="10273" xr:uid="{00000000-0005-0000-0000-0000B5840000}"/>
    <cellStyle name="Normal 57 4 2 2 2 3 3 3 2" xfId="35830" xr:uid="{00000000-0005-0000-0000-0000B6840000}"/>
    <cellStyle name="Normal 57 4 2 2 2 3 3 4" xfId="19096" xr:uid="{00000000-0005-0000-0000-0000B7840000}"/>
    <cellStyle name="Normal 57 4 2 2 2 3 3 4 2" xfId="44649" xr:uid="{00000000-0005-0000-0000-0000B8840000}"/>
    <cellStyle name="Normal 57 4 2 2 2 3 3 5" xfId="30586" xr:uid="{00000000-0005-0000-0000-0000B9840000}"/>
    <cellStyle name="Normal 57 4 2 2 2 3 4" xfId="2115" xr:uid="{00000000-0005-0000-0000-0000BA840000}"/>
    <cellStyle name="Normal 57 4 2 2 2 3 4 2" xfId="11480" xr:uid="{00000000-0005-0000-0000-0000BB840000}"/>
    <cellStyle name="Normal 57 4 2 2 2 3 4 2 2" xfId="37035" xr:uid="{00000000-0005-0000-0000-0000BC840000}"/>
    <cellStyle name="Normal 57 4 2 2 2 3 4 3" xfId="21484" xr:uid="{00000000-0005-0000-0000-0000BD840000}"/>
    <cellStyle name="Normal 57 4 2 2 2 3 4 3 2" xfId="47037" xr:uid="{00000000-0005-0000-0000-0000BE840000}"/>
    <cellStyle name="Normal 57 4 2 2 2 3 4 4" xfId="27967" xr:uid="{00000000-0005-0000-0000-0000BF840000}"/>
    <cellStyle name="Normal 57 4 2 2 2 3 5" xfId="6470" xr:uid="{00000000-0005-0000-0000-0000C0840000}"/>
    <cellStyle name="Normal 57 4 2 2 2 3 5 2" xfId="15297" xr:uid="{00000000-0005-0000-0000-0000C1840000}"/>
    <cellStyle name="Normal 57 4 2 2 2 3 5 2 2" xfId="40852" xr:uid="{00000000-0005-0000-0000-0000C2840000}"/>
    <cellStyle name="Normal 57 4 2 2 2 3 5 3" xfId="25548" xr:uid="{00000000-0005-0000-0000-0000C3840000}"/>
    <cellStyle name="Normal 57 4 2 2 2 3 5 3 2" xfId="51101" xr:uid="{00000000-0005-0000-0000-0000C4840000}"/>
    <cellStyle name="Normal 57 4 2 2 2 3 5 4" xfId="32031" xr:uid="{00000000-0005-0000-0000-0000C5840000}"/>
    <cellStyle name="Normal 57 4 2 2 2 3 6" xfId="7916" xr:uid="{00000000-0005-0000-0000-0000C6840000}"/>
    <cellStyle name="Normal 57 4 2 2 2 3 6 2" xfId="20675" xr:uid="{00000000-0005-0000-0000-0000C7840000}"/>
    <cellStyle name="Normal 57 4 2 2 2 3 6 2 2" xfId="46228" xr:uid="{00000000-0005-0000-0000-0000C8840000}"/>
    <cellStyle name="Normal 57 4 2 2 2 3 6 3" xfId="33473" xr:uid="{00000000-0005-0000-0000-0000C9840000}"/>
    <cellStyle name="Normal 57 4 2 2 2 3 7" xfId="16477" xr:uid="{00000000-0005-0000-0000-0000CA840000}"/>
    <cellStyle name="Normal 57 4 2 2 2 3 7 2" xfId="42030" xr:uid="{00000000-0005-0000-0000-0000CB840000}"/>
    <cellStyle name="Normal 57 4 2 2 2 3 8" xfId="27158" xr:uid="{00000000-0005-0000-0000-0000CC840000}"/>
    <cellStyle name="Normal 57 4 2 2 2 4" xfId="3006" xr:uid="{00000000-0005-0000-0000-0000CD840000}"/>
    <cellStyle name="Normal 57 4 2 2 2 4 2" xfId="5384" xr:uid="{00000000-0005-0000-0000-0000CE840000}"/>
    <cellStyle name="Normal 57 4 2 2 2 4 2 2" xfId="14221" xr:uid="{00000000-0005-0000-0000-0000CF840000}"/>
    <cellStyle name="Normal 57 4 2 2 2 4 2 2 2" xfId="24472" xr:uid="{00000000-0005-0000-0000-0000D0840000}"/>
    <cellStyle name="Normal 57 4 2 2 2 4 2 2 2 2" xfId="50025" xr:uid="{00000000-0005-0000-0000-0000D1840000}"/>
    <cellStyle name="Normal 57 4 2 2 2 4 2 2 3" xfId="39776" xr:uid="{00000000-0005-0000-0000-0000D2840000}"/>
    <cellStyle name="Normal 57 4 2 2 2 4 2 3" xfId="10642" xr:uid="{00000000-0005-0000-0000-0000D3840000}"/>
    <cellStyle name="Normal 57 4 2 2 2 4 2 3 2" xfId="36199" xr:uid="{00000000-0005-0000-0000-0000D4840000}"/>
    <cellStyle name="Normal 57 4 2 2 2 4 2 4" xfId="19465" xr:uid="{00000000-0005-0000-0000-0000D5840000}"/>
    <cellStyle name="Normal 57 4 2 2 2 4 2 4 2" xfId="45018" xr:uid="{00000000-0005-0000-0000-0000D6840000}"/>
    <cellStyle name="Normal 57 4 2 2 2 4 2 5" xfId="30955" xr:uid="{00000000-0005-0000-0000-0000D7840000}"/>
    <cellStyle name="Normal 57 4 2 2 2 4 3" xfId="6839" xr:uid="{00000000-0005-0000-0000-0000D8840000}"/>
    <cellStyle name="Normal 57 4 2 2 2 4 3 2" xfId="15666" xr:uid="{00000000-0005-0000-0000-0000D9840000}"/>
    <cellStyle name="Normal 57 4 2 2 2 4 3 2 2" xfId="41221" xr:uid="{00000000-0005-0000-0000-0000DA840000}"/>
    <cellStyle name="Normal 57 4 2 2 2 4 3 3" xfId="25917" xr:uid="{00000000-0005-0000-0000-0000DB840000}"/>
    <cellStyle name="Normal 57 4 2 2 2 4 3 3 2" xfId="51470" xr:uid="{00000000-0005-0000-0000-0000DC840000}"/>
    <cellStyle name="Normal 57 4 2 2 2 4 3 4" xfId="32400" xr:uid="{00000000-0005-0000-0000-0000DD840000}"/>
    <cellStyle name="Normal 57 4 2 2 2 4 4" xfId="8285" xr:uid="{00000000-0005-0000-0000-0000DE840000}"/>
    <cellStyle name="Normal 57 4 2 2 2 4 4 2" xfId="22367" xr:uid="{00000000-0005-0000-0000-0000DF840000}"/>
    <cellStyle name="Normal 57 4 2 2 2 4 4 2 2" xfId="47920" xr:uid="{00000000-0005-0000-0000-0000E0840000}"/>
    <cellStyle name="Normal 57 4 2 2 2 4 4 3" xfId="33842" xr:uid="{00000000-0005-0000-0000-0000E1840000}"/>
    <cellStyle name="Normal 57 4 2 2 2 4 5" xfId="17360" xr:uid="{00000000-0005-0000-0000-0000E2840000}"/>
    <cellStyle name="Normal 57 4 2 2 2 4 5 2" xfId="42913" xr:uid="{00000000-0005-0000-0000-0000E3840000}"/>
    <cellStyle name="Normal 57 4 2 2 2 4 6" xfId="28850" xr:uid="{00000000-0005-0000-0000-0000E4840000}"/>
    <cellStyle name="Normal 57 4 2 2 2 5" xfId="4340" xr:uid="{00000000-0005-0000-0000-0000E5840000}"/>
    <cellStyle name="Normal 57 4 2 2 2 5 2" xfId="13178" xr:uid="{00000000-0005-0000-0000-0000E6840000}"/>
    <cellStyle name="Normal 57 4 2 2 2 5 2 2" xfId="23429" xr:uid="{00000000-0005-0000-0000-0000E7840000}"/>
    <cellStyle name="Normal 57 4 2 2 2 5 2 2 2" xfId="48982" xr:uid="{00000000-0005-0000-0000-0000E8840000}"/>
    <cellStyle name="Normal 57 4 2 2 2 5 2 3" xfId="38733" xr:uid="{00000000-0005-0000-0000-0000E9840000}"/>
    <cellStyle name="Normal 57 4 2 2 2 5 3" xfId="9599" xr:uid="{00000000-0005-0000-0000-0000EA840000}"/>
    <cellStyle name="Normal 57 4 2 2 2 5 3 2" xfId="35156" xr:uid="{00000000-0005-0000-0000-0000EB840000}"/>
    <cellStyle name="Normal 57 4 2 2 2 5 4" xfId="18422" xr:uid="{00000000-0005-0000-0000-0000EC840000}"/>
    <cellStyle name="Normal 57 4 2 2 2 5 4 2" xfId="43975" xr:uid="{00000000-0005-0000-0000-0000ED840000}"/>
    <cellStyle name="Normal 57 4 2 2 2 5 5" xfId="29912" xr:uid="{00000000-0005-0000-0000-0000EE840000}"/>
    <cellStyle name="Normal 57 4 2 2 2 6" xfId="1612" xr:uid="{00000000-0005-0000-0000-0000EF840000}"/>
    <cellStyle name="Normal 57 4 2 2 2 6 2" xfId="10989" xr:uid="{00000000-0005-0000-0000-0000F0840000}"/>
    <cellStyle name="Normal 57 4 2 2 2 6 2 2" xfId="36544" xr:uid="{00000000-0005-0000-0000-0000F1840000}"/>
    <cellStyle name="Normal 57 4 2 2 2 6 3" xfId="20993" xr:uid="{00000000-0005-0000-0000-0000F2840000}"/>
    <cellStyle name="Normal 57 4 2 2 2 6 3 2" xfId="46546" xr:uid="{00000000-0005-0000-0000-0000F3840000}"/>
    <cellStyle name="Normal 57 4 2 2 2 6 4" xfId="27476" xr:uid="{00000000-0005-0000-0000-0000F4840000}"/>
    <cellStyle name="Normal 57 4 2 2 2 7" xfId="5796" xr:uid="{00000000-0005-0000-0000-0000F5840000}"/>
    <cellStyle name="Normal 57 4 2 2 2 7 2" xfId="14623" xr:uid="{00000000-0005-0000-0000-0000F6840000}"/>
    <cellStyle name="Normal 57 4 2 2 2 7 2 2" xfId="40178" xr:uid="{00000000-0005-0000-0000-0000F7840000}"/>
    <cellStyle name="Normal 57 4 2 2 2 7 3" xfId="24874" xr:uid="{00000000-0005-0000-0000-0000F8840000}"/>
    <cellStyle name="Normal 57 4 2 2 2 7 3 2" xfId="50427" xr:uid="{00000000-0005-0000-0000-0000F9840000}"/>
    <cellStyle name="Normal 57 4 2 2 2 7 4" xfId="31357" xr:uid="{00000000-0005-0000-0000-0000FA840000}"/>
    <cellStyle name="Normal 57 4 2 2 2 8" xfId="7240" xr:uid="{00000000-0005-0000-0000-0000FB840000}"/>
    <cellStyle name="Normal 57 4 2 2 2 8 2" xfId="19966" xr:uid="{00000000-0005-0000-0000-0000FC840000}"/>
    <cellStyle name="Normal 57 4 2 2 2 8 2 2" xfId="45519" xr:uid="{00000000-0005-0000-0000-0000FD840000}"/>
    <cellStyle name="Normal 57 4 2 2 2 8 3" xfId="32797" xr:uid="{00000000-0005-0000-0000-0000FE840000}"/>
    <cellStyle name="Normal 57 4 2 2 2 9" xfId="15986" xr:uid="{00000000-0005-0000-0000-0000FF840000}"/>
    <cellStyle name="Normal 57 4 2 2 2 9 2" xfId="41539" xr:uid="{00000000-0005-0000-0000-000000850000}"/>
    <cellStyle name="Normal 57 4 2 2 2_Degree data" xfId="3958" xr:uid="{00000000-0005-0000-0000-000001850000}"/>
    <cellStyle name="Normal 57 4 2 2 3" xfId="420" xr:uid="{00000000-0005-0000-0000-000002850000}"/>
    <cellStyle name="Normal 57 4 2 2 3 2" xfId="2906" xr:uid="{00000000-0005-0000-0000-000003850000}"/>
    <cellStyle name="Normal 57 4 2 2 3 2 2" xfId="12194" xr:uid="{00000000-0005-0000-0000-000004850000}"/>
    <cellStyle name="Normal 57 4 2 2 3 2 2 2" xfId="22267" xr:uid="{00000000-0005-0000-0000-000005850000}"/>
    <cellStyle name="Normal 57 4 2 2 3 2 2 2 2" xfId="47820" xr:uid="{00000000-0005-0000-0000-000006850000}"/>
    <cellStyle name="Normal 57 4 2 2 3 2 2 3" xfId="37749" xr:uid="{00000000-0005-0000-0000-000007850000}"/>
    <cellStyle name="Normal 57 4 2 2 3 2 3" xfId="8393" xr:uid="{00000000-0005-0000-0000-000008850000}"/>
    <cellStyle name="Normal 57 4 2 2 3 2 3 2" xfId="33950" xr:uid="{00000000-0005-0000-0000-000009850000}"/>
    <cellStyle name="Normal 57 4 2 2 3 2 4" xfId="17260" xr:uid="{00000000-0005-0000-0000-00000A850000}"/>
    <cellStyle name="Normal 57 4 2 2 3 2 4 2" xfId="42813" xr:uid="{00000000-0005-0000-0000-00000B850000}"/>
    <cellStyle name="Normal 57 4 2 2 3 2 5" xfId="28750" xr:uid="{00000000-0005-0000-0000-00000C850000}"/>
    <cellStyle name="Normal 57 4 2 2 3 3" xfId="4665" xr:uid="{00000000-0005-0000-0000-00000D850000}"/>
    <cellStyle name="Normal 57 4 2 2 3 3 2" xfId="13503" xr:uid="{00000000-0005-0000-0000-00000E850000}"/>
    <cellStyle name="Normal 57 4 2 2 3 3 2 2" xfId="23754" xr:uid="{00000000-0005-0000-0000-00000F850000}"/>
    <cellStyle name="Normal 57 4 2 2 3 3 2 2 2" xfId="49307" xr:uid="{00000000-0005-0000-0000-000010850000}"/>
    <cellStyle name="Normal 57 4 2 2 3 3 2 3" xfId="39058" xr:uid="{00000000-0005-0000-0000-000011850000}"/>
    <cellStyle name="Normal 57 4 2 2 3 3 3" xfId="9924" xr:uid="{00000000-0005-0000-0000-000012850000}"/>
    <cellStyle name="Normal 57 4 2 2 3 3 3 2" xfId="35481" xr:uid="{00000000-0005-0000-0000-000013850000}"/>
    <cellStyle name="Normal 57 4 2 2 3 3 4" xfId="18747" xr:uid="{00000000-0005-0000-0000-000014850000}"/>
    <cellStyle name="Normal 57 4 2 2 3 3 4 2" xfId="44300" xr:uid="{00000000-0005-0000-0000-000015850000}"/>
    <cellStyle name="Normal 57 4 2 2 3 3 5" xfId="30237" xr:uid="{00000000-0005-0000-0000-000016850000}"/>
    <cellStyle name="Normal 57 4 2 2 3 4" xfId="2015" xr:uid="{00000000-0005-0000-0000-000017850000}"/>
    <cellStyle name="Normal 57 4 2 2 3 4 2" xfId="11380" xr:uid="{00000000-0005-0000-0000-000018850000}"/>
    <cellStyle name="Normal 57 4 2 2 3 4 2 2" xfId="36935" xr:uid="{00000000-0005-0000-0000-000019850000}"/>
    <cellStyle name="Normal 57 4 2 2 3 4 3" xfId="21384" xr:uid="{00000000-0005-0000-0000-00001A850000}"/>
    <cellStyle name="Normal 57 4 2 2 3 4 3 2" xfId="46937" xr:uid="{00000000-0005-0000-0000-00001B850000}"/>
    <cellStyle name="Normal 57 4 2 2 3 4 4" xfId="27867" xr:uid="{00000000-0005-0000-0000-00001C850000}"/>
    <cellStyle name="Normal 57 4 2 2 3 5" xfId="6121" xr:uid="{00000000-0005-0000-0000-00001D850000}"/>
    <cellStyle name="Normal 57 4 2 2 3 5 2" xfId="14948" xr:uid="{00000000-0005-0000-0000-00001E850000}"/>
    <cellStyle name="Normal 57 4 2 2 3 5 2 2" xfId="40503" xr:uid="{00000000-0005-0000-0000-00001F850000}"/>
    <cellStyle name="Normal 57 4 2 2 3 5 3" xfId="25199" xr:uid="{00000000-0005-0000-0000-000020850000}"/>
    <cellStyle name="Normal 57 4 2 2 3 5 3 2" xfId="50752" xr:uid="{00000000-0005-0000-0000-000021850000}"/>
    <cellStyle name="Normal 57 4 2 2 3 5 4" xfId="31682" xr:uid="{00000000-0005-0000-0000-000022850000}"/>
    <cellStyle name="Normal 57 4 2 2 3 6" xfId="7566" xr:uid="{00000000-0005-0000-0000-000023850000}"/>
    <cellStyle name="Normal 57 4 2 2 3 6 2" xfId="19866" xr:uid="{00000000-0005-0000-0000-000024850000}"/>
    <cellStyle name="Normal 57 4 2 2 3 6 2 2" xfId="45419" xr:uid="{00000000-0005-0000-0000-000025850000}"/>
    <cellStyle name="Normal 57 4 2 2 3 6 3" xfId="33123" xr:uid="{00000000-0005-0000-0000-000026850000}"/>
    <cellStyle name="Normal 57 4 2 2 3 7" xfId="16377" xr:uid="{00000000-0005-0000-0000-000027850000}"/>
    <cellStyle name="Normal 57 4 2 2 3 7 2" xfId="41930" xr:uid="{00000000-0005-0000-0000-000028850000}"/>
    <cellStyle name="Normal 57 4 2 2 3 8" xfId="26349" xr:uid="{00000000-0005-0000-0000-000029850000}"/>
    <cellStyle name="Normal 57 4 2 2 4" xfId="851" xr:uid="{00000000-0005-0000-0000-00002A850000}"/>
    <cellStyle name="Normal 57 4 2 2 4 2" xfId="3336" xr:uid="{00000000-0005-0000-0000-00002B850000}"/>
    <cellStyle name="Normal 57 4 2 2 4 2 2" xfId="12478" xr:uid="{00000000-0005-0000-0000-00002C850000}"/>
    <cellStyle name="Normal 57 4 2 2 4 2 2 2" xfId="22697" xr:uid="{00000000-0005-0000-0000-00002D850000}"/>
    <cellStyle name="Normal 57 4 2 2 4 2 2 2 2" xfId="48250" xr:uid="{00000000-0005-0000-0000-00002E850000}"/>
    <cellStyle name="Normal 57 4 2 2 4 2 2 3" xfId="38033" xr:uid="{00000000-0005-0000-0000-00002F850000}"/>
    <cellStyle name="Normal 57 4 2 2 4 2 3" xfId="8900" xr:uid="{00000000-0005-0000-0000-000030850000}"/>
    <cellStyle name="Normal 57 4 2 2 4 2 3 2" xfId="34457" xr:uid="{00000000-0005-0000-0000-000031850000}"/>
    <cellStyle name="Normal 57 4 2 2 4 2 4" xfId="17690" xr:uid="{00000000-0005-0000-0000-000032850000}"/>
    <cellStyle name="Normal 57 4 2 2 4 2 4 2" xfId="43243" xr:uid="{00000000-0005-0000-0000-000033850000}"/>
    <cellStyle name="Normal 57 4 2 2 4 2 5" xfId="29180" xr:uid="{00000000-0005-0000-0000-000034850000}"/>
    <cellStyle name="Normal 57 4 2 2 4 3" xfId="5014" xr:uid="{00000000-0005-0000-0000-000035850000}"/>
    <cellStyle name="Normal 57 4 2 2 4 3 2" xfId="13851" xr:uid="{00000000-0005-0000-0000-000036850000}"/>
    <cellStyle name="Normal 57 4 2 2 4 3 2 2" xfId="24102" xr:uid="{00000000-0005-0000-0000-000037850000}"/>
    <cellStyle name="Normal 57 4 2 2 4 3 2 2 2" xfId="49655" xr:uid="{00000000-0005-0000-0000-000038850000}"/>
    <cellStyle name="Normal 57 4 2 2 4 3 2 3" xfId="39406" xr:uid="{00000000-0005-0000-0000-000039850000}"/>
    <cellStyle name="Normal 57 4 2 2 4 3 3" xfId="10272" xr:uid="{00000000-0005-0000-0000-00003A850000}"/>
    <cellStyle name="Normal 57 4 2 2 4 3 3 2" xfId="35829" xr:uid="{00000000-0005-0000-0000-00003B850000}"/>
    <cellStyle name="Normal 57 4 2 2 4 3 4" xfId="19095" xr:uid="{00000000-0005-0000-0000-00003C850000}"/>
    <cellStyle name="Normal 57 4 2 2 4 3 4 2" xfId="44648" xr:uid="{00000000-0005-0000-0000-00003D850000}"/>
    <cellStyle name="Normal 57 4 2 2 4 3 5" xfId="30585" xr:uid="{00000000-0005-0000-0000-00003E850000}"/>
    <cellStyle name="Normal 57 4 2 2 4 4" xfId="2445" xr:uid="{00000000-0005-0000-0000-00003F850000}"/>
    <cellStyle name="Normal 57 4 2 2 4 4 2" xfId="11810" xr:uid="{00000000-0005-0000-0000-000040850000}"/>
    <cellStyle name="Normal 57 4 2 2 4 4 2 2" xfId="37365" xr:uid="{00000000-0005-0000-0000-000041850000}"/>
    <cellStyle name="Normal 57 4 2 2 4 4 3" xfId="21814" xr:uid="{00000000-0005-0000-0000-000042850000}"/>
    <cellStyle name="Normal 57 4 2 2 4 4 3 2" xfId="47367" xr:uid="{00000000-0005-0000-0000-000043850000}"/>
    <cellStyle name="Normal 57 4 2 2 4 4 4" xfId="28297" xr:uid="{00000000-0005-0000-0000-000044850000}"/>
    <cellStyle name="Normal 57 4 2 2 4 5" xfId="6469" xr:uid="{00000000-0005-0000-0000-000045850000}"/>
    <cellStyle name="Normal 57 4 2 2 4 5 2" xfId="15296" xr:uid="{00000000-0005-0000-0000-000046850000}"/>
    <cellStyle name="Normal 57 4 2 2 4 5 2 2" xfId="40851" xr:uid="{00000000-0005-0000-0000-000047850000}"/>
    <cellStyle name="Normal 57 4 2 2 4 5 3" xfId="25547" xr:uid="{00000000-0005-0000-0000-000048850000}"/>
    <cellStyle name="Normal 57 4 2 2 4 5 3 2" xfId="51100" xr:uid="{00000000-0005-0000-0000-000049850000}"/>
    <cellStyle name="Normal 57 4 2 2 4 5 4" xfId="32030" xr:uid="{00000000-0005-0000-0000-00004A850000}"/>
    <cellStyle name="Normal 57 4 2 2 4 6" xfId="7915" xr:uid="{00000000-0005-0000-0000-00004B850000}"/>
    <cellStyle name="Normal 57 4 2 2 4 6 2" xfId="20296" xr:uid="{00000000-0005-0000-0000-00004C850000}"/>
    <cellStyle name="Normal 57 4 2 2 4 6 2 2" xfId="45849" xr:uid="{00000000-0005-0000-0000-00004D850000}"/>
    <cellStyle name="Normal 57 4 2 2 4 6 3" xfId="33472" xr:uid="{00000000-0005-0000-0000-00004E850000}"/>
    <cellStyle name="Normal 57 4 2 2 4 7" xfId="16807" xr:uid="{00000000-0005-0000-0000-00004F850000}"/>
    <cellStyle name="Normal 57 4 2 2 4 7 2" xfId="42360" xr:uid="{00000000-0005-0000-0000-000050850000}"/>
    <cellStyle name="Normal 57 4 2 2 4 8" xfId="26779" xr:uid="{00000000-0005-0000-0000-000051850000}"/>
    <cellStyle name="Normal 57 4 2 2 5" xfId="1192" xr:uid="{00000000-0005-0000-0000-000052850000}"/>
    <cellStyle name="Normal 57 4 2 2 5 2" xfId="3621" xr:uid="{00000000-0005-0000-0000-000053850000}"/>
    <cellStyle name="Normal 57 4 2 2 5 2 2" xfId="12757" xr:uid="{00000000-0005-0000-0000-000054850000}"/>
    <cellStyle name="Normal 57 4 2 2 5 2 2 2" xfId="22976" xr:uid="{00000000-0005-0000-0000-000055850000}"/>
    <cellStyle name="Normal 57 4 2 2 5 2 2 2 2" xfId="48529" xr:uid="{00000000-0005-0000-0000-000056850000}"/>
    <cellStyle name="Normal 57 4 2 2 5 2 2 3" xfId="38312" xr:uid="{00000000-0005-0000-0000-000057850000}"/>
    <cellStyle name="Normal 57 4 2 2 5 2 3" xfId="9178" xr:uid="{00000000-0005-0000-0000-000058850000}"/>
    <cellStyle name="Normal 57 4 2 2 5 2 3 2" xfId="34735" xr:uid="{00000000-0005-0000-0000-000059850000}"/>
    <cellStyle name="Normal 57 4 2 2 5 2 4" xfId="17969" xr:uid="{00000000-0005-0000-0000-00005A850000}"/>
    <cellStyle name="Normal 57 4 2 2 5 2 4 2" xfId="43522" xr:uid="{00000000-0005-0000-0000-00005B850000}"/>
    <cellStyle name="Normal 57 4 2 2 5 2 5" xfId="29459" xr:uid="{00000000-0005-0000-0000-00005C850000}"/>
    <cellStyle name="Normal 57 4 2 2 5 3" xfId="5284" xr:uid="{00000000-0005-0000-0000-00005D850000}"/>
    <cellStyle name="Normal 57 4 2 2 5 3 2" xfId="14121" xr:uid="{00000000-0005-0000-0000-00005E850000}"/>
    <cellStyle name="Normal 57 4 2 2 5 3 2 2" xfId="24372" xr:uid="{00000000-0005-0000-0000-00005F850000}"/>
    <cellStyle name="Normal 57 4 2 2 5 3 2 2 2" xfId="49925" xr:uid="{00000000-0005-0000-0000-000060850000}"/>
    <cellStyle name="Normal 57 4 2 2 5 3 2 3" xfId="39676" xr:uid="{00000000-0005-0000-0000-000061850000}"/>
    <cellStyle name="Normal 57 4 2 2 5 3 3" xfId="10542" xr:uid="{00000000-0005-0000-0000-000062850000}"/>
    <cellStyle name="Normal 57 4 2 2 5 3 3 2" xfId="36099" xr:uid="{00000000-0005-0000-0000-000063850000}"/>
    <cellStyle name="Normal 57 4 2 2 5 3 4" xfId="19365" xr:uid="{00000000-0005-0000-0000-000064850000}"/>
    <cellStyle name="Normal 57 4 2 2 5 3 4 2" xfId="44918" xr:uid="{00000000-0005-0000-0000-000065850000}"/>
    <cellStyle name="Normal 57 4 2 2 5 3 5" xfId="30855" xr:uid="{00000000-0005-0000-0000-000066850000}"/>
    <cellStyle name="Normal 57 4 2 2 5 4" xfId="1794" xr:uid="{00000000-0005-0000-0000-000067850000}"/>
    <cellStyle name="Normal 57 4 2 2 5 4 2" xfId="11163" xr:uid="{00000000-0005-0000-0000-000068850000}"/>
    <cellStyle name="Normal 57 4 2 2 5 4 2 2" xfId="36718" xr:uid="{00000000-0005-0000-0000-000069850000}"/>
    <cellStyle name="Normal 57 4 2 2 5 4 3" xfId="21167" xr:uid="{00000000-0005-0000-0000-00006A850000}"/>
    <cellStyle name="Normal 57 4 2 2 5 4 3 2" xfId="46720" xr:uid="{00000000-0005-0000-0000-00006B850000}"/>
    <cellStyle name="Normal 57 4 2 2 5 4 4" xfId="27650" xr:uid="{00000000-0005-0000-0000-00006C850000}"/>
    <cellStyle name="Normal 57 4 2 2 5 5" xfId="6739" xr:uid="{00000000-0005-0000-0000-00006D850000}"/>
    <cellStyle name="Normal 57 4 2 2 5 5 2" xfId="15566" xr:uid="{00000000-0005-0000-0000-00006E850000}"/>
    <cellStyle name="Normal 57 4 2 2 5 5 2 2" xfId="41121" xr:uid="{00000000-0005-0000-0000-00006F850000}"/>
    <cellStyle name="Normal 57 4 2 2 5 5 3" xfId="25817" xr:uid="{00000000-0005-0000-0000-000070850000}"/>
    <cellStyle name="Normal 57 4 2 2 5 5 3 2" xfId="51370" xr:uid="{00000000-0005-0000-0000-000071850000}"/>
    <cellStyle name="Normal 57 4 2 2 5 5 4" xfId="32300" xr:uid="{00000000-0005-0000-0000-000072850000}"/>
    <cellStyle name="Normal 57 4 2 2 5 6" xfId="8185" xr:uid="{00000000-0005-0000-0000-000073850000}"/>
    <cellStyle name="Normal 57 4 2 2 5 6 2" xfId="20575" xr:uid="{00000000-0005-0000-0000-000074850000}"/>
    <cellStyle name="Normal 57 4 2 2 5 6 2 2" xfId="46128" xr:uid="{00000000-0005-0000-0000-000075850000}"/>
    <cellStyle name="Normal 57 4 2 2 5 6 3" xfId="33742" xr:uid="{00000000-0005-0000-0000-000076850000}"/>
    <cellStyle name="Normal 57 4 2 2 5 7" xfId="16160" xr:uid="{00000000-0005-0000-0000-000077850000}"/>
    <cellStyle name="Normal 57 4 2 2 5 7 2" xfId="41713" xr:uid="{00000000-0005-0000-0000-000078850000}"/>
    <cellStyle name="Normal 57 4 2 2 5 8" xfId="27058" xr:uid="{00000000-0005-0000-0000-000079850000}"/>
    <cellStyle name="Normal 57 4 2 2 6" xfId="2689" xr:uid="{00000000-0005-0000-0000-00007A850000}"/>
    <cellStyle name="Normal 57 4 2 2 6 2" xfId="12006" xr:uid="{00000000-0005-0000-0000-00007B850000}"/>
    <cellStyle name="Normal 57 4 2 2 6 2 2" xfId="22050" xr:uid="{00000000-0005-0000-0000-00007C850000}"/>
    <cellStyle name="Normal 57 4 2 2 6 2 2 2" xfId="47603" xr:uid="{00000000-0005-0000-0000-00007D850000}"/>
    <cellStyle name="Normal 57 4 2 2 6 2 3" xfId="37561" xr:uid="{00000000-0005-0000-0000-00007E850000}"/>
    <cellStyle name="Normal 57 4 2 2 6 3" xfId="8495" xr:uid="{00000000-0005-0000-0000-00007F850000}"/>
    <cellStyle name="Normal 57 4 2 2 6 3 2" xfId="34052" xr:uid="{00000000-0005-0000-0000-000080850000}"/>
    <cellStyle name="Normal 57 4 2 2 6 4" xfId="17043" xr:uid="{00000000-0005-0000-0000-000081850000}"/>
    <cellStyle name="Normal 57 4 2 2 6 4 2" xfId="42596" xr:uid="{00000000-0005-0000-0000-000082850000}"/>
    <cellStyle name="Normal 57 4 2 2 6 5" xfId="28533" xr:uid="{00000000-0005-0000-0000-000083850000}"/>
    <cellStyle name="Normal 57 4 2 2 7" xfId="4240" xr:uid="{00000000-0005-0000-0000-000084850000}"/>
    <cellStyle name="Normal 57 4 2 2 7 2" xfId="13078" xr:uid="{00000000-0005-0000-0000-000085850000}"/>
    <cellStyle name="Normal 57 4 2 2 7 2 2" xfId="23329" xr:uid="{00000000-0005-0000-0000-000086850000}"/>
    <cellStyle name="Normal 57 4 2 2 7 2 2 2" xfId="48882" xr:uid="{00000000-0005-0000-0000-000087850000}"/>
    <cellStyle name="Normal 57 4 2 2 7 2 3" xfId="38633" xr:uid="{00000000-0005-0000-0000-000088850000}"/>
    <cellStyle name="Normal 57 4 2 2 7 3" xfId="9499" xr:uid="{00000000-0005-0000-0000-000089850000}"/>
    <cellStyle name="Normal 57 4 2 2 7 3 2" xfId="35056" xr:uid="{00000000-0005-0000-0000-00008A850000}"/>
    <cellStyle name="Normal 57 4 2 2 7 4" xfId="18322" xr:uid="{00000000-0005-0000-0000-00008B850000}"/>
    <cellStyle name="Normal 57 4 2 2 7 4 2" xfId="43875" xr:uid="{00000000-0005-0000-0000-00008C850000}"/>
    <cellStyle name="Normal 57 4 2 2 7 5" xfId="29812" xr:uid="{00000000-0005-0000-0000-00008D850000}"/>
    <cellStyle name="Normal 57 4 2 2 8" xfId="1512" xr:uid="{00000000-0005-0000-0000-00008E850000}"/>
    <cellStyle name="Normal 57 4 2 2 8 2" xfId="10889" xr:uid="{00000000-0005-0000-0000-00008F850000}"/>
    <cellStyle name="Normal 57 4 2 2 8 2 2" xfId="36444" xr:uid="{00000000-0005-0000-0000-000090850000}"/>
    <cellStyle name="Normal 57 4 2 2 8 3" xfId="20893" xr:uid="{00000000-0005-0000-0000-000091850000}"/>
    <cellStyle name="Normal 57 4 2 2 8 3 2" xfId="46446" xr:uid="{00000000-0005-0000-0000-000092850000}"/>
    <cellStyle name="Normal 57 4 2 2 8 4" xfId="27376" xr:uid="{00000000-0005-0000-0000-000093850000}"/>
    <cellStyle name="Normal 57 4 2 2 9" xfId="5696" xr:uid="{00000000-0005-0000-0000-000094850000}"/>
    <cellStyle name="Normal 57 4 2 2 9 2" xfId="14523" xr:uid="{00000000-0005-0000-0000-000095850000}"/>
    <cellStyle name="Normal 57 4 2 2 9 2 2" xfId="40078" xr:uid="{00000000-0005-0000-0000-000096850000}"/>
    <cellStyle name="Normal 57 4 2 2 9 3" xfId="24774" xr:uid="{00000000-0005-0000-0000-000097850000}"/>
    <cellStyle name="Normal 57 4 2 2 9 3 2" xfId="50327" xr:uid="{00000000-0005-0000-0000-000098850000}"/>
    <cellStyle name="Normal 57 4 2 2 9 4" xfId="31257" xr:uid="{00000000-0005-0000-0000-000099850000}"/>
    <cellStyle name="Normal 57 4 2 2_Degree data" xfId="3957" xr:uid="{00000000-0005-0000-0000-00009A850000}"/>
    <cellStyle name="Normal 57 4 2 3" xfId="477" xr:uid="{00000000-0005-0000-0000-00009B850000}"/>
    <cellStyle name="Normal 57 4 2 3 10" xfId="26406" xr:uid="{00000000-0005-0000-0000-00009C850000}"/>
    <cellStyle name="Normal 57 4 2 3 2" xfId="853" xr:uid="{00000000-0005-0000-0000-00009D850000}"/>
    <cellStyle name="Normal 57 4 2 3 2 2" xfId="3338" xr:uid="{00000000-0005-0000-0000-00009E850000}"/>
    <cellStyle name="Normal 57 4 2 3 2 2 2" xfId="12480" xr:uid="{00000000-0005-0000-0000-00009F850000}"/>
    <cellStyle name="Normal 57 4 2 3 2 2 2 2" xfId="22699" xr:uid="{00000000-0005-0000-0000-0000A0850000}"/>
    <cellStyle name="Normal 57 4 2 3 2 2 2 2 2" xfId="48252" xr:uid="{00000000-0005-0000-0000-0000A1850000}"/>
    <cellStyle name="Normal 57 4 2 3 2 2 2 3" xfId="38035" xr:uid="{00000000-0005-0000-0000-0000A2850000}"/>
    <cellStyle name="Normal 57 4 2 3 2 2 3" xfId="8902" xr:uid="{00000000-0005-0000-0000-0000A3850000}"/>
    <cellStyle name="Normal 57 4 2 3 2 2 3 2" xfId="34459" xr:uid="{00000000-0005-0000-0000-0000A4850000}"/>
    <cellStyle name="Normal 57 4 2 3 2 2 4" xfId="17692" xr:uid="{00000000-0005-0000-0000-0000A5850000}"/>
    <cellStyle name="Normal 57 4 2 3 2 2 4 2" xfId="43245" xr:uid="{00000000-0005-0000-0000-0000A6850000}"/>
    <cellStyle name="Normal 57 4 2 3 2 2 5" xfId="29182" xr:uid="{00000000-0005-0000-0000-0000A7850000}"/>
    <cellStyle name="Normal 57 4 2 3 2 3" xfId="4667" xr:uid="{00000000-0005-0000-0000-0000A8850000}"/>
    <cellStyle name="Normal 57 4 2 3 2 3 2" xfId="13505" xr:uid="{00000000-0005-0000-0000-0000A9850000}"/>
    <cellStyle name="Normal 57 4 2 3 2 3 2 2" xfId="23756" xr:uid="{00000000-0005-0000-0000-0000AA850000}"/>
    <cellStyle name="Normal 57 4 2 3 2 3 2 2 2" xfId="49309" xr:uid="{00000000-0005-0000-0000-0000AB850000}"/>
    <cellStyle name="Normal 57 4 2 3 2 3 2 3" xfId="39060" xr:uid="{00000000-0005-0000-0000-0000AC850000}"/>
    <cellStyle name="Normal 57 4 2 3 2 3 3" xfId="9926" xr:uid="{00000000-0005-0000-0000-0000AD850000}"/>
    <cellStyle name="Normal 57 4 2 3 2 3 3 2" xfId="35483" xr:uid="{00000000-0005-0000-0000-0000AE850000}"/>
    <cellStyle name="Normal 57 4 2 3 2 3 4" xfId="18749" xr:uid="{00000000-0005-0000-0000-0000AF850000}"/>
    <cellStyle name="Normal 57 4 2 3 2 3 4 2" xfId="44302" xr:uid="{00000000-0005-0000-0000-0000B0850000}"/>
    <cellStyle name="Normal 57 4 2 3 2 3 5" xfId="30239" xr:uid="{00000000-0005-0000-0000-0000B1850000}"/>
    <cellStyle name="Normal 57 4 2 3 2 4" xfId="2447" xr:uid="{00000000-0005-0000-0000-0000B2850000}"/>
    <cellStyle name="Normal 57 4 2 3 2 4 2" xfId="11812" xr:uid="{00000000-0005-0000-0000-0000B3850000}"/>
    <cellStyle name="Normal 57 4 2 3 2 4 2 2" xfId="37367" xr:uid="{00000000-0005-0000-0000-0000B4850000}"/>
    <cellStyle name="Normal 57 4 2 3 2 4 3" xfId="21816" xr:uid="{00000000-0005-0000-0000-0000B5850000}"/>
    <cellStyle name="Normal 57 4 2 3 2 4 3 2" xfId="47369" xr:uid="{00000000-0005-0000-0000-0000B6850000}"/>
    <cellStyle name="Normal 57 4 2 3 2 4 4" xfId="28299" xr:uid="{00000000-0005-0000-0000-0000B7850000}"/>
    <cellStyle name="Normal 57 4 2 3 2 5" xfId="6123" xr:uid="{00000000-0005-0000-0000-0000B8850000}"/>
    <cellStyle name="Normal 57 4 2 3 2 5 2" xfId="14950" xr:uid="{00000000-0005-0000-0000-0000B9850000}"/>
    <cellStyle name="Normal 57 4 2 3 2 5 2 2" xfId="40505" xr:uid="{00000000-0005-0000-0000-0000BA850000}"/>
    <cellStyle name="Normal 57 4 2 3 2 5 3" xfId="25201" xr:uid="{00000000-0005-0000-0000-0000BB850000}"/>
    <cellStyle name="Normal 57 4 2 3 2 5 3 2" xfId="50754" xr:uid="{00000000-0005-0000-0000-0000BC850000}"/>
    <cellStyle name="Normal 57 4 2 3 2 5 4" xfId="31684" xr:uid="{00000000-0005-0000-0000-0000BD850000}"/>
    <cellStyle name="Normal 57 4 2 3 2 6" xfId="7568" xr:uid="{00000000-0005-0000-0000-0000BE850000}"/>
    <cellStyle name="Normal 57 4 2 3 2 6 2" xfId="20298" xr:uid="{00000000-0005-0000-0000-0000BF850000}"/>
    <cellStyle name="Normal 57 4 2 3 2 6 2 2" xfId="45851" xr:uid="{00000000-0005-0000-0000-0000C0850000}"/>
    <cellStyle name="Normal 57 4 2 3 2 6 3" xfId="33125" xr:uid="{00000000-0005-0000-0000-0000C1850000}"/>
    <cellStyle name="Normal 57 4 2 3 2 7" xfId="16809" xr:uid="{00000000-0005-0000-0000-0000C2850000}"/>
    <cellStyle name="Normal 57 4 2 3 2 7 2" xfId="42362" xr:uid="{00000000-0005-0000-0000-0000C3850000}"/>
    <cellStyle name="Normal 57 4 2 3 2 8" xfId="26781" xr:uid="{00000000-0005-0000-0000-0000C4850000}"/>
    <cellStyle name="Normal 57 4 2 3 3" xfId="1249" xr:uid="{00000000-0005-0000-0000-0000C5850000}"/>
    <cellStyle name="Normal 57 4 2 3 3 2" xfId="3678" xr:uid="{00000000-0005-0000-0000-0000C6850000}"/>
    <cellStyle name="Normal 57 4 2 3 3 2 2" xfId="12814" xr:uid="{00000000-0005-0000-0000-0000C7850000}"/>
    <cellStyle name="Normal 57 4 2 3 3 2 2 2" xfId="23033" xr:uid="{00000000-0005-0000-0000-0000C8850000}"/>
    <cellStyle name="Normal 57 4 2 3 3 2 2 2 2" xfId="48586" xr:uid="{00000000-0005-0000-0000-0000C9850000}"/>
    <cellStyle name="Normal 57 4 2 3 3 2 2 3" xfId="38369" xr:uid="{00000000-0005-0000-0000-0000CA850000}"/>
    <cellStyle name="Normal 57 4 2 3 3 2 3" xfId="9235" xr:uid="{00000000-0005-0000-0000-0000CB850000}"/>
    <cellStyle name="Normal 57 4 2 3 3 2 3 2" xfId="34792" xr:uid="{00000000-0005-0000-0000-0000CC850000}"/>
    <cellStyle name="Normal 57 4 2 3 3 2 4" xfId="18026" xr:uid="{00000000-0005-0000-0000-0000CD850000}"/>
    <cellStyle name="Normal 57 4 2 3 3 2 4 2" xfId="43579" xr:uid="{00000000-0005-0000-0000-0000CE850000}"/>
    <cellStyle name="Normal 57 4 2 3 3 2 5" xfId="29516" xr:uid="{00000000-0005-0000-0000-0000CF850000}"/>
    <cellStyle name="Normal 57 4 2 3 3 3" xfId="5016" xr:uid="{00000000-0005-0000-0000-0000D0850000}"/>
    <cellStyle name="Normal 57 4 2 3 3 3 2" xfId="13853" xr:uid="{00000000-0005-0000-0000-0000D1850000}"/>
    <cellStyle name="Normal 57 4 2 3 3 3 2 2" xfId="24104" xr:uid="{00000000-0005-0000-0000-0000D2850000}"/>
    <cellStyle name="Normal 57 4 2 3 3 3 2 2 2" xfId="49657" xr:uid="{00000000-0005-0000-0000-0000D3850000}"/>
    <cellStyle name="Normal 57 4 2 3 3 3 2 3" xfId="39408" xr:uid="{00000000-0005-0000-0000-0000D4850000}"/>
    <cellStyle name="Normal 57 4 2 3 3 3 3" xfId="10274" xr:uid="{00000000-0005-0000-0000-0000D5850000}"/>
    <cellStyle name="Normal 57 4 2 3 3 3 3 2" xfId="35831" xr:uid="{00000000-0005-0000-0000-0000D6850000}"/>
    <cellStyle name="Normal 57 4 2 3 3 3 4" xfId="19097" xr:uid="{00000000-0005-0000-0000-0000D7850000}"/>
    <cellStyle name="Normal 57 4 2 3 3 3 4 2" xfId="44650" xr:uid="{00000000-0005-0000-0000-0000D8850000}"/>
    <cellStyle name="Normal 57 4 2 3 3 3 5" xfId="30587" xr:uid="{00000000-0005-0000-0000-0000D9850000}"/>
    <cellStyle name="Normal 57 4 2 3 3 4" xfId="2072" xr:uid="{00000000-0005-0000-0000-0000DA850000}"/>
    <cellStyle name="Normal 57 4 2 3 3 4 2" xfId="11437" xr:uid="{00000000-0005-0000-0000-0000DB850000}"/>
    <cellStyle name="Normal 57 4 2 3 3 4 2 2" xfId="36992" xr:uid="{00000000-0005-0000-0000-0000DC850000}"/>
    <cellStyle name="Normal 57 4 2 3 3 4 3" xfId="21441" xr:uid="{00000000-0005-0000-0000-0000DD850000}"/>
    <cellStyle name="Normal 57 4 2 3 3 4 3 2" xfId="46994" xr:uid="{00000000-0005-0000-0000-0000DE850000}"/>
    <cellStyle name="Normal 57 4 2 3 3 4 4" xfId="27924" xr:uid="{00000000-0005-0000-0000-0000DF850000}"/>
    <cellStyle name="Normal 57 4 2 3 3 5" xfId="6471" xr:uid="{00000000-0005-0000-0000-0000E0850000}"/>
    <cellStyle name="Normal 57 4 2 3 3 5 2" xfId="15298" xr:uid="{00000000-0005-0000-0000-0000E1850000}"/>
    <cellStyle name="Normal 57 4 2 3 3 5 2 2" xfId="40853" xr:uid="{00000000-0005-0000-0000-0000E2850000}"/>
    <cellStyle name="Normal 57 4 2 3 3 5 3" xfId="25549" xr:uid="{00000000-0005-0000-0000-0000E3850000}"/>
    <cellStyle name="Normal 57 4 2 3 3 5 3 2" xfId="51102" xr:uid="{00000000-0005-0000-0000-0000E4850000}"/>
    <cellStyle name="Normal 57 4 2 3 3 5 4" xfId="32032" xr:uid="{00000000-0005-0000-0000-0000E5850000}"/>
    <cellStyle name="Normal 57 4 2 3 3 6" xfId="7917" xr:uid="{00000000-0005-0000-0000-0000E6850000}"/>
    <cellStyle name="Normal 57 4 2 3 3 6 2" xfId="20632" xr:uid="{00000000-0005-0000-0000-0000E7850000}"/>
    <cellStyle name="Normal 57 4 2 3 3 6 2 2" xfId="46185" xr:uid="{00000000-0005-0000-0000-0000E8850000}"/>
    <cellStyle name="Normal 57 4 2 3 3 6 3" xfId="33474" xr:uid="{00000000-0005-0000-0000-0000E9850000}"/>
    <cellStyle name="Normal 57 4 2 3 3 7" xfId="16434" xr:uid="{00000000-0005-0000-0000-0000EA850000}"/>
    <cellStyle name="Normal 57 4 2 3 3 7 2" xfId="41987" xr:uid="{00000000-0005-0000-0000-0000EB850000}"/>
    <cellStyle name="Normal 57 4 2 3 3 8" xfId="27115" xr:uid="{00000000-0005-0000-0000-0000EC850000}"/>
    <cellStyle name="Normal 57 4 2 3 4" xfId="2963" xr:uid="{00000000-0005-0000-0000-0000ED850000}"/>
    <cellStyle name="Normal 57 4 2 3 4 2" xfId="5341" xr:uid="{00000000-0005-0000-0000-0000EE850000}"/>
    <cellStyle name="Normal 57 4 2 3 4 2 2" xfId="14178" xr:uid="{00000000-0005-0000-0000-0000EF850000}"/>
    <cellStyle name="Normal 57 4 2 3 4 2 2 2" xfId="24429" xr:uid="{00000000-0005-0000-0000-0000F0850000}"/>
    <cellStyle name="Normal 57 4 2 3 4 2 2 2 2" xfId="49982" xr:uid="{00000000-0005-0000-0000-0000F1850000}"/>
    <cellStyle name="Normal 57 4 2 3 4 2 2 3" xfId="39733" xr:uid="{00000000-0005-0000-0000-0000F2850000}"/>
    <cellStyle name="Normal 57 4 2 3 4 2 3" xfId="10599" xr:uid="{00000000-0005-0000-0000-0000F3850000}"/>
    <cellStyle name="Normal 57 4 2 3 4 2 3 2" xfId="36156" xr:uid="{00000000-0005-0000-0000-0000F4850000}"/>
    <cellStyle name="Normal 57 4 2 3 4 2 4" xfId="19422" xr:uid="{00000000-0005-0000-0000-0000F5850000}"/>
    <cellStyle name="Normal 57 4 2 3 4 2 4 2" xfId="44975" xr:uid="{00000000-0005-0000-0000-0000F6850000}"/>
    <cellStyle name="Normal 57 4 2 3 4 2 5" xfId="30912" xr:uid="{00000000-0005-0000-0000-0000F7850000}"/>
    <cellStyle name="Normal 57 4 2 3 4 3" xfId="6796" xr:uid="{00000000-0005-0000-0000-0000F8850000}"/>
    <cellStyle name="Normal 57 4 2 3 4 3 2" xfId="15623" xr:uid="{00000000-0005-0000-0000-0000F9850000}"/>
    <cellStyle name="Normal 57 4 2 3 4 3 2 2" xfId="41178" xr:uid="{00000000-0005-0000-0000-0000FA850000}"/>
    <cellStyle name="Normal 57 4 2 3 4 3 3" xfId="25874" xr:uid="{00000000-0005-0000-0000-0000FB850000}"/>
    <cellStyle name="Normal 57 4 2 3 4 3 3 2" xfId="51427" xr:uid="{00000000-0005-0000-0000-0000FC850000}"/>
    <cellStyle name="Normal 57 4 2 3 4 3 4" xfId="32357" xr:uid="{00000000-0005-0000-0000-0000FD850000}"/>
    <cellStyle name="Normal 57 4 2 3 4 4" xfId="8242" xr:uid="{00000000-0005-0000-0000-0000FE850000}"/>
    <cellStyle name="Normal 57 4 2 3 4 4 2" xfId="22324" xr:uid="{00000000-0005-0000-0000-0000FF850000}"/>
    <cellStyle name="Normal 57 4 2 3 4 4 2 2" xfId="47877" xr:uid="{00000000-0005-0000-0000-000000860000}"/>
    <cellStyle name="Normal 57 4 2 3 4 4 3" xfId="33799" xr:uid="{00000000-0005-0000-0000-000001860000}"/>
    <cellStyle name="Normal 57 4 2 3 4 5" xfId="17317" xr:uid="{00000000-0005-0000-0000-000002860000}"/>
    <cellStyle name="Normal 57 4 2 3 4 5 2" xfId="42870" xr:uid="{00000000-0005-0000-0000-000003860000}"/>
    <cellStyle name="Normal 57 4 2 3 4 6" xfId="28807" xr:uid="{00000000-0005-0000-0000-000004860000}"/>
    <cellStyle name="Normal 57 4 2 3 5" xfId="4297" xr:uid="{00000000-0005-0000-0000-000005860000}"/>
    <cellStyle name="Normal 57 4 2 3 5 2" xfId="13135" xr:uid="{00000000-0005-0000-0000-000006860000}"/>
    <cellStyle name="Normal 57 4 2 3 5 2 2" xfId="23386" xr:uid="{00000000-0005-0000-0000-000007860000}"/>
    <cellStyle name="Normal 57 4 2 3 5 2 2 2" xfId="48939" xr:uid="{00000000-0005-0000-0000-000008860000}"/>
    <cellStyle name="Normal 57 4 2 3 5 2 3" xfId="38690" xr:uid="{00000000-0005-0000-0000-000009860000}"/>
    <cellStyle name="Normal 57 4 2 3 5 3" xfId="9556" xr:uid="{00000000-0005-0000-0000-00000A860000}"/>
    <cellStyle name="Normal 57 4 2 3 5 3 2" xfId="35113" xr:uid="{00000000-0005-0000-0000-00000B860000}"/>
    <cellStyle name="Normal 57 4 2 3 5 4" xfId="18379" xr:uid="{00000000-0005-0000-0000-00000C860000}"/>
    <cellStyle name="Normal 57 4 2 3 5 4 2" xfId="43932" xr:uid="{00000000-0005-0000-0000-00000D860000}"/>
    <cellStyle name="Normal 57 4 2 3 5 5" xfId="29869" xr:uid="{00000000-0005-0000-0000-00000E860000}"/>
    <cellStyle name="Normal 57 4 2 3 6" xfId="1569" xr:uid="{00000000-0005-0000-0000-00000F860000}"/>
    <cellStyle name="Normal 57 4 2 3 6 2" xfId="10946" xr:uid="{00000000-0005-0000-0000-000010860000}"/>
    <cellStyle name="Normal 57 4 2 3 6 2 2" xfId="36501" xr:uid="{00000000-0005-0000-0000-000011860000}"/>
    <cellStyle name="Normal 57 4 2 3 6 3" xfId="20950" xr:uid="{00000000-0005-0000-0000-000012860000}"/>
    <cellStyle name="Normal 57 4 2 3 6 3 2" xfId="46503" xr:uid="{00000000-0005-0000-0000-000013860000}"/>
    <cellStyle name="Normal 57 4 2 3 6 4" xfId="27433" xr:uid="{00000000-0005-0000-0000-000014860000}"/>
    <cellStyle name="Normal 57 4 2 3 7" xfId="5753" xr:uid="{00000000-0005-0000-0000-000015860000}"/>
    <cellStyle name="Normal 57 4 2 3 7 2" xfId="14580" xr:uid="{00000000-0005-0000-0000-000016860000}"/>
    <cellStyle name="Normal 57 4 2 3 7 2 2" xfId="40135" xr:uid="{00000000-0005-0000-0000-000017860000}"/>
    <cellStyle name="Normal 57 4 2 3 7 3" xfId="24831" xr:uid="{00000000-0005-0000-0000-000018860000}"/>
    <cellStyle name="Normal 57 4 2 3 7 3 2" xfId="50384" xr:uid="{00000000-0005-0000-0000-000019860000}"/>
    <cellStyle name="Normal 57 4 2 3 7 4" xfId="31314" xr:uid="{00000000-0005-0000-0000-00001A860000}"/>
    <cellStyle name="Normal 57 4 2 3 8" xfId="7197" xr:uid="{00000000-0005-0000-0000-00001B860000}"/>
    <cellStyle name="Normal 57 4 2 3 8 2" xfId="19923" xr:uid="{00000000-0005-0000-0000-00001C860000}"/>
    <cellStyle name="Normal 57 4 2 3 8 2 2" xfId="45476" xr:uid="{00000000-0005-0000-0000-00001D860000}"/>
    <cellStyle name="Normal 57 4 2 3 8 3" xfId="32754" xr:uid="{00000000-0005-0000-0000-00001E860000}"/>
    <cellStyle name="Normal 57 4 2 3 9" xfId="15943" xr:uid="{00000000-0005-0000-0000-00001F860000}"/>
    <cellStyle name="Normal 57 4 2 3 9 2" xfId="41496" xr:uid="{00000000-0005-0000-0000-000020860000}"/>
    <cellStyle name="Normal 57 4 2 3_Degree data" xfId="3959" xr:uid="{00000000-0005-0000-0000-000021860000}"/>
    <cellStyle name="Normal 57 4 2 4" xfId="377" xr:uid="{00000000-0005-0000-0000-000022860000}"/>
    <cellStyle name="Normal 57 4 2 4 2" xfId="2863" xr:uid="{00000000-0005-0000-0000-000023860000}"/>
    <cellStyle name="Normal 57 4 2 4 2 2" xfId="12151" xr:uid="{00000000-0005-0000-0000-000024860000}"/>
    <cellStyle name="Normal 57 4 2 4 2 2 2" xfId="22224" xr:uid="{00000000-0005-0000-0000-000025860000}"/>
    <cellStyle name="Normal 57 4 2 4 2 2 2 2" xfId="47777" xr:uid="{00000000-0005-0000-0000-000026860000}"/>
    <cellStyle name="Normal 57 4 2 4 2 2 3" xfId="37706" xr:uid="{00000000-0005-0000-0000-000027860000}"/>
    <cellStyle name="Normal 57 4 2 4 2 3" xfId="8432" xr:uid="{00000000-0005-0000-0000-000028860000}"/>
    <cellStyle name="Normal 57 4 2 4 2 3 2" xfId="33989" xr:uid="{00000000-0005-0000-0000-000029860000}"/>
    <cellStyle name="Normal 57 4 2 4 2 4" xfId="17217" xr:uid="{00000000-0005-0000-0000-00002A860000}"/>
    <cellStyle name="Normal 57 4 2 4 2 4 2" xfId="42770" xr:uid="{00000000-0005-0000-0000-00002B860000}"/>
    <cellStyle name="Normal 57 4 2 4 2 5" xfId="28707" xr:uid="{00000000-0005-0000-0000-00002C860000}"/>
    <cellStyle name="Normal 57 4 2 4 3" xfId="4664" xr:uid="{00000000-0005-0000-0000-00002D860000}"/>
    <cellStyle name="Normal 57 4 2 4 3 2" xfId="13502" xr:uid="{00000000-0005-0000-0000-00002E860000}"/>
    <cellStyle name="Normal 57 4 2 4 3 2 2" xfId="23753" xr:uid="{00000000-0005-0000-0000-00002F860000}"/>
    <cellStyle name="Normal 57 4 2 4 3 2 2 2" xfId="49306" xr:uid="{00000000-0005-0000-0000-000030860000}"/>
    <cellStyle name="Normal 57 4 2 4 3 2 3" xfId="39057" xr:uid="{00000000-0005-0000-0000-000031860000}"/>
    <cellStyle name="Normal 57 4 2 4 3 3" xfId="9923" xr:uid="{00000000-0005-0000-0000-000032860000}"/>
    <cellStyle name="Normal 57 4 2 4 3 3 2" xfId="35480" xr:uid="{00000000-0005-0000-0000-000033860000}"/>
    <cellStyle name="Normal 57 4 2 4 3 4" xfId="18746" xr:uid="{00000000-0005-0000-0000-000034860000}"/>
    <cellStyle name="Normal 57 4 2 4 3 4 2" xfId="44299" xr:uid="{00000000-0005-0000-0000-000035860000}"/>
    <cellStyle name="Normal 57 4 2 4 3 5" xfId="30236" xr:uid="{00000000-0005-0000-0000-000036860000}"/>
    <cellStyle name="Normal 57 4 2 4 4" xfId="1972" xr:uid="{00000000-0005-0000-0000-000037860000}"/>
    <cellStyle name="Normal 57 4 2 4 4 2" xfId="11337" xr:uid="{00000000-0005-0000-0000-000038860000}"/>
    <cellStyle name="Normal 57 4 2 4 4 2 2" xfId="36892" xr:uid="{00000000-0005-0000-0000-000039860000}"/>
    <cellStyle name="Normal 57 4 2 4 4 3" xfId="21341" xr:uid="{00000000-0005-0000-0000-00003A860000}"/>
    <cellStyle name="Normal 57 4 2 4 4 3 2" xfId="46894" xr:uid="{00000000-0005-0000-0000-00003B860000}"/>
    <cellStyle name="Normal 57 4 2 4 4 4" xfId="27824" xr:uid="{00000000-0005-0000-0000-00003C860000}"/>
    <cellStyle name="Normal 57 4 2 4 5" xfId="6120" xr:uid="{00000000-0005-0000-0000-00003D860000}"/>
    <cellStyle name="Normal 57 4 2 4 5 2" xfId="14947" xr:uid="{00000000-0005-0000-0000-00003E860000}"/>
    <cellStyle name="Normal 57 4 2 4 5 2 2" xfId="40502" xr:uid="{00000000-0005-0000-0000-00003F860000}"/>
    <cellStyle name="Normal 57 4 2 4 5 3" xfId="25198" xr:uid="{00000000-0005-0000-0000-000040860000}"/>
    <cellStyle name="Normal 57 4 2 4 5 3 2" xfId="50751" xr:uid="{00000000-0005-0000-0000-000041860000}"/>
    <cellStyle name="Normal 57 4 2 4 5 4" xfId="31681" xr:uid="{00000000-0005-0000-0000-000042860000}"/>
    <cellStyle name="Normal 57 4 2 4 6" xfId="7565" xr:uid="{00000000-0005-0000-0000-000043860000}"/>
    <cellStyle name="Normal 57 4 2 4 6 2" xfId="19823" xr:uid="{00000000-0005-0000-0000-000044860000}"/>
    <cellStyle name="Normal 57 4 2 4 6 2 2" xfId="45376" xr:uid="{00000000-0005-0000-0000-000045860000}"/>
    <cellStyle name="Normal 57 4 2 4 6 3" xfId="33122" xr:uid="{00000000-0005-0000-0000-000046860000}"/>
    <cellStyle name="Normal 57 4 2 4 7" xfId="16334" xr:uid="{00000000-0005-0000-0000-000047860000}"/>
    <cellStyle name="Normal 57 4 2 4 7 2" xfId="41887" xr:uid="{00000000-0005-0000-0000-000048860000}"/>
    <cellStyle name="Normal 57 4 2 4 8" xfId="26306" xr:uid="{00000000-0005-0000-0000-000049860000}"/>
    <cellStyle name="Normal 57 4 2 5" xfId="850" xr:uid="{00000000-0005-0000-0000-00004A860000}"/>
    <cellStyle name="Normal 57 4 2 5 2" xfId="3335" xr:uid="{00000000-0005-0000-0000-00004B860000}"/>
    <cellStyle name="Normal 57 4 2 5 2 2" xfId="12477" xr:uid="{00000000-0005-0000-0000-00004C860000}"/>
    <cellStyle name="Normal 57 4 2 5 2 2 2" xfId="22696" xr:uid="{00000000-0005-0000-0000-00004D860000}"/>
    <cellStyle name="Normal 57 4 2 5 2 2 2 2" xfId="48249" xr:uid="{00000000-0005-0000-0000-00004E860000}"/>
    <cellStyle name="Normal 57 4 2 5 2 2 3" xfId="38032" xr:uid="{00000000-0005-0000-0000-00004F860000}"/>
    <cellStyle name="Normal 57 4 2 5 2 3" xfId="8899" xr:uid="{00000000-0005-0000-0000-000050860000}"/>
    <cellStyle name="Normal 57 4 2 5 2 3 2" xfId="34456" xr:uid="{00000000-0005-0000-0000-000051860000}"/>
    <cellStyle name="Normal 57 4 2 5 2 4" xfId="17689" xr:uid="{00000000-0005-0000-0000-000052860000}"/>
    <cellStyle name="Normal 57 4 2 5 2 4 2" xfId="43242" xr:uid="{00000000-0005-0000-0000-000053860000}"/>
    <cellStyle name="Normal 57 4 2 5 2 5" xfId="29179" xr:uid="{00000000-0005-0000-0000-000054860000}"/>
    <cellStyle name="Normal 57 4 2 5 3" xfId="5013" xr:uid="{00000000-0005-0000-0000-000055860000}"/>
    <cellStyle name="Normal 57 4 2 5 3 2" xfId="13850" xr:uid="{00000000-0005-0000-0000-000056860000}"/>
    <cellStyle name="Normal 57 4 2 5 3 2 2" xfId="24101" xr:uid="{00000000-0005-0000-0000-000057860000}"/>
    <cellStyle name="Normal 57 4 2 5 3 2 2 2" xfId="49654" xr:uid="{00000000-0005-0000-0000-000058860000}"/>
    <cellStyle name="Normal 57 4 2 5 3 2 3" xfId="39405" xr:uid="{00000000-0005-0000-0000-000059860000}"/>
    <cellStyle name="Normal 57 4 2 5 3 3" xfId="10271" xr:uid="{00000000-0005-0000-0000-00005A860000}"/>
    <cellStyle name="Normal 57 4 2 5 3 3 2" xfId="35828" xr:uid="{00000000-0005-0000-0000-00005B860000}"/>
    <cellStyle name="Normal 57 4 2 5 3 4" xfId="19094" xr:uid="{00000000-0005-0000-0000-00005C860000}"/>
    <cellStyle name="Normal 57 4 2 5 3 4 2" xfId="44647" xr:uid="{00000000-0005-0000-0000-00005D860000}"/>
    <cellStyle name="Normal 57 4 2 5 3 5" xfId="30584" xr:uid="{00000000-0005-0000-0000-00005E860000}"/>
    <cellStyle name="Normal 57 4 2 5 4" xfId="2444" xr:uid="{00000000-0005-0000-0000-00005F860000}"/>
    <cellStyle name="Normal 57 4 2 5 4 2" xfId="11809" xr:uid="{00000000-0005-0000-0000-000060860000}"/>
    <cellStyle name="Normal 57 4 2 5 4 2 2" xfId="37364" xr:uid="{00000000-0005-0000-0000-000061860000}"/>
    <cellStyle name="Normal 57 4 2 5 4 3" xfId="21813" xr:uid="{00000000-0005-0000-0000-000062860000}"/>
    <cellStyle name="Normal 57 4 2 5 4 3 2" xfId="47366" xr:uid="{00000000-0005-0000-0000-000063860000}"/>
    <cellStyle name="Normal 57 4 2 5 4 4" xfId="28296" xr:uid="{00000000-0005-0000-0000-000064860000}"/>
    <cellStyle name="Normal 57 4 2 5 5" xfId="6468" xr:uid="{00000000-0005-0000-0000-000065860000}"/>
    <cellStyle name="Normal 57 4 2 5 5 2" xfId="15295" xr:uid="{00000000-0005-0000-0000-000066860000}"/>
    <cellStyle name="Normal 57 4 2 5 5 2 2" xfId="40850" xr:uid="{00000000-0005-0000-0000-000067860000}"/>
    <cellStyle name="Normal 57 4 2 5 5 3" xfId="25546" xr:uid="{00000000-0005-0000-0000-000068860000}"/>
    <cellStyle name="Normal 57 4 2 5 5 3 2" xfId="51099" xr:uid="{00000000-0005-0000-0000-000069860000}"/>
    <cellStyle name="Normal 57 4 2 5 5 4" xfId="32029" xr:uid="{00000000-0005-0000-0000-00006A860000}"/>
    <cellStyle name="Normal 57 4 2 5 6" xfId="7914" xr:uid="{00000000-0005-0000-0000-00006B860000}"/>
    <cellStyle name="Normal 57 4 2 5 6 2" xfId="20295" xr:uid="{00000000-0005-0000-0000-00006C860000}"/>
    <cellStyle name="Normal 57 4 2 5 6 2 2" xfId="45848" xr:uid="{00000000-0005-0000-0000-00006D860000}"/>
    <cellStyle name="Normal 57 4 2 5 6 3" xfId="33471" xr:uid="{00000000-0005-0000-0000-00006E860000}"/>
    <cellStyle name="Normal 57 4 2 5 7" xfId="16806" xr:uid="{00000000-0005-0000-0000-00006F860000}"/>
    <cellStyle name="Normal 57 4 2 5 7 2" xfId="42359" xr:uid="{00000000-0005-0000-0000-000070860000}"/>
    <cellStyle name="Normal 57 4 2 5 8" xfId="26778" xr:uid="{00000000-0005-0000-0000-000071860000}"/>
    <cellStyle name="Normal 57 4 2 6" xfId="1149" xr:uid="{00000000-0005-0000-0000-000072860000}"/>
    <cellStyle name="Normal 57 4 2 6 2" xfId="3578" xr:uid="{00000000-0005-0000-0000-000073860000}"/>
    <cellStyle name="Normal 57 4 2 6 2 2" xfId="12714" xr:uid="{00000000-0005-0000-0000-000074860000}"/>
    <cellStyle name="Normal 57 4 2 6 2 2 2" xfId="22933" xr:uid="{00000000-0005-0000-0000-000075860000}"/>
    <cellStyle name="Normal 57 4 2 6 2 2 2 2" xfId="48486" xr:uid="{00000000-0005-0000-0000-000076860000}"/>
    <cellStyle name="Normal 57 4 2 6 2 2 3" xfId="38269" xr:uid="{00000000-0005-0000-0000-000077860000}"/>
    <cellStyle name="Normal 57 4 2 6 2 3" xfId="9135" xr:uid="{00000000-0005-0000-0000-000078860000}"/>
    <cellStyle name="Normal 57 4 2 6 2 3 2" xfId="34692" xr:uid="{00000000-0005-0000-0000-000079860000}"/>
    <cellStyle name="Normal 57 4 2 6 2 4" xfId="17926" xr:uid="{00000000-0005-0000-0000-00007A860000}"/>
    <cellStyle name="Normal 57 4 2 6 2 4 2" xfId="43479" xr:uid="{00000000-0005-0000-0000-00007B860000}"/>
    <cellStyle name="Normal 57 4 2 6 2 5" xfId="29416" xr:uid="{00000000-0005-0000-0000-00007C860000}"/>
    <cellStyle name="Normal 57 4 2 6 3" xfId="5241" xr:uid="{00000000-0005-0000-0000-00007D860000}"/>
    <cellStyle name="Normal 57 4 2 6 3 2" xfId="14078" xr:uid="{00000000-0005-0000-0000-00007E860000}"/>
    <cellStyle name="Normal 57 4 2 6 3 2 2" xfId="24329" xr:uid="{00000000-0005-0000-0000-00007F860000}"/>
    <cellStyle name="Normal 57 4 2 6 3 2 2 2" xfId="49882" xr:uid="{00000000-0005-0000-0000-000080860000}"/>
    <cellStyle name="Normal 57 4 2 6 3 2 3" xfId="39633" xr:uid="{00000000-0005-0000-0000-000081860000}"/>
    <cellStyle name="Normal 57 4 2 6 3 3" xfId="10499" xr:uid="{00000000-0005-0000-0000-000082860000}"/>
    <cellStyle name="Normal 57 4 2 6 3 3 2" xfId="36056" xr:uid="{00000000-0005-0000-0000-000083860000}"/>
    <cellStyle name="Normal 57 4 2 6 3 4" xfId="19322" xr:uid="{00000000-0005-0000-0000-000084860000}"/>
    <cellStyle name="Normal 57 4 2 6 3 4 2" xfId="44875" xr:uid="{00000000-0005-0000-0000-000085860000}"/>
    <cellStyle name="Normal 57 4 2 6 3 5" xfId="30812" xr:uid="{00000000-0005-0000-0000-000086860000}"/>
    <cellStyle name="Normal 57 4 2 6 4" xfId="1748" xr:uid="{00000000-0005-0000-0000-000087860000}"/>
    <cellStyle name="Normal 57 4 2 6 4 2" xfId="11119" xr:uid="{00000000-0005-0000-0000-000088860000}"/>
    <cellStyle name="Normal 57 4 2 6 4 2 2" xfId="36674" xr:uid="{00000000-0005-0000-0000-000089860000}"/>
    <cellStyle name="Normal 57 4 2 6 4 3" xfId="21123" xr:uid="{00000000-0005-0000-0000-00008A860000}"/>
    <cellStyle name="Normal 57 4 2 6 4 3 2" xfId="46676" xr:uid="{00000000-0005-0000-0000-00008B860000}"/>
    <cellStyle name="Normal 57 4 2 6 4 4" xfId="27606" xr:uid="{00000000-0005-0000-0000-00008C860000}"/>
    <cellStyle name="Normal 57 4 2 6 5" xfId="6696" xr:uid="{00000000-0005-0000-0000-00008D860000}"/>
    <cellStyle name="Normal 57 4 2 6 5 2" xfId="15523" xr:uid="{00000000-0005-0000-0000-00008E860000}"/>
    <cellStyle name="Normal 57 4 2 6 5 2 2" xfId="41078" xr:uid="{00000000-0005-0000-0000-00008F860000}"/>
    <cellStyle name="Normal 57 4 2 6 5 3" xfId="25774" xr:uid="{00000000-0005-0000-0000-000090860000}"/>
    <cellStyle name="Normal 57 4 2 6 5 3 2" xfId="51327" xr:uid="{00000000-0005-0000-0000-000091860000}"/>
    <cellStyle name="Normal 57 4 2 6 5 4" xfId="32257" xr:uid="{00000000-0005-0000-0000-000092860000}"/>
    <cellStyle name="Normal 57 4 2 6 6" xfId="8142" xr:uid="{00000000-0005-0000-0000-000093860000}"/>
    <cellStyle name="Normal 57 4 2 6 6 2" xfId="20532" xr:uid="{00000000-0005-0000-0000-000094860000}"/>
    <cellStyle name="Normal 57 4 2 6 6 2 2" xfId="46085" xr:uid="{00000000-0005-0000-0000-000095860000}"/>
    <cellStyle name="Normal 57 4 2 6 6 3" xfId="33699" xr:uid="{00000000-0005-0000-0000-000096860000}"/>
    <cellStyle name="Normal 57 4 2 6 7" xfId="16116" xr:uid="{00000000-0005-0000-0000-000097860000}"/>
    <cellStyle name="Normal 57 4 2 6 7 2" xfId="41669" xr:uid="{00000000-0005-0000-0000-000098860000}"/>
    <cellStyle name="Normal 57 4 2 6 8" xfId="27015" xr:uid="{00000000-0005-0000-0000-000099860000}"/>
    <cellStyle name="Normal 57 4 2 7" xfId="2646" xr:uid="{00000000-0005-0000-0000-00009A860000}"/>
    <cellStyle name="Normal 57 4 2 7 2" xfId="5653" xr:uid="{00000000-0005-0000-0000-00009B860000}"/>
    <cellStyle name="Normal 57 4 2 7 2 2" xfId="14480" xr:uid="{00000000-0005-0000-0000-00009C860000}"/>
    <cellStyle name="Normal 57 4 2 7 2 2 2" xfId="40035" xr:uid="{00000000-0005-0000-0000-00009D860000}"/>
    <cellStyle name="Normal 57 4 2 7 2 3" xfId="24731" xr:uid="{00000000-0005-0000-0000-00009E860000}"/>
    <cellStyle name="Normal 57 4 2 7 2 3 2" xfId="50284" xr:uid="{00000000-0005-0000-0000-00009F860000}"/>
    <cellStyle name="Normal 57 4 2 7 2 4" xfId="31214" xr:uid="{00000000-0005-0000-0000-0000A0860000}"/>
    <cellStyle name="Normal 57 4 2 7 3" xfId="7097" xr:uid="{00000000-0005-0000-0000-0000A1860000}"/>
    <cellStyle name="Normal 57 4 2 7 3 2" xfId="22007" xr:uid="{00000000-0005-0000-0000-0000A2860000}"/>
    <cellStyle name="Normal 57 4 2 7 3 2 2" xfId="47560" xr:uid="{00000000-0005-0000-0000-0000A3860000}"/>
    <cellStyle name="Normal 57 4 2 7 3 3" xfId="32654" xr:uid="{00000000-0005-0000-0000-0000A4860000}"/>
    <cellStyle name="Normal 57 4 2 7 4" xfId="17000" xr:uid="{00000000-0005-0000-0000-0000A5860000}"/>
    <cellStyle name="Normal 57 4 2 7 4 2" xfId="42553" xr:uid="{00000000-0005-0000-0000-0000A6860000}"/>
    <cellStyle name="Normal 57 4 2 7 5" xfId="28490" xr:uid="{00000000-0005-0000-0000-0000A7860000}"/>
    <cellStyle name="Normal 57 4 2 8" xfId="4197" xr:uid="{00000000-0005-0000-0000-0000A8860000}"/>
    <cellStyle name="Normal 57 4 2 8 2" xfId="13035" xr:uid="{00000000-0005-0000-0000-0000A9860000}"/>
    <cellStyle name="Normal 57 4 2 8 2 2" xfId="23286" xr:uid="{00000000-0005-0000-0000-0000AA860000}"/>
    <cellStyle name="Normal 57 4 2 8 2 2 2" xfId="48839" xr:uid="{00000000-0005-0000-0000-0000AB860000}"/>
    <cellStyle name="Normal 57 4 2 8 2 3" xfId="38590" xr:uid="{00000000-0005-0000-0000-0000AC860000}"/>
    <cellStyle name="Normal 57 4 2 8 3" xfId="9456" xr:uid="{00000000-0005-0000-0000-0000AD860000}"/>
    <cellStyle name="Normal 57 4 2 8 3 2" xfId="35013" xr:uid="{00000000-0005-0000-0000-0000AE860000}"/>
    <cellStyle name="Normal 57 4 2 8 4" xfId="18279" xr:uid="{00000000-0005-0000-0000-0000AF860000}"/>
    <cellStyle name="Normal 57 4 2 8 4 2" xfId="43832" xr:uid="{00000000-0005-0000-0000-0000B0860000}"/>
    <cellStyle name="Normal 57 4 2 8 5" xfId="29769" xr:uid="{00000000-0005-0000-0000-0000B1860000}"/>
    <cellStyle name="Normal 57 4 2 9" xfId="1469" xr:uid="{00000000-0005-0000-0000-0000B2860000}"/>
    <cellStyle name="Normal 57 4 2 9 2" xfId="10846" xr:uid="{00000000-0005-0000-0000-0000B3860000}"/>
    <cellStyle name="Normal 57 4 2 9 2 2" xfId="36401" xr:uid="{00000000-0005-0000-0000-0000B4860000}"/>
    <cellStyle name="Normal 57 4 2 9 3" xfId="20850" xr:uid="{00000000-0005-0000-0000-0000B5860000}"/>
    <cellStyle name="Normal 57 4 2 9 3 2" xfId="46403" xr:uid="{00000000-0005-0000-0000-0000B6860000}"/>
    <cellStyle name="Normal 57 4 2 9 4" xfId="27333" xr:uid="{00000000-0005-0000-0000-0000B7860000}"/>
    <cellStyle name="Normal 57 4 2_Degree data" xfId="3956" xr:uid="{00000000-0005-0000-0000-0000B8860000}"/>
    <cellStyle name="Normal 57 4 3" xfId="177" xr:uid="{00000000-0005-0000-0000-0000B9860000}"/>
    <cellStyle name="Normal 57 4 3 10" xfId="7125" xr:uid="{00000000-0005-0000-0000-0000BA860000}"/>
    <cellStyle name="Normal 57 4 3 10 2" xfId="19634" xr:uid="{00000000-0005-0000-0000-0000BB860000}"/>
    <cellStyle name="Normal 57 4 3 10 2 2" xfId="45187" xr:uid="{00000000-0005-0000-0000-0000BC860000}"/>
    <cellStyle name="Normal 57 4 3 10 3" xfId="32682" xr:uid="{00000000-0005-0000-0000-0000BD860000}"/>
    <cellStyle name="Normal 57 4 3 11" xfId="15871" xr:uid="{00000000-0005-0000-0000-0000BE860000}"/>
    <cellStyle name="Normal 57 4 3 11 2" xfId="41424" xr:uid="{00000000-0005-0000-0000-0000BF860000}"/>
    <cellStyle name="Normal 57 4 3 12" xfId="26117" xr:uid="{00000000-0005-0000-0000-0000C0860000}"/>
    <cellStyle name="Normal 57 4 3 2" xfId="505" xr:uid="{00000000-0005-0000-0000-0000C1860000}"/>
    <cellStyle name="Normal 57 4 3 2 10" xfId="26434" xr:uid="{00000000-0005-0000-0000-0000C2860000}"/>
    <cellStyle name="Normal 57 4 3 2 2" xfId="855" xr:uid="{00000000-0005-0000-0000-0000C3860000}"/>
    <cellStyle name="Normal 57 4 3 2 2 2" xfId="3340" xr:uid="{00000000-0005-0000-0000-0000C4860000}"/>
    <cellStyle name="Normal 57 4 3 2 2 2 2" xfId="12482" xr:uid="{00000000-0005-0000-0000-0000C5860000}"/>
    <cellStyle name="Normal 57 4 3 2 2 2 2 2" xfId="22701" xr:uid="{00000000-0005-0000-0000-0000C6860000}"/>
    <cellStyle name="Normal 57 4 3 2 2 2 2 2 2" xfId="48254" xr:uid="{00000000-0005-0000-0000-0000C7860000}"/>
    <cellStyle name="Normal 57 4 3 2 2 2 2 3" xfId="38037" xr:uid="{00000000-0005-0000-0000-0000C8860000}"/>
    <cellStyle name="Normal 57 4 3 2 2 2 3" xfId="8904" xr:uid="{00000000-0005-0000-0000-0000C9860000}"/>
    <cellStyle name="Normal 57 4 3 2 2 2 3 2" xfId="34461" xr:uid="{00000000-0005-0000-0000-0000CA860000}"/>
    <cellStyle name="Normal 57 4 3 2 2 2 4" xfId="17694" xr:uid="{00000000-0005-0000-0000-0000CB860000}"/>
    <cellStyle name="Normal 57 4 3 2 2 2 4 2" xfId="43247" xr:uid="{00000000-0005-0000-0000-0000CC860000}"/>
    <cellStyle name="Normal 57 4 3 2 2 2 5" xfId="29184" xr:uid="{00000000-0005-0000-0000-0000CD860000}"/>
    <cellStyle name="Normal 57 4 3 2 2 3" xfId="4669" xr:uid="{00000000-0005-0000-0000-0000CE860000}"/>
    <cellStyle name="Normal 57 4 3 2 2 3 2" xfId="13507" xr:uid="{00000000-0005-0000-0000-0000CF860000}"/>
    <cellStyle name="Normal 57 4 3 2 2 3 2 2" xfId="23758" xr:uid="{00000000-0005-0000-0000-0000D0860000}"/>
    <cellStyle name="Normal 57 4 3 2 2 3 2 2 2" xfId="49311" xr:uid="{00000000-0005-0000-0000-0000D1860000}"/>
    <cellStyle name="Normal 57 4 3 2 2 3 2 3" xfId="39062" xr:uid="{00000000-0005-0000-0000-0000D2860000}"/>
    <cellStyle name="Normal 57 4 3 2 2 3 3" xfId="9928" xr:uid="{00000000-0005-0000-0000-0000D3860000}"/>
    <cellStyle name="Normal 57 4 3 2 2 3 3 2" xfId="35485" xr:uid="{00000000-0005-0000-0000-0000D4860000}"/>
    <cellStyle name="Normal 57 4 3 2 2 3 4" xfId="18751" xr:uid="{00000000-0005-0000-0000-0000D5860000}"/>
    <cellStyle name="Normal 57 4 3 2 2 3 4 2" xfId="44304" xr:uid="{00000000-0005-0000-0000-0000D6860000}"/>
    <cellStyle name="Normal 57 4 3 2 2 3 5" xfId="30241" xr:uid="{00000000-0005-0000-0000-0000D7860000}"/>
    <cellStyle name="Normal 57 4 3 2 2 4" xfId="2449" xr:uid="{00000000-0005-0000-0000-0000D8860000}"/>
    <cellStyle name="Normal 57 4 3 2 2 4 2" xfId="11814" xr:uid="{00000000-0005-0000-0000-0000D9860000}"/>
    <cellStyle name="Normal 57 4 3 2 2 4 2 2" xfId="37369" xr:uid="{00000000-0005-0000-0000-0000DA860000}"/>
    <cellStyle name="Normal 57 4 3 2 2 4 3" xfId="21818" xr:uid="{00000000-0005-0000-0000-0000DB860000}"/>
    <cellStyle name="Normal 57 4 3 2 2 4 3 2" xfId="47371" xr:uid="{00000000-0005-0000-0000-0000DC860000}"/>
    <cellStyle name="Normal 57 4 3 2 2 4 4" xfId="28301" xr:uid="{00000000-0005-0000-0000-0000DD860000}"/>
    <cellStyle name="Normal 57 4 3 2 2 5" xfId="6125" xr:uid="{00000000-0005-0000-0000-0000DE860000}"/>
    <cellStyle name="Normal 57 4 3 2 2 5 2" xfId="14952" xr:uid="{00000000-0005-0000-0000-0000DF860000}"/>
    <cellStyle name="Normal 57 4 3 2 2 5 2 2" xfId="40507" xr:uid="{00000000-0005-0000-0000-0000E0860000}"/>
    <cellStyle name="Normal 57 4 3 2 2 5 3" xfId="25203" xr:uid="{00000000-0005-0000-0000-0000E1860000}"/>
    <cellStyle name="Normal 57 4 3 2 2 5 3 2" xfId="50756" xr:uid="{00000000-0005-0000-0000-0000E2860000}"/>
    <cellStyle name="Normal 57 4 3 2 2 5 4" xfId="31686" xr:uid="{00000000-0005-0000-0000-0000E3860000}"/>
    <cellStyle name="Normal 57 4 3 2 2 6" xfId="7570" xr:uid="{00000000-0005-0000-0000-0000E4860000}"/>
    <cellStyle name="Normal 57 4 3 2 2 6 2" xfId="20300" xr:uid="{00000000-0005-0000-0000-0000E5860000}"/>
    <cellStyle name="Normal 57 4 3 2 2 6 2 2" xfId="45853" xr:uid="{00000000-0005-0000-0000-0000E6860000}"/>
    <cellStyle name="Normal 57 4 3 2 2 6 3" xfId="33127" xr:uid="{00000000-0005-0000-0000-0000E7860000}"/>
    <cellStyle name="Normal 57 4 3 2 2 7" xfId="16811" xr:uid="{00000000-0005-0000-0000-0000E8860000}"/>
    <cellStyle name="Normal 57 4 3 2 2 7 2" xfId="42364" xr:uid="{00000000-0005-0000-0000-0000E9860000}"/>
    <cellStyle name="Normal 57 4 3 2 2 8" xfId="26783" xr:uid="{00000000-0005-0000-0000-0000EA860000}"/>
    <cellStyle name="Normal 57 4 3 2 3" xfId="1277" xr:uid="{00000000-0005-0000-0000-0000EB860000}"/>
    <cellStyle name="Normal 57 4 3 2 3 2" xfId="3706" xr:uid="{00000000-0005-0000-0000-0000EC860000}"/>
    <cellStyle name="Normal 57 4 3 2 3 2 2" xfId="12842" xr:uid="{00000000-0005-0000-0000-0000ED860000}"/>
    <cellStyle name="Normal 57 4 3 2 3 2 2 2" xfId="23061" xr:uid="{00000000-0005-0000-0000-0000EE860000}"/>
    <cellStyle name="Normal 57 4 3 2 3 2 2 2 2" xfId="48614" xr:uid="{00000000-0005-0000-0000-0000EF860000}"/>
    <cellStyle name="Normal 57 4 3 2 3 2 2 3" xfId="38397" xr:uid="{00000000-0005-0000-0000-0000F0860000}"/>
    <cellStyle name="Normal 57 4 3 2 3 2 3" xfId="9263" xr:uid="{00000000-0005-0000-0000-0000F1860000}"/>
    <cellStyle name="Normal 57 4 3 2 3 2 3 2" xfId="34820" xr:uid="{00000000-0005-0000-0000-0000F2860000}"/>
    <cellStyle name="Normal 57 4 3 2 3 2 4" xfId="18054" xr:uid="{00000000-0005-0000-0000-0000F3860000}"/>
    <cellStyle name="Normal 57 4 3 2 3 2 4 2" xfId="43607" xr:uid="{00000000-0005-0000-0000-0000F4860000}"/>
    <cellStyle name="Normal 57 4 3 2 3 2 5" xfId="29544" xr:uid="{00000000-0005-0000-0000-0000F5860000}"/>
    <cellStyle name="Normal 57 4 3 2 3 3" xfId="5018" xr:uid="{00000000-0005-0000-0000-0000F6860000}"/>
    <cellStyle name="Normal 57 4 3 2 3 3 2" xfId="13855" xr:uid="{00000000-0005-0000-0000-0000F7860000}"/>
    <cellStyle name="Normal 57 4 3 2 3 3 2 2" xfId="24106" xr:uid="{00000000-0005-0000-0000-0000F8860000}"/>
    <cellStyle name="Normal 57 4 3 2 3 3 2 2 2" xfId="49659" xr:uid="{00000000-0005-0000-0000-0000F9860000}"/>
    <cellStyle name="Normal 57 4 3 2 3 3 2 3" xfId="39410" xr:uid="{00000000-0005-0000-0000-0000FA860000}"/>
    <cellStyle name="Normal 57 4 3 2 3 3 3" xfId="10276" xr:uid="{00000000-0005-0000-0000-0000FB860000}"/>
    <cellStyle name="Normal 57 4 3 2 3 3 3 2" xfId="35833" xr:uid="{00000000-0005-0000-0000-0000FC860000}"/>
    <cellStyle name="Normal 57 4 3 2 3 3 4" xfId="19099" xr:uid="{00000000-0005-0000-0000-0000FD860000}"/>
    <cellStyle name="Normal 57 4 3 2 3 3 4 2" xfId="44652" xr:uid="{00000000-0005-0000-0000-0000FE860000}"/>
    <cellStyle name="Normal 57 4 3 2 3 3 5" xfId="30589" xr:uid="{00000000-0005-0000-0000-0000FF860000}"/>
    <cellStyle name="Normal 57 4 3 2 3 4" xfId="2100" xr:uid="{00000000-0005-0000-0000-000000870000}"/>
    <cellStyle name="Normal 57 4 3 2 3 4 2" xfId="11465" xr:uid="{00000000-0005-0000-0000-000001870000}"/>
    <cellStyle name="Normal 57 4 3 2 3 4 2 2" xfId="37020" xr:uid="{00000000-0005-0000-0000-000002870000}"/>
    <cellStyle name="Normal 57 4 3 2 3 4 3" xfId="21469" xr:uid="{00000000-0005-0000-0000-000003870000}"/>
    <cellStyle name="Normal 57 4 3 2 3 4 3 2" xfId="47022" xr:uid="{00000000-0005-0000-0000-000004870000}"/>
    <cellStyle name="Normal 57 4 3 2 3 4 4" xfId="27952" xr:uid="{00000000-0005-0000-0000-000005870000}"/>
    <cellStyle name="Normal 57 4 3 2 3 5" xfId="6473" xr:uid="{00000000-0005-0000-0000-000006870000}"/>
    <cellStyle name="Normal 57 4 3 2 3 5 2" xfId="15300" xr:uid="{00000000-0005-0000-0000-000007870000}"/>
    <cellStyle name="Normal 57 4 3 2 3 5 2 2" xfId="40855" xr:uid="{00000000-0005-0000-0000-000008870000}"/>
    <cellStyle name="Normal 57 4 3 2 3 5 3" xfId="25551" xr:uid="{00000000-0005-0000-0000-000009870000}"/>
    <cellStyle name="Normal 57 4 3 2 3 5 3 2" xfId="51104" xr:uid="{00000000-0005-0000-0000-00000A870000}"/>
    <cellStyle name="Normal 57 4 3 2 3 5 4" xfId="32034" xr:uid="{00000000-0005-0000-0000-00000B870000}"/>
    <cellStyle name="Normal 57 4 3 2 3 6" xfId="7919" xr:uid="{00000000-0005-0000-0000-00000C870000}"/>
    <cellStyle name="Normal 57 4 3 2 3 6 2" xfId="20660" xr:uid="{00000000-0005-0000-0000-00000D870000}"/>
    <cellStyle name="Normal 57 4 3 2 3 6 2 2" xfId="46213" xr:uid="{00000000-0005-0000-0000-00000E870000}"/>
    <cellStyle name="Normal 57 4 3 2 3 6 3" xfId="33476" xr:uid="{00000000-0005-0000-0000-00000F870000}"/>
    <cellStyle name="Normal 57 4 3 2 3 7" xfId="16462" xr:uid="{00000000-0005-0000-0000-000010870000}"/>
    <cellStyle name="Normal 57 4 3 2 3 7 2" xfId="42015" xr:uid="{00000000-0005-0000-0000-000011870000}"/>
    <cellStyle name="Normal 57 4 3 2 3 8" xfId="27143" xr:uid="{00000000-0005-0000-0000-000012870000}"/>
    <cellStyle name="Normal 57 4 3 2 4" xfId="2991" xr:uid="{00000000-0005-0000-0000-000013870000}"/>
    <cellStyle name="Normal 57 4 3 2 4 2" xfId="5369" xr:uid="{00000000-0005-0000-0000-000014870000}"/>
    <cellStyle name="Normal 57 4 3 2 4 2 2" xfId="14206" xr:uid="{00000000-0005-0000-0000-000015870000}"/>
    <cellStyle name="Normal 57 4 3 2 4 2 2 2" xfId="24457" xr:uid="{00000000-0005-0000-0000-000016870000}"/>
    <cellStyle name="Normal 57 4 3 2 4 2 2 2 2" xfId="50010" xr:uid="{00000000-0005-0000-0000-000017870000}"/>
    <cellStyle name="Normal 57 4 3 2 4 2 2 3" xfId="39761" xr:uid="{00000000-0005-0000-0000-000018870000}"/>
    <cellStyle name="Normal 57 4 3 2 4 2 3" xfId="10627" xr:uid="{00000000-0005-0000-0000-000019870000}"/>
    <cellStyle name="Normal 57 4 3 2 4 2 3 2" xfId="36184" xr:uid="{00000000-0005-0000-0000-00001A870000}"/>
    <cellStyle name="Normal 57 4 3 2 4 2 4" xfId="19450" xr:uid="{00000000-0005-0000-0000-00001B870000}"/>
    <cellStyle name="Normal 57 4 3 2 4 2 4 2" xfId="45003" xr:uid="{00000000-0005-0000-0000-00001C870000}"/>
    <cellStyle name="Normal 57 4 3 2 4 2 5" xfId="30940" xr:uid="{00000000-0005-0000-0000-00001D870000}"/>
    <cellStyle name="Normal 57 4 3 2 4 3" xfId="6824" xr:uid="{00000000-0005-0000-0000-00001E870000}"/>
    <cellStyle name="Normal 57 4 3 2 4 3 2" xfId="15651" xr:uid="{00000000-0005-0000-0000-00001F870000}"/>
    <cellStyle name="Normal 57 4 3 2 4 3 2 2" xfId="41206" xr:uid="{00000000-0005-0000-0000-000020870000}"/>
    <cellStyle name="Normal 57 4 3 2 4 3 3" xfId="25902" xr:uid="{00000000-0005-0000-0000-000021870000}"/>
    <cellStyle name="Normal 57 4 3 2 4 3 3 2" xfId="51455" xr:uid="{00000000-0005-0000-0000-000022870000}"/>
    <cellStyle name="Normal 57 4 3 2 4 3 4" xfId="32385" xr:uid="{00000000-0005-0000-0000-000023870000}"/>
    <cellStyle name="Normal 57 4 3 2 4 4" xfId="8270" xr:uid="{00000000-0005-0000-0000-000024870000}"/>
    <cellStyle name="Normal 57 4 3 2 4 4 2" xfId="22352" xr:uid="{00000000-0005-0000-0000-000025870000}"/>
    <cellStyle name="Normal 57 4 3 2 4 4 2 2" xfId="47905" xr:uid="{00000000-0005-0000-0000-000026870000}"/>
    <cellStyle name="Normal 57 4 3 2 4 4 3" xfId="33827" xr:uid="{00000000-0005-0000-0000-000027870000}"/>
    <cellStyle name="Normal 57 4 3 2 4 5" xfId="17345" xr:uid="{00000000-0005-0000-0000-000028870000}"/>
    <cellStyle name="Normal 57 4 3 2 4 5 2" xfId="42898" xr:uid="{00000000-0005-0000-0000-000029870000}"/>
    <cellStyle name="Normal 57 4 3 2 4 6" xfId="28835" xr:uid="{00000000-0005-0000-0000-00002A870000}"/>
    <cellStyle name="Normal 57 4 3 2 5" xfId="4325" xr:uid="{00000000-0005-0000-0000-00002B870000}"/>
    <cellStyle name="Normal 57 4 3 2 5 2" xfId="13163" xr:uid="{00000000-0005-0000-0000-00002C870000}"/>
    <cellStyle name="Normal 57 4 3 2 5 2 2" xfId="23414" xr:uid="{00000000-0005-0000-0000-00002D870000}"/>
    <cellStyle name="Normal 57 4 3 2 5 2 2 2" xfId="48967" xr:uid="{00000000-0005-0000-0000-00002E870000}"/>
    <cellStyle name="Normal 57 4 3 2 5 2 3" xfId="38718" xr:uid="{00000000-0005-0000-0000-00002F870000}"/>
    <cellStyle name="Normal 57 4 3 2 5 3" xfId="9584" xr:uid="{00000000-0005-0000-0000-000030870000}"/>
    <cellStyle name="Normal 57 4 3 2 5 3 2" xfId="35141" xr:uid="{00000000-0005-0000-0000-000031870000}"/>
    <cellStyle name="Normal 57 4 3 2 5 4" xfId="18407" xr:uid="{00000000-0005-0000-0000-000032870000}"/>
    <cellStyle name="Normal 57 4 3 2 5 4 2" xfId="43960" xr:uid="{00000000-0005-0000-0000-000033870000}"/>
    <cellStyle name="Normal 57 4 3 2 5 5" xfId="29897" xr:uid="{00000000-0005-0000-0000-000034870000}"/>
    <cellStyle name="Normal 57 4 3 2 6" xfId="1597" xr:uid="{00000000-0005-0000-0000-000035870000}"/>
    <cellStyle name="Normal 57 4 3 2 6 2" xfId="10974" xr:uid="{00000000-0005-0000-0000-000036870000}"/>
    <cellStyle name="Normal 57 4 3 2 6 2 2" xfId="36529" xr:uid="{00000000-0005-0000-0000-000037870000}"/>
    <cellStyle name="Normal 57 4 3 2 6 3" xfId="20978" xr:uid="{00000000-0005-0000-0000-000038870000}"/>
    <cellStyle name="Normal 57 4 3 2 6 3 2" xfId="46531" xr:uid="{00000000-0005-0000-0000-000039870000}"/>
    <cellStyle name="Normal 57 4 3 2 6 4" xfId="27461" xr:uid="{00000000-0005-0000-0000-00003A870000}"/>
    <cellStyle name="Normal 57 4 3 2 7" xfId="5781" xr:uid="{00000000-0005-0000-0000-00003B870000}"/>
    <cellStyle name="Normal 57 4 3 2 7 2" xfId="14608" xr:uid="{00000000-0005-0000-0000-00003C870000}"/>
    <cellStyle name="Normal 57 4 3 2 7 2 2" xfId="40163" xr:uid="{00000000-0005-0000-0000-00003D870000}"/>
    <cellStyle name="Normal 57 4 3 2 7 3" xfId="24859" xr:uid="{00000000-0005-0000-0000-00003E870000}"/>
    <cellStyle name="Normal 57 4 3 2 7 3 2" xfId="50412" xr:uid="{00000000-0005-0000-0000-00003F870000}"/>
    <cellStyle name="Normal 57 4 3 2 7 4" xfId="31342" xr:uid="{00000000-0005-0000-0000-000040870000}"/>
    <cellStyle name="Normal 57 4 3 2 8" xfId="7225" xr:uid="{00000000-0005-0000-0000-000041870000}"/>
    <cellStyle name="Normal 57 4 3 2 8 2" xfId="19951" xr:uid="{00000000-0005-0000-0000-000042870000}"/>
    <cellStyle name="Normal 57 4 3 2 8 2 2" xfId="45504" xr:uid="{00000000-0005-0000-0000-000043870000}"/>
    <cellStyle name="Normal 57 4 3 2 8 3" xfId="32782" xr:uid="{00000000-0005-0000-0000-000044870000}"/>
    <cellStyle name="Normal 57 4 3 2 9" xfId="15971" xr:uid="{00000000-0005-0000-0000-000045870000}"/>
    <cellStyle name="Normal 57 4 3 2 9 2" xfId="41524" xr:uid="{00000000-0005-0000-0000-000046870000}"/>
    <cellStyle name="Normal 57 4 3 2_Degree data" xfId="3961" xr:uid="{00000000-0005-0000-0000-000047870000}"/>
    <cellStyle name="Normal 57 4 3 3" xfId="405" xr:uid="{00000000-0005-0000-0000-000048870000}"/>
    <cellStyle name="Normal 57 4 3 3 2" xfId="2891" xr:uid="{00000000-0005-0000-0000-000049870000}"/>
    <cellStyle name="Normal 57 4 3 3 2 2" xfId="12179" xr:uid="{00000000-0005-0000-0000-00004A870000}"/>
    <cellStyle name="Normal 57 4 3 3 2 2 2" xfId="22252" xr:uid="{00000000-0005-0000-0000-00004B870000}"/>
    <cellStyle name="Normal 57 4 3 3 2 2 2 2" xfId="47805" xr:uid="{00000000-0005-0000-0000-00004C870000}"/>
    <cellStyle name="Normal 57 4 3 3 2 2 3" xfId="37734" xr:uid="{00000000-0005-0000-0000-00004D870000}"/>
    <cellStyle name="Normal 57 4 3 3 2 3" xfId="8610" xr:uid="{00000000-0005-0000-0000-00004E870000}"/>
    <cellStyle name="Normal 57 4 3 3 2 3 2" xfId="34167" xr:uid="{00000000-0005-0000-0000-00004F870000}"/>
    <cellStyle name="Normal 57 4 3 3 2 4" xfId="17245" xr:uid="{00000000-0005-0000-0000-000050870000}"/>
    <cellStyle name="Normal 57 4 3 3 2 4 2" xfId="42798" xr:uid="{00000000-0005-0000-0000-000051870000}"/>
    <cellStyle name="Normal 57 4 3 3 2 5" xfId="28735" xr:uid="{00000000-0005-0000-0000-000052870000}"/>
    <cellStyle name="Normal 57 4 3 3 3" xfId="4668" xr:uid="{00000000-0005-0000-0000-000053870000}"/>
    <cellStyle name="Normal 57 4 3 3 3 2" xfId="13506" xr:uid="{00000000-0005-0000-0000-000054870000}"/>
    <cellStyle name="Normal 57 4 3 3 3 2 2" xfId="23757" xr:uid="{00000000-0005-0000-0000-000055870000}"/>
    <cellStyle name="Normal 57 4 3 3 3 2 2 2" xfId="49310" xr:uid="{00000000-0005-0000-0000-000056870000}"/>
    <cellStyle name="Normal 57 4 3 3 3 2 3" xfId="39061" xr:uid="{00000000-0005-0000-0000-000057870000}"/>
    <cellStyle name="Normal 57 4 3 3 3 3" xfId="9927" xr:uid="{00000000-0005-0000-0000-000058870000}"/>
    <cellStyle name="Normal 57 4 3 3 3 3 2" xfId="35484" xr:uid="{00000000-0005-0000-0000-000059870000}"/>
    <cellStyle name="Normal 57 4 3 3 3 4" xfId="18750" xr:uid="{00000000-0005-0000-0000-00005A870000}"/>
    <cellStyle name="Normal 57 4 3 3 3 4 2" xfId="44303" xr:uid="{00000000-0005-0000-0000-00005B870000}"/>
    <cellStyle name="Normal 57 4 3 3 3 5" xfId="30240" xr:uid="{00000000-0005-0000-0000-00005C870000}"/>
    <cellStyle name="Normal 57 4 3 3 4" xfId="2000" xr:uid="{00000000-0005-0000-0000-00005D870000}"/>
    <cellStyle name="Normal 57 4 3 3 4 2" xfId="11365" xr:uid="{00000000-0005-0000-0000-00005E870000}"/>
    <cellStyle name="Normal 57 4 3 3 4 2 2" xfId="36920" xr:uid="{00000000-0005-0000-0000-00005F870000}"/>
    <cellStyle name="Normal 57 4 3 3 4 3" xfId="21369" xr:uid="{00000000-0005-0000-0000-000060870000}"/>
    <cellStyle name="Normal 57 4 3 3 4 3 2" xfId="46922" xr:uid="{00000000-0005-0000-0000-000061870000}"/>
    <cellStyle name="Normal 57 4 3 3 4 4" xfId="27852" xr:uid="{00000000-0005-0000-0000-000062870000}"/>
    <cellStyle name="Normal 57 4 3 3 5" xfId="6124" xr:uid="{00000000-0005-0000-0000-000063870000}"/>
    <cellStyle name="Normal 57 4 3 3 5 2" xfId="14951" xr:uid="{00000000-0005-0000-0000-000064870000}"/>
    <cellStyle name="Normal 57 4 3 3 5 2 2" xfId="40506" xr:uid="{00000000-0005-0000-0000-000065870000}"/>
    <cellStyle name="Normal 57 4 3 3 5 3" xfId="25202" xr:uid="{00000000-0005-0000-0000-000066870000}"/>
    <cellStyle name="Normal 57 4 3 3 5 3 2" xfId="50755" xr:uid="{00000000-0005-0000-0000-000067870000}"/>
    <cellStyle name="Normal 57 4 3 3 5 4" xfId="31685" xr:uid="{00000000-0005-0000-0000-000068870000}"/>
    <cellStyle name="Normal 57 4 3 3 6" xfId="7569" xr:uid="{00000000-0005-0000-0000-000069870000}"/>
    <cellStyle name="Normal 57 4 3 3 6 2" xfId="19851" xr:uid="{00000000-0005-0000-0000-00006A870000}"/>
    <cellStyle name="Normal 57 4 3 3 6 2 2" xfId="45404" xr:uid="{00000000-0005-0000-0000-00006B870000}"/>
    <cellStyle name="Normal 57 4 3 3 6 3" xfId="33126" xr:uid="{00000000-0005-0000-0000-00006C870000}"/>
    <cellStyle name="Normal 57 4 3 3 7" xfId="16362" xr:uid="{00000000-0005-0000-0000-00006D870000}"/>
    <cellStyle name="Normal 57 4 3 3 7 2" xfId="41915" xr:uid="{00000000-0005-0000-0000-00006E870000}"/>
    <cellStyle name="Normal 57 4 3 3 8" xfId="26334" xr:uid="{00000000-0005-0000-0000-00006F870000}"/>
    <cellStyle name="Normal 57 4 3 4" xfId="854" xr:uid="{00000000-0005-0000-0000-000070870000}"/>
    <cellStyle name="Normal 57 4 3 4 2" xfId="3339" xr:uid="{00000000-0005-0000-0000-000071870000}"/>
    <cellStyle name="Normal 57 4 3 4 2 2" xfId="12481" xr:uid="{00000000-0005-0000-0000-000072870000}"/>
    <cellStyle name="Normal 57 4 3 4 2 2 2" xfId="22700" xr:uid="{00000000-0005-0000-0000-000073870000}"/>
    <cellStyle name="Normal 57 4 3 4 2 2 2 2" xfId="48253" xr:uid="{00000000-0005-0000-0000-000074870000}"/>
    <cellStyle name="Normal 57 4 3 4 2 2 3" xfId="38036" xr:uid="{00000000-0005-0000-0000-000075870000}"/>
    <cellStyle name="Normal 57 4 3 4 2 3" xfId="8903" xr:uid="{00000000-0005-0000-0000-000076870000}"/>
    <cellStyle name="Normal 57 4 3 4 2 3 2" xfId="34460" xr:uid="{00000000-0005-0000-0000-000077870000}"/>
    <cellStyle name="Normal 57 4 3 4 2 4" xfId="17693" xr:uid="{00000000-0005-0000-0000-000078870000}"/>
    <cellStyle name="Normal 57 4 3 4 2 4 2" xfId="43246" xr:uid="{00000000-0005-0000-0000-000079870000}"/>
    <cellStyle name="Normal 57 4 3 4 2 5" xfId="29183" xr:uid="{00000000-0005-0000-0000-00007A870000}"/>
    <cellStyle name="Normal 57 4 3 4 3" xfId="5017" xr:uid="{00000000-0005-0000-0000-00007B870000}"/>
    <cellStyle name="Normal 57 4 3 4 3 2" xfId="13854" xr:uid="{00000000-0005-0000-0000-00007C870000}"/>
    <cellStyle name="Normal 57 4 3 4 3 2 2" xfId="24105" xr:uid="{00000000-0005-0000-0000-00007D870000}"/>
    <cellStyle name="Normal 57 4 3 4 3 2 2 2" xfId="49658" xr:uid="{00000000-0005-0000-0000-00007E870000}"/>
    <cellStyle name="Normal 57 4 3 4 3 2 3" xfId="39409" xr:uid="{00000000-0005-0000-0000-00007F870000}"/>
    <cellStyle name="Normal 57 4 3 4 3 3" xfId="10275" xr:uid="{00000000-0005-0000-0000-000080870000}"/>
    <cellStyle name="Normal 57 4 3 4 3 3 2" xfId="35832" xr:uid="{00000000-0005-0000-0000-000081870000}"/>
    <cellStyle name="Normal 57 4 3 4 3 4" xfId="19098" xr:uid="{00000000-0005-0000-0000-000082870000}"/>
    <cellStyle name="Normal 57 4 3 4 3 4 2" xfId="44651" xr:uid="{00000000-0005-0000-0000-000083870000}"/>
    <cellStyle name="Normal 57 4 3 4 3 5" xfId="30588" xr:uid="{00000000-0005-0000-0000-000084870000}"/>
    <cellStyle name="Normal 57 4 3 4 4" xfId="2448" xr:uid="{00000000-0005-0000-0000-000085870000}"/>
    <cellStyle name="Normal 57 4 3 4 4 2" xfId="11813" xr:uid="{00000000-0005-0000-0000-000086870000}"/>
    <cellStyle name="Normal 57 4 3 4 4 2 2" xfId="37368" xr:uid="{00000000-0005-0000-0000-000087870000}"/>
    <cellStyle name="Normal 57 4 3 4 4 3" xfId="21817" xr:uid="{00000000-0005-0000-0000-000088870000}"/>
    <cellStyle name="Normal 57 4 3 4 4 3 2" xfId="47370" xr:uid="{00000000-0005-0000-0000-000089870000}"/>
    <cellStyle name="Normal 57 4 3 4 4 4" xfId="28300" xr:uid="{00000000-0005-0000-0000-00008A870000}"/>
    <cellStyle name="Normal 57 4 3 4 5" xfId="6472" xr:uid="{00000000-0005-0000-0000-00008B870000}"/>
    <cellStyle name="Normal 57 4 3 4 5 2" xfId="15299" xr:uid="{00000000-0005-0000-0000-00008C870000}"/>
    <cellStyle name="Normal 57 4 3 4 5 2 2" xfId="40854" xr:uid="{00000000-0005-0000-0000-00008D870000}"/>
    <cellStyle name="Normal 57 4 3 4 5 3" xfId="25550" xr:uid="{00000000-0005-0000-0000-00008E870000}"/>
    <cellStyle name="Normal 57 4 3 4 5 3 2" xfId="51103" xr:uid="{00000000-0005-0000-0000-00008F870000}"/>
    <cellStyle name="Normal 57 4 3 4 5 4" xfId="32033" xr:uid="{00000000-0005-0000-0000-000090870000}"/>
    <cellStyle name="Normal 57 4 3 4 6" xfId="7918" xr:uid="{00000000-0005-0000-0000-000091870000}"/>
    <cellStyle name="Normal 57 4 3 4 6 2" xfId="20299" xr:uid="{00000000-0005-0000-0000-000092870000}"/>
    <cellStyle name="Normal 57 4 3 4 6 2 2" xfId="45852" xr:uid="{00000000-0005-0000-0000-000093870000}"/>
    <cellStyle name="Normal 57 4 3 4 6 3" xfId="33475" xr:uid="{00000000-0005-0000-0000-000094870000}"/>
    <cellStyle name="Normal 57 4 3 4 7" xfId="16810" xr:uid="{00000000-0005-0000-0000-000095870000}"/>
    <cellStyle name="Normal 57 4 3 4 7 2" xfId="42363" xr:uid="{00000000-0005-0000-0000-000096870000}"/>
    <cellStyle name="Normal 57 4 3 4 8" xfId="26782" xr:uid="{00000000-0005-0000-0000-000097870000}"/>
    <cellStyle name="Normal 57 4 3 5" xfId="1177" xr:uid="{00000000-0005-0000-0000-000098870000}"/>
    <cellStyle name="Normal 57 4 3 5 2" xfId="3606" xr:uid="{00000000-0005-0000-0000-000099870000}"/>
    <cellStyle name="Normal 57 4 3 5 2 2" xfId="12742" xr:uid="{00000000-0005-0000-0000-00009A870000}"/>
    <cellStyle name="Normal 57 4 3 5 2 2 2" xfId="22961" xr:uid="{00000000-0005-0000-0000-00009B870000}"/>
    <cellStyle name="Normal 57 4 3 5 2 2 2 2" xfId="48514" xr:uid="{00000000-0005-0000-0000-00009C870000}"/>
    <cellStyle name="Normal 57 4 3 5 2 2 3" xfId="38297" xr:uid="{00000000-0005-0000-0000-00009D870000}"/>
    <cellStyle name="Normal 57 4 3 5 2 3" xfId="9163" xr:uid="{00000000-0005-0000-0000-00009E870000}"/>
    <cellStyle name="Normal 57 4 3 5 2 3 2" xfId="34720" xr:uid="{00000000-0005-0000-0000-00009F870000}"/>
    <cellStyle name="Normal 57 4 3 5 2 4" xfId="17954" xr:uid="{00000000-0005-0000-0000-0000A0870000}"/>
    <cellStyle name="Normal 57 4 3 5 2 4 2" xfId="43507" xr:uid="{00000000-0005-0000-0000-0000A1870000}"/>
    <cellStyle name="Normal 57 4 3 5 2 5" xfId="29444" xr:uid="{00000000-0005-0000-0000-0000A2870000}"/>
    <cellStyle name="Normal 57 4 3 5 3" xfId="5269" xr:uid="{00000000-0005-0000-0000-0000A3870000}"/>
    <cellStyle name="Normal 57 4 3 5 3 2" xfId="14106" xr:uid="{00000000-0005-0000-0000-0000A4870000}"/>
    <cellStyle name="Normal 57 4 3 5 3 2 2" xfId="24357" xr:uid="{00000000-0005-0000-0000-0000A5870000}"/>
    <cellStyle name="Normal 57 4 3 5 3 2 2 2" xfId="49910" xr:uid="{00000000-0005-0000-0000-0000A6870000}"/>
    <cellStyle name="Normal 57 4 3 5 3 2 3" xfId="39661" xr:uid="{00000000-0005-0000-0000-0000A7870000}"/>
    <cellStyle name="Normal 57 4 3 5 3 3" xfId="10527" xr:uid="{00000000-0005-0000-0000-0000A8870000}"/>
    <cellStyle name="Normal 57 4 3 5 3 3 2" xfId="36084" xr:uid="{00000000-0005-0000-0000-0000A9870000}"/>
    <cellStyle name="Normal 57 4 3 5 3 4" xfId="19350" xr:uid="{00000000-0005-0000-0000-0000AA870000}"/>
    <cellStyle name="Normal 57 4 3 5 3 4 2" xfId="44903" xr:uid="{00000000-0005-0000-0000-0000AB870000}"/>
    <cellStyle name="Normal 57 4 3 5 3 5" xfId="30840" xr:uid="{00000000-0005-0000-0000-0000AC870000}"/>
    <cellStyle name="Normal 57 4 3 5 4" xfId="1779" xr:uid="{00000000-0005-0000-0000-0000AD870000}"/>
    <cellStyle name="Normal 57 4 3 5 4 2" xfId="11148" xr:uid="{00000000-0005-0000-0000-0000AE870000}"/>
    <cellStyle name="Normal 57 4 3 5 4 2 2" xfId="36703" xr:uid="{00000000-0005-0000-0000-0000AF870000}"/>
    <cellStyle name="Normal 57 4 3 5 4 3" xfId="21152" xr:uid="{00000000-0005-0000-0000-0000B0870000}"/>
    <cellStyle name="Normal 57 4 3 5 4 3 2" xfId="46705" xr:uid="{00000000-0005-0000-0000-0000B1870000}"/>
    <cellStyle name="Normal 57 4 3 5 4 4" xfId="27635" xr:uid="{00000000-0005-0000-0000-0000B2870000}"/>
    <cellStyle name="Normal 57 4 3 5 5" xfId="6724" xr:uid="{00000000-0005-0000-0000-0000B3870000}"/>
    <cellStyle name="Normal 57 4 3 5 5 2" xfId="15551" xr:uid="{00000000-0005-0000-0000-0000B4870000}"/>
    <cellStyle name="Normal 57 4 3 5 5 2 2" xfId="41106" xr:uid="{00000000-0005-0000-0000-0000B5870000}"/>
    <cellStyle name="Normal 57 4 3 5 5 3" xfId="25802" xr:uid="{00000000-0005-0000-0000-0000B6870000}"/>
    <cellStyle name="Normal 57 4 3 5 5 3 2" xfId="51355" xr:uid="{00000000-0005-0000-0000-0000B7870000}"/>
    <cellStyle name="Normal 57 4 3 5 5 4" xfId="32285" xr:uid="{00000000-0005-0000-0000-0000B8870000}"/>
    <cellStyle name="Normal 57 4 3 5 6" xfId="8170" xr:uid="{00000000-0005-0000-0000-0000B9870000}"/>
    <cellStyle name="Normal 57 4 3 5 6 2" xfId="20560" xr:uid="{00000000-0005-0000-0000-0000BA870000}"/>
    <cellStyle name="Normal 57 4 3 5 6 2 2" xfId="46113" xr:uid="{00000000-0005-0000-0000-0000BB870000}"/>
    <cellStyle name="Normal 57 4 3 5 6 3" xfId="33727" xr:uid="{00000000-0005-0000-0000-0000BC870000}"/>
    <cellStyle name="Normal 57 4 3 5 7" xfId="16145" xr:uid="{00000000-0005-0000-0000-0000BD870000}"/>
    <cellStyle name="Normal 57 4 3 5 7 2" xfId="41698" xr:uid="{00000000-0005-0000-0000-0000BE870000}"/>
    <cellStyle name="Normal 57 4 3 5 8" xfId="27043" xr:uid="{00000000-0005-0000-0000-0000BF870000}"/>
    <cellStyle name="Normal 57 4 3 6" xfId="2674" xr:uid="{00000000-0005-0000-0000-0000C0870000}"/>
    <cellStyle name="Normal 57 4 3 6 2" xfId="11991" xr:uid="{00000000-0005-0000-0000-0000C1870000}"/>
    <cellStyle name="Normal 57 4 3 6 2 2" xfId="22035" xr:uid="{00000000-0005-0000-0000-0000C2870000}"/>
    <cellStyle name="Normal 57 4 3 6 2 2 2" xfId="47588" xr:uid="{00000000-0005-0000-0000-0000C3870000}"/>
    <cellStyle name="Normal 57 4 3 6 2 3" xfId="37546" xr:uid="{00000000-0005-0000-0000-0000C4870000}"/>
    <cellStyle name="Normal 57 4 3 6 3" xfId="8585" xr:uid="{00000000-0005-0000-0000-0000C5870000}"/>
    <cellStyle name="Normal 57 4 3 6 3 2" xfId="34142" xr:uid="{00000000-0005-0000-0000-0000C6870000}"/>
    <cellStyle name="Normal 57 4 3 6 4" xfId="17028" xr:uid="{00000000-0005-0000-0000-0000C7870000}"/>
    <cellStyle name="Normal 57 4 3 6 4 2" xfId="42581" xr:uid="{00000000-0005-0000-0000-0000C8870000}"/>
    <cellStyle name="Normal 57 4 3 6 5" xfId="28518" xr:uid="{00000000-0005-0000-0000-0000C9870000}"/>
    <cellStyle name="Normal 57 4 3 7" xfId="4225" xr:uid="{00000000-0005-0000-0000-0000CA870000}"/>
    <cellStyle name="Normal 57 4 3 7 2" xfId="13063" xr:uid="{00000000-0005-0000-0000-0000CB870000}"/>
    <cellStyle name="Normal 57 4 3 7 2 2" xfId="23314" xr:uid="{00000000-0005-0000-0000-0000CC870000}"/>
    <cellStyle name="Normal 57 4 3 7 2 2 2" xfId="48867" xr:uid="{00000000-0005-0000-0000-0000CD870000}"/>
    <cellStyle name="Normal 57 4 3 7 2 3" xfId="38618" xr:uid="{00000000-0005-0000-0000-0000CE870000}"/>
    <cellStyle name="Normal 57 4 3 7 3" xfId="9484" xr:uid="{00000000-0005-0000-0000-0000CF870000}"/>
    <cellStyle name="Normal 57 4 3 7 3 2" xfId="35041" xr:uid="{00000000-0005-0000-0000-0000D0870000}"/>
    <cellStyle name="Normal 57 4 3 7 4" xfId="18307" xr:uid="{00000000-0005-0000-0000-0000D1870000}"/>
    <cellStyle name="Normal 57 4 3 7 4 2" xfId="43860" xr:uid="{00000000-0005-0000-0000-0000D2870000}"/>
    <cellStyle name="Normal 57 4 3 7 5" xfId="29797" xr:uid="{00000000-0005-0000-0000-0000D3870000}"/>
    <cellStyle name="Normal 57 4 3 8" xfId="1497" xr:uid="{00000000-0005-0000-0000-0000D4870000}"/>
    <cellStyle name="Normal 57 4 3 8 2" xfId="10874" xr:uid="{00000000-0005-0000-0000-0000D5870000}"/>
    <cellStyle name="Normal 57 4 3 8 2 2" xfId="36429" xr:uid="{00000000-0005-0000-0000-0000D6870000}"/>
    <cellStyle name="Normal 57 4 3 8 3" xfId="20878" xr:uid="{00000000-0005-0000-0000-0000D7870000}"/>
    <cellStyle name="Normal 57 4 3 8 3 2" xfId="46431" xr:uid="{00000000-0005-0000-0000-0000D8870000}"/>
    <cellStyle name="Normal 57 4 3 8 4" xfId="27361" xr:uid="{00000000-0005-0000-0000-0000D9870000}"/>
    <cellStyle name="Normal 57 4 3 9" xfId="5681" xr:uid="{00000000-0005-0000-0000-0000DA870000}"/>
    <cellStyle name="Normal 57 4 3 9 2" xfId="14508" xr:uid="{00000000-0005-0000-0000-0000DB870000}"/>
    <cellStyle name="Normal 57 4 3 9 2 2" xfId="40063" xr:uid="{00000000-0005-0000-0000-0000DC870000}"/>
    <cellStyle name="Normal 57 4 3 9 3" xfId="24759" xr:uid="{00000000-0005-0000-0000-0000DD870000}"/>
    <cellStyle name="Normal 57 4 3 9 3 2" xfId="50312" xr:uid="{00000000-0005-0000-0000-0000DE870000}"/>
    <cellStyle name="Normal 57 4 3 9 4" xfId="31242" xr:uid="{00000000-0005-0000-0000-0000DF870000}"/>
    <cellStyle name="Normal 57 4 3_Degree data" xfId="3960" xr:uid="{00000000-0005-0000-0000-0000E0870000}"/>
    <cellStyle name="Normal 57 4 4" xfId="231" xr:uid="{00000000-0005-0000-0000-0000E1870000}"/>
    <cellStyle name="Normal 57 4 4 10" xfId="7069" xr:uid="{00000000-0005-0000-0000-0000E2870000}"/>
    <cellStyle name="Normal 57 4 4 10 2" xfId="19683" xr:uid="{00000000-0005-0000-0000-0000E3870000}"/>
    <cellStyle name="Normal 57 4 4 10 2 2" xfId="45236" xr:uid="{00000000-0005-0000-0000-0000E4870000}"/>
    <cellStyle name="Normal 57 4 4 10 3" xfId="32626" xr:uid="{00000000-0005-0000-0000-0000E5870000}"/>
    <cellStyle name="Normal 57 4 4 11" xfId="15815" xr:uid="{00000000-0005-0000-0000-0000E6870000}"/>
    <cellStyle name="Normal 57 4 4 11 2" xfId="41368" xr:uid="{00000000-0005-0000-0000-0000E7870000}"/>
    <cellStyle name="Normal 57 4 4 12" xfId="26166" xr:uid="{00000000-0005-0000-0000-0000E8870000}"/>
    <cellStyle name="Normal 57 4 4 2" xfId="554" xr:uid="{00000000-0005-0000-0000-0000E9870000}"/>
    <cellStyle name="Normal 57 4 4 2 10" xfId="26483" xr:uid="{00000000-0005-0000-0000-0000EA870000}"/>
    <cellStyle name="Normal 57 4 4 2 2" xfId="857" xr:uid="{00000000-0005-0000-0000-0000EB870000}"/>
    <cellStyle name="Normal 57 4 4 2 2 2" xfId="3342" xr:uid="{00000000-0005-0000-0000-0000EC870000}"/>
    <cellStyle name="Normal 57 4 4 2 2 2 2" xfId="12484" xr:uid="{00000000-0005-0000-0000-0000ED870000}"/>
    <cellStyle name="Normal 57 4 4 2 2 2 2 2" xfId="22703" xr:uid="{00000000-0005-0000-0000-0000EE870000}"/>
    <cellStyle name="Normal 57 4 4 2 2 2 2 2 2" xfId="48256" xr:uid="{00000000-0005-0000-0000-0000EF870000}"/>
    <cellStyle name="Normal 57 4 4 2 2 2 2 3" xfId="38039" xr:uid="{00000000-0005-0000-0000-0000F0870000}"/>
    <cellStyle name="Normal 57 4 4 2 2 2 3" xfId="8906" xr:uid="{00000000-0005-0000-0000-0000F1870000}"/>
    <cellStyle name="Normal 57 4 4 2 2 2 3 2" xfId="34463" xr:uid="{00000000-0005-0000-0000-0000F2870000}"/>
    <cellStyle name="Normal 57 4 4 2 2 2 4" xfId="17696" xr:uid="{00000000-0005-0000-0000-0000F3870000}"/>
    <cellStyle name="Normal 57 4 4 2 2 2 4 2" xfId="43249" xr:uid="{00000000-0005-0000-0000-0000F4870000}"/>
    <cellStyle name="Normal 57 4 4 2 2 2 5" xfId="29186" xr:uid="{00000000-0005-0000-0000-0000F5870000}"/>
    <cellStyle name="Normal 57 4 4 2 2 3" xfId="4671" xr:uid="{00000000-0005-0000-0000-0000F6870000}"/>
    <cellStyle name="Normal 57 4 4 2 2 3 2" xfId="13509" xr:uid="{00000000-0005-0000-0000-0000F7870000}"/>
    <cellStyle name="Normal 57 4 4 2 2 3 2 2" xfId="23760" xr:uid="{00000000-0005-0000-0000-0000F8870000}"/>
    <cellStyle name="Normal 57 4 4 2 2 3 2 2 2" xfId="49313" xr:uid="{00000000-0005-0000-0000-0000F9870000}"/>
    <cellStyle name="Normal 57 4 4 2 2 3 2 3" xfId="39064" xr:uid="{00000000-0005-0000-0000-0000FA870000}"/>
    <cellStyle name="Normal 57 4 4 2 2 3 3" xfId="9930" xr:uid="{00000000-0005-0000-0000-0000FB870000}"/>
    <cellStyle name="Normal 57 4 4 2 2 3 3 2" xfId="35487" xr:uid="{00000000-0005-0000-0000-0000FC870000}"/>
    <cellStyle name="Normal 57 4 4 2 2 3 4" xfId="18753" xr:uid="{00000000-0005-0000-0000-0000FD870000}"/>
    <cellStyle name="Normal 57 4 4 2 2 3 4 2" xfId="44306" xr:uid="{00000000-0005-0000-0000-0000FE870000}"/>
    <cellStyle name="Normal 57 4 4 2 2 3 5" xfId="30243" xr:uid="{00000000-0005-0000-0000-0000FF870000}"/>
    <cellStyle name="Normal 57 4 4 2 2 4" xfId="2451" xr:uid="{00000000-0005-0000-0000-000000880000}"/>
    <cellStyle name="Normal 57 4 4 2 2 4 2" xfId="11816" xr:uid="{00000000-0005-0000-0000-000001880000}"/>
    <cellStyle name="Normal 57 4 4 2 2 4 2 2" xfId="37371" xr:uid="{00000000-0005-0000-0000-000002880000}"/>
    <cellStyle name="Normal 57 4 4 2 2 4 3" xfId="21820" xr:uid="{00000000-0005-0000-0000-000003880000}"/>
    <cellStyle name="Normal 57 4 4 2 2 4 3 2" xfId="47373" xr:uid="{00000000-0005-0000-0000-000004880000}"/>
    <cellStyle name="Normal 57 4 4 2 2 4 4" xfId="28303" xr:uid="{00000000-0005-0000-0000-000005880000}"/>
    <cellStyle name="Normal 57 4 4 2 2 5" xfId="6127" xr:uid="{00000000-0005-0000-0000-000006880000}"/>
    <cellStyle name="Normal 57 4 4 2 2 5 2" xfId="14954" xr:uid="{00000000-0005-0000-0000-000007880000}"/>
    <cellStyle name="Normal 57 4 4 2 2 5 2 2" xfId="40509" xr:uid="{00000000-0005-0000-0000-000008880000}"/>
    <cellStyle name="Normal 57 4 4 2 2 5 3" xfId="25205" xr:uid="{00000000-0005-0000-0000-000009880000}"/>
    <cellStyle name="Normal 57 4 4 2 2 5 3 2" xfId="50758" xr:uid="{00000000-0005-0000-0000-00000A880000}"/>
    <cellStyle name="Normal 57 4 4 2 2 5 4" xfId="31688" xr:uid="{00000000-0005-0000-0000-00000B880000}"/>
    <cellStyle name="Normal 57 4 4 2 2 6" xfId="7572" xr:uid="{00000000-0005-0000-0000-00000C880000}"/>
    <cellStyle name="Normal 57 4 4 2 2 6 2" xfId="20302" xr:uid="{00000000-0005-0000-0000-00000D880000}"/>
    <cellStyle name="Normal 57 4 4 2 2 6 2 2" xfId="45855" xr:uid="{00000000-0005-0000-0000-00000E880000}"/>
    <cellStyle name="Normal 57 4 4 2 2 6 3" xfId="33129" xr:uid="{00000000-0005-0000-0000-00000F880000}"/>
    <cellStyle name="Normal 57 4 4 2 2 7" xfId="16813" xr:uid="{00000000-0005-0000-0000-000010880000}"/>
    <cellStyle name="Normal 57 4 4 2 2 7 2" xfId="42366" xr:uid="{00000000-0005-0000-0000-000011880000}"/>
    <cellStyle name="Normal 57 4 4 2 2 8" xfId="26785" xr:uid="{00000000-0005-0000-0000-000012880000}"/>
    <cellStyle name="Normal 57 4 4 2 3" xfId="1326" xr:uid="{00000000-0005-0000-0000-000013880000}"/>
    <cellStyle name="Normal 57 4 4 2 3 2" xfId="3755" xr:uid="{00000000-0005-0000-0000-000014880000}"/>
    <cellStyle name="Normal 57 4 4 2 3 2 2" xfId="12891" xr:uid="{00000000-0005-0000-0000-000015880000}"/>
    <cellStyle name="Normal 57 4 4 2 3 2 2 2" xfId="23110" xr:uid="{00000000-0005-0000-0000-000016880000}"/>
    <cellStyle name="Normal 57 4 4 2 3 2 2 2 2" xfId="48663" xr:uid="{00000000-0005-0000-0000-000017880000}"/>
    <cellStyle name="Normal 57 4 4 2 3 2 2 3" xfId="38446" xr:uid="{00000000-0005-0000-0000-000018880000}"/>
    <cellStyle name="Normal 57 4 4 2 3 2 3" xfId="9312" xr:uid="{00000000-0005-0000-0000-000019880000}"/>
    <cellStyle name="Normal 57 4 4 2 3 2 3 2" xfId="34869" xr:uid="{00000000-0005-0000-0000-00001A880000}"/>
    <cellStyle name="Normal 57 4 4 2 3 2 4" xfId="18103" xr:uid="{00000000-0005-0000-0000-00001B880000}"/>
    <cellStyle name="Normal 57 4 4 2 3 2 4 2" xfId="43656" xr:uid="{00000000-0005-0000-0000-00001C880000}"/>
    <cellStyle name="Normal 57 4 4 2 3 2 5" xfId="29593" xr:uid="{00000000-0005-0000-0000-00001D880000}"/>
    <cellStyle name="Normal 57 4 4 2 3 3" xfId="5020" xr:uid="{00000000-0005-0000-0000-00001E880000}"/>
    <cellStyle name="Normal 57 4 4 2 3 3 2" xfId="13857" xr:uid="{00000000-0005-0000-0000-00001F880000}"/>
    <cellStyle name="Normal 57 4 4 2 3 3 2 2" xfId="24108" xr:uid="{00000000-0005-0000-0000-000020880000}"/>
    <cellStyle name="Normal 57 4 4 2 3 3 2 2 2" xfId="49661" xr:uid="{00000000-0005-0000-0000-000021880000}"/>
    <cellStyle name="Normal 57 4 4 2 3 3 2 3" xfId="39412" xr:uid="{00000000-0005-0000-0000-000022880000}"/>
    <cellStyle name="Normal 57 4 4 2 3 3 3" xfId="10278" xr:uid="{00000000-0005-0000-0000-000023880000}"/>
    <cellStyle name="Normal 57 4 4 2 3 3 3 2" xfId="35835" xr:uid="{00000000-0005-0000-0000-000024880000}"/>
    <cellStyle name="Normal 57 4 4 2 3 3 4" xfId="19101" xr:uid="{00000000-0005-0000-0000-000025880000}"/>
    <cellStyle name="Normal 57 4 4 2 3 3 4 2" xfId="44654" xr:uid="{00000000-0005-0000-0000-000026880000}"/>
    <cellStyle name="Normal 57 4 4 2 3 3 5" xfId="30591" xr:uid="{00000000-0005-0000-0000-000027880000}"/>
    <cellStyle name="Normal 57 4 4 2 3 4" xfId="2149" xr:uid="{00000000-0005-0000-0000-000028880000}"/>
    <cellStyle name="Normal 57 4 4 2 3 4 2" xfId="11514" xr:uid="{00000000-0005-0000-0000-000029880000}"/>
    <cellStyle name="Normal 57 4 4 2 3 4 2 2" xfId="37069" xr:uid="{00000000-0005-0000-0000-00002A880000}"/>
    <cellStyle name="Normal 57 4 4 2 3 4 3" xfId="21518" xr:uid="{00000000-0005-0000-0000-00002B880000}"/>
    <cellStyle name="Normal 57 4 4 2 3 4 3 2" xfId="47071" xr:uid="{00000000-0005-0000-0000-00002C880000}"/>
    <cellStyle name="Normal 57 4 4 2 3 4 4" xfId="28001" xr:uid="{00000000-0005-0000-0000-00002D880000}"/>
    <cellStyle name="Normal 57 4 4 2 3 5" xfId="6475" xr:uid="{00000000-0005-0000-0000-00002E880000}"/>
    <cellStyle name="Normal 57 4 4 2 3 5 2" xfId="15302" xr:uid="{00000000-0005-0000-0000-00002F880000}"/>
    <cellStyle name="Normal 57 4 4 2 3 5 2 2" xfId="40857" xr:uid="{00000000-0005-0000-0000-000030880000}"/>
    <cellStyle name="Normal 57 4 4 2 3 5 3" xfId="25553" xr:uid="{00000000-0005-0000-0000-000031880000}"/>
    <cellStyle name="Normal 57 4 4 2 3 5 3 2" xfId="51106" xr:uid="{00000000-0005-0000-0000-000032880000}"/>
    <cellStyle name="Normal 57 4 4 2 3 5 4" xfId="32036" xr:uid="{00000000-0005-0000-0000-000033880000}"/>
    <cellStyle name="Normal 57 4 4 2 3 6" xfId="7921" xr:uid="{00000000-0005-0000-0000-000034880000}"/>
    <cellStyle name="Normal 57 4 4 2 3 6 2" xfId="20709" xr:uid="{00000000-0005-0000-0000-000035880000}"/>
    <cellStyle name="Normal 57 4 4 2 3 6 2 2" xfId="46262" xr:uid="{00000000-0005-0000-0000-000036880000}"/>
    <cellStyle name="Normal 57 4 4 2 3 6 3" xfId="33478" xr:uid="{00000000-0005-0000-0000-000037880000}"/>
    <cellStyle name="Normal 57 4 4 2 3 7" xfId="16511" xr:uid="{00000000-0005-0000-0000-000038880000}"/>
    <cellStyle name="Normal 57 4 4 2 3 7 2" xfId="42064" xr:uid="{00000000-0005-0000-0000-000039880000}"/>
    <cellStyle name="Normal 57 4 4 2 3 8" xfId="27192" xr:uid="{00000000-0005-0000-0000-00003A880000}"/>
    <cellStyle name="Normal 57 4 4 2 4" xfId="3040" xr:uid="{00000000-0005-0000-0000-00003B880000}"/>
    <cellStyle name="Normal 57 4 4 2 4 2" xfId="5418" xr:uid="{00000000-0005-0000-0000-00003C880000}"/>
    <cellStyle name="Normal 57 4 4 2 4 2 2" xfId="14255" xr:uid="{00000000-0005-0000-0000-00003D880000}"/>
    <cellStyle name="Normal 57 4 4 2 4 2 2 2" xfId="24506" xr:uid="{00000000-0005-0000-0000-00003E880000}"/>
    <cellStyle name="Normal 57 4 4 2 4 2 2 2 2" xfId="50059" xr:uid="{00000000-0005-0000-0000-00003F880000}"/>
    <cellStyle name="Normal 57 4 4 2 4 2 2 3" xfId="39810" xr:uid="{00000000-0005-0000-0000-000040880000}"/>
    <cellStyle name="Normal 57 4 4 2 4 2 3" xfId="10676" xr:uid="{00000000-0005-0000-0000-000041880000}"/>
    <cellStyle name="Normal 57 4 4 2 4 2 3 2" xfId="36233" xr:uid="{00000000-0005-0000-0000-000042880000}"/>
    <cellStyle name="Normal 57 4 4 2 4 2 4" xfId="19499" xr:uid="{00000000-0005-0000-0000-000043880000}"/>
    <cellStyle name="Normal 57 4 4 2 4 2 4 2" xfId="45052" xr:uid="{00000000-0005-0000-0000-000044880000}"/>
    <cellStyle name="Normal 57 4 4 2 4 2 5" xfId="30989" xr:uid="{00000000-0005-0000-0000-000045880000}"/>
    <cellStyle name="Normal 57 4 4 2 4 3" xfId="6873" xr:uid="{00000000-0005-0000-0000-000046880000}"/>
    <cellStyle name="Normal 57 4 4 2 4 3 2" xfId="15700" xr:uid="{00000000-0005-0000-0000-000047880000}"/>
    <cellStyle name="Normal 57 4 4 2 4 3 2 2" xfId="41255" xr:uid="{00000000-0005-0000-0000-000048880000}"/>
    <cellStyle name="Normal 57 4 4 2 4 3 3" xfId="25951" xr:uid="{00000000-0005-0000-0000-000049880000}"/>
    <cellStyle name="Normal 57 4 4 2 4 3 3 2" xfId="51504" xr:uid="{00000000-0005-0000-0000-00004A880000}"/>
    <cellStyle name="Normal 57 4 4 2 4 3 4" xfId="32434" xr:uid="{00000000-0005-0000-0000-00004B880000}"/>
    <cellStyle name="Normal 57 4 4 2 4 4" xfId="8319" xr:uid="{00000000-0005-0000-0000-00004C880000}"/>
    <cellStyle name="Normal 57 4 4 2 4 4 2" xfId="22401" xr:uid="{00000000-0005-0000-0000-00004D880000}"/>
    <cellStyle name="Normal 57 4 4 2 4 4 2 2" xfId="47954" xr:uid="{00000000-0005-0000-0000-00004E880000}"/>
    <cellStyle name="Normal 57 4 4 2 4 4 3" xfId="33876" xr:uid="{00000000-0005-0000-0000-00004F880000}"/>
    <cellStyle name="Normal 57 4 4 2 4 5" xfId="17394" xr:uid="{00000000-0005-0000-0000-000050880000}"/>
    <cellStyle name="Normal 57 4 4 2 4 5 2" xfId="42947" xr:uid="{00000000-0005-0000-0000-000051880000}"/>
    <cellStyle name="Normal 57 4 4 2 4 6" xfId="28884" xr:uid="{00000000-0005-0000-0000-000052880000}"/>
    <cellStyle name="Normal 57 4 4 2 5" xfId="4374" xr:uid="{00000000-0005-0000-0000-000053880000}"/>
    <cellStyle name="Normal 57 4 4 2 5 2" xfId="13212" xr:uid="{00000000-0005-0000-0000-000054880000}"/>
    <cellStyle name="Normal 57 4 4 2 5 2 2" xfId="23463" xr:uid="{00000000-0005-0000-0000-000055880000}"/>
    <cellStyle name="Normal 57 4 4 2 5 2 2 2" xfId="49016" xr:uid="{00000000-0005-0000-0000-000056880000}"/>
    <cellStyle name="Normal 57 4 4 2 5 2 3" xfId="38767" xr:uid="{00000000-0005-0000-0000-000057880000}"/>
    <cellStyle name="Normal 57 4 4 2 5 3" xfId="9633" xr:uid="{00000000-0005-0000-0000-000058880000}"/>
    <cellStyle name="Normal 57 4 4 2 5 3 2" xfId="35190" xr:uid="{00000000-0005-0000-0000-000059880000}"/>
    <cellStyle name="Normal 57 4 4 2 5 4" xfId="18456" xr:uid="{00000000-0005-0000-0000-00005A880000}"/>
    <cellStyle name="Normal 57 4 4 2 5 4 2" xfId="44009" xr:uid="{00000000-0005-0000-0000-00005B880000}"/>
    <cellStyle name="Normal 57 4 4 2 5 5" xfId="29946" xr:uid="{00000000-0005-0000-0000-00005C880000}"/>
    <cellStyle name="Normal 57 4 4 2 6" xfId="1646" xr:uid="{00000000-0005-0000-0000-00005D880000}"/>
    <cellStyle name="Normal 57 4 4 2 6 2" xfId="11023" xr:uid="{00000000-0005-0000-0000-00005E880000}"/>
    <cellStyle name="Normal 57 4 4 2 6 2 2" xfId="36578" xr:uid="{00000000-0005-0000-0000-00005F880000}"/>
    <cellStyle name="Normal 57 4 4 2 6 3" xfId="21027" xr:uid="{00000000-0005-0000-0000-000060880000}"/>
    <cellStyle name="Normal 57 4 4 2 6 3 2" xfId="46580" xr:uid="{00000000-0005-0000-0000-000061880000}"/>
    <cellStyle name="Normal 57 4 4 2 6 4" xfId="27510" xr:uid="{00000000-0005-0000-0000-000062880000}"/>
    <cellStyle name="Normal 57 4 4 2 7" xfId="5830" xr:uid="{00000000-0005-0000-0000-000063880000}"/>
    <cellStyle name="Normal 57 4 4 2 7 2" xfId="14657" xr:uid="{00000000-0005-0000-0000-000064880000}"/>
    <cellStyle name="Normal 57 4 4 2 7 2 2" xfId="40212" xr:uid="{00000000-0005-0000-0000-000065880000}"/>
    <cellStyle name="Normal 57 4 4 2 7 3" xfId="24908" xr:uid="{00000000-0005-0000-0000-000066880000}"/>
    <cellStyle name="Normal 57 4 4 2 7 3 2" xfId="50461" xr:uid="{00000000-0005-0000-0000-000067880000}"/>
    <cellStyle name="Normal 57 4 4 2 7 4" xfId="31391" xr:uid="{00000000-0005-0000-0000-000068880000}"/>
    <cellStyle name="Normal 57 4 4 2 8" xfId="7274" xr:uid="{00000000-0005-0000-0000-000069880000}"/>
    <cellStyle name="Normal 57 4 4 2 8 2" xfId="20000" xr:uid="{00000000-0005-0000-0000-00006A880000}"/>
    <cellStyle name="Normal 57 4 4 2 8 2 2" xfId="45553" xr:uid="{00000000-0005-0000-0000-00006B880000}"/>
    <cellStyle name="Normal 57 4 4 2 8 3" xfId="32831" xr:uid="{00000000-0005-0000-0000-00006C880000}"/>
    <cellStyle name="Normal 57 4 4 2 9" xfId="16020" xr:uid="{00000000-0005-0000-0000-00006D880000}"/>
    <cellStyle name="Normal 57 4 4 2 9 2" xfId="41573" xr:uid="{00000000-0005-0000-0000-00006E880000}"/>
    <cellStyle name="Normal 57 4 4 2_Degree data" xfId="3963" xr:uid="{00000000-0005-0000-0000-00006F880000}"/>
    <cellStyle name="Normal 57 4 4 3" xfId="349" xr:uid="{00000000-0005-0000-0000-000070880000}"/>
    <cellStyle name="Normal 57 4 4 3 2" xfId="2835" xr:uid="{00000000-0005-0000-0000-000071880000}"/>
    <cellStyle name="Normal 57 4 4 3 2 2" xfId="12123" xr:uid="{00000000-0005-0000-0000-000072880000}"/>
    <cellStyle name="Normal 57 4 4 3 2 2 2" xfId="22196" xr:uid="{00000000-0005-0000-0000-000073880000}"/>
    <cellStyle name="Normal 57 4 4 3 2 2 2 2" xfId="47749" xr:uid="{00000000-0005-0000-0000-000074880000}"/>
    <cellStyle name="Normal 57 4 4 3 2 2 3" xfId="37678" xr:uid="{00000000-0005-0000-0000-000075880000}"/>
    <cellStyle name="Normal 57 4 4 3 2 3" xfId="8618" xr:uid="{00000000-0005-0000-0000-000076880000}"/>
    <cellStyle name="Normal 57 4 4 3 2 3 2" xfId="34175" xr:uid="{00000000-0005-0000-0000-000077880000}"/>
    <cellStyle name="Normal 57 4 4 3 2 4" xfId="17189" xr:uid="{00000000-0005-0000-0000-000078880000}"/>
    <cellStyle name="Normal 57 4 4 3 2 4 2" xfId="42742" xr:uid="{00000000-0005-0000-0000-000079880000}"/>
    <cellStyle name="Normal 57 4 4 3 2 5" xfId="28679" xr:uid="{00000000-0005-0000-0000-00007A880000}"/>
    <cellStyle name="Normal 57 4 4 3 3" xfId="4670" xr:uid="{00000000-0005-0000-0000-00007B880000}"/>
    <cellStyle name="Normal 57 4 4 3 3 2" xfId="13508" xr:uid="{00000000-0005-0000-0000-00007C880000}"/>
    <cellStyle name="Normal 57 4 4 3 3 2 2" xfId="23759" xr:uid="{00000000-0005-0000-0000-00007D880000}"/>
    <cellStyle name="Normal 57 4 4 3 3 2 2 2" xfId="49312" xr:uid="{00000000-0005-0000-0000-00007E880000}"/>
    <cellStyle name="Normal 57 4 4 3 3 2 3" xfId="39063" xr:uid="{00000000-0005-0000-0000-00007F880000}"/>
    <cellStyle name="Normal 57 4 4 3 3 3" xfId="9929" xr:uid="{00000000-0005-0000-0000-000080880000}"/>
    <cellStyle name="Normal 57 4 4 3 3 3 2" xfId="35486" xr:uid="{00000000-0005-0000-0000-000081880000}"/>
    <cellStyle name="Normal 57 4 4 3 3 4" xfId="18752" xr:uid="{00000000-0005-0000-0000-000082880000}"/>
    <cellStyle name="Normal 57 4 4 3 3 4 2" xfId="44305" xr:uid="{00000000-0005-0000-0000-000083880000}"/>
    <cellStyle name="Normal 57 4 4 3 3 5" xfId="30242" xr:uid="{00000000-0005-0000-0000-000084880000}"/>
    <cellStyle name="Normal 57 4 4 3 4" xfId="1944" xr:uid="{00000000-0005-0000-0000-000085880000}"/>
    <cellStyle name="Normal 57 4 4 3 4 2" xfId="11309" xr:uid="{00000000-0005-0000-0000-000086880000}"/>
    <cellStyle name="Normal 57 4 4 3 4 2 2" xfId="36864" xr:uid="{00000000-0005-0000-0000-000087880000}"/>
    <cellStyle name="Normal 57 4 4 3 4 3" xfId="21313" xr:uid="{00000000-0005-0000-0000-000088880000}"/>
    <cellStyle name="Normal 57 4 4 3 4 3 2" xfId="46866" xr:uid="{00000000-0005-0000-0000-000089880000}"/>
    <cellStyle name="Normal 57 4 4 3 4 4" xfId="27796" xr:uid="{00000000-0005-0000-0000-00008A880000}"/>
    <cellStyle name="Normal 57 4 4 3 5" xfId="6126" xr:uid="{00000000-0005-0000-0000-00008B880000}"/>
    <cellStyle name="Normal 57 4 4 3 5 2" xfId="14953" xr:uid="{00000000-0005-0000-0000-00008C880000}"/>
    <cellStyle name="Normal 57 4 4 3 5 2 2" xfId="40508" xr:uid="{00000000-0005-0000-0000-00008D880000}"/>
    <cellStyle name="Normal 57 4 4 3 5 3" xfId="25204" xr:uid="{00000000-0005-0000-0000-00008E880000}"/>
    <cellStyle name="Normal 57 4 4 3 5 3 2" xfId="50757" xr:uid="{00000000-0005-0000-0000-00008F880000}"/>
    <cellStyle name="Normal 57 4 4 3 5 4" xfId="31687" xr:uid="{00000000-0005-0000-0000-000090880000}"/>
    <cellStyle name="Normal 57 4 4 3 6" xfId="7571" xr:uid="{00000000-0005-0000-0000-000091880000}"/>
    <cellStyle name="Normal 57 4 4 3 6 2" xfId="19795" xr:uid="{00000000-0005-0000-0000-000092880000}"/>
    <cellStyle name="Normal 57 4 4 3 6 2 2" xfId="45348" xr:uid="{00000000-0005-0000-0000-000093880000}"/>
    <cellStyle name="Normal 57 4 4 3 6 3" xfId="33128" xr:uid="{00000000-0005-0000-0000-000094880000}"/>
    <cellStyle name="Normal 57 4 4 3 7" xfId="16306" xr:uid="{00000000-0005-0000-0000-000095880000}"/>
    <cellStyle name="Normal 57 4 4 3 7 2" xfId="41859" xr:uid="{00000000-0005-0000-0000-000096880000}"/>
    <cellStyle name="Normal 57 4 4 3 8" xfId="26278" xr:uid="{00000000-0005-0000-0000-000097880000}"/>
    <cellStyle name="Normal 57 4 4 4" xfId="856" xr:uid="{00000000-0005-0000-0000-000098880000}"/>
    <cellStyle name="Normal 57 4 4 4 2" xfId="3341" xr:uid="{00000000-0005-0000-0000-000099880000}"/>
    <cellStyle name="Normal 57 4 4 4 2 2" xfId="12483" xr:uid="{00000000-0005-0000-0000-00009A880000}"/>
    <cellStyle name="Normal 57 4 4 4 2 2 2" xfId="22702" xr:uid="{00000000-0005-0000-0000-00009B880000}"/>
    <cellStyle name="Normal 57 4 4 4 2 2 2 2" xfId="48255" xr:uid="{00000000-0005-0000-0000-00009C880000}"/>
    <cellStyle name="Normal 57 4 4 4 2 2 3" xfId="38038" xr:uid="{00000000-0005-0000-0000-00009D880000}"/>
    <cellStyle name="Normal 57 4 4 4 2 3" xfId="8905" xr:uid="{00000000-0005-0000-0000-00009E880000}"/>
    <cellStyle name="Normal 57 4 4 4 2 3 2" xfId="34462" xr:uid="{00000000-0005-0000-0000-00009F880000}"/>
    <cellStyle name="Normal 57 4 4 4 2 4" xfId="17695" xr:uid="{00000000-0005-0000-0000-0000A0880000}"/>
    <cellStyle name="Normal 57 4 4 4 2 4 2" xfId="43248" xr:uid="{00000000-0005-0000-0000-0000A1880000}"/>
    <cellStyle name="Normal 57 4 4 4 2 5" xfId="29185" xr:uid="{00000000-0005-0000-0000-0000A2880000}"/>
    <cellStyle name="Normal 57 4 4 4 3" xfId="5019" xr:uid="{00000000-0005-0000-0000-0000A3880000}"/>
    <cellStyle name="Normal 57 4 4 4 3 2" xfId="13856" xr:uid="{00000000-0005-0000-0000-0000A4880000}"/>
    <cellStyle name="Normal 57 4 4 4 3 2 2" xfId="24107" xr:uid="{00000000-0005-0000-0000-0000A5880000}"/>
    <cellStyle name="Normal 57 4 4 4 3 2 2 2" xfId="49660" xr:uid="{00000000-0005-0000-0000-0000A6880000}"/>
    <cellStyle name="Normal 57 4 4 4 3 2 3" xfId="39411" xr:uid="{00000000-0005-0000-0000-0000A7880000}"/>
    <cellStyle name="Normal 57 4 4 4 3 3" xfId="10277" xr:uid="{00000000-0005-0000-0000-0000A8880000}"/>
    <cellStyle name="Normal 57 4 4 4 3 3 2" xfId="35834" xr:uid="{00000000-0005-0000-0000-0000A9880000}"/>
    <cellStyle name="Normal 57 4 4 4 3 4" xfId="19100" xr:uid="{00000000-0005-0000-0000-0000AA880000}"/>
    <cellStyle name="Normal 57 4 4 4 3 4 2" xfId="44653" xr:uid="{00000000-0005-0000-0000-0000AB880000}"/>
    <cellStyle name="Normal 57 4 4 4 3 5" xfId="30590" xr:uid="{00000000-0005-0000-0000-0000AC880000}"/>
    <cellStyle name="Normal 57 4 4 4 4" xfId="2450" xr:uid="{00000000-0005-0000-0000-0000AD880000}"/>
    <cellStyle name="Normal 57 4 4 4 4 2" xfId="11815" xr:uid="{00000000-0005-0000-0000-0000AE880000}"/>
    <cellStyle name="Normal 57 4 4 4 4 2 2" xfId="37370" xr:uid="{00000000-0005-0000-0000-0000AF880000}"/>
    <cellStyle name="Normal 57 4 4 4 4 3" xfId="21819" xr:uid="{00000000-0005-0000-0000-0000B0880000}"/>
    <cellStyle name="Normal 57 4 4 4 4 3 2" xfId="47372" xr:uid="{00000000-0005-0000-0000-0000B1880000}"/>
    <cellStyle name="Normal 57 4 4 4 4 4" xfId="28302" xr:uid="{00000000-0005-0000-0000-0000B2880000}"/>
    <cellStyle name="Normal 57 4 4 4 5" xfId="6474" xr:uid="{00000000-0005-0000-0000-0000B3880000}"/>
    <cellStyle name="Normal 57 4 4 4 5 2" xfId="15301" xr:uid="{00000000-0005-0000-0000-0000B4880000}"/>
    <cellStyle name="Normal 57 4 4 4 5 2 2" xfId="40856" xr:uid="{00000000-0005-0000-0000-0000B5880000}"/>
    <cellStyle name="Normal 57 4 4 4 5 3" xfId="25552" xr:uid="{00000000-0005-0000-0000-0000B6880000}"/>
    <cellStyle name="Normal 57 4 4 4 5 3 2" xfId="51105" xr:uid="{00000000-0005-0000-0000-0000B7880000}"/>
    <cellStyle name="Normal 57 4 4 4 5 4" xfId="32035" xr:uid="{00000000-0005-0000-0000-0000B8880000}"/>
    <cellStyle name="Normal 57 4 4 4 6" xfId="7920" xr:uid="{00000000-0005-0000-0000-0000B9880000}"/>
    <cellStyle name="Normal 57 4 4 4 6 2" xfId="20301" xr:uid="{00000000-0005-0000-0000-0000BA880000}"/>
    <cellStyle name="Normal 57 4 4 4 6 2 2" xfId="45854" xr:uid="{00000000-0005-0000-0000-0000BB880000}"/>
    <cellStyle name="Normal 57 4 4 4 6 3" xfId="33477" xr:uid="{00000000-0005-0000-0000-0000BC880000}"/>
    <cellStyle name="Normal 57 4 4 4 7" xfId="16812" xr:uid="{00000000-0005-0000-0000-0000BD880000}"/>
    <cellStyle name="Normal 57 4 4 4 7 2" xfId="42365" xr:uid="{00000000-0005-0000-0000-0000BE880000}"/>
    <cellStyle name="Normal 57 4 4 4 8" xfId="26784" xr:uid="{00000000-0005-0000-0000-0000BF880000}"/>
    <cellStyle name="Normal 57 4 4 5" xfId="1121" xr:uid="{00000000-0005-0000-0000-0000C0880000}"/>
    <cellStyle name="Normal 57 4 4 5 2" xfId="3550" xr:uid="{00000000-0005-0000-0000-0000C1880000}"/>
    <cellStyle name="Normal 57 4 4 5 2 2" xfId="12686" xr:uid="{00000000-0005-0000-0000-0000C2880000}"/>
    <cellStyle name="Normal 57 4 4 5 2 2 2" xfId="22905" xr:uid="{00000000-0005-0000-0000-0000C3880000}"/>
    <cellStyle name="Normal 57 4 4 5 2 2 2 2" xfId="48458" xr:uid="{00000000-0005-0000-0000-0000C4880000}"/>
    <cellStyle name="Normal 57 4 4 5 2 2 3" xfId="38241" xr:uid="{00000000-0005-0000-0000-0000C5880000}"/>
    <cellStyle name="Normal 57 4 4 5 2 3" xfId="9107" xr:uid="{00000000-0005-0000-0000-0000C6880000}"/>
    <cellStyle name="Normal 57 4 4 5 2 3 2" xfId="34664" xr:uid="{00000000-0005-0000-0000-0000C7880000}"/>
    <cellStyle name="Normal 57 4 4 5 2 4" xfId="17898" xr:uid="{00000000-0005-0000-0000-0000C8880000}"/>
    <cellStyle name="Normal 57 4 4 5 2 4 2" xfId="43451" xr:uid="{00000000-0005-0000-0000-0000C9880000}"/>
    <cellStyle name="Normal 57 4 4 5 2 5" xfId="29388" xr:uid="{00000000-0005-0000-0000-0000CA880000}"/>
    <cellStyle name="Normal 57 4 4 5 3" xfId="5213" xr:uid="{00000000-0005-0000-0000-0000CB880000}"/>
    <cellStyle name="Normal 57 4 4 5 3 2" xfId="14050" xr:uid="{00000000-0005-0000-0000-0000CC880000}"/>
    <cellStyle name="Normal 57 4 4 5 3 2 2" xfId="24301" xr:uid="{00000000-0005-0000-0000-0000CD880000}"/>
    <cellStyle name="Normal 57 4 4 5 3 2 2 2" xfId="49854" xr:uid="{00000000-0005-0000-0000-0000CE880000}"/>
    <cellStyle name="Normal 57 4 4 5 3 2 3" xfId="39605" xr:uid="{00000000-0005-0000-0000-0000CF880000}"/>
    <cellStyle name="Normal 57 4 4 5 3 3" xfId="10471" xr:uid="{00000000-0005-0000-0000-0000D0880000}"/>
    <cellStyle name="Normal 57 4 4 5 3 3 2" xfId="36028" xr:uid="{00000000-0005-0000-0000-0000D1880000}"/>
    <cellStyle name="Normal 57 4 4 5 3 4" xfId="19294" xr:uid="{00000000-0005-0000-0000-0000D2880000}"/>
    <cellStyle name="Normal 57 4 4 5 3 4 2" xfId="44847" xr:uid="{00000000-0005-0000-0000-0000D3880000}"/>
    <cellStyle name="Normal 57 4 4 5 3 5" xfId="30784" xr:uid="{00000000-0005-0000-0000-0000D4880000}"/>
    <cellStyle name="Normal 57 4 4 5 4" xfId="1829" xr:uid="{00000000-0005-0000-0000-0000D5880000}"/>
    <cellStyle name="Normal 57 4 4 5 4 2" xfId="11197" xr:uid="{00000000-0005-0000-0000-0000D6880000}"/>
    <cellStyle name="Normal 57 4 4 5 4 2 2" xfId="36752" xr:uid="{00000000-0005-0000-0000-0000D7880000}"/>
    <cellStyle name="Normal 57 4 4 5 4 3" xfId="21201" xr:uid="{00000000-0005-0000-0000-0000D8880000}"/>
    <cellStyle name="Normal 57 4 4 5 4 3 2" xfId="46754" xr:uid="{00000000-0005-0000-0000-0000D9880000}"/>
    <cellStyle name="Normal 57 4 4 5 4 4" xfId="27684" xr:uid="{00000000-0005-0000-0000-0000DA880000}"/>
    <cellStyle name="Normal 57 4 4 5 5" xfId="6668" xr:uid="{00000000-0005-0000-0000-0000DB880000}"/>
    <cellStyle name="Normal 57 4 4 5 5 2" xfId="15495" xr:uid="{00000000-0005-0000-0000-0000DC880000}"/>
    <cellStyle name="Normal 57 4 4 5 5 2 2" xfId="41050" xr:uid="{00000000-0005-0000-0000-0000DD880000}"/>
    <cellStyle name="Normal 57 4 4 5 5 3" xfId="25746" xr:uid="{00000000-0005-0000-0000-0000DE880000}"/>
    <cellStyle name="Normal 57 4 4 5 5 3 2" xfId="51299" xr:uid="{00000000-0005-0000-0000-0000DF880000}"/>
    <cellStyle name="Normal 57 4 4 5 5 4" xfId="32229" xr:uid="{00000000-0005-0000-0000-0000E0880000}"/>
    <cellStyle name="Normal 57 4 4 5 6" xfId="8114" xr:uid="{00000000-0005-0000-0000-0000E1880000}"/>
    <cellStyle name="Normal 57 4 4 5 6 2" xfId="20504" xr:uid="{00000000-0005-0000-0000-0000E2880000}"/>
    <cellStyle name="Normal 57 4 4 5 6 2 2" xfId="46057" xr:uid="{00000000-0005-0000-0000-0000E3880000}"/>
    <cellStyle name="Normal 57 4 4 5 6 3" xfId="33671" xr:uid="{00000000-0005-0000-0000-0000E4880000}"/>
    <cellStyle name="Normal 57 4 4 5 7" xfId="16194" xr:uid="{00000000-0005-0000-0000-0000E5880000}"/>
    <cellStyle name="Normal 57 4 4 5 7 2" xfId="41747" xr:uid="{00000000-0005-0000-0000-0000E6880000}"/>
    <cellStyle name="Normal 57 4 4 5 8" xfId="26987" xr:uid="{00000000-0005-0000-0000-0000E7880000}"/>
    <cellStyle name="Normal 57 4 4 6" xfId="2723" xr:uid="{00000000-0005-0000-0000-0000E8880000}"/>
    <cellStyle name="Normal 57 4 4 6 2" xfId="12040" xr:uid="{00000000-0005-0000-0000-0000E9880000}"/>
    <cellStyle name="Normal 57 4 4 6 2 2" xfId="22084" xr:uid="{00000000-0005-0000-0000-0000EA880000}"/>
    <cellStyle name="Normal 57 4 4 6 2 2 2" xfId="47637" xr:uid="{00000000-0005-0000-0000-0000EB880000}"/>
    <cellStyle name="Normal 57 4 4 6 2 3" xfId="37595" xr:uid="{00000000-0005-0000-0000-0000EC880000}"/>
    <cellStyle name="Normal 57 4 4 6 3" xfId="8488" xr:uid="{00000000-0005-0000-0000-0000ED880000}"/>
    <cellStyle name="Normal 57 4 4 6 3 2" xfId="34045" xr:uid="{00000000-0005-0000-0000-0000EE880000}"/>
    <cellStyle name="Normal 57 4 4 6 4" xfId="17077" xr:uid="{00000000-0005-0000-0000-0000EF880000}"/>
    <cellStyle name="Normal 57 4 4 6 4 2" xfId="42630" xr:uid="{00000000-0005-0000-0000-0000F0880000}"/>
    <cellStyle name="Normal 57 4 4 6 5" xfId="28567" xr:uid="{00000000-0005-0000-0000-0000F1880000}"/>
    <cellStyle name="Normal 57 4 4 7" xfId="4169" xr:uid="{00000000-0005-0000-0000-0000F2880000}"/>
    <cellStyle name="Normal 57 4 4 7 2" xfId="13007" xr:uid="{00000000-0005-0000-0000-0000F3880000}"/>
    <cellStyle name="Normal 57 4 4 7 2 2" xfId="23258" xr:uid="{00000000-0005-0000-0000-0000F4880000}"/>
    <cellStyle name="Normal 57 4 4 7 2 2 2" xfId="48811" xr:uid="{00000000-0005-0000-0000-0000F5880000}"/>
    <cellStyle name="Normal 57 4 4 7 2 3" xfId="38562" xr:uid="{00000000-0005-0000-0000-0000F6880000}"/>
    <cellStyle name="Normal 57 4 4 7 3" xfId="9428" xr:uid="{00000000-0005-0000-0000-0000F7880000}"/>
    <cellStyle name="Normal 57 4 4 7 3 2" xfId="34985" xr:uid="{00000000-0005-0000-0000-0000F8880000}"/>
    <cellStyle name="Normal 57 4 4 7 4" xfId="18251" xr:uid="{00000000-0005-0000-0000-0000F9880000}"/>
    <cellStyle name="Normal 57 4 4 7 4 2" xfId="43804" xr:uid="{00000000-0005-0000-0000-0000FA880000}"/>
    <cellStyle name="Normal 57 4 4 7 5" xfId="29741" xr:uid="{00000000-0005-0000-0000-0000FB880000}"/>
    <cellStyle name="Normal 57 4 4 8" xfId="1441" xr:uid="{00000000-0005-0000-0000-0000FC880000}"/>
    <cellStyle name="Normal 57 4 4 8 2" xfId="10818" xr:uid="{00000000-0005-0000-0000-0000FD880000}"/>
    <cellStyle name="Normal 57 4 4 8 2 2" xfId="36373" xr:uid="{00000000-0005-0000-0000-0000FE880000}"/>
    <cellStyle name="Normal 57 4 4 8 3" xfId="20822" xr:uid="{00000000-0005-0000-0000-0000FF880000}"/>
    <cellStyle name="Normal 57 4 4 8 3 2" xfId="46375" xr:uid="{00000000-0005-0000-0000-000000890000}"/>
    <cellStyle name="Normal 57 4 4 8 4" xfId="27305" xr:uid="{00000000-0005-0000-0000-000001890000}"/>
    <cellStyle name="Normal 57 4 4 9" xfId="5625" xr:uid="{00000000-0005-0000-0000-000002890000}"/>
    <cellStyle name="Normal 57 4 4 9 2" xfId="14452" xr:uid="{00000000-0005-0000-0000-000003890000}"/>
    <cellStyle name="Normal 57 4 4 9 2 2" xfId="40007" xr:uid="{00000000-0005-0000-0000-000004890000}"/>
    <cellStyle name="Normal 57 4 4 9 3" xfId="24703" xr:uid="{00000000-0005-0000-0000-000005890000}"/>
    <cellStyle name="Normal 57 4 4 9 3 2" xfId="50256" xr:uid="{00000000-0005-0000-0000-000006890000}"/>
    <cellStyle name="Normal 57 4 4 9 4" xfId="31186" xr:uid="{00000000-0005-0000-0000-000007890000}"/>
    <cellStyle name="Normal 57 4 4_Degree data" xfId="3962" xr:uid="{00000000-0005-0000-0000-000008890000}"/>
    <cellStyle name="Normal 57 4 5" xfId="449" xr:uid="{00000000-0005-0000-0000-000009890000}"/>
    <cellStyle name="Normal 57 4 5 10" xfId="26378" xr:uid="{00000000-0005-0000-0000-00000A890000}"/>
    <cellStyle name="Normal 57 4 5 2" xfId="858" xr:uid="{00000000-0005-0000-0000-00000B890000}"/>
    <cellStyle name="Normal 57 4 5 2 2" xfId="3343" xr:uid="{00000000-0005-0000-0000-00000C890000}"/>
    <cellStyle name="Normal 57 4 5 2 2 2" xfId="12485" xr:uid="{00000000-0005-0000-0000-00000D890000}"/>
    <cellStyle name="Normal 57 4 5 2 2 2 2" xfId="22704" xr:uid="{00000000-0005-0000-0000-00000E890000}"/>
    <cellStyle name="Normal 57 4 5 2 2 2 2 2" xfId="48257" xr:uid="{00000000-0005-0000-0000-00000F890000}"/>
    <cellStyle name="Normal 57 4 5 2 2 2 3" xfId="38040" xr:uid="{00000000-0005-0000-0000-000010890000}"/>
    <cellStyle name="Normal 57 4 5 2 2 3" xfId="8907" xr:uid="{00000000-0005-0000-0000-000011890000}"/>
    <cellStyle name="Normal 57 4 5 2 2 3 2" xfId="34464" xr:uid="{00000000-0005-0000-0000-000012890000}"/>
    <cellStyle name="Normal 57 4 5 2 2 4" xfId="17697" xr:uid="{00000000-0005-0000-0000-000013890000}"/>
    <cellStyle name="Normal 57 4 5 2 2 4 2" xfId="43250" xr:uid="{00000000-0005-0000-0000-000014890000}"/>
    <cellStyle name="Normal 57 4 5 2 2 5" xfId="29187" xr:uid="{00000000-0005-0000-0000-000015890000}"/>
    <cellStyle name="Normal 57 4 5 2 3" xfId="4672" xr:uid="{00000000-0005-0000-0000-000016890000}"/>
    <cellStyle name="Normal 57 4 5 2 3 2" xfId="13510" xr:uid="{00000000-0005-0000-0000-000017890000}"/>
    <cellStyle name="Normal 57 4 5 2 3 2 2" xfId="23761" xr:uid="{00000000-0005-0000-0000-000018890000}"/>
    <cellStyle name="Normal 57 4 5 2 3 2 2 2" xfId="49314" xr:uid="{00000000-0005-0000-0000-000019890000}"/>
    <cellStyle name="Normal 57 4 5 2 3 2 3" xfId="39065" xr:uid="{00000000-0005-0000-0000-00001A890000}"/>
    <cellStyle name="Normal 57 4 5 2 3 3" xfId="9931" xr:uid="{00000000-0005-0000-0000-00001B890000}"/>
    <cellStyle name="Normal 57 4 5 2 3 3 2" xfId="35488" xr:uid="{00000000-0005-0000-0000-00001C890000}"/>
    <cellStyle name="Normal 57 4 5 2 3 4" xfId="18754" xr:uid="{00000000-0005-0000-0000-00001D890000}"/>
    <cellStyle name="Normal 57 4 5 2 3 4 2" xfId="44307" xr:uid="{00000000-0005-0000-0000-00001E890000}"/>
    <cellStyle name="Normal 57 4 5 2 3 5" xfId="30244" xr:uid="{00000000-0005-0000-0000-00001F890000}"/>
    <cellStyle name="Normal 57 4 5 2 4" xfId="2452" xr:uid="{00000000-0005-0000-0000-000020890000}"/>
    <cellStyle name="Normal 57 4 5 2 4 2" xfId="11817" xr:uid="{00000000-0005-0000-0000-000021890000}"/>
    <cellStyle name="Normal 57 4 5 2 4 2 2" xfId="37372" xr:uid="{00000000-0005-0000-0000-000022890000}"/>
    <cellStyle name="Normal 57 4 5 2 4 3" xfId="21821" xr:uid="{00000000-0005-0000-0000-000023890000}"/>
    <cellStyle name="Normal 57 4 5 2 4 3 2" xfId="47374" xr:uid="{00000000-0005-0000-0000-000024890000}"/>
    <cellStyle name="Normal 57 4 5 2 4 4" xfId="28304" xr:uid="{00000000-0005-0000-0000-000025890000}"/>
    <cellStyle name="Normal 57 4 5 2 5" xfId="6128" xr:uid="{00000000-0005-0000-0000-000026890000}"/>
    <cellStyle name="Normal 57 4 5 2 5 2" xfId="14955" xr:uid="{00000000-0005-0000-0000-000027890000}"/>
    <cellStyle name="Normal 57 4 5 2 5 2 2" xfId="40510" xr:uid="{00000000-0005-0000-0000-000028890000}"/>
    <cellStyle name="Normal 57 4 5 2 5 3" xfId="25206" xr:uid="{00000000-0005-0000-0000-000029890000}"/>
    <cellStyle name="Normal 57 4 5 2 5 3 2" xfId="50759" xr:uid="{00000000-0005-0000-0000-00002A890000}"/>
    <cellStyle name="Normal 57 4 5 2 5 4" xfId="31689" xr:uid="{00000000-0005-0000-0000-00002B890000}"/>
    <cellStyle name="Normal 57 4 5 2 6" xfId="7573" xr:uid="{00000000-0005-0000-0000-00002C890000}"/>
    <cellStyle name="Normal 57 4 5 2 6 2" xfId="20303" xr:uid="{00000000-0005-0000-0000-00002D890000}"/>
    <cellStyle name="Normal 57 4 5 2 6 2 2" xfId="45856" xr:uid="{00000000-0005-0000-0000-00002E890000}"/>
    <cellStyle name="Normal 57 4 5 2 6 3" xfId="33130" xr:uid="{00000000-0005-0000-0000-00002F890000}"/>
    <cellStyle name="Normal 57 4 5 2 7" xfId="16814" xr:uid="{00000000-0005-0000-0000-000030890000}"/>
    <cellStyle name="Normal 57 4 5 2 7 2" xfId="42367" xr:uid="{00000000-0005-0000-0000-000031890000}"/>
    <cellStyle name="Normal 57 4 5 2 8" xfId="26786" xr:uid="{00000000-0005-0000-0000-000032890000}"/>
    <cellStyle name="Normal 57 4 5 3" xfId="1221" xr:uid="{00000000-0005-0000-0000-000033890000}"/>
    <cellStyle name="Normal 57 4 5 3 2" xfId="3650" xr:uid="{00000000-0005-0000-0000-000034890000}"/>
    <cellStyle name="Normal 57 4 5 3 2 2" xfId="12786" xr:uid="{00000000-0005-0000-0000-000035890000}"/>
    <cellStyle name="Normal 57 4 5 3 2 2 2" xfId="23005" xr:uid="{00000000-0005-0000-0000-000036890000}"/>
    <cellStyle name="Normal 57 4 5 3 2 2 2 2" xfId="48558" xr:uid="{00000000-0005-0000-0000-000037890000}"/>
    <cellStyle name="Normal 57 4 5 3 2 2 3" xfId="38341" xr:uid="{00000000-0005-0000-0000-000038890000}"/>
    <cellStyle name="Normal 57 4 5 3 2 3" xfId="9207" xr:uid="{00000000-0005-0000-0000-000039890000}"/>
    <cellStyle name="Normal 57 4 5 3 2 3 2" xfId="34764" xr:uid="{00000000-0005-0000-0000-00003A890000}"/>
    <cellStyle name="Normal 57 4 5 3 2 4" xfId="17998" xr:uid="{00000000-0005-0000-0000-00003B890000}"/>
    <cellStyle name="Normal 57 4 5 3 2 4 2" xfId="43551" xr:uid="{00000000-0005-0000-0000-00003C890000}"/>
    <cellStyle name="Normal 57 4 5 3 2 5" xfId="29488" xr:uid="{00000000-0005-0000-0000-00003D890000}"/>
    <cellStyle name="Normal 57 4 5 3 3" xfId="5021" xr:uid="{00000000-0005-0000-0000-00003E890000}"/>
    <cellStyle name="Normal 57 4 5 3 3 2" xfId="13858" xr:uid="{00000000-0005-0000-0000-00003F890000}"/>
    <cellStyle name="Normal 57 4 5 3 3 2 2" xfId="24109" xr:uid="{00000000-0005-0000-0000-000040890000}"/>
    <cellStyle name="Normal 57 4 5 3 3 2 2 2" xfId="49662" xr:uid="{00000000-0005-0000-0000-000041890000}"/>
    <cellStyle name="Normal 57 4 5 3 3 2 3" xfId="39413" xr:uid="{00000000-0005-0000-0000-000042890000}"/>
    <cellStyle name="Normal 57 4 5 3 3 3" xfId="10279" xr:uid="{00000000-0005-0000-0000-000043890000}"/>
    <cellStyle name="Normal 57 4 5 3 3 3 2" xfId="35836" xr:uid="{00000000-0005-0000-0000-000044890000}"/>
    <cellStyle name="Normal 57 4 5 3 3 4" xfId="19102" xr:uid="{00000000-0005-0000-0000-000045890000}"/>
    <cellStyle name="Normal 57 4 5 3 3 4 2" xfId="44655" xr:uid="{00000000-0005-0000-0000-000046890000}"/>
    <cellStyle name="Normal 57 4 5 3 3 5" xfId="30592" xr:uid="{00000000-0005-0000-0000-000047890000}"/>
    <cellStyle name="Normal 57 4 5 3 4" xfId="2044" xr:uid="{00000000-0005-0000-0000-000048890000}"/>
    <cellStyle name="Normal 57 4 5 3 4 2" xfId="11409" xr:uid="{00000000-0005-0000-0000-000049890000}"/>
    <cellStyle name="Normal 57 4 5 3 4 2 2" xfId="36964" xr:uid="{00000000-0005-0000-0000-00004A890000}"/>
    <cellStyle name="Normal 57 4 5 3 4 3" xfId="21413" xr:uid="{00000000-0005-0000-0000-00004B890000}"/>
    <cellStyle name="Normal 57 4 5 3 4 3 2" xfId="46966" xr:uid="{00000000-0005-0000-0000-00004C890000}"/>
    <cellStyle name="Normal 57 4 5 3 4 4" xfId="27896" xr:uid="{00000000-0005-0000-0000-00004D890000}"/>
    <cellStyle name="Normal 57 4 5 3 5" xfId="6476" xr:uid="{00000000-0005-0000-0000-00004E890000}"/>
    <cellStyle name="Normal 57 4 5 3 5 2" xfId="15303" xr:uid="{00000000-0005-0000-0000-00004F890000}"/>
    <cellStyle name="Normal 57 4 5 3 5 2 2" xfId="40858" xr:uid="{00000000-0005-0000-0000-000050890000}"/>
    <cellStyle name="Normal 57 4 5 3 5 3" xfId="25554" xr:uid="{00000000-0005-0000-0000-000051890000}"/>
    <cellStyle name="Normal 57 4 5 3 5 3 2" xfId="51107" xr:uid="{00000000-0005-0000-0000-000052890000}"/>
    <cellStyle name="Normal 57 4 5 3 5 4" xfId="32037" xr:uid="{00000000-0005-0000-0000-000053890000}"/>
    <cellStyle name="Normal 57 4 5 3 6" xfId="7922" xr:uid="{00000000-0005-0000-0000-000054890000}"/>
    <cellStyle name="Normal 57 4 5 3 6 2" xfId="20604" xr:uid="{00000000-0005-0000-0000-000055890000}"/>
    <cellStyle name="Normal 57 4 5 3 6 2 2" xfId="46157" xr:uid="{00000000-0005-0000-0000-000056890000}"/>
    <cellStyle name="Normal 57 4 5 3 6 3" xfId="33479" xr:uid="{00000000-0005-0000-0000-000057890000}"/>
    <cellStyle name="Normal 57 4 5 3 7" xfId="16406" xr:uid="{00000000-0005-0000-0000-000058890000}"/>
    <cellStyle name="Normal 57 4 5 3 7 2" xfId="41959" xr:uid="{00000000-0005-0000-0000-000059890000}"/>
    <cellStyle name="Normal 57 4 5 3 8" xfId="27087" xr:uid="{00000000-0005-0000-0000-00005A890000}"/>
    <cellStyle name="Normal 57 4 5 4" xfId="2935" xr:uid="{00000000-0005-0000-0000-00005B890000}"/>
    <cellStyle name="Normal 57 4 5 4 2" xfId="5313" xr:uid="{00000000-0005-0000-0000-00005C890000}"/>
    <cellStyle name="Normal 57 4 5 4 2 2" xfId="14150" xr:uid="{00000000-0005-0000-0000-00005D890000}"/>
    <cellStyle name="Normal 57 4 5 4 2 2 2" xfId="24401" xr:uid="{00000000-0005-0000-0000-00005E890000}"/>
    <cellStyle name="Normal 57 4 5 4 2 2 2 2" xfId="49954" xr:uid="{00000000-0005-0000-0000-00005F890000}"/>
    <cellStyle name="Normal 57 4 5 4 2 2 3" xfId="39705" xr:uid="{00000000-0005-0000-0000-000060890000}"/>
    <cellStyle name="Normal 57 4 5 4 2 3" xfId="10571" xr:uid="{00000000-0005-0000-0000-000061890000}"/>
    <cellStyle name="Normal 57 4 5 4 2 3 2" xfId="36128" xr:uid="{00000000-0005-0000-0000-000062890000}"/>
    <cellStyle name="Normal 57 4 5 4 2 4" xfId="19394" xr:uid="{00000000-0005-0000-0000-000063890000}"/>
    <cellStyle name="Normal 57 4 5 4 2 4 2" xfId="44947" xr:uid="{00000000-0005-0000-0000-000064890000}"/>
    <cellStyle name="Normal 57 4 5 4 2 5" xfId="30884" xr:uid="{00000000-0005-0000-0000-000065890000}"/>
    <cellStyle name="Normal 57 4 5 4 3" xfId="6768" xr:uid="{00000000-0005-0000-0000-000066890000}"/>
    <cellStyle name="Normal 57 4 5 4 3 2" xfId="15595" xr:uid="{00000000-0005-0000-0000-000067890000}"/>
    <cellStyle name="Normal 57 4 5 4 3 2 2" xfId="41150" xr:uid="{00000000-0005-0000-0000-000068890000}"/>
    <cellStyle name="Normal 57 4 5 4 3 3" xfId="25846" xr:uid="{00000000-0005-0000-0000-000069890000}"/>
    <cellStyle name="Normal 57 4 5 4 3 3 2" xfId="51399" xr:uid="{00000000-0005-0000-0000-00006A890000}"/>
    <cellStyle name="Normal 57 4 5 4 3 4" xfId="32329" xr:uid="{00000000-0005-0000-0000-00006B890000}"/>
    <cellStyle name="Normal 57 4 5 4 4" xfId="8214" xr:uid="{00000000-0005-0000-0000-00006C890000}"/>
    <cellStyle name="Normal 57 4 5 4 4 2" xfId="22296" xr:uid="{00000000-0005-0000-0000-00006D890000}"/>
    <cellStyle name="Normal 57 4 5 4 4 2 2" xfId="47849" xr:uid="{00000000-0005-0000-0000-00006E890000}"/>
    <cellStyle name="Normal 57 4 5 4 4 3" xfId="33771" xr:uid="{00000000-0005-0000-0000-00006F890000}"/>
    <cellStyle name="Normal 57 4 5 4 5" xfId="17289" xr:uid="{00000000-0005-0000-0000-000070890000}"/>
    <cellStyle name="Normal 57 4 5 4 5 2" xfId="42842" xr:uid="{00000000-0005-0000-0000-000071890000}"/>
    <cellStyle name="Normal 57 4 5 4 6" xfId="28779" xr:uid="{00000000-0005-0000-0000-000072890000}"/>
    <cellStyle name="Normal 57 4 5 5" xfId="4269" xr:uid="{00000000-0005-0000-0000-000073890000}"/>
    <cellStyle name="Normal 57 4 5 5 2" xfId="13107" xr:uid="{00000000-0005-0000-0000-000074890000}"/>
    <cellStyle name="Normal 57 4 5 5 2 2" xfId="23358" xr:uid="{00000000-0005-0000-0000-000075890000}"/>
    <cellStyle name="Normal 57 4 5 5 2 2 2" xfId="48911" xr:uid="{00000000-0005-0000-0000-000076890000}"/>
    <cellStyle name="Normal 57 4 5 5 2 3" xfId="38662" xr:uid="{00000000-0005-0000-0000-000077890000}"/>
    <cellStyle name="Normal 57 4 5 5 3" xfId="9528" xr:uid="{00000000-0005-0000-0000-000078890000}"/>
    <cellStyle name="Normal 57 4 5 5 3 2" xfId="35085" xr:uid="{00000000-0005-0000-0000-000079890000}"/>
    <cellStyle name="Normal 57 4 5 5 4" xfId="18351" xr:uid="{00000000-0005-0000-0000-00007A890000}"/>
    <cellStyle name="Normal 57 4 5 5 4 2" xfId="43904" xr:uid="{00000000-0005-0000-0000-00007B890000}"/>
    <cellStyle name="Normal 57 4 5 5 5" xfId="29841" xr:uid="{00000000-0005-0000-0000-00007C890000}"/>
    <cellStyle name="Normal 57 4 5 6" xfId="1541" xr:uid="{00000000-0005-0000-0000-00007D890000}"/>
    <cellStyle name="Normal 57 4 5 6 2" xfId="10918" xr:uid="{00000000-0005-0000-0000-00007E890000}"/>
    <cellStyle name="Normal 57 4 5 6 2 2" xfId="36473" xr:uid="{00000000-0005-0000-0000-00007F890000}"/>
    <cellStyle name="Normal 57 4 5 6 3" xfId="20922" xr:uid="{00000000-0005-0000-0000-000080890000}"/>
    <cellStyle name="Normal 57 4 5 6 3 2" xfId="46475" xr:uid="{00000000-0005-0000-0000-000081890000}"/>
    <cellStyle name="Normal 57 4 5 6 4" xfId="27405" xr:uid="{00000000-0005-0000-0000-000082890000}"/>
    <cellStyle name="Normal 57 4 5 7" xfId="5725" xr:uid="{00000000-0005-0000-0000-000083890000}"/>
    <cellStyle name="Normal 57 4 5 7 2" xfId="14552" xr:uid="{00000000-0005-0000-0000-000084890000}"/>
    <cellStyle name="Normal 57 4 5 7 2 2" xfId="40107" xr:uid="{00000000-0005-0000-0000-000085890000}"/>
    <cellStyle name="Normal 57 4 5 7 3" xfId="24803" xr:uid="{00000000-0005-0000-0000-000086890000}"/>
    <cellStyle name="Normal 57 4 5 7 3 2" xfId="50356" xr:uid="{00000000-0005-0000-0000-000087890000}"/>
    <cellStyle name="Normal 57 4 5 7 4" xfId="31286" xr:uid="{00000000-0005-0000-0000-000088890000}"/>
    <cellStyle name="Normal 57 4 5 8" xfId="7169" xr:uid="{00000000-0005-0000-0000-000089890000}"/>
    <cellStyle name="Normal 57 4 5 8 2" xfId="19895" xr:uid="{00000000-0005-0000-0000-00008A890000}"/>
    <cellStyle name="Normal 57 4 5 8 2 2" xfId="45448" xr:uid="{00000000-0005-0000-0000-00008B890000}"/>
    <cellStyle name="Normal 57 4 5 8 3" xfId="32726" xr:uid="{00000000-0005-0000-0000-00008C890000}"/>
    <cellStyle name="Normal 57 4 5 9" xfId="15915" xr:uid="{00000000-0005-0000-0000-00008D890000}"/>
    <cellStyle name="Normal 57 4 5 9 2" xfId="41468" xr:uid="{00000000-0005-0000-0000-00008E890000}"/>
    <cellStyle name="Normal 57 4 5_Degree data" xfId="3964" xr:uid="{00000000-0005-0000-0000-00008F890000}"/>
    <cellStyle name="Normal 57 4 6" xfId="318" xr:uid="{00000000-0005-0000-0000-000090890000}"/>
    <cellStyle name="Normal 57 4 6 10" xfId="26247" xr:uid="{00000000-0005-0000-0000-000091890000}"/>
    <cellStyle name="Normal 57 4 6 2" xfId="859" xr:uid="{00000000-0005-0000-0000-000092890000}"/>
    <cellStyle name="Normal 57 4 6 2 2" xfId="3344" xr:uid="{00000000-0005-0000-0000-000093890000}"/>
    <cellStyle name="Normal 57 4 6 2 2 2" xfId="12486" xr:uid="{00000000-0005-0000-0000-000094890000}"/>
    <cellStyle name="Normal 57 4 6 2 2 2 2" xfId="22705" xr:uid="{00000000-0005-0000-0000-000095890000}"/>
    <cellStyle name="Normal 57 4 6 2 2 2 2 2" xfId="48258" xr:uid="{00000000-0005-0000-0000-000096890000}"/>
    <cellStyle name="Normal 57 4 6 2 2 2 3" xfId="38041" xr:uid="{00000000-0005-0000-0000-000097890000}"/>
    <cellStyle name="Normal 57 4 6 2 2 3" xfId="8908" xr:uid="{00000000-0005-0000-0000-000098890000}"/>
    <cellStyle name="Normal 57 4 6 2 2 3 2" xfId="34465" xr:uid="{00000000-0005-0000-0000-000099890000}"/>
    <cellStyle name="Normal 57 4 6 2 2 4" xfId="17698" xr:uid="{00000000-0005-0000-0000-00009A890000}"/>
    <cellStyle name="Normal 57 4 6 2 2 4 2" xfId="43251" xr:uid="{00000000-0005-0000-0000-00009B890000}"/>
    <cellStyle name="Normal 57 4 6 2 2 5" xfId="29188" xr:uid="{00000000-0005-0000-0000-00009C890000}"/>
    <cellStyle name="Normal 57 4 6 2 3" xfId="4673" xr:uid="{00000000-0005-0000-0000-00009D890000}"/>
    <cellStyle name="Normal 57 4 6 2 3 2" xfId="13511" xr:uid="{00000000-0005-0000-0000-00009E890000}"/>
    <cellStyle name="Normal 57 4 6 2 3 2 2" xfId="23762" xr:uid="{00000000-0005-0000-0000-00009F890000}"/>
    <cellStyle name="Normal 57 4 6 2 3 2 2 2" xfId="49315" xr:uid="{00000000-0005-0000-0000-0000A0890000}"/>
    <cellStyle name="Normal 57 4 6 2 3 2 3" xfId="39066" xr:uid="{00000000-0005-0000-0000-0000A1890000}"/>
    <cellStyle name="Normal 57 4 6 2 3 3" xfId="9932" xr:uid="{00000000-0005-0000-0000-0000A2890000}"/>
    <cellStyle name="Normal 57 4 6 2 3 3 2" xfId="35489" xr:uid="{00000000-0005-0000-0000-0000A3890000}"/>
    <cellStyle name="Normal 57 4 6 2 3 4" xfId="18755" xr:uid="{00000000-0005-0000-0000-0000A4890000}"/>
    <cellStyle name="Normal 57 4 6 2 3 4 2" xfId="44308" xr:uid="{00000000-0005-0000-0000-0000A5890000}"/>
    <cellStyle name="Normal 57 4 6 2 3 5" xfId="30245" xr:uid="{00000000-0005-0000-0000-0000A6890000}"/>
    <cellStyle name="Normal 57 4 6 2 4" xfId="2453" xr:uid="{00000000-0005-0000-0000-0000A7890000}"/>
    <cellStyle name="Normal 57 4 6 2 4 2" xfId="11818" xr:uid="{00000000-0005-0000-0000-0000A8890000}"/>
    <cellStyle name="Normal 57 4 6 2 4 2 2" xfId="37373" xr:uid="{00000000-0005-0000-0000-0000A9890000}"/>
    <cellStyle name="Normal 57 4 6 2 4 3" xfId="21822" xr:uid="{00000000-0005-0000-0000-0000AA890000}"/>
    <cellStyle name="Normal 57 4 6 2 4 3 2" xfId="47375" xr:uid="{00000000-0005-0000-0000-0000AB890000}"/>
    <cellStyle name="Normal 57 4 6 2 4 4" xfId="28305" xr:uid="{00000000-0005-0000-0000-0000AC890000}"/>
    <cellStyle name="Normal 57 4 6 2 5" xfId="6129" xr:uid="{00000000-0005-0000-0000-0000AD890000}"/>
    <cellStyle name="Normal 57 4 6 2 5 2" xfId="14956" xr:uid="{00000000-0005-0000-0000-0000AE890000}"/>
    <cellStyle name="Normal 57 4 6 2 5 2 2" xfId="40511" xr:uid="{00000000-0005-0000-0000-0000AF890000}"/>
    <cellStyle name="Normal 57 4 6 2 5 3" xfId="25207" xr:uid="{00000000-0005-0000-0000-0000B0890000}"/>
    <cellStyle name="Normal 57 4 6 2 5 3 2" xfId="50760" xr:uid="{00000000-0005-0000-0000-0000B1890000}"/>
    <cellStyle name="Normal 57 4 6 2 5 4" xfId="31690" xr:uid="{00000000-0005-0000-0000-0000B2890000}"/>
    <cellStyle name="Normal 57 4 6 2 6" xfId="7574" xr:uid="{00000000-0005-0000-0000-0000B3890000}"/>
    <cellStyle name="Normal 57 4 6 2 6 2" xfId="20304" xr:uid="{00000000-0005-0000-0000-0000B4890000}"/>
    <cellStyle name="Normal 57 4 6 2 6 2 2" xfId="45857" xr:uid="{00000000-0005-0000-0000-0000B5890000}"/>
    <cellStyle name="Normal 57 4 6 2 6 3" xfId="33131" xr:uid="{00000000-0005-0000-0000-0000B6890000}"/>
    <cellStyle name="Normal 57 4 6 2 7" xfId="16815" xr:uid="{00000000-0005-0000-0000-0000B7890000}"/>
    <cellStyle name="Normal 57 4 6 2 7 2" xfId="42368" xr:uid="{00000000-0005-0000-0000-0000B8890000}"/>
    <cellStyle name="Normal 57 4 6 2 8" xfId="26787" xr:uid="{00000000-0005-0000-0000-0000B9890000}"/>
    <cellStyle name="Normal 57 4 6 3" xfId="1090" xr:uid="{00000000-0005-0000-0000-0000BA890000}"/>
    <cellStyle name="Normal 57 4 6 3 2" xfId="3519" xr:uid="{00000000-0005-0000-0000-0000BB890000}"/>
    <cellStyle name="Normal 57 4 6 3 2 2" xfId="12655" xr:uid="{00000000-0005-0000-0000-0000BC890000}"/>
    <cellStyle name="Normal 57 4 6 3 2 2 2" xfId="22874" xr:uid="{00000000-0005-0000-0000-0000BD890000}"/>
    <cellStyle name="Normal 57 4 6 3 2 2 2 2" xfId="48427" xr:uid="{00000000-0005-0000-0000-0000BE890000}"/>
    <cellStyle name="Normal 57 4 6 3 2 2 3" xfId="38210" xr:uid="{00000000-0005-0000-0000-0000BF890000}"/>
    <cellStyle name="Normal 57 4 6 3 2 3" xfId="9077" xr:uid="{00000000-0005-0000-0000-0000C0890000}"/>
    <cellStyle name="Normal 57 4 6 3 2 3 2" xfId="34634" xr:uid="{00000000-0005-0000-0000-0000C1890000}"/>
    <cellStyle name="Normal 57 4 6 3 2 4" xfId="17867" xr:uid="{00000000-0005-0000-0000-0000C2890000}"/>
    <cellStyle name="Normal 57 4 6 3 2 4 2" xfId="43420" xr:uid="{00000000-0005-0000-0000-0000C3890000}"/>
    <cellStyle name="Normal 57 4 6 3 2 5" xfId="29357" xr:uid="{00000000-0005-0000-0000-0000C4890000}"/>
    <cellStyle name="Normal 57 4 6 3 3" xfId="5022" xr:uid="{00000000-0005-0000-0000-0000C5890000}"/>
    <cellStyle name="Normal 57 4 6 3 3 2" xfId="13859" xr:uid="{00000000-0005-0000-0000-0000C6890000}"/>
    <cellStyle name="Normal 57 4 6 3 3 2 2" xfId="24110" xr:uid="{00000000-0005-0000-0000-0000C7890000}"/>
    <cellStyle name="Normal 57 4 6 3 3 2 2 2" xfId="49663" xr:uid="{00000000-0005-0000-0000-0000C8890000}"/>
    <cellStyle name="Normal 57 4 6 3 3 2 3" xfId="39414" xr:uid="{00000000-0005-0000-0000-0000C9890000}"/>
    <cellStyle name="Normal 57 4 6 3 3 3" xfId="10280" xr:uid="{00000000-0005-0000-0000-0000CA890000}"/>
    <cellStyle name="Normal 57 4 6 3 3 3 2" xfId="35837" xr:uid="{00000000-0005-0000-0000-0000CB890000}"/>
    <cellStyle name="Normal 57 4 6 3 3 4" xfId="19103" xr:uid="{00000000-0005-0000-0000-0000CC890000}"/>
    <cellStyle name="Normal 57 4 6 3 3 4 2" xfId="44656" xr:uid="{00000000-0005-0000-0000-0000CD890000}"/>
    <cellStyle name="Normal 57 4 6 3 3 5" xfId="30593" xr:uid="{00000000-0005-0000-0000-0000CE890000}"/>
    <cellStyle name="Normal 57 4 6 3 4" xfId="2592" xr:uid="{00000000-0005-0000-0000-0000CF890000}"/>
    <cellStyle name="Normal 57 4 6 3 4 2" xfId="11956" xr:uid="{00000000-0005-0000-0000-0000D0890000}"/>
    <cellStyle name="Normal 57 4 6 3 4 2 2" xfId="37511" xr:uid="{00000000-0005-0000-0000-0000D1890000}"/>
    <cellStyle name="Normal 57 4 6 3 4 3" xfId="21960" xr:uid="{00000000-0005-0000-0000-0000D2890000}"/>
    <cellStyle name="Normal 57 4 6 3 4 3 2" xfId="47513" xr:uid="{00000000-0005-0000-0000-0000D3890000}"/>
    <cellStyle name="Normal 57 4 6 3 4 4" xfId="28443" xr:uid="{00000000-0005-0000-0000-0000D4890000}"/>
    <cellStyle name="Normal 57 4 6 3 5" xfId="6477" xr:uid="{00000000-0005-0000-0000-0000D5890000}"/>
    <cellStyle name="Normal 57 4 6 3 5 2" xfId="15304" xr:uid="{00000000-0005-0000-0000-0000D6890000}"/>
    <cellStyle name="Normal 57 4 6 3 5 2 2" xfId="40859" xr:uid="{00000000-0005-0000-0000-0000D7890000}"/>
    <cellStyle name="Normal 57 4 6 3 5 3" xfId="25555" xr:uid="{00000000-0005-0000-0000-0000D8890000}"/>
    <cellStyle name="Normal 57 4 6 3 5 3 2" xfId="51108" xr:uid="{00000000-0005-0000-0000-0000D9890000}"/>
    <cellStyle name="Normal 57 4 6 3 5 4" xfId="32038" xr:uid="{00000000-0005-0000-0000-0000DA890000}"/>
    <cellStyle name="Normal 57 4 6 3 6" xfId="7923" xr:uid="{00000000-0005-0000-0000-0000DB890000}"/>
    <cellStyle name="Normal 57 4 6 3 6 2" xfId="20473" xr:uid="{00000000-0005-0000-0000-0000DC890000}"/>
    <cellStyle name="Normal 57 4 6 3 6 2 2" xfId="46026" xr:uid="{00000000-0005-0000-0000-0000DD890000}"/>
    <cellStyle name="Normal 57 4 6 3 6 3" xfId="33480" xr:uid="{00000000-0005-0000-0000-0000DE890000}"/>
    <cellStyle name="Normal 57 4 6 3 7" xfId="16953" xr:uid="{00000000-0005-0000-0000-0000DF890000}"/>
    <cellStyle name="Normal 57 4 6 3 7 2" xfId="42506" xr:uid="{00000000-0005-0000-0000-0000E0890000}"/>
    <cellStyle name="Normal 57 4 6 3 8" xfId="26956" xr:uid="{00000000-0005-0000-0000-0000E1890000}"/>
    <cellStyle name="Normal 57 4 6 4" xfId="2804" xr:uid="{00000000-0005-0000-0000-0000E2890000}"/>
    <cellStyle name="Normal 57 4 6 4 2" xfId="5182" xr:uid="{00000000-0005-0000-0000-0000E3890000}"/>
    <cellStyle name="Normal 57 4 6 4 2 2" xfId="14019" xr:uid="{00000000-0005-0000-0000-0000E4890000}"/>
    <cellStyle name="Normal 57 4 6 4 2 2 2" xfId="24270" xr:uid="{00000000-0005-0000-0000-0000E5890000}"/>
    <cellStyle name="Normal 57 4 6 4 2 2 2 2" xfId="49823" xr:uid="{00000000-0005-0000-0000-0000E6890000}"/>
    <cellStyle name="Normal 57 4 6 4 2 2 3" xfId="39574" xr:uid="{00000000-0005-0000-0000-0000E7890000}"/>
    <cellStyle name="Normal 57 4 6 4 2 3" xfId="10440" xr:uid="{00000000-0005-0000-0000-0000E8890000}"/>
    <cellStyle name="Normal 57 4 6 4 2 3 2" xfId="35997" xr:uid="{00000000-0005-0000-0000-0000E9890000}"/>
    <cellStyle name="Normal 57 4 6 4 2 4" xfId="19263" xr:uid="{00000000-0005-0000-0000-0000EA890000}"/>
    <cellStyle name="Normal 57 4 6 4 2 4 2" xfId="44816" xr:uid="{00000000-0005-0000-0000-0000EB890000}"/>
    <cellStyle name="Normal 57 4 6 4 2 5" xfId="30753" xr:uid="{00000000-0005-0000-0000-0000EC890000}"/>
    <cellStyle name="Normal 57 4 6 4 3" xfId="6637" xr:uid="{00000000-0005-0000-0000-0000ED890000}"/>
    <cellStyle name="Normal 57 4 6 4 3 2" xfId="15464" xr:uid="{00000000-0005-0000-0000-0000EE890000}"/>
    <cellStyle name="Normal 57 4 6 4 3 2 2" xfId="41019" xr:uid="{00000000-0005-0000-0000-0000EF890000}"/>
    <cellStyle name="Normal 57 4 6 4 3 3" xfId="25715" xr:uid="{00000000-0005-0000-0000-0000F0890000}"/>
    <cellStyle name="Normal 57 4 6 4 3 3 2" xfId="51268" xr:uid="{00000000-0005-0000-0000-0000F1890000}"/>
    <cellStyle name="Normal 57 4 6 4 3 4" xfId="32198" xr:uid="{00000000-0005-0000-0000-0000F2890000}"/>
    <cellStyle name="Normal 57 4 6 4 4" xfId="8083" xr:uid="{00000000-0005-0000-0000-0000F3890000}"/>
    <cellStyle name="Normal 57 4 6 4 4 2" xfId="22165" xr:uid="{00000000-0005-0000-0000-0000F4890000}"/>
    <cellStyle name="Normal 57 4 6 4 4 2 2" xfId="47718" xr:uid="{00000000-0005-0000-0000-0000F5890000}"/>
    <cellStyle name="Normal 57 4 6 4 4 3" xfId="33640" xr:uid="{00000000-0005-0000-0000-0000F6890000}"/>
    <cellStyle name="Normal 57 4 6 4 5" xfId="17158" xr:uid="{00000000-0005-0000-0000-0000F7890000}"/>
    <cellStyle name="Normal 57 4 6 4 5 2" xfId="42711" xr:uid="{00000000-0005-0000-0000-0000F8890000}"/>
    <cellStyle name="Normal 57 4 6 4 6" xfId="28648" xr:uid="{00000000-0005-0000-0000-0000F9890000}"/>
    <cellStyle name="Normal 57 4 6 5" xfId="4136" xr:uid="{00000000-0005-0000-0000-0000FA890000}"/>
    <cellStyle name="Normal 57 4 6 5 2" xfId="12974" xr:uid="{00000000-0005-0000-0000-0000FB890000}"/>
    <cellStyle name="Normal 57 4 6 5 2 2" xfId="23225" xr:uid="{00000000-0005-0000-0000-0000FC890000}"/>
    <cellStyle name="Normal 57 4 6 5 2 2 2" xfId="48778" xr:uid="{00000000-0005-0000-0000-0000FD890000}"/>
    <cellStyle name="Normal 57 4 6 5 2 3" xfId="38529" xr:uid="{00000000-0005-0000-0000-0000FE890000}"/>
    <cellStyle name="Normal 57 4 6 5 3" xfId="9395" xr:uid="{00000000-0005-0000-0000-0000FF890000}"/>
    <cellStyle name="Normal 57 4 6 5 3 2" xfId="34952" xr:uid="{00000000-0005-0000-0000-0000008A0000}"/>
    <cellStyle name="Normal 57 4 6 5 4" xfId="18218" xr:uid="{00000000-0005-0000-0000-0000018A0000}"/>
    <cellStyle name="Normal 57 4 6 5 4 2" xfId="43771" xr:uid="{00000000-0005-0000-0000-0000028A0000}"/>
    <cellStyle name="Normal 57 4 6 5 5" xfId="29708" xr:uid="{00000000-0005-0000-0000-0000038A0000}"/>
    <cellStyle name="Normal 57 4 6 6" xfId="1913" xr:uid="{00000000-0005-0000-0000-0000048A0000}"/>
    <cellStyle name="Normal 57 4 6 6 2" xfId="11278" xr:uid="{00000000-0005-0000-0000-0000058A0000}"/>
    <cellStyle name="Normal 57 4 6 6 2 2" xfId="36833" xr:uid="{00000000-0005-0000-0000-0000068A0000}"/>
    <cellStyle name="Normal 57 4 6 6 3" xfId="21282" xr:uid="{00000000-0005-0000-0000-0000078A0000}"/>
    <cellStyle name="Normal 57 4 6 6 3 2" xfId="46835" xr:uid="{00000000-0005-0000-0000-0000088A0000}"/>
    <cellStyle name="Normal 57 4 6 6 4" xfId="27765" xr:uid="{00000000-0005-0000-0000-0000098A0000}"/>
    <cellStyle name="Normal 57 4 6 7" xfId="5594" xr:uid="{00000000-0005-0000-0000-00000A8A0000}"/>
    <cellStyle name="Normal 57 4 6 7 2" xfId="14421" xr:uid="{00000000-0005-0000-0000-00000B8A0000}"/>
    <cellStyle name="Normal 57 4 6 7 2 2" xfId="39976" xr:uid="{00000000-0005-0000-0000-00000C8A0000}"/>
    <cellStyle name="Normal 57 4 6 7 3" xfId="24672" xr:uid="{00000000-0005-0000-0000-00000D8A0000}"/>
    <cellStyle name="Normal 57 4 6 7 3 2" xfId="50225" xr:uid="{00000000-0005-0000-0000-00000E8A0000}"/>
    <cellStyle name="Normal 57 4 6 7 4" xfId="31155" xr:uid="{00000000-0005-0000-0000-00000F8A0000}"/>
    <cellStyle name="Normal 57 4 6 8" xfId="7038" xr:uid="{00000000-0005-0000-0000-0000108A0000}"/>
    <cellStyle name="Normal 57 4 6 8 2" xfId="19764" xr:uid="{00000000-0005-0000-0000-0000118A0000}"/>
    <cellStyle name="Normal 57 4 6 8 2 2" xfId="45317" xr:uid="{00000000-0005-0000-0000-0000128A0000}"/>
    <cellStyle name="Normal 57 4 6 8 3" xfId="32595" xr:uid="{00000000-0005-0000-0000-0000138A0000}"/>
    <cellStyle name="Normal 57 4 6 9" xfId="16275" xr:uid="{00000000-0005-0000-0000-0000148A0000}"/>
    <cellStyle name="Normal 57 4 6 9 2" xfId="41828" xr:uid="{00000000-0005-0000-0000-0000158A0000}"/>
    <cellStyle name="Normal 57 4 6_Degree data" xfId="3965" xr:uid="{00000000-0005-0000-0000-0000168A0000}"/>
    <cellStyle name="Normal 57 4 7" xfId="849" xr:uid="{00000000-0005-0000-0000-0000178A0000}"/>
    <cellStyle name="Normal 57 4 7 2" xfId="3334" xr:uid="{00000000-0005-0000-0000-0000188A0000}"/>
    <cellStyle name="Normal 57 4 7 2 2" xfId="12476" xr:uid="{00000000-0005-0000-0000-0000198A0000}"/>
    <cellStyle name="Normal 57 4 7 2 2 2" xfId="22695" xr:uid="{00000000-0005-0000-0000-00001A8A0000}"/>
    <cellStyle name="Normal 57 4 7 2 2 2 2" xfId="48248" xr:uid="{00000000-0005-0000-0000-00001B8A0000}"/>
    <cellStyle name="Normal 57 4 7 2 2 3" xfId="38031" xr:uid="{00000000-0005-0000-0000-00001C8A0000}"/>
    <cellStyle name="Normal 57 4 7 2 3" xfId="8898" xr:uid="{00000000-0005-0000-0000-00001D8A0000}"/>
    <cellStyle name="Normal 57 4 7 2 3 2" xfId="34455" xr:uid="{00000000-0005-0000-0000-00001E8A0000}"/>
    <cellStyle name="Normal 57 4 7 2 4" xfId="17688" xr:uid="{00000000-0005-0000-0000-00001F8A0000}"/>
    <cellStyle name="Normal 57 4 7 2 4 2" xfId="43241" xr:uid="{00000000-0005-0000-0000-0000208A0000}"/>
    <cellStyle name="Normal 57 4 7 2 5" xfId="29178" xr:uid="{00000000-0005-0000-0000-0000218A0000}"/>
    <cellStyle name="Normal 57 4 7 3" xfId="4663" xr:uid="{00000000-0005-0000-0000-0000228A0000}"/>
    <cellStyle name="Normal 57 4 7 3 2" xfId="13501" xr:uid="{00000000-0005-0000-0000-0000238A0000}"/>
    <cellStyle name="Normal 57 4 7 3 2 2" xfId="23752" xr:uid="{00000000-0005-0000-0000-0000248A0000}"/>
    <cellStyle name="Normal 57 4 7 3 2 2 2" xfId="49305" xr:uid="{00000000-0005-0000-0000-0000258A0000}"/>
    <cellStyle name="Normal 57 4 7 3 2 3" xfId="39056" xr:uid="{00000000-0005-0000-0000-0000268A0000}"/>
    <cellStyle name="Normal 57 4 7 3 3" xfId="9922" xr:uid="{00000000-0005-0000-0000-0000278A0000}"/>
    <cellStyle name="Normal 57 4 7 3 3 2" xfId="35479" xr:uid="{00000000-0005-0000-0000-0000288A0000}"/>
    <cellStyle name="Normal 57 4 7 3 4" xfId="18745" xr:uid="{00000000-0005-0000-0000-0000298A0000}"/>
    <cellStyle name="Normal 57 4 7 3 4 2" xfId="44298" xr:uid="{00000000-0005-0000-0000-00002A8A0000}"/>
    <cellStyle name="Normal 57 4 7 3 5" xfId="30235" xr:uid="{00000000-0005-0000-0000-00002B8A0000}"/>
    <cellStyle name="Normal 57 4 7 4" xfId="2443" xr:uid="{00000000-0005-0000-0000-00002C8A0000}"/>
    <cellStyle name="Normal 57 4 7 4 2" xfId="11808" xr:uid="{00000000-0005-0000-0000-00002D8A0000}"/>
    <cellStyle name="Normal 57 4 7 4 2 2" xfId="37363" xr:uid="{00000000-0005-0000-0000-00002E8A0000}"/>
    <cellStyle name="Normal 57 4 7 4 3" xfId="21812" xr:uid="{00000000-0005-0000-0000-00002F8A0000}"/>
    <cellStyle name="Normal 57 4 7 4 3 2" xfId="47365" xr:uid="{00000000-0005-0000-0000-0000308A0000}"/>
    <cellStyle name="Normal 57 4 7 4 4" xfId="28295" xr:uid="{00000000-0005-0000-0000-0000318A0000}"/>
    <cellStyle name="Normal 57 4 7 5" xfId="6119" xr:uid="{00000000-0005-0000-0000-0000328A0000}"/>
    <cellStyle name="Normal 57 4 7 5 2" xfId="14946" xr:uid="{00000000-0005-0000-0000-0000338A0000}"/>
    <cellStyle name="Normal 57 4 7 5 2 2" xfId="40501" xr:uid="{00000000-0005-0000-0000-0000348A0000}"/>
    <cellStyle name="Normal 57 4 7 5 3" xfId="25197" xr:uid="{00000000-0005-0000-0000-0000358A0000}"/>
    <cellStyle name="Normal 57 4 7 5 3 2" xfId="50750" xr:uid="{00000000-0005-0000-0000-0000368A0000}"/>
    <cellStyle name="Normal 57 4 7 5 4" xfId="31680" xr:uid="{00000000-0005-0000-0000-0000378A0000}"/>
    <cellStyle name="Normal 57 4 7 6" xfId="7564" xr:uid="{00000000-0005-0000-0000-0000388A0000}"/>
    <cellStyle name="Normal 57 4 7 6 2" xfId="20294" xr:uid="{00000000-0005-0000-0000-0000398A0000}"/>
    <cellStyle name="Normal 57 4 7 6 2 2" xfId="45847" xr:uid="{00000000-0005-0000-0000-00003A8A0000}"/>
    <cellStyle name="Normal 57 4 7 6 3" xfId="33121" xr:uid="{00000000-0005-0000-0000-00003B8A0000}"/>
    <cellStyle name="Normal 57 4 7 7" xfId="16805" xr:uid="{00000000-0005-0000-0000-00003C8A0000}"/>
    <cellStyle name="Normal 57 4 7 7 2" xfId="42358" xr:uid="{00000000-0005-0000-0000-00003D8A0000}"/>
    <cellStyle name="Normal 57 4 7 8" xfId="26777" xr:uid="{00000000-0005-0000-0000-00003E8A0000}"/>
    <cellStyle name="Normal 57 4 8" xfId="1047" xr:uid="{00000000-0005-0000-0000-00003F8A0000}"/>
    <cellStyle name="Normal 57 4 8 2" xfId="3476" xr:uid="{00000000-0005-0000-0000-0000408A0000}"/>
    <cellStyle name="Normal 57 4 8 2 2" xfId="12612" xr:uid="{00000000-0005-0000-0000-0000418A0000}"/>
    <cellStyle name="Normal 57 4 8 2 2 2" xfId="22831" xr:uid="{00000000-0005-0000-0000-0000428A0000}"/>
    <cellStyle name="Normal 57 4 8 2 2 2 2" xfId="48384" xr:uid="{00000000-0005-0000-0000-0000438A0000}"/>
    <cellStyle name="Normal 57 4 8 2 2 3" xfId="38167" xr:uid="{00000000-0005-0000-0000-0000448A0000}"/>
    <cellStyle name="Normal 57 4 8 2 3" xfId="9034" xr:uid="{00000000-0005-0000-0000-0000458A0000}"/>
    <cellStyle name="Normal 57 4 8 2 3 2" xfId="34591" xr:uid="{00000000-0005-0000-0000-0000468A0000}"/>
    <cellStyle name="Normal 57 4 8 2 4" xfId="17824" xr:uid="{00000000-0005-0000-0000-0000478A0000}"/>
    <cellStyle name="Normal 57 4 8 2 4 2" xfId="43377" xr:uid="{00000000-0005-0000-0000-0000488A0000}"/>
    <cellStyle name="Normal 57 4 8 2 5" xfId="29314" xr:uid="{00000000-0005-0000-0000-0000498A0000}"/>
    <cellStyle name="Normal 57 4 8 3" xfId="5012" xr:uid="{00000000-0005-0000-0000-00004A8A0000}"/>
    <cellStyle name="Normal 57 4 8 3 2" xfId="13849" xr:uid="{00000000-0005-0000-0000-00004B8A0000}"/>
    <cellStyle name="Normal 57 4 8 3 2 2" xfId="24100" xr:uid="{00000000-0005-0000-0000-00004C8A0000}"/>
    <cellStyle name="Normal 57 4 8 3 2 2 2" xfId="49653" xr:uid="{00000000-0005-0000-0000-00004D8A0000}"/>
    <cellStyle name="Normal 57 4 8 3 2 3" xfId="39404" xr:uid="{00000000-0005-0000-0000-00004E8A0000}"/>
    <cellStyle name="Normal 57 4 8 3 3" xfId="10270" xr:uid="{00000000-0005-0000-0000-00004F8A0000}"/>
    <cellStyle name="Normal 57 4 8 3 3 2" xfId="35827" xr:uid="{00000000-0005-0000-0000-0000508A0000}"/>
    <cellStyle name="Normal 57 4 8 3 4" xfId="19093" xr:uid="{00000000-0005-0000-0000-0000518A0000}"/>
    <cellStyle name="Normal 57 4 8 3 4 2" xfId="44646" xr:uid="{00000000-0005-0000-0000-0000528A0000}"/>
    <cellStyle name="Normal 57 4 8 3 5" xfId="30583" xr:uid="{00000000-0005-0000-0000-0000538A0000}"/>
    <cellStyle name="Normal 57 4 8 4" xfId="1717" xr:uid="{00000000-0005-0000-0000-0000548A0000}"/>
    <cellStyle name="Normal 57 4 8 4 2" xfId="11091" xr:uid="{00000000-0005-0000-0000-0000558A0000}"/>
    <cellStyle name="Normal 57 4 8 4 2 2" xfId="36646" xr:uid="{00000000-0005-0000-0000-0000568A0000}"/>
    <cellStyle name="Normal 57 4 8 4 3" xfId="21095" xr:uid="{00000000-0005-0000-0000-0000578A0000}"/>
    <cellStyle name="Normal 57 4 8 4 3 2" xfId="46648" xr:uid="{00000000-0005-0000-0000-0000588A0000}"/>
    <cellStyle name="Normal 57 4 8 4 4" xfId="27578" xr:uid="{00000000-0005-0000-0000-0000598A0000}"/>
    <cellStyle name="Normal 57 4 8 5" xfId="6467" xr:uid="{00000000-0005-0000-0000-00005A8A0000}"/>
    <cellStyle name="Normal 57 4 8 5 2" xfId="15294" xr:uid="{00000000-0005-0000-0000-00005B8A0000}"/>
    <cellStyle name="Normal 57 4 8 5 2 2" xfId="40849" xr:uid="{00000000-0005-0000-0000-00005C8A0000}"/>
    <cellStyle name="Normal 57 4 8 5 3" xfId="25545" xr:uid="{00000000-0005-0000-0000-00005D8A0000}"/>
    <cellStyle name="Normal 57 4 8 5 3 2" xfId="51098" xr:uid="{00000000-0005-0000-0000-00005E8A0000}"/>
    <cellStyle name="Normal 57 4 8 5 4" xfId="32028" xr:uid="{00000000-0005-0000-0000-00005F8A0000}"/>
    <cellStyle name="Normal 57 4 8 6" xfId="7913" xr:uid="{00000000-0005-0000-0000-0000608A0000}"/>
    <cellStyle name="Normal 57 4 8 6 2" xfId="20430" xr:uid="{00000000-0005-0000-0000-0000618A0000}"/>
    <cellStyle name="Normal 57 4 8 6 2 2" xfId="45983" xr:uid="{00000000-0005-0000-0000-0000628A0000}"/>
    <cellStyle name="Normal 57 4 8 6 3" xfId="33470" xr:uid="{00000000-0005-0000-0000-0000638A0000}"/>
    <cellStyle name="Normal 57 4 8 7" xfId="16088" xr:uid="{00000000-0005-0000-0000-0000648A0000}"/>
    <cellStyle name="Normal 57 4 8 7 2" xfId="41641" xr:uid="{00000000-0005-0000-0000-0000658A0000}"/>
    <cellStyle name="Normal 57 4 8 8" xfId="26913" xr:uid="{00000000-0005-0000-0000-0000668A0000}"/>
    <cellStyle name="Normal 57 4 9" xfId="2615" xr:uid="{00000000-0005-0000-0000-0000678A0000}"/>
    <cellStyle name="Normal 57 4 9 2" xfId="5139" xr:uid="{00000000-0005-0000-0000-0000688A0000}"/>
    <cellStyle name="Normal 57 4 9 2 2" xfId="13976" xr:uid="{00000000-0005-0000-0000-0000698A0000}"/>
    <cellStyle name="Normal 57 4 9 2 2 2" xfId="24227" xr:uid="{00000000-0005-0000-0000-00006A8A0000}"/>
    <cellStyle name="Normal 57 4 9 2 2 2 2" xfId="49780" xr:uid="{00000000-0005-0000-0000-00006B8A0000}"/>
    <cellStyle name="Normal 57 4 9 2 2 3" xfId="39531" xr:uid="{00000000-0005-0000-0000-00006C8A0000}"/>
    <cellStyle name="Normal 57 4 9 2 3" xfId="10397" xr:uid="{00000000-0005-0000-0000-00006D8A0000}"/>
    <cellStyle name="Normal 57 4 9 2 3 2" xfId="35954" xr:uid="{00000000-0005-0000-0000-00006E8A0000}"/>
    <cellStyle name="Normal 57 4 9 2 4" xfId="19220" xr:uid="{00000000-0005-0000-0000-00006F8A0000}"/>
    <cellStyle name="Normal 57 4 9 2 4 2" xfId="44773" xr:uid="{00000000-0005-0000-0000-0000708A0000}"/>
    <cellStyle name="Normal 57 4 9 2 5" xfId="30710" xr:uid="{00000000-0005-0000-0000-0000718A0000}"/>
    <cellStyle name="Normal 57 4 9 3" xfId="6594" xr:uid="{00000000-0005-0000-0000-0000728A0000}"/>
    <cellStyle name="Normal 57 4 9 3 2" xfId="15421" xr:uid="{00000000-0005-0000-0000-0000738A0000}"/>
    <cellStyle name="Normal 57 4 9 3 2 2" xfId="40976" xr:uid="{00000000-0005-0000-0000-0000748A0000}"/>
    <cellStyle name="Normal 57 4 9 3 3" xfId="25672" xr:uid="{00000000-0005-0000-0000-0000758A0000}"/>
    <cellStyle name="Normal 57 4 9 3 3 2" xfId="51225" xr:uid="{00000000-0005-0000-0000-0000768A0000}"/>
    <cellStyle name="Normal 57 4 9 3 4" xfId="32155" xr:uid="{00000000-0005-0000-0000-0000778A0000}"/>
    <cellStyle name="Normal 57 4 9 4" xfId="8040" xr:uid="{00000000-0005-0000-0000-0000788A0000}"/>
    <cellStyle name="Normal 57 4 9 4 2" xfId="21978" xr:uid="{00000000-0005-0000-0000-0000798A0000}"/>
    <cellStyle name="Normal 57 4 9 4 2 2" xfId="47531" xr:uid="{00000000-0005-0000-0000-00007A8A0000}"/>
    <cellStyle name="Normal 57 4 9 4 3" xfId="33597" xr:uid="{00000000-0005-0000-0000-00007B8A0000}"/>
    <cellStyle name="Normal 57 4 9 5" xfId="16971" xr:uid="{00000000-0005-0000-0000-00007C8A0000}"/>
    <cellStyle name="Normal 57 4 9 5 2" xfId="42524" xr:uid="{00000000-0005-0000-0000-00007D8A0000}"/>
    <cellStyle name="Normal 57 4 9 6" xfId="28461" xr:uid="{00000000-0005-0000-0000-00007E8A0000}"/>
    <cellStyle name="Normal 57 4_Degree data" xfId="3955" xr:uid="{00000000-0005-0000-0000-00007F8A0000}"/>
    <cellStyle name="Normal 57 5" xfId="93" xr:uid="{00000000-0005-0000-0000-0000808A0000}"/>
    <cellStyle name="Normal 57 5 10" xfId="4107" xr:uid="{00000000-0005-0000-0000-0000818A0000}"/>
    <cellStyle name="Normal 57 5 10 2" xfId="5565" xr:uid="{00000000-0005-0000-0000-0000828A0000}"/>
    <cellStyle name="Normal 57 5 10 2 2" xfId="14392" xr:uid="{00000000-0005-0000-0000-0000838A0000}"/>
    <cellStyle name="Normal 57 5 10 2 2 2" xfId="39947" xr:uid="{00000000-0005-0000-0000-0000848A0000}"/>
    <cellStyle name="Normal 57 5 10 2 3" xfId="24643" xr:uid="{00000000-0005-0000-0000-0000858A0000}"/>
    <cellStyle name="Normal 57 5 10 2 3 2" xfId="50196" xr:uid="{00000000-0005-0000-0000-0000868A0000}"/>
    <cellStyle name="Normal 57 5 10 2 4" xfId="31126" xr:uid="{00000000-0005-0000-0000-0000878A0000}"/>
    <cellStyle name="Normal 57 5 10 3" xfId="7009" xr:uid="{00000000-0005-0000-0000-0000888A0000}"/>
    <cellStyle name="Normal 57 5 10 3 2" xfId="23196" xr:uid="{00000000-0005-0000-0000-0000898A0000}"/>
    <cellStyle name="Normal 57 5 10 3 2 2" xfId="48749" xr:uid="{00000000-0005-0000-0000-00008A8A0000}"/>
    <cellStyle name="Normal 57 5 10 3 3" xfId="32566" xr:uid="{00000000-0005-0000-0000-00008B8A0000}"/>
    <cellStyle name="Normal 57 5 10 4" xfId="18189" xr:uid="{00000000-0005-0000-0000-00008C8A0000}"/>
    <cellStyle name="Normal 57 5 10 4 2" xfId="43742" xr:uid="{00000000-0005-0000-0000-00008D8A0000}"/>
    <cellStyle name="Normal 57 5 10 5" xfId="29679" xr:uid="{00000000-0005-0000-0000-00008E8A0000}"/>
    <cellStyle name="Normal 57 5 11" xfId="1426" xr:uid="{00000000-0005-0000-0000-00008F8A0000}"/>
    <cellStyle name="Normal 57 5 11 2" xfId="10803" xr:uid="{00000000-0005-0000-0000-0000908A0000}"/>
    <cellStyle name="Normal 57 5 11 2 2" xfId="36358" xr:uid="{00000000-0005-0000-0000-0000918A0000}"/>
    <cellStyle name="Normal 57 5 11 3" xfId="20807" xr:uid="{00000000-0005-0000-0000-0000928A0000}"/>
    <cellStyle name="Normal 57 5 11 3 2" xfId="46360" xr:uid="{00000000-0005-0000-0000-0000938A0000}"/>
    <cellStyle name="Normal 57 5 11 4" xfId="27290" xr:uid="{00000000-0005-0000-0000-0000948A0000}"/>
    <cellStyle name="Normal 57 5 12" xfId="5535" xr:uid="{00000000-0005-0000-0000-0000958A0000}"/>
    <cellStyle name="Normal 57 5 12 2" xfId="14362" xr:uid="{00000000-0005-0000-0000-0000968A0000}"/>
    <cellStyle name="Normal 57 5 12 2 2" xfId="39917" xr:uid="{00000000-0005-0000-0000-0000978A0000}"/>
    <cellStyle name="Normal 57 5 12 3" xfId="24613" xr:uid="{00000000-0005-0000-0000-0000988A0000}"/>
    <cellStyle name="Normal 57 5 12 3 2" xfId="50166" xr:uid="{00000000-0005-0000-0000-0000998A0000}"/>
    <cellStyle name="Normal 57 5 12 4" xfId="31096" xr:uid="{00000000-0005-0000-0000-00009A8A0000}"/>
    <cellStyle name="Normal 57 5 13" xfId="6979" xr:uid="{00000000-0005-0000-0000-00009B8A0000}"/>
    <cellStyle name="Normal 57 5 13 2" xfId="19575" xr:uid="{00000000-0005-0000-0000-00009C8A0000}"/>
    <cellStyle name="Normal 57 5 13 2 2" xfId="45128" xr:uid="{00000000-0005-0000-0000-00009D8A0000}"/>
    <cellStyle name="Normal 57 5 13 3" xfId="32536" xr:uid="{00000000-0005-0000-0000-00009E8A0000}"/>
    <cellStyle name="Normal 57 5 14" xfId="15800" xr:uid="{00000000-0005-0000-0000-00009F8A0000}"/>
    <cellStyle name="Normal 57 5 14 2" xfId="41353" xr:uid="{00000000-0005-0000-0000-0000A08A0000}"/>
    <cellStyle name="Normal 57 5 15" xfId="26058" xr:uid="{00000000-0005-0000-0000-0000A18A0000}"/>
    <cellStyle name="Normal 57 5 2" xfId="161" xr:uid="{00000000-0005-0000-0000-0000A28A0000}"/>
    <cellStyle name="Normal 57 5 2 10" xfId="5667" xr:uid="{00000000-0005-0000-0000-0000A38A0000}"/>
    <cellStyle name="Normal 57 5 2 10 2" xfId="14494" xr:uid="{00000000-0005-0000-0000-0000A48A0000}"/>
    <cellStyle name="Normal 57 5 2 10 2 2" xfId="40049" xr:uid="{00000000-0005-0000-0000-0000A58A0000}"/>
    <cellStyle name="Normal 57 5 2 10 3" xfId="24745" xr:uid="{00000000-0005-0000-0000-0000A68A0000}"/>
    <cellStyle name="Normal 57 5 2 10 3 2" xfId="50298" xr:uid="{00000000-0005-0000-0000-0000A78A0000}"/>
    <cellStyle name="Normal 57 5 2 10 4" xfId="31228" xr:uid="{00000000-0005-0000-0000-0000A88A0000}"/>
    <cellStyle name="Normal 57 5 2 11" xfId="7111" xr:uid="{00000000-0005-0000-0000-0000A98A0000}"/>
    <cellStyle name="Normal 57 5 2 11 2" xfId="19620" xr:uid="{00000000-0005-0000-0000-0000AA8A0000}"/>
    <cellStyle name="Normal 57 5 2 11 2 2" xfId="45173" xr:uid="{00000000-0005-0000-0000-0000AB8A0000}"/>
    <cellStyle name="Normal 57 5 2 11 3" xfId="32668" xr:uid="{00000000-0005-0000-0000-0000AC8A0000}"/>
    <cellStyle name="Normal 57 5 2 12" xfId="15857" xr:uid="{00000000-0005-0000-0000-0000AD8A0000}"/>
    <cellStyle name="Normal 57 5 2 12 2" xfId="41410" xr:uid="{00000000-0005-0000-0000-0000AE8A0000}"/>
    <cellStyle name="Normal 57 5 2 13" xfId="26103" xr:uid="{00000000-0005-0000-0000-0000AF8A0000}"/>
    <cellStyle name="Normal 57 5 2 2" xfId="273" xr:uid="{00000000-0005-0000-0000-0000B08A0000}"/>
    <cellStyle name="Normal 57 5 2 2 10" xfId="16061" xr:uid="{00000000-0005-0000-0000-0000B18A0000}"/>
    <cellStyle name="Normal 57 5 2 2 10 2" xfId="41614" xr:uid="{00000000-0005-0000-0000-0000B28A0000}"/>
    <cellStyle name="Normal 57 5 2 2 11" xfId="26207" xr:uid="{00000000-0005-0000-0000-0000B38A0000}"/>
    <cellStyle name="Normal 57 5 2 2 2" xfId="595" xr:uid="{00000000-0005-0000-0000-0000B48A0000}"/>
    <cellStyle name="Normal 57 5 2 2 2 2" xfId="3081" xr:uid="{00000000-0005-0000-0000-0000B58A0000}"/>
    <cellStyle name="Normal 57 5 2 2 2 2 2" xfId="12225" xr:uid="{00000000-0005-0000-0000-0000B68A0000}"/>
    <cellStyle name="Normal 57 5 2 2 2 2 2 2" xfId="22442" xr:uid="{00000000-0005-0000-0000-0000B78A0000}"/>
    <cellStyle name="Normal 57 5 2 2 2 2 2 2 2" xfId="47995" xr:uid="{00000000-0005-0000-0000-0000B88A0000}"/>
    <cellStyle name="Normal 57 5 2 2 2 2 2 3" xfId="37780" xr:uid="{00000000-0005-0000-0000-0000B98A0000}"/>
    <cellStyle name="Normal 57 5 2 2 2 2 3" xfId="8647" xr:uid="{00000000-0005-0000-0000-0000BA8A0000}"/>
    <cellStyle name="Normal 57 5 2 2 2 2 3 2" xfId="34204" xr:uid="{00000000-0005-0000-0000-0000BB8A0000}"/>
    <cellStyle name="Normal 57 5 2 2 2 2 4" xfId="17435" xr:uid="{00000000-0005-0000-0000-0000BC8A0000}"/>
    <cellStyle name="Normal 57 5 2 2 2 2 4 2" xfId="42988" xr:uid="{00000000-0005-0000-0000-0000BD8A0000}"/>
    <cellStyle name="Normal 57 5 2 2 2 2 5" xfId="28925" xr:uid="{00000000-0005-0000-0000-0000BE8A0000}"/>
    <cellStyle name="Normal 57 5 2 2 2 3" xfId="4676" xr:uid="{00000000-0005-0000-0000-0000BF8A0000}"/>
    <cellStyle name="Normal 57 5 2 2 2 3 2" xfId="13514" xr:uid="{00000000-0005-0000-0000-0000C08A0000}"/>
    <cellStyle name="Normal 57 5 2 2 2 3 2 2" xfId="23765" xr:uid="{00000000-0005-0000-0000-0000C18A0000}"/>
    <cellStyle name="Normal 57 5 2 2 2 3 2 2 2" xfId="49318" xr:uid="{00000000-0005-0000-0000-0000C28A0000}"/>
    <cellStyle name="Normal 57 5 2 2 2 3 2 3" xfId="39069" xr:uid="{00000000-0005-0000-0000-0000C38A0000}"/>
    <cellStyle name="Normal 57 5 2 2 2 3 3" xfId="9935" xr:uid="{00000000-0005-0000-0000-0000C48A0000}"/>
    <cellStyle name="Normal 57 5 2 2 2 3 3 2" xfId="35492" xr:uid="{00000000-0005-0000-0000-0000C58A0000}"/>
    <cellStyle name="Normal 57 5 2 2 2 3 4" xfId="18758" xr:uid="{00000000-0005-0000-0000-0000C68A0000}"/>
    <cellStyle name="Normal 57 5 2 2 2 3 4 2" xfId="44311" xr:uid="{00000000-0005-0000-0000-0000C78A0000}"/>
    <cellStyle name="Normal 57 5 2 2 2 3 5" xfId="30248" xr:uid="{00000000-0005-0000-0000-0000C88A0000}"/>
    <cellStyle name="Normal 57 5 2 2 2 4" xfId="2190" xr:uid="{00000000-0005-0000-0000-0000C98A0000}"/>
    <cellStyle name="Normal 57 5 2 2 2 4 2" xfId="11555" xr:uid="{00000000-0005-0000-0000-0000CA8A0000}"/>
    <cellStyle name="Normal 57 5 2 2 2 4 2 2" xfId="37110" xr:uid="{00000000-0005-0000-0000-0000CB8A0000}"/>
    <cellStyle name="Normal 57 5 2 2 2 4 3" xfId="21559" xr:uid="{00000000-0005-0000-0000-0000CC8A0000}"/>
    <cellStyle name="Normal 57 5 2 2 2 4 3 2" xfId="47112" xr:uid="{00000000-0005-0000-0000-0000CD8A0000}"/>
    <cellStyle name="Normal 57 5 2 2 2 4 4" xfId="28042" xr:uid="{00000000-0005-0000-0000-0000CE8A0000}"/>
    <cellStyle name="Normal 57 5 2 2 2 5" xfId="6132" xr:uid="{00000000-0005-0000-0000-0000CF8A0000}"/>
    <cellStyle name="Normal 57 5 2 2 2 5 2" xfId="14959" xr:uid="{00000000-0005-0000-0000-0000D08A0000}"/>
    <cellStyle name="Normal 57 5 2 2 2 5 2 2" xfId="40514" xr:uid="{00000000-0005-0000-0000-0000D18A0000}"/>
    <cellStyle name="Normal 57 5 2 2 2 5 3" xfId="25210" xr:uid="{00000000-0005-0000-0000-0000D28A0000}"/>
    <cellStyle name="Normal 57 5 2 2 2 5 3 2" xfId="50763" xr:uid="{00000000-0005-0000-0000-0000D38A0000}"/>
    <cellStyle name="Normal 57 5 2 2 2 5 4" xfId="31693" xr:uid="{00000000-0005-0000-0000-0000D48A0000}"/>
    <cellStyle name="Normal 57 5 2 2 2 6" xfId="7577" xr:uid="{00000000-0005-0000-0000-0000D58A0000}"/>
    <cellStyle name="Normal 57 5 2 2 2 6 2" xfId="20041" xr:uid="{00000000-0005-0000-0000-0000D68A0000}"/>
    <cellStyle name="Normal 57 5 2 2 2 6 2 2" xfId="45594" xr:uid="{00000000-0005-0000-0000-0000D78A0000}"/>
    <cellStyle name="Normal 57 5 2 2 2 6 3" xfId="33134" xr:uid="{00000000-0005-0000-0000-0000D88A0000}"/>
    <cellStyle name="Normal 57 5 2 2 2 7" xfId="16552" xr:uid="{00000000-0005-0000-0000-0000D98A0000}"/>
    <cellStyle name="Normal 57 5 2 2 2 7 2" xfId="42105" xr:uid="{00000000-0005-0000-0000-0000DA8A0000}"/>
    <cellStyle name="Normal 57 5 2 2 2 8" xfId="26524" xr:uid="{00000000-0005-0000-0000-0000DB8A0000}"/>
    <cellStyle name="Normal 57 5 2 2 3" xfId="862" xr:uid="{00000000-0005-0000-0000-0000DC8A0000}"/>
    <cellStyle name="Normal 57 5 2 2 3 2" xfId="3347" xr:uid="{00000000-0005-0000-0000-0000DD8A0000}"/>
    <cellStyle name="Normal 57 5 2 2 3 2 2" xfId="12489" xr:uid="{00000000-0005-0000-0000-0000DE8A0000}"/>
    <cellStyle name="Normal 57 5 2 2 3 2 2 2" xfId="22708" xr:uid="{00000000-0005-0000-0000-0000DF8A0000}"/>
    <cellStyle name="Normal 57 5 2 2 3 2 2 2 2" xfId="48261" xr:uid="{00000000-0005-0000-0000-0000E08A0000}"/>
    <cellStyle name="Normal 57 5 2 2 3 2 2 3" xfId="38044" xr:uid="{00000000-0005-0000-0000-0000E18A0000}"/>
    <cellStyle name="Normal 57 5 2 2 3 2 3" xfId="8911" xr:uid="{00000000-0005-0000-0000-0000E28A0000}"/>
    <cellStyle name="Normal 57 5 2 2 3 2 3 2" xfId="34468" xr:uid="{00000000-0005-0000-0000-0000E38A0000}"/>
    <cellStyle name="Normal 57 5 2 2 3 2 4" xfId="17701" xr:uid="{00000000-0005-0000-0000-0000E48A0000}"/>
    <cellStyle name="Normal 57 5 2 2 3 2 4 2" xfId="43254" xr:uid="{00000000-0005-0000-0000-0000E58A0000}"/>
    <cellStyle name="Normal 57 5 2 2 3 2 5" xfId="29191" xr:uid="{00000000-0005-0000-0000-0000E68A0000}"/>
    <cellStyle name="Normal 57 5 2 2 3 3" xfId="5025" xr:uid="{00000000-0005-0000-0000-0000E78A0000}"/>
    <cellStyle name="Normal 57 5 2 2 3 3 2" xfId="13862" xr:uid="{00000000-0005-0000-0000-0000E88A0000}"/>
    <cellStyle name="Normal 57 5 2 2 3 3 2 2" xfId="24113" xr:uid="{00000000-0005-0000-0000-0000E98A0000}"/>
    <cellStyle name="Normal 57 5 2 2 3 3 2 2 2" xfId="49666" xr:uid="{00000000-0005-0000-0000-0000EA8A0000}"/>
    <cellStyle name="Normal 57 5 2 2 3 3 2 3" xfId="39417" xr:uid="{00000000-0005-0000-0000-0000EB8A0000}"/>
    <cellStyle name="Normal 57 5 2 2 3 3 3" xfId="10283" xr:uid="{00000000-0005-0000-0000-0000EC8A0000}"/>
    <cellStyle name="Normal 57 5 2 2 3 3 3 2" xfId="35840" xr:uid="{00000000-0005-0000-0000-0000ED8A0000}"/>
    <cellStyle name="Normal 57 5 2 2 3 3 4" xfId="19106" xr:uid="{00000000-0005-0000-0000-0000EE8A0000}"/>
    <cellStyle name="Normal 57 5 2 2 3 3 4 2" xfId="44659" xr:uid="{00000000-0005-0000-0000-0000EF8A0000}"/>
    <cellStyle name="Normal 57 5 2 2 3 3 5" xfId="30596" xr:uid="{00000000-0005-0000-0000-0000F08A0000}"/>
    <cellStyle name="Normal 57 5 2 2 3 4" xfId="2456" xr:uid="{00000000-0005-0000-0000-0000F18A0000}"/>
    <cellStyle name="Normal 57 5 2 2 3 4 2" xfId="11821" xr:uid="{00000000-0005-0000-0000-0000F28A0000}"/>
    <cellStyle name="Normal 57 5 2 2 3 4 2 2" xfId="37376" xr:uid="{00000000-0005-0000-0000-0000F38A0000}"/>
    <cellStyle name="Normal 57 5 2 2 3 4 3" xfId="21825" xr:uid="{00000000-0005-0000-0000-0000F48A0000}"/>
    <cellStyle name="Normal 57 5 2 2 3 4 3 2" xfId="47378" xr:uid="{00000000-0005-0000-0000-0000F58A0000}"/>
    <cellStyle name="Normal 57 5 2 2 3 4 4" xfId="28308" xr:uid="{00000000-0005-0000-0000-0000F68A0000}"/>
    <cellStyle name="Normal 57 5 2 2 3 5" xfId="6480" xr:uid="{00000000-0005-0000-0000-0000F78A0000}"/>
    <cellStyle name="Normal 57 5 2 2 3 5 2" xfId="15307" xr:uid="{00000000-0005-0000-0000-0000F88A0000}"/>
    <cellStyle name="Normal 57 5 2 2 3 5 2 2" xfId="40862" xr:uid="{00000000-0005-0000-0000-0000F98A0000}"/>
    <cellStyle name="Normal 57 5 2 2 3 5 3" xfId="25558" xr:uid="{00000000-0005-0000-0000-0000FA8A0000}"/>
    <cellStyle name="Normal 57 5 2 2 3 5 3 2" xfId="51111" xr:uid="{00000000-0005-0000-0000-0000FB8A0000}"/>
    <cellStyle name="Normal 57 5 2 2 3 5 4" xfId="32041" xr:uid="{00000000-0005-0000-0000-0000FC8A0000}"/>
    <cellStyle name="Normal 57 5 2 2 3 6" xfId="7926" xr:uid="{00000000-0005-0000-0000-0000FD8A0000}"/>
    <cellStyle name="Normal 57 5 2 2 3 6 2" xfId="20307" xr:uid="{00000000-0005-0000-0000-0000FE8A0000}"/>
    <cellStyle name="Normal 57 5 2 2 3 6 2 2" xfId="45860" xr:uid="{00000000-0005-0000-0000-0000FF8A0000}"/>
    <cellStyle name="Normal 57 5 2 2 3 6 3" xfId="33483" xr:uid="{00000000-0005-0000-0000-0000008B0000}"/>
    <cellStyle name="Normal 57 5 2 2 3 7" xfId="16818" xr:uid="{00000000-0005-0000-0000-0000018B0000}"/>
    <cellStyle name="Normal 57 5 2 2 3 7 2" xfId="42371" xr:uid="{00000000-0005-0000-0000-0000028B0000}"/>
    <cellStyle name="Normal 57 5 2 2 3 8" xfId="26790" xr:uid="{00000000-0005-0000-0000-0000038B0000}"/>
    <cellStyle name="Normal 57 5 2 2 4" xfId="1367" xr:uid="{00000000-0005-0000-0000-0000048B0000}"/>
    <cellStyle name="Normal 57 5 2 2 4 2" xfId="3796" xr:uid="{00000000-0005-0000-0000-0000058B0000}"/>
    <cellStyle name="Normal 57 5 2 2 4 2 2" xfId="12932" xr:uid="{00000000-0005-0000-0000-0000068B0000}"/>
    <cellStyle name="Normal 57 5 2 2 4 2 2 2" xfId="23151" xr:uid="{00000000-0005-0000-0000-0000078B0000}"/>
    <cellStyle name="Normal 57 5 2 2 4 2 2 2 2" xfId="48704" xr:uid="{00000000-0005-0000-0000-0000088B0000}"/>
    <cellStyle name="Normal 57 5 2 2 4 2 2 3" xfId="38487" xr:uid="{00000000-0005-0000-0000-0000098B0000}"/>
    <cellStyle name="Normal 57 5 2 2 4 2 3" xfId="9353" xr:uid="{00000000-0005-0000-0000-00000A8B0000}"/>
    <cellStyle name="Normal 57 5 2 2 4 2 3 2" xfId="34910" xr:uid="{00000000-0005-0000-0000-00000B8B0000}"/>
    <cellStyle name="Normal 57 5 2 2 4 2 4" xfId="18144" xr:uid="{00000000-0005-0000-0000-00000C8B0000}"/>
    <cellStyle name="Normal 57 5 2 2 4 2 4 2" xfId="43697" xr:uid="{00000000-0005-0000-0000-00000D8B0000}"/>
    <cellStyle name="Normal 57 5 2 2 4 2 5" xfId="29634" xr:uid="{00000000-0005-0000-0000-00000E8B0000}"/>
    <cellStyle name="Normal 57 5 2 2 4 3" xfId="5459" xr:uid="{00000000-0005-0000-0000-00000F8B0000}"/>
    <cellStyle name="Normal 57 5 2 2 4 3 2" xfId="14296" xr:uid="{00000000-0005-0000-0000-0000108B0000}"/>
    <cellStyle name="Normal 57 5 2 2 4 3 2 2" xfId="24547" xr:uid="{00000000-0005-0000-0000-0000118B0000}"/>
    <cellStyle name="Normal 57 5 2 2 4 3 2 2 2" xfId="50100" xr:uid="{00000000-0005-0000-0000-0000128B0000}"/>
    <cellStyle name="Normal 57 5 2 2 4 3 2 3" xfId="39851" xr:uid="{00000000-0005-0000-0000-0000138B0000}"/>
    <cellStyle name="Normal 57 5 2 2 4 3 3" xfId="10717" xr:uid="{00000000-0005-0000-0000-0000148B0000}"/>
    <cellStyle name="Normal 57 5 2 2 4 3 3 2" xfId="36274" xr:uid="{00000000-0005-0000-0000-0000158B0000}"/>
    <cellStyle name="Normal 57 5 2 2 4 3 4" xfId="19540" xr:uid="{00000000-0005-0000-0000-0000168B0000}"/>
    <cellStyle name="Normal 57 5 2 2 4 3 4 2" xfId="45093" xr:uid="{00000000-0005-0000-0000-0000178B0000}"/>
    <cellStyle name="Normal 57 5 2 2 4 3 5" xfId="31030" xr:uid="{00000000-0005-0000-0000-0000188B0000}"/>
    <cellStyle name="Normal 57 5 2 2 4 4" xfId="1870" xr:uid="{00000000-0005-0000-0000-0000198B0000}"/>
    <cellStyle name="Normal 57 5 2 2 4 4 2" xfId="11238" xr:uid="{00000000-0005-0000-0000-00001A8B0000}"/>
    <cellStyle name="Normal 57 5 2 2 4 4 2 2" xfId="36793" xr:uid="{00000000-0005-0000-0000-00001B8B0000}"/>
    <cellStyle name="Normal 57 5 2 2 4 4 3" xfId="21242" xr:uid="{00000000-0005-0000-0000-00001C8B0000}"/>
    <cellStyle name="Normal 57 5 2 2 4 4 3 2" xfId="46795" xr:uid="{00000000-0005-0000-0000-00001D8B0000}"/>
    <cellStyle name="Normal 57 5 2 2 4 4 4" xfId="27725" xr:uid="{00000000-0005-0000-0000-00001E8B0000}"/>
    <cellStyle name="Normal 57 5 2 2 4 5" xfId="6914" xr:uid="{00000000-0005-0000-0000-00001F8B0000}"/>
    <cellStyle name="Normal 57 5 2 2 4 5 2" xfId="15741" xr:uid="{00000000-0005-0000-0000-0000208B0000}"/>
    <cellStyle name="Normal 57 5 2 2 4 5 2 2" xfId="41296" xr:uid="{00000000-0005-0000-0000-0000218B0000}"/>
    <cellStyle name="Normal 57 5 2 2 4 5 3" xfId="25992" xr:uid="{00000000-0005-0000-0000-0000228B0000}"/>
    <cellStyle name="Normal 57 5 2 2 4 5 3 2" xfId="51545" xr:uid="{00000000-0005-0000-0000-0000238B0000}"/>
    <cellStyle name="Normal 57 5 2 2 4 5 4" xfId="32475" xr:uid="{00000000-0005-0000-0000-0000248B0000}"/>
    <cellStyle name="Normal 57 5 2 2 4 6" xfId="8360" xr:uid="{00000000-0005-0000-0000-0000258B0000}"/>
    <cellStyle name="Normal 57 5 2 2 4 6 2" xfId="20750" xr:uid="{00000000-0005-0000-0000-0000268B0000}"/>
    <cellStyle name="Normal 57 5 2 2 4 6 2 2" xfId="46303" xr:uid="{00000000-0005-0000-0000-0000278B0000}"/>
    <cellStyle name="Normal 57 5 2 2 4 6 3" xfId="33917" xr:uid="{00000000-0005-0000-0000-0000288B0000}"/>
    <cellStyle name="Normal 57 5 2 2 4 7" xfId="16235" xr:uid="{00000000-0005-0000-0000-0000298B0000}"/>
    <cellStyle name="Normal 57 5 2 2 4 7 2" xfId="41788" xr:uid="{00000000-0005-0000-0000-00002A8B0000}"/>
    <cellStyle name="Normal 57 5 2 2 4 8" xfId="27233" xr:uid="{00000000-0005-0000-0000-00002B8B0000}"/>
    <cellStyle name="Normal 57 5 2 2 5" xfId="2764" xr:uid="{00000000-0005-0000-0000-00002C8B0000}"/>
    <cellStyle name="Normal 57 5 2 2 5 2" xfId="12081" xr:uid="{00000000-0005-0000-0000-00002D8B0000}"/>
    <cellStyle name="Normal 57 5 2 2 5 2 2" xfId="22125" xr:uid="{00000000-0005-0000-0000-00002E8B0000}"/>
    <cellStyle name="Normal 57 5 2 2 5 2 2 2" xfId="47678" xr:uid="{00000000-0005-0000-0000-00002F8B0000}"/>
    <cellStyle name="Normal 57 5 2 2 5 2 3" xfId="37636" xr:uid="{00000000-0005-0000-0000-0000308B0000}"/>
    <cellStyle name="Normal 57 5 2 2 5 3" xfId="8587" xr:uid="{00000000-0005-0000-0000-0000318B0000}"/>
    <cellStyle name="Normal 57 5 2 2 5 3 2" xfId="34144" xr:uid="{00000000-0005-0000-0000-0000328B0000}"/>
    <cellStyle name="Normal 57 5 2 2 5 4" xfId="17118" xr:uid="{00000000-0005-0000-0000-0000338B0000}"/>
    <cellStyle name="Normal 57 5 2 2 5 4 2" xfId="42671" xr:uid="{00000000-0005-0000-0000-0000348B0000}"/>
    <cellStyle name="Normal 57 5 2 2 5 5" xfId="28608" xr:uid="{00000000-0005-0000-0000-0000358B0000}"/>
    <cellStyle name="Normal 57 5 2 2 6" xfId="4415" xr:uid="{00000000-0005-0000-0000-0000368B0000}"/>
    <cellStyle name="Normal 57 5 2 2 6 2" xfId="13253" xr:uid="{00000000-0005-0000-0000-0000378B0000}"/>
    <cellStyle name="Normal 57 5 2 2 6 2 2" xfId="23504" xr:uid="{00000000-0005-0000-0000-0000388B0000}"/>
    <cellStyle name="Normal 57 5 2 2 6 2 2 2" xfId="49057" xr:uid="{00000000-0005-0000-0000-0000398B0000}"/>
    <cellStyle name="Normal 57 5 2 2 6 2 3" xfId="38808" xr:uid="{00000000-0005-0000-0000-00003A8B0000}"/>
    <cellStyle name="Normal 57 5 2 2 6 3" xfId="9674" xr:uid="{00000000-0005-0000-0000-00003B8B0000}"/>
    <cellStyle name="Normal 57 5 2 2 6 3 2" xfId="35231" xr:uid="{00000000-0005-0000-0000-00003C8B0000}"/>
    <cellStyle name="Normal 57 5 2 2 6 4" xfId="18497" xr:uid="{00000000-0005-0000-0000-00003D8B0000}"/>
    <cellStyle name="Normal 57 5 2 2 6 4 2" xfId="44050" xr:uid="{00000000-0005-0000-0000-00003E8B0000}"/>
    <cellStyle name="Normal 57 5 2 2 6 5" xfId="29987" xr:uid="{00000000-0005-0000-0000-00003F8B0000}"/>
    <cellStyle name="Normal 57 5 2 2 7" xfId="1687" xr:uid="{00000000-0005-0000-0000-0000408B0000}"/>
    <cellStyle name="Normal 57 5 2 2 7 2" xfId="11064" xr:uid="{00000000-0005-0000-0000-0000418B0000}"/>
    <cellStyle name="Normal 57 5 2 2 7 2 2" xfId="36619" xr:uid="{00000000-0005-0000-0000-0000428B0000}"/>
    <cellStyle name="Normal 57 5 2 2 7 3" xfId="21068" xr:uid="{00000000-0005-0000-0000-0000438B0000}"/>
    <cellStyle name="Normal 57 5 2 2 7 3 2" xfId="46621" xr:uid="{00000000-0005-0000-0000-0000448B0000}"/>
    <cellStyle name="Normal 57 5 2 2 7 4" xfId="27551" xr:uid="{00000000-0005-0000-0000-0000458B0000}"/>
    <cellStyle name="Normal 57 5 2 2 8" xfId="5871" xr:uid="{00000000-0005-0000-0000-0000468B0000}"/>
    <cellStyle name="Normal 57 5 2 2 8 2" xfId="14698" xr:uid="{00000000-0005-0000-0000-0000478B0000}"/>
    <cellStyle name="Normal 57 5 2 2 8 2 2" xfId="40253" xr:uid="{00000000-0005-0000-0000-0000488B0000}"/>
    <cellStyle name="Normal 57 5 2 2 8 3" xfId="24949" xr:uid="{00000000-0005-0000-0000-0000498B0000}"/>
    <cellStyle name="Normal 57 5 2 2 8 3 2" xfId="50502" xr:uid="{00000000-0005-0000-0000-00004A8B0000}"/>
    <cellStyle name="Normal 57 5 2 2 8 4" xfId="31432" xr:uid="{00000000-0005-0000-0000-00004B8B0000}"/>
    <cellStyle name="Normal 57 5 2 2 9" xfId="7315" xr:uid="{00000000-0005-0000-0000-00004C8B0000}"/>
    <cellStyle name="Normal 57 5 2 2 9 2" xfId="19724" xr:uid="{00000000-0005-0000-0000-00004D8B0000}"/>
    <cellStyle name="Normal 57 5 2 2 9 2 2" xfId="45277" xr:uid="{00000000-0005-0000-0000-00004E8B0000}"/>
    <cellStyle name="Normal 57 5 2 2 9 3" xfId="32872" xr:uid="{00000000-0005-0000-0000-00004F8B0000}"/>
    <cellStyle name="Normal 57 5 2 2_Degree data" xfId="3968" xr:uid="{00000000-0005-0000-0000-0000508B0000}"/>
    <cellStyle name="Normal 57 5 2 3" xfId="491" xr:uid="{00000000-0005-0000-0000-0000518B0000}"/>
    <cellStyle name="Normal 57 5 2 3 10" xfId="26420" xr:uid="{00000000-0005-0000-0000-0000528B0000}"/>
    <cellStyle name="Normal 57 5 2 3 2" xfId="863" xr:uid="{00000000-0005-0000-0000-0000538B0000}"/>
    <cellStyle name="Normal 57 5 2 3 2 2" xfId="3348" xr:uid="{00000000-0005-0000-0000-0000548B0000}"/>
    <cellStyle name="Normal 57 5 2 3 2 2 2" xfId="12490" xr:uid="{00000000-0005-0000-0000-0000558B0000}"/>
    <cellStyle name="Normal 57 5 2 3 2 2 2 2" xfId="22709" xr:uid="{00000000-0005-0000-0000-0000568B0000}"/>
    <cellStyle name="Normal 57 5 2 3 2 2 2 2 2" xfId="48262" xr:uid="{00000000-0005-0000-0000-0000578B0000}"/>
    <cellStyle name="Normal 57 5 2 3 2 2 2 3" xfId="38045" xr:uid="{00000000-0005-0000-0000-0000588B0000}"/>
    <cellStyle name="Normal 57 5 2 3 2 2 3" xfId="8912" xr:uid="{00000000-0005-0000-0000-0000598B0000}"/>
    <cellStyle name="Normal 57 5 2 3 2 2 3 2" xfId="34469" xr:uid="{00000000-0005-0000-0000-00005A8B0000}"/>
    <cellStyle name="Normal 57 5 2 3 2 2 4" xfId="17702" xr:uid="{00000000-0005-0000-0000-00005B8B0000}"/>
    <cellStyle name="Normal 57 5 2 3 2 2 4 2" xfId="43255" xr:uid="{00000000-0005-0000-0000-00005C8B0000}"/>
    <cellStyle name="Normal 57 5 2 3 2 2 5" xfId="29192" xr:uid="{00000000-0005-0000-0000-00005D8B0000}"/>
    <cellStyle name="Normal 57 5 2 3 2 3" xfId="4677" xr:uid="{00000000-0005-0000-0000-00005E8B0000}"/>
    <cellStyle name="Normal 57 5 2 3 2 3 2" xfId="13515" xr:uid="{00000000-0005-0000-0000-00005F8B0000}"/>
    <cellStyle name="Normal 57 5 2 3 2 3 2 2" xfId="23766" xr:uid="{00000000-0005-0000-0000-0000608B0000}"/>
    <cellStyle name="Normal 57 5 2 3 2 3 2 2 2" xfId="49319" xr:uid="{00000000-0005-0000-0000-0000618B0000}"/>
    <cellStyle name="Normal 57 5 2 3 2 3 2 3" xfId="39070" xr:uid="{00000000-0005-0000-0000-0000628B0000}"/>
    <cellStyle name="Normal 57 5 2 3 2 3 3" xfId="9936" xr:uid="{00000000-0005-0000-0000-0000638B0000}"/>
    <cellStyle name="Normal 57 5 2 3 2 3 3 2" xfId="35493" xr:uid="{00000000-0005-0000-0000-0000648B0000}"/>
    <cellStyle name="Normal 57 5 2 3 2 3 4" xfId="18759" xr:uid="{00000000-0005-0000-0000-0000658B0000}"/>
    <cellStyle name="Normal 57 5 2 3 2 3 4 2" xfId="44312" xr:uid="{00000000-0005-0000-0000-0000668B0000}"/>
    <cellStyle name="Normal 57 5 2 3 2 3 5" xfId="30249" xr:uid="{00000000-0005-0000-0000-0000678B0000}"/>
    <cellStyle name="Normal 57 5 2 3 2 4" xfId="2457" xr:uid="{00000000-0005-0000-0000-0000688B0000}"/>
    <cellStyle name="Normal 57 5 2 3 2 4 2" xfId="11822" xr:uid="{00000000-0005-0000-0000-0000698B0000}"/>
    <cellStyle name="Normal 57 5 2 3 2 4 2 2" xfId="37377" xr:uid="{00000000-0005-0000-0000-00006A8B0000}"/>
    <cellStyle name="Normal 57 5 2 3 2 4 3" xfId="21826" xr:uid="{00000000-0005-0000-0000-00006B8B0000}"/>
    <cellStyle name="Normal 57 5 2 3 2 4 3 2" xfId="47379" xr:uid="{00000000-0005-0000-0000-00006C8B0000}"/>
    <cellStyle name="Normal 57 5 2 3 2 4 4" xfId="28309" xr:uid="{00000000-0005-0000-0000-00006D8B0000}"/>
    <cellStyle name="Normal 57 5 2 3 2 5" xfId="6133" xr:uid="{00000000-0005-0000-0000-00006E8B0000}"/>
    <cellStyle name="Normal 57 5 2 3 2 5 2" xfId="14960" xr:uid="{00000000-0005-0000-0000-00006F8B0000}"/>
    <cellStyle name="Normal 57 5 2 3 2 5 2 2" xfId="40515" xr:uid="{00000000-0005-0000-0000-0000708B0000}"/>
    <cellStyle name="Normal 57 5 2 3 2 5 3" xfId="25211" xr:uid="{00000000-0005-0000-0000-0000718B0000}"/>
    <cellStyle name="Normal 57 5 2 3 2 5 3 2" xfId="50764" xr:uid="{00000000-0005-0000-0000-0000728B0000}"/>
    <cellStyle name="Normal 57 5 2 3 2 5 4" xfId="31694" xr:uid="{00000000-0005-0000-0000-0000738B0000}"/>
    <cellStyle name="Normal 57 5 2 3 2 6" xfId="7578" xr:uid="{00000000-0005-0000-0000-0000748B0000}"/>
    <cellStyle name="Normal 57 5 2 3 2 6 2" xfId="20308" xr:uid="{00000000-0005-0000-0000-0000758B0000}"/>
    <cellStyle name="Normal 57 5 2 3 2 6 2 2" xfId="45861" xr:uid="{00000000-0005-0000-0000-0000768B0000}"/>
    <cellStyle name="Normal 57 5 2 3 2 6 3" xfId="33135" xr:uid="{00000000-0005-0000-0000-0000778B0000}"/>
    <cellStyle name="Normal 57 5 2 3 2 7" xfId="16819" xr:uid="{00000000-0005-0000-0000-0000788B0000}"/>
    <cellStyle name="Normal 57 5 2 3 2 7 2" xfId="42372" xr:uid="{00000000-0005-0000-0000-0000798B0000}"/>
    <cellStyle name="Normal 57 5 2 3 2 8" xfId="26791" xr:uid="{00000000-0005-0000-0000-00007A8B0000}"/>
    <cellStyle name="Normal 57 5 2 3 3" xfId="1263" xr:uid="{00000000-0005-0000-0000-00007B8B0000}"/>
    <cellStyle name="Normal 57 5 2 3 3 2" xfId="3692" xr:uid="{00000000-0005-0000-0000-00007C8B0000}"/>
    <cellStyle name="Normal 57 5 2 3 3 2 2" xfId="12828" xr:uid="{00000000-0005-0000-0000-00007D8B0000}"/>
    <cellStyle name="Normal 57 5 2 3 3 2 2 2" xfId="23047" xr:uid="{00000000-0005-0000-0000-00007E8B0000}"/>
    <cellStyle name="Normal 57 5 2 3 3 2 2 2 2" xfId="48600" xr:uid="{00000000-0005-0000-0000-00007F8B0000}"/>
    <cellStyle name="Normal 57 5 2 3 3 2 2 3" xfId="38383" xr:uid="{00000000-0005-0000-0000-0000808B0000}"/>
    <cellStyle name="Normal 57 5 2 3 3 2 3" xfId="9249" xr:uid="{00000000-0005-0000-0000-0000818B0000}"/>
    <cellStyle name="Normal 57 5 2 3 3 2 3 2" xfId="34806" xr:uid="{00000000-0005-0000-0000-0000828B0000}"/>
    <cellStyle name="Normal 57 5 2 3 3 2 4" xfId="18040" xr:uid="{00000000-0005-0000-0000-0000838B0000}"/>
    <cellStyle name="Normal 57 5 2 3 3 2 4 2" xfId="43593" xr:uid="{00000000-0005-0000-0000-0000848B0000}"/>
    <cellStyle name="Normal 57 5 2 3 3 2 5" xfId="29530" xr:uid="{00000000-0005-0000-0000-0000858B0000}"/>
    <cellStyle name="Normal 57 5 2 3 3 3" xfId="5026" xr:uid="{00000000-0005-0000-0000-0000868B0000}"/>
    <cellStyle name="Normal 57 5 2 3 3 3 2" xfId="13863" xr:uid="{00000000-0005-0000-0000-0000878B0000}"/>
    <cellStyle name="Normal 57 5 2 3 3 3 2 2" xfId="24114" xr:uid="{00000000-0005-0000-0000-0000888B0000}"/>
    <cellStyle name="Normal 57 5 2 3 3 3 2 2 2" xfId="49667" xr:uid="{00000000-0005-0000-0000-0000898B0000}"/>
    <cellStyle name="Normal 57 5 2 3 3 3 2 3" xfId="39418" xr:uid="{00000000-0005-0000-0000-00008A8B0000}"/>
    <cellStyle name="Normal 57 5 2 3 3 3 3" xfId="10284" xr:uid="{00000000-0005-0000-0000-00008B8B0000}"/>
    <cellStyle name="Normal 57 5 2 3 3 3 3 2" xfId="35841" xr:uid="{00000000-0005-0000-0000-00008C8B0000}"/>
    <cellStyle name="Normal 57 5 2 3 3 3 4" xfId="19107" xr:uid="{00000000-0005-0000-0000-00008D8B0000}"/>
    <cellStyle name="Normal 57 5 2 3 3 3 4 2" xfId="44660" xr:uid="{00000000-0005-0000-0000-00008E8B0000}"/>
    <cellStyle name="Normal 57 5 2 3 3 3 5" xfId="30597" xr:uid="{00000000-0005-0000-0000-00008F8B0000}"/>
    <cellStyle name="Normal 57 5 2 3 3 4" xfId="2086" xr:uid="{00000000-0005-0000-0000-0000908B0000}"/>
    <cellStyle name="Normal 57 5 2 3 3 4 2" xfId="11451" xr:uid="{00000000-0005-0000-0000-0000918B0000}"/>
    <cellStyle name="Normal 57 5 2 3 3 4 2 2" xfId="37006" xr:uid="{00000000-0005-0000-0000-0000928B0000}"/>
    <cellStyle name="Normal 57 5 2 3 3 4 3" xfId="21455" xr:uid="{00000000-0005-0000-0000-0000938B0000}"/>
    <cellStyle name="Normal 57 5 2 3 3 4 3 2" xfId="47008" xr:uid="{00000000-0005-0000-0000-0000948B0000}"/>
    <cellStyle name="Normal 57 5 2 3 3 4 4" xfId="27938" xr:uid="{00000000-0005-0000-0000-0000958B0000}"/>
    <cellStyle name="Normal 57 5 2 3 3 5" xfId="6481" xr:uid="{00000000-0005-0000-0000-0000968B0000}"/>
    <cellStyle name="Normal 57 5 2 3 3 5 2" xfId="15308" xr:uid="{00000000-0005-0000-0000-0000978B0000}"/>
    <cellStyle name="Normal 57 5 2 3 3 5 2 2" xfId="40863" xr:uid="{00000000-0005-0000-0000-0000988B0000}"/>
    <cellStyle name="Normal 57 5 2 3 3 5 3" xfId="25559" xr:uid="{00000000-0005-0000-0000-0000998B0000}"/>
    <cellStyle name="Normal 57 5 2 3 3 5 3 2" xfId="51112" xr:uid="{00000000-0005-0000-0000-00009A8B0000}"/>
    <cellStyle name="Normal 57 5 2 3 3 5 4" xfId="32042" xr:uid="{00000000-0005-0000-0000-00009B8B0000}"/>
    <cellStyle name="Normal 57 5 2 3 3 6" xfId="7927" xr:uid="{00000000-0005-0000-0000-00009C8B0000}"/>
    <cellStyle name="Normal 57 5 2 3 3 6 2" xfId="20646" xr:uid="{00000000-0005-0000-0000-00009D8B0000}"/>
    <cellStyle name="Normal 57 5 2 3 3 6 2 2" xfId="46199" xr:uid="{00000000-0005-0000-0000-00009E8B0000}"/>
    <cellStyle name="Normal 57 5 2 3 3 6 3" xfId="33484" xr:uid="{00000000-0005-0000-0000-00009F8B0000}"/>
    <cellStyle name="Normal 57 5 2 3 3 7" xfId="16448" xr:uid="{00000000-0005-0000-0000-0000A08B0000}"/>
    <cellStyle name="Normal 57 5 2 3 3 7 2" xfId="42001" xr:uid="{00000000-0005-0000-0000-0000A18B0000}"/>
    <cellStyle name="Normal 57 5 2 3 3 8" xfId="27129" xr:uid="{00000000-0005-0000-0000-0000A28B0000}"/>
    <cellStyle name="Normal 57 5 2 3 4" xfId="2977" xr:uid="{00000000-0005-0000-0000-0000A38B0000}"/>
    <cellStyle name="Normal 57 5 2 3 4 2" xfId="5355" xr:uid="{00000000-0005-0000-0000-0000A48B0000}"/>
    <cellStyle name="Normal 57 5 2 3 4 2 2" xfId="14192" xr:uid="{00000000-0005-0000-0000-0000A58B0000}"/>
    <cellStyle name="Normal 57 5 2 3 4 2 2 2" xfId="24443" xr:uid="{00000000-0005-0000-0000-0000A68B0000}"/>
    <cellStyle name="Normal 57 5 2 3 4 2 2 2 2" xfId="49996" xr:uid="{00000000-0005-0000-0000-0000A78B0000}"/>
    <cellStyle name="Normal 57 5 2 3 4 2 2 3" xfId="39747" xr:uid="{00000000-0005-0000-0000-0000A88B0000}"/>
    <cellStyle name="Normal 57 5 2 3 4 2 3" xfId="10613" xr:uid="{00000000-0005-0000-0000-0000A98B0000}"/>
    <cellStyle name="Normal 57 5 2 3 4 2 3 2" xfId="36170" xr:uid="{00000000-0005-0000-0000-0000AA8B0000}"/>
    <cellStyle name="Normal 57 5 2 3 4 2 4" xfId="19436" xr:uid="{00000000-0005-0000-0000-0000AB8B0000}"/>
    <cellStyle name="Normal 57 5 2 3 4 2 4 2" xfId="44989" xr:uid="{00000000-0005-0000-0000-0000AC8B0000}"/>
    <cellStyle name="Normal 57 5 2 3 4 2 5" xfId="30926" xr:uid="{00000000-0005-0000-0000-0000AD8B0000}"/>
    <cellStyle name="Normal 57 5 2 3 4 3" xfId="6810" xr:uid="{00000000-0005-0000-0000-0000AE8B0000}"/>
    <cellStyle name="Normal 57 5 2 3 4 3 2" xfId="15637" xr:uid="{00000000-0005-0000-0000-0000AF8B0000}"/>
    <cellStyle name="Normal 57 5 2 3 4 3 2 2" xfId="41192" xr:uid="{00000000-0005-0000-0000-0000B08B0000}"/>
    <cellStyle name="Normal 57 5 2 3 4 3 3" xfId="25888" xr:uid="{00000000-0005-0000-0000-0000B18B0000}"/>
    <cellStyle name="Normal 57 5 2 3 4 3 3 2" xfId="51441" xr:uid="{00000000-0005-0000-0000-0000B28B0000}"/>
    <cellStyle name="Normal 57 5 2 3 4 3 4" xfId="32371" xr:uid="{00000000-0005-0000-0000-0000B38B0000}"/>
    <cellStyle name="Normal 57 5 2 3 4 4" xfId="8256" xr:uid="{00000000-0005-0000-0000-0000B48B0000}"/>
    <cellStyle name="Normal 57 5 2 3 4 4 2" xfId="22338" xr:uid="{00000000-0005-0000-0000-0000B58B0000}"/>
    <cellStyle name="Normal 57 5 2 3 4 4 2 2" xfId="47891" xr:uid="{00000000-0005-0000-0000-0000B68B0000}"/>
    <cellStyle name="Normal 57 5 2 3 4 4 3" xfId="33813" xr:uid="{00000000-0005-0000-0000-0000B78B0000}"/>
    <cellStyle name="Normal 57 5 2 3 4 5" xfId="17331" xr:uid="{00000000-0005-0000-0000-0000B88B0000}"/>
    <cellStyle name="Normal 57 5 2 3 4 5 2" xfId="42884" xr:uid="{00000000-0005-0000-0000-0000B98B0000}"/>
    <cellStyle name="Normal 57 5 2 3 4 6" xfId="28821" xr:uid="{00000000-0005-0000-0000-0000BA8B0000}"/>
    <cellStyle name="Normal 57 5 2 3 5" xfId="4311" xr:uid="{00000000-0005-0000-0000-0000BB8B0000}"/>
    <cellStyle name="Normal 57 5 2 3 5 2" xfId="13149" xr:uid="{00000000-0005-0000-0000-0000BC8B0000}"/>
    <cellStyle name="Normal 57 5 2 3 5 2 2" xfId="23400" xr:uid="{00000000-0005-0000-0000-0000BD8B0000}"/>
    <cellStyle name="Normal 57 5 2 3 5 2 2 2" xfId="48953" xr:uid="{00000000-0005-0000-0000-0000BE8B0000}"/>
    <cellStyle name="Normal 57 5 2 3 5 2 3" xfId="38704" xr:uid="{00000000-0005-0000-0000-0000BF8B0000}"/>
    <cellStyle name="Normal 57 5 2 3 5 3" xfId="9570" xr:uid="{00000000-0005-0000-0000-0000C08B0000}"/>
    <cellStyle name="Normal 57 5 2 3 5 3 2" xfId="35127" xr:uid="{00000000-0005-0000-0000-0000C18B0000}"/>
    <cellStyle name="Normal 57 5 2 3 5 4" xfId="18393" xr:uid="{00000000-0005-0000-0000-0000C28B0000}"/>
    <cellStyle name="Normal 57 5 2 3 5 4 2" xfId="43946" xr:uid="{00000000-0005-0000-0000-0000C38B0000}"/>
    <cellStyle name="Normal 57 5 2 3 5 5" xfId="29883" xr:uid="{00000000-0005-0000-0000-0000C48B0000}"/>
    <cellStyle name="Normal 57 5 2 3 6" xfId="1583" xr:uid="{00000000-0005-0000-0000-0000C58B0000}"/>
    <cellStyle name="Normal 57 5 2 3 6 2" xfId="10960" xr:uid="{00000000-0005-0000-0000-0000C68B0000}"/>
    <cellStyle name="Normal 57 5 2 3 6 2 2" xfId="36515" xr:uid="{00000000-0005-0000-0000-0000C78B0000}"/>
    <cellStyle name="Normal 57 5 2 3 6 3" xfId="20964" xr:uid="{00000000-0005-0000-0000-0000C88B0000}"/>
    <cellStyle name="Normal 57 5 2 3 6 3 2" xfId="46517" xr:uid="{00000000-0005-0000-0000-0000C98B0000}"/>
    <cellStyle name="Normal 57 5 2 3 6 4" xfId="27447" xr:uid="{00000000-0005-0000-0000-0000CA8B0000}"/>
    <cellStyle name="Normal 57 5 2 3 7" xfId="5767" xr:uid="{00000000-0005-0000-0000-0000CB8B0000}"/>
    <cellStyle name="Normal 57 5 2 3 7 2" xfId="14594" xr:uid="{00000000-0005-0000-0000-0000CC8B0000}"/>
    <cellStyle name="Normal 57 5 2 3 7 2 2" xfId="40149" xr:uid="{00000000-0005-0000-0000-0000CD8B0000}"/>
    <cellStyle name="Normal 57 5 2 3 7 3" xfId="24845" xr:uid="{00000000-0005-0000-0000-0000CE8B0000}"/>
    <cellStyle name="Normal 57 5 2 3 7 3 2" xfId="50398" xr:uid="{00000000-0005-0000-0000-0000CF8B0000}"/>
    <cellStyle name="Normal 57 5 2 3 7 4" xfId="31328" xr:uid="{00000000-0005-0000-0000-0000D08B0000}"/>
    <cellStyle name="Normal 57 5 2 3 8" xfId="7211" xr:uid="{00000000-0005-0000-0000-0000D18B0000}"/>
    <cellStyle name="Normal 57 5 2 3 8 2" xfId="19937" xr:uid="{00000000-0005-0000-0000-0000D28B0000}"/>
    <cellStyle name="Normal 57 5 2 3 8 2 2" xfId="45490" xr:uid="{00000000-0005-0000-0000-0000D38B0000}"/>
    <cellStyle name="Normal 57 5 2 3 8 3" xfId="32768" xr:uid="{00000000-0005-0000-0000-0000D48B0000}"/>
    <cellStyle name="Normal 57 5 2 3 9" xfId="15957" xr:uid="{00000000-0005-0000-0000-0000D58B0000}"/>
    <cellStyle name="Normal 57 5 2 3 9 2" xfId="41510" xr:uid="{00000000-0005-0000-0000-0000D68B0000}"/>
    <cellStyle name="Normal 57 5 2 3_Degree data" xfId="3969" xr:uid="{00000000-0005-0000-0000-0000D78B0000}"/>
    <cellStyle name="Normal 57 5 2 4" xfId="391" xr:uid="{00000000-0005-0000-0000-0000D88B0000}"/>
    <cellStyle name="Normal 57 5 2 4 2" xfId="2877" xr:uid="{00000000-0005-0000-0000-0000D98B0000}"/>
    <cellStyle name="Normal 57 5 2 4 2 2" xfId="12165" xr:uid="{00000000-0005-0000-0000-0000DA8B0000}"/>
    <cellStyle name="Normal 57 5 2 4 2 2 2" xfId="22238" xr:uid="{00000000-0005-0000-0000-0000DB8B0000}"/>
    <cellStyle name="Normal 57 5 2 4 2 2 2 2" xfId="47791" xr:uid="{00000000-0005-0000-0000-0000DC8B0000}"/>
    <cellStyle name="Normal 57 5 2 4 2 2 3" xfId="37720" xr:uid="{00000000-0005-0000-0000-0000DD8B0000}"/>
    <cellStyle name="Normal 57 5 2 4 2 3" xfId="8519" xr:uid="{00000000-0005-0000-0000-0000DE8B0000}"/>
    <cellStyle name="Normal 57 5 2 4 2 3 2" xfId="34076" xr:uid="{00000000-0005-0000-0000-0000DF8B0000}"/>
    <cellStyle name="Normal 57 5 2 4 2 4" xfId="17231" xr:uid="{00000000-0005-0000-0000-0000E08B0000}"/>
    <cellStyle name="Normal 57 5 2 4 2 4 2" xfId="42784" xr:uid="{00000000-0005-0000-0000-0000E18B0000}"/>
    <cellStyle name="Normal 57 5 2 4 2 5" xfId="28721" xr:uid="{00000000-0005-0000-0000-0000E28B0000}"/>
    <cellStyle name="Normal 57 5 2 4 3" xfId="4675" xr:uid="{00000000-0005-0000-0000-0000E38B0000}"/>
    <cellStyle name="Normal 57 5 2 4 3 2" xfId="13513" xr:uid="{00000000-0005-0000-0000-0000E48B0000}"/>
    <cellStyle name="Normal 57 5 2 4 3 2 2" xfId="23764" xr:uid="{00000000-0005-0000-0000-0000E58B0000}"/>
    <cellStyle name="Normal 57 5 2 4 3 2 2 2" xfId="49317" xr:uid="{00000000-0005-0000-0000-0000E68B0000}"/>
    <cellStyle name="Normal 57 5 2 4 3 2 3" xfId="39068" xr:uid="{00000000-0005-0000-0000-0000E78B0000}"/>
    <cellStyle name="Normal 57 5 2 4 3 3" xfId="9934" xr:uid="{00000000-0005-0000-0000-0000E88B0000}"/>
    <cellStyle name="Normal 57 5 2 4 3 3 2" xfId="35491" xr:uid="{00000000-0005-0000-0000-0000E98B0000}"/>
    <cellStyle name="Normal 57 5 2 4 3 4" xfId="18757" xr:uid="{00000000-0005-0000-0000-0000EA8B0000}"/>
    <cellStyle name="Normal 57 5 2 4 3 4 2" xfId="44310" xr:uid="{00000000-0005-0000-0000-0000EB8B0000}"/>
    <cellStyle name="Normal 57 5 2 4 3 5" xfId="30247" xr:uid="{00000000-0005-0000-0000-0000EC8B0000}"/>
    <cellStyle name="Normal 57 5 2 4 4" xfId="1986" xr:uid="{00000000-0005-0000-0000-0000ED8B0000}"/>
    <cellStyle name="Normal 57 5 2 4 4 2" xfId="11351" xr:uid="{00000000-0005-0000-0000-0000EE8B0000}"/>
    <cellStyle name="Normal 57 5 2 4 4 2 2" xfId="36906" xr:uid="{00000000-0005-0000-0000-0000EF8B0000}"/>
    <cellStyle name="Normal 57 5 2 4 4 3" xfId="21355" xr:uid="{00000000-0005-0000-0000-0000F08B0000}"/>
    <cellStyle name="Normal 57 5 2 4 4 3 2" xfId="46908" xr:uid="{00000000-0005-0000-0000-0000F18B0000}"/>
    <cellStyle name="Normal 57 5 2 4 4 4" xfId="27838" xr:uid="{00000000-0005-0000-0000-0000F28B0000}"/>
    <cellStyle name="Normal 57 5 2 4 5" xfId="6131" xr:uid="{00000000-0005-0000-0000-0000F38B0000}"/>
    <cellStyle name="Normal 57 5 2 4 5 2" xfId="14958" xr:uid="{00000000-0005-0000-0000-0000F48B0000}"/>
    <cellStyle name="Normal 57 5 2 4 5 2 2" xfId="40513" xr:uid="{00000000-0005-0000-0000-0000F58B0000}"/>
    <cellStyle name="Normal 57 5 2 4 5 3" xfId="25209" xr:uid="{00000000-0005-0000-0000-0000F68B0000}"/>
    <cellStyle name="Normal 57 5 2 4 5 3 2" xfId="50762" xr:uid="{00000000-0005-0000-0000-0000F78B0000}"/>
    <cellStyle name="Normal 57 5 2 4 5 4" xfId="31692" xr:uid="{00000000-0005-0000-0000-0000F88B0000}"/>
    <cellStyle name="Normal 57 5 2 4 6" xfId="7576" xr:uid="{00000000-0005-0000-0000-0000F98B0000}"/>
    <cellStyle name="Normal 57 5 2 4 6 2" xfId="19837" xr:uid="{00000000-0005-0000-0000-0000FA8B0000}"/>
    <cellStyle name="Normal 57 5 2 4 6 2 2" xfId="45390" xr:uid="{00000000-0005-0000-0000-0000FB8B0000}"/>
    <cellStyle name="Normal 57 5 2 4 6 3" xfId="33133" xr:uid="{00000000-0005-0000-0000-0000FC8B0000}"/>
    <cellStyle name="Normal 57 5 2 4 7" xfId="16348" xr:uid="{00000000-0005-0000-0000-0000FD8B0000}"/>
    <cellStyle name="Normal 57 5 2 4 7 2" xfId="41901" xr:uid="{00000000-0005-0000-0000-0000FE8B0000}"/>
    <cellStyle name="Normal 57 5 2 4 8" xfId="26320" xr:uid="{00000000-0005-0000-0000-0000FF8B0000}"/>
    <cellStyle name="Normal 57 5 2 5" xfId="861" xr:uid="{00000000-0005-0000-0000-0000008C0000}"/>
    <cellStyle name="Normal 57 5 2 5 2" xfId="3346" xr:uid="{00000000-0005-0000-0000-0000018C0000}"/>
    <cellStyle name="Normal 57 5 2 5 2 2" xfId="12488" xr:uid="{00000000-0005-0000-0000-0000028C0000}"/>
    <cellStyle name="Normal 57 5 2 5 2 2 2" xfId="22707" xr:uid="{00000000-0005-0000-0000-0000038C0000}"/>
    <cellStyle name="Normal 57 5 2 5 2 2 2 2" xfId="48260" xr:uid="{00000000-0005-0000-0000-0000048C0000}"/>
    <cellStyle name="Normal 57 5 2 5 2 2 3" xfId="38043" xr:uid="{00000000-0005-0000-0000-0000058C0000}"/>
    <cellStyle name="Normal 57 5 2 5 2 3" xfId="8910" xr:uid="{00000000-0005-0000-0000-0000068C0000}"/>
    <cellStyle name="Normal 57 5 2 5 2 3 2" xfId="34467" xr:uid="{00000000-0005-0000-0000-0000078C0000}"/>
    <cellStyle name="Normal 57 5 2 5 2 4" xfId="17700" xr:uid="{00000000-0005-0000-0000-0000088C0000}"/>
    <cellStyle name="Normal 57 5 2 5 2 4 2" xfId="43253" xr:uid="{00000000-0005-0000-0000-0000098C0000}"/>
    <cellStyle name="Normal 57 5 2 5 2 5" xfId="29190" xr:uid="{00000000-0005-0000-0000-00000A8C0000}"/>
    <cellStyle name="Normal 57 5 2 5 3" xfId="5024" xr:uid="{00000000-0005-0000-0000-00000B8C0000}"/>
    <cellStyle name="Normal 57 5 2 5 3 2" xfId="13861" xr:uid="{00000000-0005-0000-0000-00000C8C0000}"/>
    <cellStyle name="Normal 57 5 2 5 3 2 2" xfId="24112" xr:uid="{00000000-0005-0000-0000-00000D8C0000}"/>
    <cellStyle name="Normal 57 5 2 5 3 2 2 2" xfId="49665" xr:uid="{00000000-0005-0000-0000-00000E8C0000}"/>
    <cellStyle name="Normal 57 5 2 5 3 2 3" xfId="39416" xr:uid="{00000000-0005-0000-0000-00000F8C0000}"/>
    <cellStyle name="Normal 57 5 2 5 3 3" xfId="10282" xr:uid="{00000000-0005-0000-0000-0000108C0000}"/>
    <cellStyle name="Normal 57 5 2 5 3 3 2" xfId="35839" xr:uid="{00000000-0005-0000-0000-0000118C0000}"/>
    <cellStyle name="Normal 57 5 2 5 3 4" xfId="19105" xr:uid="{00000000-0005-0000-0000-0000128C0000}"/>
    <cellStyle name="Normal 57 5 2 5 3 4 2" xfId="44658" xr:uid="{00000000-0005-0000-0000-0000138C0000}"/>
    <cellStyle name="Normal 57 5 2 5 3 5" xfId="30595" xr:uid="{00000000-0005-0000-0000-0000148C0000}"/>
    <cellStyle name="Normal 57 5 2 5 4" xfId="2455" xr:uid="{00000000-0005-0000-0000-0000158C0000}"/>
    <cellStyle name="Normal 57 5 2 5 4 2" xfId="11820" xr:uid="{00000000-0005-0000-0000-0000168C0000}"/>
    <cellStyle name="Normal 57 5 2 5 4 2 2" xfId="37375" xr:uid="{00000000-0005-0000-0000-0000178C0000}"/>
    <cellStyle name="Normal 57 5 2 5 4 3" xfId="21824" xr:uid="{00000000-0005-0000-0000-0000188C0000}"/>
    <cellStyle name="Normal 57 5 2 5 4 3 2" xfId="47377" xr:uid="{00000000-0005-0000-0000-0000198C0000}"/>
    <cellStyle name="Normal 57 5 2 5 4 4" xfId="28307" xr:uid="{00000000-0005-0000-0000-00001A8C0000}"/>
    <cellStyle name="Normal 57 5 2 5 5" xfId="6479" xr:uid="{00000000-0005-0000-0000-00001B8C0000}"/>
    <cellStyle name="Normal 57 5 2 5 5 2" xfId="15306" xr:uid="{00000000-0005-0000-0000-00001C8C0000}"/>
    <cellStyle name="Normal 57 5 2 5 5 2 2" xfId="40861" xr:uid="{00000000-0005-0000-0000-00001D8C0000}"/>
    <cellStyle name="Normal 57 5 2 5 5 3" xfId="25557" xr:uid="{00000000-0005-0000-0000-00001E8C0000}"/>
    <cellStyle name="Normal 57 5 2 5 5 3 2" xfId="51110" xr:uid="{00000000-0005-0000-0000-00001F8C0000}"/>
    <cellStyle name="Normal 57 5 2 5 5 4" xfId="32040" xr:uid="{00000000-0005-0000-0000-0000208C0000}"/>
    <cellStyle name="Normal 57 5 2 5 6" xfId="7925" xr:uid="{00000000-0005-0000-0000-0000218C0000}"/>
    <cellStyle name="Normal 57 5 2 5 6 2" xfId="20306" xr:uid="{00000000-0005-0000-0000-0000228C0000}"/>
    <cellStyle name="Normal 57 5 2 5 6 2 2" xfId="45859" xr:uid="{00000000-0005-0000-0000-0000238C0000}"/>
    <cellStyle name="Normal 57 5 2 5 6 3" xfId="33482" xr:uid="{00000000-0005-0000-0000-0000248C0000}"/>
    <cellStyle name="Normal 57 5 2 5 7" xfId="16817" xr:uid="{00000000-0005-0000-0000-0000258C0000}"/>
    <cellStyle name="Normal 57 5 2 5 7 2" xfId="42370" xr:uid="{00000000-0005-0000-0000-0000268C0000}"/>
    <cellStyle name="Normal 57 5 2 5 8" xfId="26789" xr:uid="{00000000-0005-0000-0000-0000278C0000}"/>
    <cellStyle name="Normal 57 5 2 6" xfId="1163" xr:uid="{00000000-0005-0000-0000-0000288C0000}"/>
    <cellStyle name="Normal 57 5 2 6 2" xfId="3592" xr:uid="{00000000-0005-0000-0000-0000298C0000}"/>
    <cellStyle name="Normal 57 5 2 6 2 2" xfId="12728" xr:uid="{00000000-0005-0000-0000-00002A8C0000}"/>
    <cellStyle name="Normal 57 5 2 6 2 2 2" xfId="22947" xr:uid="{00000000-0005-0000-0000-00002B8C0000}"/>
    <cellStyle name="Normal 57 5 2 6 2 2 2 2" xfId="48500" xr:uid="{00000000-0005-0000-0000-00002C8C0000}"/>
    <cellStyle name="Normal 57 5 2 6 2 2 3" xfId="38283" xr:uid="{00000000-0005-0000-0000-00002D8C0000}"/>
    <cellStyle name="Normal 57 5 2 6 2 3" xfId="9149" xr:uid="{00000000-0005-0000-0000-00002E8C0000}"/>
    <cellStyle name="Normal 57 5 2 6 2 3 2" xfId="34706" xr:uid="{00000000-0005-0000-0000-00002F8C0000}"/>
    <cellStyle name="Normal 57 5 2 6 2 4" xfId="17940" xr:uid="{00000000-0005-0000-0000-0000308C0000}"/>
    <cellStyle name="Normal 57 5 2 6 2 4 2" xfId="43493" xr:uid="{00000000-0005-0000-0000-0000318C0000}"/>
    <cellStyle name="Normal 57 5 2 6 2 5" xfId="29430" xr:uid="{00000000-0005-0000-0000-0000328C0000}"/>
    <cellStyle name="Normal 57 5 2 6 3" xfId="5255" xr:uid="{00000000-0005-0000-0000-0000338C0000}"/>
    <cellStyle name="Normal 57 5 2 6 3 2" xfId="14092" xr:uid="{00000000-0005-0000-0000-0000348C0000}"/>
    <cellStyle name="Normal 57 5 2 6 3 2 2" xfId="24343" xr:uid="{00000000-0005-0000-0000-0000358C0000}"/>
    <cellStyle name="Normal 57 5 2 6 3 2 2 2" xfId="49896" xr:uid="{00000000-0005-0000-0000-0000368C0000}"/>
    <cellStyle name="Normal 57 5 2 6 3 2 3" xfId="39647" xr:uid="{00000000-0005-0000-0000-0000378C0000}"/>
    <cellStyle name="Normal 57 5 2 6 3 3" xfId="10513" xr:uid="{00000000-0005-0000-0000-0000388C0000}"/>
    <cellStyle name="Normal 57 5 2 6 3 3 2" xfId="36070" xr:uid="{00000000-0005-0000-0000-0000398C0000}"/>
    <cellStyle name="Normal 57 5 2 6 3 4" xfId="19336" xr:uid="{00000000-0005-0000-0000-00003A8C0000}"/>
    <cellStyle name="Normal 57 5 2 6 3 4 2" xfId="44889" xr:uid="{00000000-0005-0000-0000-00003B8C0000}"/>
    <cellStyle name="Normal 57 5 2 6 3 5" xfId="30826" xr:uid="{00000000-0005-0000-0000-00003C8C0000}"/>
    <cellStyle name="Normal 57 5 2 6 4" xfId="1763" xr:uid="{00000000-0005-0000-0000-00003D8C0000}"/>
    <cellStyle name="Normal 57 5 2 6 4 2" xfId="11134" xr:uid="{00000000-0005-0000-0000-00003E8C0000}"/>
    <cellStyle name="Normal 57 5 2 6 4 2 2" xfId="36689" xr:uid="{00000000-0005-0000-0000-00003F8C0000}"/>
    <cellStyle name="Normal 57 5 2 6 4 3" xfId="21138" xr:uid="{00000000-0005-0000-0000-0000408C0000}"/>
    <cellStyle name="Normal 57 5 2 6 4 3 2" xfId="46691" xr:uid="{00000000-0005-0000-0000-0000418C0000}"/>
    <cellStyle name="Normal 57 5 2 6 4 4" xfId="27621" xr:uid="{00000000-0005-0000-0000-0000428C0000}"/>
    <cellStyle name="Normal 57 5 2 6 5" xfId="6710" xr:uid="{00000000-0005-0000-0000-0000438C0000}"/>
    <cellStyle name="Normal 57 5 2 6 5 2" xfId="15537" xr:uid="{00000000-0005-0000-0000-0000448C0000}"/>
    <cellStyle name="Normal 57 5 2 6 5 2 2" xfId="41092" xr:uid="{00000000-0005-0000-0000-0000458C0000}"/>
    <cellStyle name="Normal 57 5 2 6 5 3" xfId="25788" xr:uid="{00000000-0005-0000-0000-0000468C0000}"/>
    <cellStyle name="Normal 57 5 2 6 5 3 2" xfId="51341" xr:uid="{00000000-0005-0000-0000-0000478C0000}"/>
    <cellStyle name="Normal 57 5 2 6 5 4" xfId="32271" xr:uid="{00000000-0005-0000-0000-0000488C0000}"/>
    <cellStyle name="Normal 57 5 2 6 6" xfId="8156" xr:uid="{00000000-0005-0000-0000-0000498C0000}"/>
    <cellStyle name="Normal 57 5 2 6 6 2" xfId="20546" xr:uid="{00000000-0005-0000-0000-00004A8C0000}"/>
    <cellStyle name="Normal 57 5 2 6 6 2 2" xfId="46099" xr:uid="{00000000-0005-0000-0000-00004B8C0000}"/>
    <cellStyle name="Normal 57 5 2 6 6 3" xfId="33713" xr:uid="{00000000-0005-0000-0000-00004C8C0000}"/>
    <cellStyle name="Normal 57 5 2 6 7" xfId="16131" xr:uid="{00000000-0005-0000-0000-00004D8C0000}"/>
    <cellStyle name="Normal 57 5 2 6 7 2" xfId="41684" xr:uid="{00000000-0005-0000-0000-00004E8C0000}"/>
    <cellStyle name="Normal 57 5 2 6 8" xfId="27029" xr:uid="{00000000-0005-0000-0000-00004F8C0000}"/>
    <cellStyle name="Normal 57 5 2 7" xfId="2660" xr:uid="{00000000-0005-0000-0000-0000508C0000}"/>
    <cellStyle name="Normal 57 5 2 7 2" xfId="11978" xr:uid="{00000000-0005-0000-0000-0000518C0000}"/>
    <cellStyle name="Normal 57 5 2 7 2 2" xfId="22021" xr:uid="{00000000-0005-0000-0000-0000528C0000}"/>
    <cellStyle name="Normal 57 5 2 7 2 2 2" xfId="47574" xr:uid="{00000000-0005-0000-0000-0000538C0000}"/>
    <cellStyle name="Normal 57 5 2 7 2 3" xfId="37533" xr:uid="{00000000-0005-0000-0000-0000548C0000}"/>
    <cellStyle name="Normal 57 5 2 7 3" xfId="8431" xr:uid="{00000000-0005-0000-0000-0000558C0000}"/>
    <cellStyle name="Normal 57 5 2 7 3 2" xfId="33988" xr:uid="{00000000-0005-0000-0000-0000568C0000}"/>
    <cellStyle name="Normal 57 5 2 7 4" xfId="17014" xr:uid="{00000000-0005-0000-0000-0000578C0000}"/>
    <cellStyle name="Normal 57 5 2 7 4 2" xfId="42567" xr:uid="{00000000-0005-0000-0000-0000588C0000}"/>
    <cellStyle name="Normal 57 5 2 7 5" xfId="28504" xr:uid="{00000000-0005-0000-0000-0000598C0000}"/>
    <cellStyle name="Normal 57 5 2 8" xfId="4211" xr:uid="{00000000-0005-0000-0000-00005A8C0000}"/>
    <cellStyle name="Normal 57 5 2 8 2" xfId="13049" xr:uid="{00000000-0005-0000-0000-00005B8C0000}"/>
    <cellStyle name="Normal 57 5 2 8 2 2" xfId="23300" xr:uid="{00000000-0005-0000-0000-00005C8C0000}"/>
    <cellStyle name="Normal 57 5 2 8 2 2 2" xfId="48853" xr:uid="{00000000-0005-0000-0000-00005D8C0000}"/>
    <cellStyle name="Normal 57 5 2 8 2 3" xfId="38604" xr:uid="{00000000-0005-0000-0000-00005E8C0000}"/>
    <cellStyle name="Normal 57 5 2 8 3" xfId="9470" xr:uid="{00000000-0005-0000-0000-00005F8C0000}"/>
    <cellStyle name="Normal 57 5 2 8 3 2" xfId="35027" xr:uid="{00000000-0005-0000-0000-0000608C0000}"/>
    <cellStyle name="Normal 57 5 2 8 4" xfId="18293" xr:uid="{00000000-0005-0000-0000-0000618C0000}"/>
    <cellStyle name="Normal 57 5 2 8 4 2" xfId="43846" xr:uid="{00000000-0005-0000-0000-0000628C0000}"/>
    <cellStyle name="Normal 57 5 2 8 5" xfId="29783" xr:uid="{00000000-0005-0000-0000-0000638C0000}"/>
    <cellStyle name="Normal 57 5 2 9" xfId="1483" xr:uid="{00000000-0005-0000-0000-0000648C0000}"/>
    <cellStyle name="Normal 57 5 2 9 2" xfId="10860" xr:uid="{00000000-0005-0000-0000-0000658C0000}"/>
    <cellStyle name="Normal 57 5 2 9 2 2" xfId="36415" xr:uid="{00000000-0005-0000-0000-0000668C0000}"/>
    <cellStyle name="Normal 57 5 2 9 3" xfId="20864" xr:uid="{00000000-0005-0000-0000-0000678C0000}"/>
    <cellStyle name="Normal 57 5 2 9 3 2" xfId="46417" xr:uid="{00000000-0005-0000-0000-0000688C0000}"/>
    <cellStyle name="Normal 57 5 2 9 4" xfId="27347" xr:uid="{00000000-0005-0000-0000-0000698C0000}"/>
    <cellStyle name="Normal 57 5 2_Degree data" xfId="3967" xr:uid="{00000000-0005-0000-0000-00006A8C0000}"/>
    <cellStyle name="Normal 57 5 3" xfId="208" xr:uid="{00000000-0005-0000-0000-00006B8C0000}"/>
    <cellStyle name="Normal 57 5 3 10" xfId="7154" xr:uid="{00000000-0005-0000-0000-00006C8C0000}"/>
    <cellStyle name="Normal 57 5 3 10 2" xfId="19663" xr:uid="{00000000-0005-0000-0000-00006D8C0000}"/>
    <cellStyle name="Normal 57 5 3 10 2 2" xfId="45216" xr:uid="{00000000-0005-0000-0000-00006E8C0000}"/>
    <cellStyle name="Normal 57 5 3 10 3" xfId="32711" xr:uid="{00000000-0005-0000-0000-00006F8C0000}"/>
    <cellStyle name="Normal 57 5 3 11" xfId="15900" xr:uid="{00000000-0005-0000-0000-0000708C0000}"/>
    <cellStyle name="Normal 57 5 3 11 2" xfId="41453" xr:uid="{00000000-0005-0000-0000-0000718C0000}"/>
    <cellStyle name="Normal 57 5 3 12" xfId="26146" xr:uid="{00000000-0005-0000-0000-0000728C0000}"/>
    <cellStyle name="Normal 57 5 3 2" xfId="534" xr:uid="{00000000-0005-0000-0000-0000738C0000}"/>
    <cellStyle name="Normal 57 5 3 2 10" xfId="26463" xr:uid="{00000000-0005-0000-0000-0000748C0000}"/>
    <cellStyle name="Normal 57 5 3 2 2" xfId="865" xr:uid="{00000000-0005-0000-0000-0000758C0000}"/>
    <cellStyle name="Normal 57 5 3 2 2 2" xfId="3350" xr:uid="{00000000-0005-0000-0000-0000768C0000}"/>
    <cellStyle name="Normal 57 5 3 2 2 2 2" xfId="12492" xr:uid="{00000000-0005-0000-0000-0000778C0000}"/>
    <cellStyle name="Normal 57 5 3 2 2 2 2 2" xfId="22711" xr:uid="{00000000-0005-0000-0000-0000788C0000}"/>
    <cellStyle name="Normal 57 5 3 2 2 2 2 2 2" xfId="48264" xr:uid="{00000000-0005-0000-0000-0000798C0000}"/>
    <cellStyle name="Normal 57 5 3 2 2 2 2 3" xfId="38047" xr:uid="{00000000-0005-0000-0000-00007A8C0000}"/>
    <cellStyle name="Normal 57 5 3 2 2 2 3" xfId="8914" xr:uid="{00000000-0005-0000-0000-00007B8C0000}"/>
    <cellStyle name="Normal 57 5 3 2 2 2 3 2" xfId="34471" xr:uid="{00000000-0005-0000-0000-00007C8C0000}"/>
    <cellStyle name="Normal 57 5 3 2 2 2 4" xfId="17704" xr:uid="{00000000-0005-0000-0000-00007D8C0000}"/>
    <cellStyle name="Normal 57 5 3 2 2 2 4 2" xfId="43257" xr:uid="{00000000-0005-0000-0000-00007E8C0000}"/>
    <cellStyle name="Normal 57 5 3 2 2 2 5" xfId="29194" xr:uid="{00000000-0005-0000-0000-00007F8C0000}"/>
    <cellStyle name="Normal 57 5 3 2 2 3" xfId="4679" xr:uid="{00000000-0005-0000-0000-0000808C0000}"/>
    <cellStyle name="Normal 57 5 3 2 2 3 2" xfId="13517" xr:uid="{00000000-0005-0000-0000-0000818C0000}"/>
    <cellStyle name="Normal 57 5 3 2 2 3 2 2" xfId="23768" xr:uid="{00000000-0005-0000-0000-0000828C0000}"/>
    <cellStyle name="Normal 57 5 3 2 2 3 2 2 2" xfId="49321" xr:uid="{00000000-0005-0000-0000-0000838C0000}"/>
    <cellStyle name="Normal 57 5 3 2 2 3 2 3" xfId="39072" xr:uid="{00000000-0005-0000-0000-0000848C0000}"/>
    <cellStyle name="Normal 57 5 3 2 2 3 3" xfId="9938" xr:uid="{00000000-0005-0000-0000-0000858C0000}"/>
    <cellStyle name="Normal 57 5 3 2 2 3 3 2" xfId="35495" xr:uid="{00000000-0005-0000-0000-0000868C0000}"/>
    <cellStyle name="Normal 57 5 3 2 2 3 4" xfId="18761" xr:uid="{00000000-0005-0000-0000-0000878C0000}"/>
    <cellStyle name="Normal 57 5 3 2 2 3 4 2" xfId="44314" xr:uid="{00000000-0005-0000-0000-0000888C0000}"/>
    <cellStyle name="Normal 57 5 3 2 2 3 5" xfId="30251" xr:uid="{00000000-0005-0000-0000-0000898C0000}"/>
    <cellStyle name="Normal 57 5 3 2 2 4" xfId="2459" xr:uid="{00000000-0005-0000-0000-00008A8C0000}"/>
    <cellStyle name="Normal 57 5 3 2 2 4 2" xfId="11824" xr:uid="{00000000-0005-0000-0000-00008B8C0000}"/>
    <cellStyle name="Normal 57 5 3 2 2 4 2 2" xfId="37379" xr:uid="{00000000-0005-0000-0000-00008C8C0000}"/>
    <cellStyle name="Normal 57 5 3 2 2 4 3" xfId="21828" xr:uid="{00000000-0005-0000-0000-00008D8C0000}"/>
    <cellStyle name="Normal 57 5 3 2 2 4 3 2" xfId="47381" xr:uid="{00000000-0005-0000-0000-00008E8C0000}"/>
    <cellStyle name="Normal 57 5 3 2 2 4 4" xfId="28311" xr:uid="{00000000-0005-0000-0000-00008F8C0000}"/>
    <cellStyle name="Normal 57 5 3 2 2 5" xfId="6135" xr:uid="{00000000-0005-0000-0000-0000908C0000}"/>
    <cellStyle name="Normal 57 5 3 2 2 5 2" xfId="14962" xr:uid="{00000000-0005-0000-0000-0000918C0000}"/>
    <cellStyle name="Normal 57 5 3 2 2 5 2 2" xfId="40517" xr:uid="{00000000-0005-0000-0000-0000928C0000}"/>
    <cellStyle name="Normal 57 5 3 2 2 5 3" xfId="25213" xr:uid="{00000000-0005-0000-0000-0000938C0000}"/>
    <cellStyle name="Normal 57 5 3 2 2 5 3 2" xfId="50766" xr:uid="{00000000-0005-0000-0000-0000948C0000}"/>
    <cellStyle name="Normal 57 5 3 2 2 5 4" xfId="31696" xr:uid="{00000000-0005-0000-0000-0000958C0000}"/>
    <cellStyle name="Normal 57 5 3 2 2 6" xfId="7580" xr:uid="{00000000-0005-0000-0000-0000968C0000}"/>
    <cellStyle name="Normal 57 5 3 2 2 6 2" xfId="20310" xr:uid="{00000000-0005-0000-0000-0000978C0000}"/>
    <cellStyle name="Normal 57 5 3 2 2 6 2 2" xfId="45863" xr:uid="{00000000-0005-0000-0000-0000988C0000}"/>
    <cellStyle name="Normal 57 5 3 2 2 6 3" xfId="33137" xr:uid="{00000000-0005-0000-0000-0000998C0000}"/>
    <cellStyle name="Normal 57 5 3 2 2 7" xfId="16821" xr:uid="{00000000-0005-0000-0000-00009A8C0000}"/>
    <cellStyle name="Normal 57 5 3 2 2 7 2" xfId="42374" xr:uid="{00000000-0005-0000-0000-00009B8C0000}"/>
    <cellStyle name="Normal 57 5 3 2 2 8" xfId="26793" xr:uid="{00000000-0005-0000-0000-00009C8C0000}"/>
    <cellStyle name="Normal 57 5 3 2 3" xfId="1306" xr:uid="{00000000-0005-0000-0000-00009D8C0000}"/>
    <cellStyle name="Normal 57 5 3 2 3 2" xfId="3735" xr:uid="{00000000-0005-0000-0000-00009E8C0000}"/>
    <cellStyle name="Normal 57 5 3 2 3 2 2" xfId="12871" xr:uid="{00000000-0005-0000-0000-00009F8C0000}"/>
    <cellStyle name="Normal 57 5 3 2 3 2 2 2" xfId="23090" xr:uid="{00000000-0005-0000-0000-0000A08C0000}"/>
    <cellStyle name="Normal 57 5 3 2 3 2 2 2 2" xfId="48643" xr:uid="{00000000-0005-0000-0000-0000A18C0000}"/>
    <cellStyle name="Normal 57 5 3 2 3 2 2 3" xfId="38426" xr:uid="{00000000-0005-0000-0000-0000A28C0000}"/>
    <cellStyle name="Normal 57 5 3 2 3 2 3" xfId="9292" xr:uid="{00000000-0005-0000-0000-0000A38C0000}"/>
    <cellStyle name="Normal 57 5 3 2 3 2 3 2" xfId="34849" xr:uid="{00000000-0005-0000-0000-0000A48C0000}"/>
    <cellStyle name="Normal 57 5 3 2 3 2 4" xfId="18083" xr:uid="{00000000-0005-0000-0000-0000A58C0000}"/>
    <cellStyle name="Normal 57 5 3 2 3 2 4 2" xfId="43636" xr:uid="{00000000-0005-0000-0000-0000A68C0000}"/>
    <cellStyle name="Normal 57 5 3 2 3 2 5" xfId="29573" xr:uid="{00000000-0005-0000-0000-0000A78C0000}"/>
    <cellStyle name="Normal 57 5 3 2 3 3" xfId="5028" xr:uid="{00000000-0005-0000-0000-0000A88C0000}"/>
    <cellStyle name="Normal 57 5 3 2 3 3 2" xfId="13865" xr:uid="{00000000-0005-0000-0000-0000A98C0000}"/>
    <cellStyle name="Normal 57 5 3 2 3 3 2 2" xfId="24116" xr:uid="{00000000-0005-0000-0000-0000AA8C0000}"/>
    <cellStyle name="Normal 57 5 3 2 3 3 2 2 2" xfId="49669" xr:uid="{00000000-0005-0000-0000-0000AB8C0000}"/>
    <cellStyle name="Normal 57 5 3 2 3 3 2 3" xfId="39420" xr:uid="{00000000-0005-0000-0000-0000AC8C0000}"/>
    <cellStyle name="Normal 57 5 3 2 3 3 3" xfId="10286" xr:uid="{00000000-0005-0000-0000-0000AD8C0000}"/>
    <cellStyle name="Normal 57 5 3 2 3 3 3 2" xfId="35843" xr:uid="{00000000-0005-0000-0000-0000AE8C0000}"/>
    <cellStyle name="Normal 57 5 3 2 3 3 4" xfId="19109" xr:uid="{00000000-0005-0000-0000-0000AF8C0000}"/>
    <cellStyle name="Normal 57 5 3 2 3 3 4 2" xfId="44662" xr:uid="{00000000-0005-0000-0000-0000B08C0000}"/>
    <cellStyle name="Normal 57 5 3 2 3 3 5" xfId="30599" xr:uid="{00000000-0005-0000-0000-0000B18C0000}"/>
    <cellStyle name="Normal 57 5 3 2 3 4" xfId="2129" xr:uid="{00000000-0005-0000-0000-0000B28C0000}"/>
    <cellStyle name="Normal 57 5 3 2 3 4 2" xfId="11494" xr:uid="{00000000-0005-0000-0000-0000B38C0000}"/>
    <cellStyle name="Normal 57 5 3 2 3 4 2 2" xfId="37049" xr:uid="{00000000-0005-0000-0000-0000B48C0000}"/>
    <cellStyle name="Normal 57 5 3 2 3 4 3" xfId="21498" xr:uid="{00000000-0005-0000-0000-0000B58C0000}"/>
    <cellStyle name="Normal 57 5 3 2 3 4 3 2" xfId="47051" xr:uid="{00000000-0005-0000-0000-0000B68C0000}"/>
    <cellStyle name="Normal 57 5 3 2 3 4 4" xfId="27981" xr:uid="{00000000-0005-0000-0000-0000B78C0000}"/>
    <cellStyle name="Normal 57 5 3 2 3 5" xfId="6483" xr:uid="{00000000-0005-0000-0000-0000B88C0000}"/>
    <cellStyle name="Normal 57 5 3 2 3 5 2" xfId="15310" xr:uid="{00000000-0005-0000-0000-0000B98C0000}"/>
    <cellStyle name="Normal 57 5 3 2 3 5 2 2" xfId="40865" xr:uid="{00000000-0005-0000-0000-0000BA8C0000}"/>
    <cellStyle name="Normal 57 5 3 2 3 5 3" xfId="25561" xr:uid="{00000000-0005-0000-0000-0000BB8C0000}"/>
    <cellStyle name="Normal 57 5 3 2 3 5 3 2" xfId="51114" xr:uid="{00000000-0005-0000-0000-0000BC8C0000}"/>
    <cellStyle name="Normal 57 5 3 2 3 5 4" xfId="32044" xr:uid="{00000000-0005-0000-0000-0000BD8C0000}"/>
    <cellStyle name="Normal 57 5 3 2 3 6" xfId="7929" xr:uid="{00000000-0005-0000-0000-0000BE8C0000}"/>
    <cellStyle name="Normal 57 5 3 2 3 6 2" xfId="20689" xr:uid="{00000000-0005-0000-0000-0000BF8C0000}"/>
    <cellStyle name="Normal 57 5 3 2 3 6 2 2" xfId="46242" xr:uid="{00000000-0005-0000-0000-0000C08C0000}"/>
    <cellStyle name="Normal 57 5 3 2 3 6 3" xfId="33486" xr:uid="{00000000-0005-0000-0000-0000C18C0000}"/>
    <cellStyle name="Normal 57 5 3 2 3 7" xfId="16491" xr:uid="{00000000-0005-0000-0000-0000C28C0000}"/>
    <cellStyle name="Normal 57 5 3 2 3 7 2" xfId="42044" xr:uid="{00000000-0005-0000-0000-0000C38C0000}"/>
    <cellStyle name="Normal 57 5 3 2 3 8" xfId="27172" xr:uid="{00000000-0005-0000-0000-0000C48C0000}"/>
    <cellStyle name="Normal 57 5 3 2 4" xfId="3020" xr:uid="{00000000-0005-0000-0000-0000C58C0000}"/>
    <cellStyle name="Normal 57 5 3 2 4 2" xfId="5398" xr:uid="{00000000-0005-0000-0000-0000C68C0000}"/>
    <cellStyle name="Normal 57 5 3 2 4 2 2" xfId="14235" xr:uid="{00000000-0005-0000-0000-0000C78C0000}"/>
    <cellStyle name="Normal 57 5 3 2 4 2 2 2" xfId="24486" xr:uid="{00000000-0005-0000-0000-0000C88C0000}"/>
    <cellStyle name="Normal 57 5 3 2 4 2 2 2 2" xfId="50039" xr:uid="{00000000-0005-0000-0000-0000C98C0000}"/>
    <cellStyle name="Normal 57 5 3 2 4 2 2 3" xfId="39790" xr:uid="{00000000-0005-0000-0000-0000CA8C0000}"/>
    <cellStyle name="Normal 57 5 3 2 4 2 3" xfId="10656" xr:uid="{00000000-0005-0000-0000-0000CB8C0000}"/>
    <cellStyle name="Normal 57 5 3 2 4 2 3 2" xfId="36213" xr:uid="{00000000-0005-0000-0000-0000CC8C0000}"/>
    <cellStyle name="Normal 57 5 3 2 4 2 4" xfId="19479" xr:uid="{00000000-0005-0000-0000-0000CD8C0000}"/>
    <cellStyle name="Normal 57 5 3 2 4 2 4 2" xfId="45032" xr:uid="{00000000-0005-0000-0000-0000CE8C0000}"/>
    <cellStyle name="Normal 57 5 3 2 4 2 5" xfId="30969" xr:uid="{00000000-0005-0000-0000-0000CF8C0000}"/>
    <cellStyle name="Normal 57 5 3 2 4 3" xfId="6853" xr:uid="{00000000-0005-0000-0000-0000D08C0000}"/>
    <cellStyle name="Normal 57 5 3 2 4 3 2" xfId="15680" xr:uid="{00000000-0005-0000-0000-0000D18C0000}"/>
    <cellStyle name="Normal 57 5 3 2 4 3 2 2" xfId="41235" xr:uid="{00000000-0005-0000-0000-0000D28C0000}"/>
    <cellStyle name="Normal 57 5 3 2 4 3 3" xfId="25931" xr:uid="{00000000-0005-0000-0000-0000D38C0000}"/>
    <cellStyle name="Normal 57 5 3 2 4 3 3 2" xfId="51484" xr:uid="{00000000-0005-0000-0000-0000D48C0000}"/>
    <cellStyle name="Normal 57 5 3 2 4 3 4" xfId="32414" xr:uid="{00000000-0005-0000-0000-0000D58C0000}"/>
    <cellStyle name="Normal 57 5 3 2 4 4" xfId="8299" xr:uid="{00000000-0005-0000-0000-0000D68C0000}"/>
    <cellStyle name="Normal 57 5 3 2 4 4 2" xfId="22381" xr:uid="{00000000-0005-0000-0000-0000D78C0000}"/>
    <cellStyle name="Normal 57 5 3 2 4 4 2 2" xfId="47934" xr:uid="{00000000-0005-0000-0000-0000D88C0000}"/>
    <cellStyle name="Normal 57 5 3 2 4 4 3" xfId="33856" xr:uid="{00000000-0005-0000-0000-0000D98C0000}"/>
    <cellStyle name="Normal 57 5 3 2 4 5" xfId="17374" xr:uid="{00000000-0005-0000-0000-0000DA8C0000}"/>
    <cellStyle name="Normal 57 5 3 2 4 5 2" xfId="42927" xr:uid="{00000000-0005-0000-0000-0000DB8C0000}"/>
    <cellStyle name="Normal 57 5 3 2 4 6" xfId="28864" xr:uid="{00000000-0005-0000-0000-0000DC8C0000}"/>
    <cellStyle name="Normal 57 5 3 2 5" xfId="4354" xr:uid="{00000000-0005-0000-0000-0000DD8C0000}"/>
    <cellStyle name="Normal 57 5 3 2 5 2" xfId="13192" xr:uid="{00000000-0005-0000-0000-0000DE8C0000}"/>
    <cellStyle name="Normal 57 5 3 2 5 2 2" xfId="23443" xr:uid="{00000000-0005-0000-0000-0000DF8C0000}"/>
    <cellStyle name="Normal 57 5 3 2 5 2 2 2" xfId="48996" xr:uid="{00000000-0005-0000-0000-0000E08C0000}"/>
    <cellStyle name="Normal 57 5 3 2 5 2 3" xfId="38747" xr:uid="{00000000-0005-0000-0000-0000E18C0000}"/>
    <cellStyle name="Normal 57 5 3 2 5 3" xfId="9613" xr:uid="{00000000-0005-0000-0000-0000E28C0000}"/>
    <cellStyle name="Normal 57 5 3 2 5 3 2" xfId="35170" xr:uid="{00000000-0005-0000-0000-0000E38C0000}"/>
    <cellStyle name="Normal 57 5 3 2 5 4" xfId="18436" xr:uid="{00000000-0005-0000-0000-0000E48C0000}"/>
    <cellStyle name="Normal 57 5 3 2 5 4 2" xfId="43989" xr:uid="{00000000-0005-0000-0000-0000E58C0000}"/>
    <cellStyle name="Normal 57 5 3 2 5 5" xfId="29926" xr:uid="{00000000-0005-0000-0000-0000E68C0000}"/>
    <cellStyle name="Normal 57 5 3 2 6" xfId="1626" xr:uid="{00000000-0005-0000-0000-0000E78C0000}"/>
    <cellStyle name="Normal 57 5 3 2 6 2" xfId="11003" xr:uid="{00000000-0005-0000-0000-0000E88C0000}"/>
    <cellStyle name="Normal 57 5 3 2 6 2 2" xfId="36558" xr:uid="{00000000-0005-0000-0000-0000E98C0000}"/>
    <cellStyle name="Normal 57 5 3 2 6 3" xfId="21007" xr:uid="{00000000-0005-0000-0000-0000EA8C0000}"/>
    <cellStyle name="Normal 57 5 3 2 6 3 2" xfId="46560" xr:uid="{00000000-0005-0000-0000-0000EB8C0000}"/>
    <cellStyle name="Normal 57 5 3 2 6 4" xfId="27490" xr:uid="{00000000-0005-0000-0000-0000EC8C0000}"/>
    <cellStyle name="Normal 57 5 3 2 7" xfId="5810" xr:uid="{00000000-0005-0000-0000-0000ED8C0000}"/>
    <cellStyle name="Normal 57 5 3 2 7 2" xfId="14637" xr:uid="{00000000-0005-0000-0000-0000EE8C0000}"/>
    <cellStyle name="Normal 57 5 3 2 7 2 2" xfId="40192" xr:uid="{00000000-0005-0000-0000-0000EF8C0000}"/>
    <cellStyle name="Normal 57 5 3 2 7 3" xfId="24888" xr:uid="{00000000-0005-0000-0000-0000F08C0000}"/>
    <cellStyle name="Normal 57 5 3 2 7 3 2" xfId="50441" xr:uid="{00000000-0005-0000-0000-0000F18C0000}"/>
    <cellStyle name="Normal 57 5 3 2 7 4" xfId="31371" xr:uid="{00000000-0005-0000-0000-0000F28C0000}"/>
    <cellStyle name="Normal 57 5 3 2 8" xfId="7254" xr:uid="{00000000-0005-0000-0000-0000F38C0000}"/>
    <cellStyle name="Normal 57 5 3 2 8 2" xfId="19980" xr:uid="{00000000-0005-0000-0000-0000F48C0000}"/>
    <cellStyle name="Normal 57 5 3 2 8 2 2" xfId="45533" xr:uid="{00000000-0005-0000-0000-0000F58C0000}"/>
    <cellStyle name="Normal 57 5 3 2 8 3" xfId="32811" xr:uid="{00000000-0005-0000-0000-0000F68C0000}"/>
    <cellStyle name="Normal 57 5 3 2 9" xfId="16000" xr:uid="{00000000-0005-0000-0000-0000F78C0000}"/>
    <cellStyle name="Normal 57 5 3 2 9 2" xfId="41553" xr:uid="{00000000-0005-0000-0000-0000F88C0000}"/>
    <cellStyle name="Normal 57 5 3 2_Degree data" xfId="3971" xr:uid="{00000000-0005-0000-0000-0000F98C0000}"/>
    <cellStyle name="Normal 57 5 3 3" xfId="434" xr:uid="{00000000-0005-0000-0000-0000FA8C0000}"/>
    <cellStyle name="Normal 57 5 3 3 2" xfId="2920" xr:uid="{00000000-0005-0000-0000-0000FB8C0000}"/>
    <cellStyle name="Normal 57 5 3 3 2 2" xfId="12208" xr:uid="{00000000-0005-0000-0000-0000FC8C0000}"/>
    <cellStyle name="Normal 57 5 3 3 2 2 2" xfId="22281" xr:uid="{00000000-0005-0000-0000-0000FD8C0000}"/>
    <cellStyle name="Normal 57 5 3 3 2 2 2 2" xfId="47834" xr:uid="{00000000-0005-0000-0000-0000FE8C0000}"/>
    <cellStyle name="Normal 57 5 3 3 2 2 3" xfId="37763" xr:uid="{00000000-0005-0000-0000-0000FF8C0000}"/>
    <cellStyle name="Normal 57 5 3 3 2 3" xfId="8508" xr:uid="{00000000-0005-0000-0000-0000008D0000}"/>
    <cellStyle name="Normal 57 5 3 3 2 3 2" xfId="34065" xr:uid="{00000000-0005-0000-0000-0000018D0000}"/>
    <cellStyle name="Normal 57 5 3 3 2 4" xfId="17274" xr:uid="{00000000-0005-0000-0000-0000028D0000}"/>
    <cellStyle name="Normal 57 5 3 3 2 4 2" xfId="42827" xr:uid="{00000000-0005-0000-0000-0000038D0000}"/>
    <cellStyle name="Normal 57 5 3 3 2 5" xfId="28764" xr:uid="{00000000-0005-0000-0000-0000048D0000}"/>
    <cellStyle name="Normal 57 5 3 3 3" xfId="4678" xr:uid="{00000000-0005-0000-0000-0000058D0000}"/>
    <cellStyle name="Normal 57 5 3 3 3 2" xfId="13516" xr:uid="{00000000-0005-0000-0000-0000068D0000}"/>
    <cellStyle name="Normal 57 5 3 3 3 2 2" xfId="23767" xr:uid="{00000000-0005-0000-0000-0000078D0000}"/>
    <cellStyle name="Normal 57 5 3 3 3 2 2 2" xfId="49320" xr:uid="{00000000-0005-0000-0000-0000088D0000}"/>
    <cellStyle name="Normal 57 5 3 3 3 2 3" xfId="39071" xr:uid="{00000000-0005-0000-0000-0000098D0000}"/>
    <cellStyle name="Normal 57 5 3 3 3 3" xfId="9937" xr:uid="{00000000-0005-0000-0000-00000A8D0000}"/>
    <cellStyle name="Normal 57 5 3 3 3 3 2" xfId="35494" xr:uid="{00000000-0005-0000-0000-00000B8D0000}"/>
    <cellStyle name="Normal 57 5 3 3 3 4" xfId="18760" xr:uid="{00000000-0005-0000-0000-00000C8D0000}"/>
    <cellStyle name="Normal 57 5 3 3 3 4 2" xfId="44313" xr:uid="{00000000-0005-0000-0000-00000D8D0000}"/>
    <cellStyle name="Normal 57 5 3 3 3 5" xfId="30250" xr:uid="{00000000-0005-0000-0000-00000E8D0000}"/>
    <cellStyle name="Normal 57 5 3 3 4" xfId="2029" xr:uid="{00000000-0005-0000-0000-00000F8D0000}"/>
    <cellStyle name="Normal 57 5 3 3 4 2" xfId="11394" xr:uid="{00000000-0005-0000-0000-0000108D0000}"/>
    <cellStyle name="Normal 57 5 3 3 4 2 2" xfId="36949" xr:uid="{00000000-0005-0000-0000-0000118D0000}"/>
    <cellStyle name="Normal 57 5 3 3 4 3" xfId="21398" xr:uid="{00000000-0005-0000-0000-0000128D0000}"/>
    <cellStyle name="Normal 57 5 3 3 4 3 2" xfId="46951" xr:uid="{00000000-0005-0000-0000-0000138D0000}"/>
    <cellStyle name="Normal 57 5 3 3 4 4" xfId="27881" xr:uid="{00000000-0005-0000-0000-0000148D0000}"/>
    <cellStyle name="Normal 57 5 3 3 5" xfId="6134" xr:uid="{00000000-0005-0000-0000-0000158D0000}"/>
    <cellStyle name="Normal 57 5 3 3 5 2" xfId="14961" xr:uid="{00000000-0005-0000-0000-0000168D0000}"/>
    <cellStyle name="Normal 57 5 3 3 5 2 2" xfId="40516" xr:uid="{00000000-0005-0000-0000-0000178D0000}"/>
    <cellStyle name="Normal 57 5 3 3 5 3" xfId="25212" xr:uid="{00000000-0005-0000-0000-0000188D0000}"/>
    <cellStyle name="Normal 57 5 3 3 5 3 2" xfId="50765" xr:uid="{00000000-0005-0000-0000-0000198D0000}"/>
    <cellStyle name="Normal 57 5 3 3 5 4" xfId="31695" xr:uid="{00000000-0005-0000-0000-00001A8D0000}"/>
    <cellStyle name="Normal 57 5 3 3 6" xfId="7579" xr:uid="{00000000-0005-0000-0000-00001B8D0000}"/>
    <cellStyle name="Normal 57 5 3 3 6 2" xfId="19880" xr:uid="{00000000-0005-0000-0000-00001C8D0000}"/>
    <cellStyle name="Normal 57 5 3 3 6 2 2" xfId="45433" xr:uid="{00000000-0005-0000-0000-00001D8D0000}"/>
    <cellStyle name="Normal 57 5 3 3 6 3" xfId="33136" xr:uid="{00000000-0005-0000-0000-00001E8D0000}"/>
    <cellStyle name="Normal 57 5 3 3 7" xfId="16391" xr:uid="{00000000-0005-0000-0000-00001F8D0000}"/>
    <cellStyle name="Normal 57 5 3 3 7 2" xfId="41944" xr:uid="{00000000-0005-0000-0000-0000208D0000}"/>
    <cellStyle name="Normal 57 5 3 3 8" xfId="26363" xr:uid="{00000000-0005-0000-0000-0000218D0000}"/>
    <cellStyle name="Normal 57 5 3 4" xfId="864" xr:uid="{00000000-0005-0000-0000-0000228D0000}"/>
    <cellStyle name="Normal 57 5 3 4 2" xfId="3349" xr:uid="{00000000-0005-0000-0000-0000238D0000}"/>
    <cellStyle name="Normal 57 5 3 4 2 2" xfId="12491" xr:uid="{00000000-0005-0000-0000-0000248D0000}"/>
    <cellStyle name="Normal 57 5 3 4 2 2 2" xfId="22710" xr:uid="{00000000-0005-0000-0000-0000258D0000}"/>
    <cellStyle name="Normal 57 5 3 4 2 2 2 2" xfId="48263" xr:uid="{00000000-0005-0000-0000-0000268D0000}"/>
    <cellStyle name="Normal 57 5 3 4 2 2 3" xfId="38046" xr:uid="{00000000-0005-0000-0000-0000278D0000}"/>
    <cellStyle name="Normal 57 5 3 4 2 3" xfId="8913" xr:uid="{00000000-0005-0000-0000-0000288D0000}"/>
    <cellStyle name="Normal 57 5 3 4 2 3 2" xfId="34470" xr:uid="{00000000-0005-0000-0000-0000298D0000}"/>
    <cellStyle name="Normal 57 5 3 4 2 4" xfId="17703" xr:uid="{00000000-0005-0000-0000-00002A8D0000}"/>
    <cellStyle name="Normal 57 5 3 4 2 4 2" xfId="43256" xr:uid="{00000000-0005-0000-0000-00002B8D0000}"/>
    <cellStyle name="Normal 57 5 3 4 2 5" xfId="29193" xr:uid="{00000000-0005-0000-0000-00002C8D0000}"/>
    <cellStyle name="Normal 57 5 3 4 3" xfId="5027" xr:uid="{00000000-0005-0000-0000-00002D8D0000}"/>
    <cellStyle name="Normal 57 5 3 4 3 2" xfId="13864" xr:uid="{00000000-0005-0000-0000-00002E8D0000}"/>
    <cellStyle name="Normal 57 5 3 4 3 2 2" xfId="24115" xr:uid="{00000000-0005-0000-0000-00002F8D0000}"/>
    <cellStyle name="Normal 57 5 3 4 3 2 2 2" xfId="49668" xr:uid="{00000000-0005-0000-0000-0000308D0000}"/>
    <cellStyle name="Normal 57 5 3 4 3 2 3" xfId="39419" xr:uid="{00000000-0005-0000-0000-0000318D0000}"/>
    <cellStyle name="Normal 57 5 3 4 3 3" xfId="10285" xr:uid="{00000000-0005-0000-0000-0000328D0000}"/>
    <cellStyle name="Normal 57 5 3 4 3 3 2" xfId="35842" xr:uid="{00000000-0005-0000-0000-0000338D0000}"/>
    <cellStyle name="Normal 57 5 3 4 3 4" xfId="19108" xr:uid="{00000000-0005-0000-0000-0000348D0000}"/>
    <cellStyle name="Normal 57 5 3 4 3 4 2" xfId="44661" xr:uid="{00000000-0005-0000-0000-0000358D0000}"/>
    <cellStyle name="Normal 57 5 3 4 3 5" xfId="30598" xr:uid="{00000000-0005-0000-0000-0000368D0000}"/>
    <cellStyle name="Normal 57 5 3 4 4" xfId="2458" xr:uid="{00000000-0005-0000-0000-0000378D0000}"/>
    <cellStyle name="Normal 57 5 3 4 4 2" xfId="11823" xr:uid="{00000000-0005-0000-0000-0000388D0000}"/>
    <cellStyle name="Normal 57 5 3 4 4 2 2" xfId="37378" xr:uid="{00000000-0005-0000-0000-0000398D0000}"/>
    <cellStyle name="Normal 57 5 3 4 4 3" xfId="21827" xr:uid="{00000000-0005-0000-0000-00003A8D0000}"/>
    <cellStyle name="Normal 57 5 3 4 4 3 2" xfId="47380" xr:uid="{00000000-0005-0000-0000-00003B8D0000}"/>
    <cellStyle name="Normal 57 5 3 4 4 4" xfId="28310" xr:uid="{00000000-0005-0000-0000-00003C8D0000}"/>
    <cellStyle name="Normal 57 5 3 4 5" xfId="6482" xr:uid="{00000000-0005-0000-0000-00003D8D0000}"/>
    <cellStyle name="Normal 57 5 3 4 5 2" xfId="15309" xr:uid="{00000000-0005-0000-0000-00003E8D0000}"/>
    <cellStyle name="Normal 57 5 3 4 5 2 2" xfId="40864" xr:uid="{00000000-0005-0000-0000-00003F8D0000}"/>
    <cellStyle name="Normal 57 5 3 4 5 3" xfId="25560" xr:uid="{00000000-0005-0000-0000-0000408D0000}"/>
    <cellStyle name="Normal 57 5 3 4 5 3 2" xfId="51113" xr:uid="{00000000-0005-0000-0000-0000418D0000}"/>
    <cellStyle name="Normal 57 5 3 4 5 4" xfId="32043" xr:uid="{00000000-0005-0000-0000-0000428D0000}"/>
    <cellStyle name="Normal 57 5 3 4 6" xfId="7928" xr:uid="{00000000-0005-0000-0000-0000438D0000}"/>
    <cellStyle name="Normal 57 5 3 4 6 2" xfId="20309" xr:uid="{00000000-0005-0000-0000-0000448D0000}"/>
    <cellStyle name="Normal 57 5 3 4 6 2 2" xfId="45862" xr:uid="{00000000-0005-0000-0000-0000458D0000}"/>
    <cellStyle name="Normal 57 5 3 4 6 3" xfId="33485" xr:uid="{00000000-0005-0000-0000-0000468D0000}"/>
    <cellStyle name="Normal 57 5 3 4 7" xfId="16820" xr:uid="{00000000-0005-0000-0000-0000478D0000}"/>
    <cellStyle name="Normal 57 5 3 4 7 2" xfId="42373" xr:uid="{00000000-0005-0000-0000-0000488D0000}"/>
    <cellStyle name="Normal 57 5 3 4 8" xfId="26792" xr:uid="{00000000-0005-0000-0000-0000498D0000}"/>
    <cellStyle name="Normal 57 5 3 5" xfId="1206" xr:uid="{00000000-0005-0000-0000-00004A8D0000}"/>
    <cellStyle name="Normal 57 5 3 5 2" xfId="3635" xr:uid="{00000000-0005-0000-0000-00004B8D0000}"/>
    <cellStyle name="Normal 57 5 3 5 2 2" xfId="12771" xr:uid="{00000000-0005-0000-0000-00004C8D0000}"/>
    <cellStyle name="Normal 57 5 3 5 2 2 2" xfId="22990" xr:uid="{00000000-0005-0000-0000-00004D8D0000}"/>
    <cellStyle name="Normal 57 5 3 5 2 2 2 2" xfId="48543" xr:uid="{00000000-0005-0000-0000-00004E8D0000}"/>
    <cellStyle name="Normal 57 5 3 5 2 2 3" xfId="38326" xr:uid="{00000000-0005-0000-0000-00004F8D0000}"/>
    <cellStyle name="Normal 57 5 3 5 2 3" xfId="9192" xr:uid="{00000000-0005-0000-0000-0000508D0000}"/>
    <cellStyle name="Normal 57 5 3 5 2 3 2" xfId="34749" xr:uid="{00000000-0005-0000-0000-0000518D0000}"/>
    <cellStyle name="Normal 57 5 3 5 2 4" xfId="17983" xr:uid="{00000000-0005-0000-0000-0000528D0000}"/>
    <cellStyle name="Normal 57 5 3 5 2 4 2" xfId="43536" xr:uid="{00000000-0005-0000-0000-0000538D0000}"/>
    <cellStyle name="Normal 57 5 3 5 2 5" xfId="29473" xr:uid="{00000000-0005-0000-0000-0000548D0000}"/>
    <cellStyle name="Normal 57 5 3 5 3" xfId="5298" xr:uid="{00000000-0005-0000-0000-0000558D0000}"/>
    <cellStyle name="Normal 57 5 3 5 3 2" xfId="14135" xr:uid="{00000000-0005-0000-0000-0000568D0000}"/>
    <cellStyle name="Normal 57 5 3 5 3 2 2" xfId="24386" xr:uid="{00000000-0005-0000-0000-0000578D0000}"/>
    <cellStyle name="Normal 57 5 3 5 3 2 2 2" xfId="49939" xr:uid="{00000000-0005-0000-0000-0000588D0000}"/>
    <cellStyle name="Normal 57 5 3 5 3 2 3" xfId="39690" xr:uid="{00000000-0005-0000-0000-0000598D0000}"/>
    <cellStyle name="Normal 57 5 3 5 3 3" xfId="10556" xr:uid="{00000000-0005-0000-0000-00005A8D0000}"/>
    <cellStyle name="Normal 57 5 3 5 3 3 2" xfId="36113" xr:uid="{00000000-0005-0000-0000-00005B8D0000}"/>
    <cellStyle name="Normal 57 5 3 5 3 4" xfId="19379" xr:uid="{00000000-0005-0000-0000-00005C8D0000}"/>
    <cellStyle name="Normal 57 5 3 5 3 4 2" xfId="44932" xr:uid="{00000000-0005-0000-0000-00005D8D0000}"/>
    <cellStyle name="Normal 57 5 3 5 3 5" xfId="30869" xr:uid="{00000000-0005-0000-0000-00005E8D0000}"/>
    <cellStyle name="Normal 57 5 3 5 4" xfId="1809" xr:uid="{00000000-0005-0000-0000-00005F8D0000}"/>
    <cellStyle name="Normal 57 5 3 5 4 2" xfId="11177" xr:uid="{00000000-0005-0000-0000-0000608D0000}"/>
    <cellStyle name="Normal 57 5 3 5 4 2 2" xfId="36732" xr:uid="{00000000-0005-0000-0000-0000618D0000}"/>
    <cellStyle name="Normal 57 5 3 5 4 3" xfId="21181" xr:uid="{00000000-0005-0000-0000-0000628D0000}"/>
    <cellStyle name="Normal 57 5 3 5 4 3 2" xfId="46734" xr:uid="{00000000-0005-0000-0000-0000638D0000}"/>
    <cellStyle name="Normal 57 5 3 5 4 4" xfId="27664" xr:uid="{00000000-0005-0000-0000-0000648D0000}"/>
    <cellStyle name="Normal 57 5 3 5 5" xfId="6753" xr:uid="{00000000-0005-0000-0000-0000658D0000}"/>
    <cellStyle name="Normal 57 5 3 5 5 2" xfId="15580" xr:uid="{00000000-0005-0000-0000-0000668D0000}"/>
    <cellStyle name="Normal 57 5 3 5 5 2 2" xfId="41135" xr:uid="{00000000-0005-0000-0000-0000678D0000}"/>
    <cellStyle name="Normal 57 5 3 5 5 3" xfId="25831" xr:uid="{00000000-0005-0000-0000-0000688D0000}"/>
    <cellStyle name="Normal 57 5 3 5 5 3 2" xfId="51384" xr:uid="{00000000-0005-0000-0000-0000698D0000}"/>
    <cellStyle name="Normal 57 5 3 5 5 4" xfId="32314" xr:uid="{00000000-0005-0000-0000-00006A8D0000}"/>
    <cellStyle name="Normal 57 5 3 5 6" xfId="8199" xr:uid="{00000000-0005-0000-0000-00006B8D0000}"/>
    <cellStyle name="Normal 57 5 3 5 6 2" xfId="20589" xr:uid="{00000000-0005-0000-0000-00006C8D0000}"/>
    <cellStyle name="Normal 57 5 3 5 6 2 2" xfId="46142" xr:uid="{00000000-0005-0000-0000-00006D8D0000}"/>
    <cellStyle name="Normal 57 5 3 5 6 3" xfId="33756" xr:uid="{00000000-0005-0000-0000-00006E8D0000}"/>
    <cellStyle name="Normal 57 5 3 5 7" xfId="16174" xr:uid="{00000000-0005-0000-0000-00006F8D0000}"/>
    <cellStyle name="Normal 57 5 3 5 7 2" xfId="41727" xr:uid="{00000000-0005-0000-0000-0000708D0000}"/>
    <cellStyle name="Normal 57 5 3 5 8" xfId="27072" xr:uid="{00000000-0005-0000-0000-0000718D0000}"/>
    <cellStyle name="Normal 57 5 3 6" xfId="2703" xr:uid="{00000000-0005-0000-0000-0000728D0000}"/>
    <cellStyle name="Normal 57 5 3 6 2" xfId="12020" xr:uid="{00000000-0005-0000-0000-0000738D0000}"/>
    <cellStyle name="Normal 57 5 3 6 2 2" xfId="22064" xr:uid="{00000000-0005-0000-0000-0000748D0000}"/>
    <cellStyle name="Normal 57 5 3 6 2 2 2" xfId="47617" xr:uid="{00000000-0005-0000-0000-0000758D0000}"/>
    <cellStyle name="Normal 57 5 3 6 2 3" xfId="37575" xr:uid="{00000000-0005-0000-0000-0000768D0000}"/>
    <cellStyle name="Normal 57 5 3 6 3" xfId="8381" xr:uid="{00000000-0005-0000-0000-0000778D0000}"/>
    <cellStyle name="Normal 57 5 3 6 3 2" xfId="33938" xr:uid="{00000000-0005-0000-0000-0000788D0000}"/>
    <cellStyle name="Normal 57 5 3 6 4" xfId="17057" xr:uid="{00000000-0005-0000-0000-0000798D0000}"/>
    <cellStyle name="Normal 57 5 3 6 4 2" xfId="42610" xr:uid="{00000000-0005-0000-0000-00007A8D0000}"/>
    <cellStyle name="Normal 57 5 3 6 5" xfId="28547" xr:uid="{00000000-0005-0000-0000-00007B8D0000}"/>
    <cellStyle name="Normal 57 5 3 7" xfId="4254" xr:uid="{00000000-0005-0000-0000-00007C8D0000}"/>
    <cellStyle name="Normal 57 5 3 7 2" xfId="13092" xr:uid="{00000000-0005-0000-0000-00007D8D0000}"/>
    <cellStyle name="Normal 57 5 3 7 2 2" xfId="23343" xr:uid="{00000000-0005-0000-0000-00007E8D0000}"/>
    <cellStyle name="Normal 57 5 3 7 2 2 2" xfId="48896" xr:uid="{00000000-0005-0000-0000-00007F8D0000}"/>
    <cellStyle name="Normal 57 5 3 7 2 3" xfId="38647" xr:uid="{00000000-0005-0000-0000-0000808D0000}"/>
    <cellStyle name="Normal 57 5 3 7 3" xfId="9513" xr:uid="{00000000-0005-0000-0000-0000818D0000}"/>
    <cellStyle name="Normal 57 5 3 7 3 2" xfId="35070" xr:uid="{00000000-0005-0000-0000-0000828D0000}"/>
    <cellStyle name="Normal 57 5 3 7 4" xfId="18336" xr:uid="{00000000-0005-0000-0000-0000838D0000}"/>
    <cellStyle name="Normal 57 5 3 7 4 2" xfId="43889" xr:uid="{00000000-0005-0000-0000-0000848D0000}"/>
    <cellStyle name="Normal 57 5 3 7 5" xfId="29826" xr:uid="{00000000-0005-0000-0000-0000858D0000}"/>
    <cellStyle name="Normal 57 5 3 8" xfId="1526" xr:uid="{00000000-0005-0000-0000-0000868D0000}"/>
    <cellStyle name="Normal 57 5 3 8 2" xfId="10903" xr:uid="{00000000-0005-0000-0000-0000878D0000}"/>
    <cellStyle name="Normal 57 5 3 8 2 2" xfId="36458" xr:uid="{00000000-0005-0000-0000-0000888D0000}"/>
    <cellStyle name="Normal 57 5 3 8 3" xfId="20907" xr:uid="{00000000-0005-0000-0000-0000898D0000}"/>
    <cellStyle name="Normal 57 5 3 8 3 2" xfId="46460" xr:uid="{00000000-0005-0000-0000-00008A8D0000}"/>
    <cellStyle name="Normal 57 5 3 8 4" xfId="27390" xr:uid="{00000000-0005-0000-0000-00008B8D0000}"/>
    <cellStyle name="Normal 57 5 3 9" xfId="5710" xr:uid="{00000000-0005-0000-0000-00008C8D0000}"/>
    <cellStyle name="Normal 57 5 3 9 2" xfId="14537" xr:uid="{00000000-0005-0000-0000-00008D8D0000}"/>
    <cellStyle name="Normal 57 5 3 9 2 2" xfId="40092" xr:uid="{00000000-0005-0000-0000-00008E8D0000}"/>
    <cellStyle name="Normal 57 5 3 9 3" xfId="24788" xr:uid="{00000000-0005-0000-0000-00008F8D0000}"/>
    <cellStyle name="Normal 57 5 3 9 3 2" xfId="50341" xr:uid="{00000000-0005-0000-0000-0000908D0000}"/>
    <cellStyle name="Normal 57 5 3 9 4" xfId="31271" xr:uid="{00000000-0005-0000-0000-0000918D0000}"/>
    <cellStyle name="Normal 57 5 3_Degree data" xfId="3970" xr:uid="{00000000-0005-0000-0000-0000928D0000}"/>
    <cellStyle name="Normal 57 5 4" xfId="228" xr:uid="{00000000-0005-0000-0000-0000938D0000}"/>
    <cellStyle name="Normal 57 5 4 10" xfId="7066" xr:uid="{00000000-0005-0000-0000-0000948D0000}"/>
    <cellStyle name="Normal 57 5 4 10 2" xfId="19680" xr:uid="{00000000-0005-0000-0000-0000958D0000}"/>
    <cellStyle name="Normal 57 5 4 10 2 2" xfId="45233" xr:uid="{00000000-0005-0000-0000-0000968D0000}"/>
    <cellStyle name="Normal 57 5 4 10 3" xfId="32623" xr:uid="{00000000-0005-0000-0000-0000978D0000}"/>
    <cellStyle name="Normal 57 5 4 11" xfId="15812" xr:uid="{00000000-0005-0000-0000-0000988D0000}"/>
    <cellStyle name="Normal 57 5 4 11 2" xfId="41365" xr:uid="{00000000-0005-0000-0000-0000998D0000}"/>
    <cellStyle name="Normal 57 5 4 12" xfId="26163" xr:uid="{00000000-0005-0000-0000-00009A8D0000}"/>
    <cellStyle name="Normal 57 5 4 2" xfId="551" xr:uid="{00000000-0005-0000-0000-00009B8D0000}"/>
    <cellStyle name="Normal 57 5 4 2 10" xfId="26480" xr:uid="{00000000-0005-0000-0000-00009C8D0000}"/>
    <cellStyle name="Normal 57 5 4 2 2" xfId="867" xr:uid="{00000000-0005-0000-0000-00009D8D0000}"/>
    <cellStyle name="Normal 57 5 4 2 2 2" xfId="3352" xr:uid="{00000000-0005-0000-0000-00009E8D0000}"/>
    <cellStyle name="Normal 57 5 4 2 2 2 2" xfId="12494" xr:uid="{00000000-0005-0000-0000-00009F8D0000}"/>
    <cellStyle name="Normal 57 5 4 2 2 2 2 2" xfId="22713" xr:uid="{00000000-0005-0000-0000-0000A08D0000}"/>
    <cellStyle name="Normal 57 5 4 2 2 2 2 2 2" xfId="48266" xr:uid="{00000000-0005-0000-0000-0000A18D0000}"/>
    <cellStyle name="Normal 57 5 4 2 2 2 2 3" xfId="38049" xr:uid="{00000000-0005-0000-0000-0000A28D0000}"/>
    <cellStyle name="Normal 57 5 4 2 2 2 3" xfId="8916" xr:uid="{00000000-0005-0000-0000-0000A38D0000}"/>
    <cellStyle name="Normal 57 5 4 2 2 2 3 2" xfId="34473" xr:uid="{00000000-0005-0000-0000-0000A48D0000}"/>
    <cellStyle name="Normal 57 5 4 2 2 2 4" xfId="17706" xr:uid="{00000000-0005-0000-0000-0000A58D0000}"/>
    <cellStyle name="Normal 57 5 4 2 2 2 4 2" xfId="43259" xr:uid="{00000000-0005-0000-0000-0000A68D0000}"/>
    <cellStyle name="Normal 57 5 4 2 2 2 5" xfId="29196" xr:uid="{00000000-0005-0000-0000-0000A78D0000}"/>
    <cellStyle name="Normal 57 5 4 2 2 3" xfId="4681" xr:uid="{00000000-0005-0000-0000-0000A88D0000}"/>
    <cellStyle name="Normal 57 5 4 2 2 3 2" xfId="13519" xr:uid="{00000000-0005-0000-0000-0000A98D0000}"/>
    <cellStyle name="Normal 57 5 4 2 2 3 2 2" xfId="23770" xr:uid="{00000000-0005-0000-0000-0000AA8D0000}"/>
    <cellStyle name="Normal 57 5 4 2 2 3 2 2 2" xfId="49323" xr:uid="{00000000-0005-0000-0000-0000AB8D0000}"/>
    <cellStyle name="Normal 57 5 4 2 2 3 2 3" xfId="39074" xr:uid="{00000000-0005-0000-0000-0000AC8D0000}"/>
    <cellStyle name="Normal 57 5 4 2 2 3 3" xfId="9940" xr:uid="{00000000-0005-0000-0000-0000AD8D0000}"/>
    <cellStyle name="Normal 57 5 4 2 2 3 3 2" xfId="35497" xr:uid="{00000000-0005-0000-0000-0000AE8D0000}"/>
    <cellStyle name="Normal 57 5 4 2 2 3 4" xfId="18763" xr:uid="{00000000-0005-0000-0000-0000AF8D0000}"/>
    <cellStyle name="Normal 57 5 4 2 2 3 4 2" xfId="44316" xr:uid="{00000000-0005-0000-0000-0000B08D0000}"/>
    <cellStyle name="Normal 57 5 4 2 2 3 5" xfId="30253" xr:uid="{00000000-0005-0000-0000-0000B18D0000}"/>
    <cellStyle name="Normal 57 5 4 2 2 4" xfId="2461" xr:uid="{00000000-0005-0000-0000-0000B28D0000}"/>
    <cellStyle name="Normal 57 5 4 2 2 4 2" xfId="11826" xr:uid="{00000000-0005-0000-0000-0000B38D0000}"/>
    <cellStyle name="Normal 57 5 4 2 2 4 2 2" xfId="37381" xr:uid="{00000000-0005-0000-0000-0000B48D0000}"/>
    <cellStyle name="Normal 57 5 4 2 2 4 3" xfId="21830" xr:uid="{00000000-0005-0000-0000-0000B58D0000}"/>
    <cellStyle name="Normal 57 5 4 2 2 4 3 2" xfId="47383" xr:uid="{00000000-0005-0000-0000-0000B68D0000}"/>
    <cellStyle name="Normal 57 5 4 2 2 4 4" xfId="28313" xr:uid="{00000000-0005-0000-0000-0000B78D0000}"/>
    <cellStyle name="Normal 57 5 4 2 2 5" xfId="6137" xr:uid="{00000000-0005-0000-0000-0000B88D0000}"/>
    <cellStyle name="Normal 57 5 4 2 2 5 2" xfId="14964" xr:uid="{00000000-0005-0000-0000-0000B98D0000}"/>
    <cellStyle name="Normal 57 5 4 2 2 5 2 2" xfId="40519" xr:uid="{00000000-0005-0000-0000-0000BA8D0000}"/>
    <cellStyle name="Normal 57 5 4 2 2 5 3" xfId="25215" xr:uid="{00000000-0005-0000-0000-0000BB8D0000}"/>
    <cellStyle name="Normal 57 5 4 2 2 5 3 2" xfId="50768" xr:uid="{00000000-0005-0000-0000-0000BC8D0000}"/>
    <cellStyle name="Normal 57 5 4 2 2 5 4" xfId="31698" xr:uid="{00000000-0005-0000-0000-0000BD8D0000}"/>
    <cellStyle name="Normal 57 5 4 2 2 6" xfId="7582" xr:uid="{00000000-0005-0000-0000-0000BE8D0000}"/>
    <cellStyle name="Normal 57 5 4 2 2 6 2" xfId="20312" xr:uid="{00000000-0005-0000-0000-0000BF8D0000}"/>
    <cellStyle name="Normal 57 5 4 2 2 6 2 2" xfId="45865" xr:uid="{00000000-0005-0000-0000-0000C08D0000}"/>
    <cellStyle name="Normal 57 5 4 2 2 6 3" xfId="33139" xr:uid="{00000000-0005-0000-0000-0000C18D0000}"/>
    <cellStyle name="Normal 57 5 4 2 2 7" xfId="16823" xr:uid="{00000000-0005-0000-0000-0000C28D0000}"/>
    <cellStyle name="Normal 57 5 4 2 2 7 2" xfId="42376" xr:uid="{00000000-0005-0000-0000-0000C38D0000}"/>
    <cellStyle name="Normal 57 5 4 2 2 8" xfId="26795" xr:uid="{00000000-0005-0000-0000-0000C48D0000}"/>
    <cellStyle name="Normal 57 5 4 2 3" xfId="1323" xr:uid="{00000000-0005-0000-0000-0000C58D0000}"/>
    <cellStyle name="Normal 57 5 4 2 3 2" xfId="3752" xr:uid="{00000000-0005-0000-0000-0000C68D0000}"/>
    <cellStyle name="Normal 57 5 4 2 3 2 2" xfId="12888" xr:uid="{00000000-0005-0000-0000-0000C78D0000}"/>
    <cellStyle name="Normal 57 5 4 2 3 2 2 2" xfId="23107" xr:uid="{00000000-0005-0000-0000-0000C88D0000}"/>
    <cellStyle name="Normal 57 5 4 2 3 2 2 2 2" xfId="48660" xr:uid="{00000000-0005-0000-0000-0000C98D0000}"/>
    <cellStyle name="Normal 57 5 4 2 3 2 2 3" xfId="38443" xr:uid="{00000000-0005-0000-0000-0000CA8D0000}"/>
    <cellStyle name="Normal 57 5 4 2 3 2 3" xfId="9309" xr:uid="{00000000-0005-0000-0000-0000CB8D0000}"/>
    <cellStyle name="Normal 57 5 4 2 3 2 3 2" xfId="34866" xr:uid="{00000000-0005-0000-0000-0000CC8D0000}"/>
    <cellStyle name="Normal 57 5 4 2 3 2 4" xfId="18100" xr:uid="{00000000-0005-0000-0000-0000CD8D0000}"/>
    <cellStyle name="Normal 57 5 4 2 3 2 4 2" xfId="43653" xr:uid="{00000000-0005-0000-0000-0000CE8D0000}"/>
    <cellStyle name="Normal 57 5 4 2 3 2 5" xfId="29590" xr:uid="{00000000-0005-0000-0000-0000CF8D0000}"/>
    <cellStyle name="Normal 57 5 4 2 3 3" xfId="5030" xr:uid="{00000000-0005-0000-0000-0000D08D0000}"/>
    <cellStyle name="Normal 57 5 4 2 3 3 2" xfId="13867" xr:uid="{00000000-0005-0000-0000-0000D18D0000}"/>
    <cellStyle name="Normal 57 5 4 2 3 3 2 2" xfId="24118" xr:uid="{00000000-0005-0000-0000-0000D28D0000}"/>
    <cellStyle name="Normal 57 5 4 2 3 3 2 2 2" xfId="49671" xr:uid="{00000000-0005-0000-0000-0000D38D0000}"/>
    <cellStyle name="Normal 57 5 4 2 3 3 2 3" xfId="39422" xr:uid="{00000000-0005-0000-0000-0000D48D0000}"/>
    <cellStyle name="Normal 57 5 4 2 3 3 3" xfId="10288" xr:uid="{00000000-0005-0000-0000-0000D58D0000}"/>
    <cellStyle name="Normal 57 5 4 2 3 3 3 2" xfId="35845" xr:uid="{00000000-0005-0000-0000-0000D68D0000}"/>
    <cellStyle name="Normal 57 5 4 2 3 3 4" xfId="19111" xr:uid="{00000000-0005-0000-0000-0000D78D0000}"/>
    <cellStyle name="Normal 57 5 4 2 3 3 4 2" xfId="44664" xr:uid="{00000000-0005-0000-0000-0000D88D0000}"/>
    <cellStyle name="Normal 57 5 4 2 3 3 5" xfId="30601" xr:uid="{00000000-0005-0000-0000-0000D98D0000}"/>
    <cellStyle name="Normal 57 5 4 2 3 4" xfId="2146" xr:uid="{00000000-0005-0000-0000-0000DA8D0000}"/>
    <cellStyle name="Normal 57 5 4 2 3 4 2" xfId="11511" xr:uid="{00000000-0005-0000-0000-0000DB8D0000}"/>
    <cellStyle name="Normal 57 5 4 2 3 4 2 2" xfId="37066" xr:uid="{00000000-0005-0000-0000-0000DC8D0000}"/>
    <cellStyle name="Normal 57 5 4 2 3 4 3" xfId="21515" xr:uid="{00000000-0005-0000-0000-0000DD8D0000}"/>
    <cellStyle name="Normal 57 5 4 2 3 4 3 2" xfId="47068" xr:uid="{00000000-0005-0000-0000-0000DE8D0000}"/>
    <cellStyle name="Normal 57 5 4 2 3 4 4" xfId="27998" xr:uid="{00000000-0005-0000-0000-0000DF8D0000}"/>
    <cellStyle name="Normal 57 5 4 2 3 5" xfId="6485" xr:uid="{00000000-0005-0000-0000-0000E08D0000}"/>
    <cellStyle name="Normal 57 5 4 2 3 5 2" xfId="15312" xr:uid="{00000000-0005-0000-0000-0000E18D0000}"/>
    <cellStyle name="Normal 57 5 4 2 3 5 2 2" xfId="40867" xr:uid="{00000000-0005-0000-0000-0000E28D0000}"/>
    <cellStyle name="Normal 57 5 4 2 3 5 3" xfId="25563" xr:uid="{00000000-0005-0000-0000-0000E38D0000}"/>
    <cellStyle name="Normal 57 5 4 2 3 5 3 2" xfId="51116" xr:uid="{00000000-0005-0000-0000-0000E48D0000}"/>
    <cellStyle name="Normal 57 5 4 2 3 5 4" xfId="32046" xr:uid="{00000000-0005-0000-0000-0000E58D0000}"/>
    <cellStyle name="Normal 57 5 4 2 3 6" xfId="7931" xr:uid="{00000000-0005-0000-0000-0000E68D0000}"/>
    <cellStyle name="Normal 57 5 4 2 3 6 2" xfId="20706" xr:uid="{00000000-0005-0000-0000-0000E78D0000}"/>
    <cellStyle name="Normal 57 5 4 2 3 6 2 2" xfId="46259" xr:uid="{00000000-0005-0000-0000-0000E88D0000}"/>
    <cellStyle name="Normal 57 5 4 2 3 6 3" xfId="33488" xr:uid="{00000000-0005-0000-0000-0000E98D0000}"/>
    <cellStyle name="Normal 57 5 4 2 3 7" xfId="16508" xr:uid="{00000000-0005-0000-0000-0000EA8D0000}"/>
    <cellStyle name="Normal 57 5 4 2 3 7 2" xfId="42061" xr:uid="{00000000-0005-0000-0000-0000EB8D0000}"/>
    <cellStyle name="Normal 57 5 4 2 3 8" xfId="27189" xr:uid="{00000000-0005-0000-0000-0000EC8D0000}"/>
    <cellStyle name="Normal 57 5 4 2 4" xfId="3037" xr:uid="{00000000-0005-0000-0000-0000ED8D0000}"/>
    <cellStyle name="Normal 57 5 4 2 4 2" xfId="5415" xr:uid="{00000000-0005-0000-0000-0000EE8D0000}"/>
    <cellStyle name="Normal 57 5 4 2 4 2 2" xfId="14252" xr:uid="{00000000-0005-0000-0000-0000EF8D0000}"/>
    <cellStyle name="Normal 57 5 4 2 4 2 2 2" xfId="24503" xr:uid="{00000000-0005-0000-0000-0000F08D0000}"/>
    <cellStyle name="Normal 57 5 4 2 4 2 2 2 2" xfId="50056" xr:uid="{00000000-0005-0000-0000-0000F18D0000}"/>
    <cellStyle name="Normal 57 5 4 2 4 2 2 3" xfId="39807" xr:uid="{00000000-0005-0000-0000-0000F28D0000}"/>
    <cellStyle name="Normal 57 5 4 2 4 2 3" xfId="10673" xr:uid="{00000000-0005-0000-0000-0000F38D0000}"/>
    <cellStyle name="Normal 57 5 4 2 4 2 3 2" xfId="36230" xr:uid="{00000000-0005-0000-0000-0000F48D0000}"/>
    <cellStyle name="Normal 57 5 4 2 4 2 4" xfId="19496" xr:uid="{00000000-0005-0000-0000-0000F58D0000}"/>
    <cellStyle name="Normal 57 5 4 2 4 2 4 2" xfId="45049" xr:uid="{00000000-0005-0000-0000-0000F68D0000}"/>
    <cellStyle name="Normal 57 5 4 2 4 2 5" xfId="30986" xr:uid="{00000000-0005-0000-0000-0000F78D0000}"/>
    <cellStyle name="Normal 57 5 4 2 4 3" xfId="6870" xr:uid="{00000000-0005-0000-0000-0000F88D0000}"/>
    <cellStyle name="Normal 57 5 4 2 4 3 2" xfId="15697" xr:uid="{00000000-0005-0000-0000-0000F98D0000}"/>
    <cellStyle name="Normal 57 5 4 2 4 3 2 2" xfId="41252" xr:uid="{00000000-0005-0000-0000-0000FA8D0000}"/>
    <cellStyle name="Normal 57 5 4 2 4 3 3" xfId="25948" xr:uid="{00000000-0005-0000-0000-0000FB8D0000}"/>
    <cellStyle name="Normal 57 5 4 2 4 3 3 2" xfId="51501" xr:uid="{00000000-0005-0000-0000-0000FC8D0000}"/>
    <cellStyle name="Normal 57 5 4 2 4 3 4" xfId="32431" xr:uid="{00000000-0005-0000-0000-0000FD8D0000}"/>
    <cellStyle name="Normal 57 5 4 2 4 4" xfId="8316" xr:uid="{00000000-0005-0000-0000-0000FE8D0000}"/>
    <cellStyle name="Normal 57 5 4 2 4 4 2" xfId="22398" xr:uid="{00000000-0005-0000-0000-0000FF8D0000}"/>
    <cellStyle name="Normal 57 5 4 2 4 4 2 2" xfId="47951" xr:uid="{00000000-0005-0000-0000-0000008E0000}"/>
    <cellStyle name="Normal 57 5 4 2 4 4 3" xfId="33873" xr:uid="{00000000-0005-0000-0000-0000018E0000}"/>
    <cellStyle name="Normal 57 5 4 2 4 5" xfId="17391" xr:uid="{00000000-0005-0000-0000-0000028E0000}"/>
    <cellStyle name="Normal 57 5 4 2 4 5 2" xfId="42944" xr:uid="{00000000-0005-0000-0000-0000038E0000}"/>
    <cellStyle name="Normal 57 5 4 2 4 6" xfId="28881" xr:uid="{00000000-0005-0000-0000-0000048E0000}"/>
    <cellStyle name="Normal 57 5 4 2 5" xfId="4371" xr:uid="{00000000-0005-0000-0000-0000058E0000}"/>
    <cellStyle name="Normal 57 5 4 2 5 2" xfId="13209" xr:uid="{00000000-0005-0000-0000-0000068E0000}"/>
    <cellStyle name="Normal 57 5 4 2 5 2 2" xfId="23460" xr:uid="{00000000-0005-0000-0000-0000078E0000}"/>
    <cellStyle name="Normal 57 5 4 2 5 2 2 2" xfId="49013" xr:uid="{00000000-0005-0000-0000-0000088E0000}"/>
    <cellStyle name="Normal 57 5 4 2 5 2 3" xfId="38764" xr:uid="{00000000-0005-0000-0000-0000098E0000}"/>
    <cellStyle name="Normal 57 5 4 2 5 3" xfId="9630" xr:uid="{00000000-0005-0000-0000-00000A8E0000}"/>
    <cellStyle name="Normal 57 5 4 2 5 3 2" xfId="35187" xr:uid="{00000000-0005-0000-0000-00000B8E0000}"/>
    <cellStyle name="Normal 57 5 4 2 5 4" xfId="18453" xr:uid="{00000000-0005-0000-0000-00000C8E0000}"/>
    <cellStyle name="Normal 57 5 4 2 5 4 2" xfId="44006" xr:uid="{00000000-0005-0000-0000-00000D8E0000}"/>
    <cellStyle name="Normal 57 5 4 2 5 5" xfId="29943" xr:uid="{00000000-0005-0000-0000-00000E8E0000}"/>
    <cellStyle name="Normal 57 5 4 2 6" xfId="1643" xr:uid="{00000000-0005-0000-0000-00000F8E0000}"/>
    <cellStyle name="Normal 57 5 4 2 6 2" xfId="11020" xr:uid="{00000000-0005-0000-0000-0000108E0000}"/>
    <cellStyle name="Normal 57 5 4 2 6 2 2" xfId="36575" xr:uid="{00000000-0005-0000-0000-0000118E0000}"/>
    <cellStyle name="Normal 57 5 4 2 6 3" xfId="21024" xr:uid="{00000000-0005-0000-0000-0000128E0000}"/>
    <cellStyle name="Normal 57 5 4 2 6 3 2" xfId="46577" xr:uid="{00000000-0005-0000-0000-0000138E0000}"/>
    <cellStyle name="Normal 57 5 4 2 6 4" xfId="27507" xr:uid="{00000000-0005-0000-0000-0000148E0000}"/>
    <cellStyle name="Normal 57 5 4 2 7" xfId="5827" xr:uid="{00000000-0005-0000-0000-0000158E0000}"/>
    <cellStyle name="Normal 57 5 4 2 7 2" xfId="14654" xr:uid="{00000000-0005-0000-0000-0000168E0000}"/>
    <cellStyle name="Normal 57 5 4 2 7 2 2" xfId="40209" xr:uid="{00000000-0005-0000-0000-0000178E0000}"/>
    <cellStyle name="Normal 57 5 4 2 7 3" xfId="24905" xr:uid="{00000000-0005-0000-0000-0000188E0000}"/>
    <cellStyle name="Normal 57 5 4 2 7 3 2" xfId="50458" xr:uid="{00000000-0005-0000-0000-0000198E0000}"/>
    <cellStyle name="Normal 57 5 4 2 7 4" xfId="31388" xr:uid="{00000000-0005-0000-0000-00001A8E0000}"/>
    <cellStyle name="Normal 57 5 4 2 8" xfId="7271" xr:uid="{00000000-0005-0000-0000-00001B8E0000}"/>
    <cellStyle name="Normal 57 5 4 2 8 2" xfId="19997" xr:uid="{00000000-0005-0000-0000-00001C8E0000}"/>
    <cellStyle name="Normal 57 5 4 2 8 2 2" xfId="45550" xr:uid="{00000000-0005-0000-0000-00001D8E0000}"/>
    <cellStyle name="Normal 57 5 4 2 8 3" xfId="32828" xr:uid="{00000000-0005-0000-0000-00001E8E0000}"/>
    <cellStyle name="Normal 57 5 4 2 9" xfId="16017" xr:uid="{00000000-0005-0000-0000-00001F8E0000}"/>
    <cellStyle name="Normal 57 5 4 2 9 2" xfId="41570" xr:uid="{00000000-0005-0000-0000-0000208E0000}"/>
    <cellStyle name="Normal 57 5 4 2_Degree data" xfId="3973" xr:uid="{00000000-0005-0000-0000-0000218E0000}"/>
    <cellStyle name="Normal 57 5 4 3" xfId="346" xr:uid="{00000000-0005-0000-0000-0000228E0000}"/>
    <cellStyle name="Normal 57 5 4 3 2" xfId="2832" xr:uid="{00000000-0005-0000-0000-0000238E0000}"/>
    <cellStyle name="Normal 57 5 4 3 2 2" xfId="12120" xr:uid="{00000000-0005-0000-0000-0000248E0000}"/>
    <cellStyle name="Normal 57 5 4 3 2 2 2" xfId="22193" xr:uid="{00000000-0005-0000-0000-0000258E0000}"/>
    <cellStyle name="Normal 57 5 4 3 2 2 2 2" xfId="47746" xr:uid="{00000000-0005-0000-0000-0000268E0000}"/>
    <cellStyle name="Normal 57 5 4 3 2 2 3" xfId="37675" xr:uid="{00000000-0005-0000-0000-0000278E0000}"/>
    <cellStyle name="Normal 57 5 4 3 2 3" xfId="8600" xr:uid="{00000000-0005-0000-0000-0000288E0000}"/>
    <cellStyle name="Normal 57 5 4 3 2 3 2" xfId="34157" xr:uid="{00000000-0005-0000-0000-0000298E0000}"/>
    <cellStyle name="Normal 57 5 4 3 2 4" xfId="17186" xr:uid="{00000000-0005-0000-0000-00002A8E0000}"/>
    <cellStyle name="Normal 57 5 4 3 2 4 2" xfId="42739" xr:uid="{00000000-0005-0000-0000-00002B8E0000}"/>
    <cellStyle name="Normal 57 5 4 3 2 5" xfId="28676" xr:uid="{00000000-0005-0000-0000-00002C8E0000}"/>
    <cellStyle name="Normal 57 5 4 3 3" xfId="4680" xr:uid="{00000000-0005-0000-0000-00002D8E0000}"/>
    <cellStyle name="Normal 57 5 4 3 3 2" xfId="13518" xr:uid="{00000000-0005-0000-0000-00002E8E0000}"/>
    <cellStyle name="Normal 57 5 4 3 3 2 2" xfId="23769" xr:uid="{00000000-0005-0000-0000-00002F8E0000}"/>
    <cellStyle name="Normal 57 5 4 3 3 2 2 2" xfId="49322" xr:uid="{00000000-0005-0000-0000-0000308E0000}"/>
    <cellStyle name="Normal 57 5 4 3 3 2 3" xfId="39073" xr:uid="{00000000-0005-0000-0000-0000318E0000}"/>
    <cellStyle name="Normal 57 5 4 3 3 3" xfId="9939" xr:uid="{00000000-0005-0000-0000-0000328E0000}"/>
    <cellStyle name="Normal 57 5 4 3 3 3 2" xfId="35496" xr:uid="{00000000-0005-0000-0000-0000338E0000}"/>
    <cellStyle name="Normal 57 5 4 3 3 4" xfId="18762" xr:uid="{00000000-0005-0000-0000-0000348E0000}"/>
    <cellStyle name="Normal 57 5 4 3 3 4 2" xfId="44315" xr:uid="{00000000-0005-0000-0000-0000358E0000}"/>
    <cellStyle name="Normal 57 5 4 3 3 5" xfId="30252" xr:uid="{00000000-0005-0000-0000-0000368E0000}"/>
    <cellStyle name="Normal 57 5 4 3 4" xfId="1941" xr:uid="{00000000-0005-0000-0000-0000378E0000}"/>
    <cellStyle name="Normal 57 5 4 3 4 2" xfId="11306" xr:uid="{00000000-0005-0000-0000-0000388E0000}"/>
    <cellStyle name="Normal 57 5 4 3 4 2 2" xfId="36861" xr:uid="{00000000-0005-0000-0000-0000398E0000}"/>
    <cellStyle name="Normal 57 5 4 3 4 3" xfId="21310" xr:uid="{00000000-0005-0000-0000-00003A8E0000}"/>
    <cellStyle name="Normal 57 5 4 3 4 3 2" xfId="46863" xr:uid="{00000000-0005-0000-0000-00003B8E0000}"/>
    <cellStyle name="Normal 57 5 4 3 4 4" xfId="27793" xr:uid="{00000000-0005-0000-0000-00003C8E0000}"/>
    <cellStyle name="Normal 57 5 4 3 5" xfId="6136" xr:uid="{00000000-0005-0000-0000-00003D8E0000}"/>
    <cellStyle name="Normal 57 5 4 3 5 2" xfId="14963" xr:uid="{00000000-0005-0000-0000-00003E8E0000}"/>
    <cellStyle name="Normal 57 5 4 3 5 2 2" xfId="40518" xr:uid="{00000000-0005-0000-0000-00003F8E0000}"/>
    <cellStyle name="Normal 57 5 4 3 5 3" xfId="25214" xr:uid="{00000000-0005-0000-0000-0000408E0000}"/>
    <cellStyle name="Normal 57 5 4 3 5 3 2" xfId="50767" xr:uid="{00000000-0005-0000-0000-0000418E0000}"/>
    <cellStyle name="Normal 57 5 4 3 5 4" xfId="31697" xr:uid="{00000000-0005-0000-0000-0000428E0000}"/>
    <cellStyle name="Normal 57 5 4 3 6" xfId="7581" xr:uid="{00000000-0005-0000-0000-0000438E0000}"/>
    <cellStyle name="Normal 57 5 4 3 6 2" xfId="19792" xr:uid="{00000000-0005-0000-0000-0000448E0000}"/>
    <cellStyle name="Normal 57 5 4 3 6 2 2" xfId="45345" xr:uid="{00000000-0005-0000-0000-0000458E0000}"/>
    <cellStyle name="Normal 57 5 4 3 6 3" xfId="33138" xr:uid="{00000000-0005-0000-0000-0000468E0000}"/>
    <cellStyle name="Normal 57 5 4 3 7" xfId="16303" xr:uid="{00000000-0005-0000-0000-0000478E0000}"/>
    <cellStyle name="Normal 57 5 4 3 7 2" xfId="41856" xr:uid="{00000000-0005-0000-0000-0000488E0000}"/>
    <cellStyle name="Normal 57 5 4 3 8" xfId="26275" xr:uid="{00000000-0005-0000-0000-0000498E0000}"/>
    <cellStyle name="Normal 57 5 4 4" xfId="866" xr:uid="{00000000-0005-0000-0000-00004A8E0000}"/>
    <cellStyle name="Normal 57 5 4 4 2" xfId="3351" xr:uid="{00000000-0005-0000-0000-00004B8E0000}"/>
    <cellStyle name="Normal 57 5 4 4 2 2" xfId="12493" xr:uid="{00000000-0005-0000-0000-00004C8E0000}"/>
    <cellStyle name="Normal 57 5 4 4 2 2 2" xfId="22712" xr:uid="{00000000-0005-0000-0000-00004D8E0000}"/>
    <cellStyle name="Normal 57 5 4 4 2 2 2 2" xfId="48265" xr:uid="{00000000-0005-0000-0000-00004E8E0000}"/>
    <cellStyle name="Normal 57 5 4 4 2 2 3" xfId="38048" xr:uid="{00000000-0005-0000-0000-00004F8E0000}"/>
    <cellStyle name="Normal 57 5 4 4 2 3" xfId="8915" xr:uid="{00000000-0005-0000-0000-0000508E0000}"/>
    <cellStyle name="Normal 57 5 4 4 2 3 2" xfId="34472" xr:uid="{00000000-0005-0000-0000-0000518E0000}"/>
    <cellStyle name="Normal 57 5 4 4 2 4" xfId="17705" xr:uid="{00000000-0005-0000-0000-0000528E0000}"/>
    <cellStyle name="Normal 57 5 4 4 2 4 2" xfId="43258" xr:uid="{00000000-0005-0000-0000-0000538E0000}"/>
    <cellStyle name="Normal 57 5 4 4 2 5" xfId="29195" xr:uid="{00000000-0005-0000-0000-0000548E0000}"/>
    <cellStyle name="Normal 57 5 4 4 3" xfId="5029" xr:uid="{00000000-0005-0000-0000-0000558E0000}"/>
    <cellStyle name="Normal 57 5 4 4 3 2" xfId="13866" xr:uid="{00000000-0005-0000-0000-0000568E0000}"/>
    <cellStyle name="Normal 57 5 4 4 3 2 2" xfId="24117" xr:uid="{00000000-0005-0000-0000-0000578E0000}"/>
    <cellStyle name="Normal 57 5 4 4 3 2 2 2" xfId="49670" xr:uid="{00000000-0005-0000-0000-0000588E0000}"/>
    <cellStyle name="Normal 57 5 4 4 3 2 3" xfId="39421" xr:uid="{00000000-0005-0000-0000-0000598E0000}"/>
    <cellStyle name="Normal 57 5 4 4 3 3" xfId="10287" xr:uid="{00000000-0005-0000-0000-00005A8E0000}"/>
    <cellStyle name="Normal 57 5 4 4 3 3 2" xfId="35844" xr:uid="{00000000-0005-0000-0000-00005B8E0000}"/>
    <cellStyle name="Normal 57 5 4 4 3 4" xfId="19110" xr:uid="{00000000-0005-0000-0000-00005C8E0000}"/>
    <cellStyle name="Normal 57 5 4 4 3 4 2" xfId="44663" xr:uid="{00000000-0005-0000-0000-00005D8E0000}"/>
    <cellStyle name="Normal 57 5 4 4 3 5" xfId="30600" xr:uid="{00000000-0005-0000-0000-00005E8E0000}"/>
    <cellStyle name="Normal 57 5 4 4 4" xfId="2460" xr:uid="{00000000-0005-0000-0000-00005F8E0000}"/>
    <cellStyle name="Normal 57 5 4 4 4 2" xfId="11825" xr:uid="{00000000-0005-0000-0000-0000608E0000}"/>
    <cellStyle name="Normal 57 5 4 4 4 2 2" xfId="37380" xr:uid="{00000000-0005-0000-0000-0000618E0000}"/>
    <cellStyle name="Normal 57 5 4 4 4 3" xfId="21829" xr:uid="{00000000-0005-0000-0000-0000628E0000}"/>
    <cellStyle name="Normal 57 5 4 4 4 3 2" xfId="47382" xr:uid="{00000000-0005-0000-0000-0000638E0000}"/>
    <cellStyle name="Normal 57 5 4 4 4 4" xfId="28312" xr:uid="{00000000-0005-0000-0000-0000648E0000}"/>
    <cellStyle name="Normal 57 5 4 4 5" xfId="6484" xr:uid="{00000000-0005-0000-0000-0000658E0000}"/>
    <cellStyle name="Normal 57 5 4 4 5 2" xfId="15311" xr:uid="{00000000-0005-0000-0000-0000668E0000}"/>
    <cellStyle name="Normal 57 5 4 4 5 2 2" xfId="40866" xr:uid="{00000000-0005-0000-0000-0000678E0000}"/>
    <cellStyle name="Normal 57 5 4 4 5 3" xfId="25562" xr:uid="{00000000-0005-0000-0000-0000688E0000}"/>
    <cellStyle name="Normal 57 5 4 4 5 3 2" xfId="51115" xr:uid="{00000000-0005-0000-0000-0000698E0000}"/>
    <cellStyle name="Normal 57 5 4 4 5 4" xfId="32045" xr:uid="{00000000-0005-0000-0000-00006A8E0000}"/>
    <cellStyle name="Normal 57 5 4 4 6" xfId="7930" xr:uid="{00000000-0005-0000-0000-00006B8E0000}"/>
    <cellStyle name="Normal 57 5 4 4 6 2" xfId="20311" xr:uid="{00000000-0005-0000-0000-00006C8E0000}"/>
    <cellStyle name="Normal 57 5 4 4 6 2 2" xfId="45864" xr:uid="{00000000-0005-0000-0000-00006D8E0000}"/>
    <cellStyle name="Normal 57 5 4 4 6 3" xfId="33487" xr:uid="{00000000-0005-0000-0000-00006E8E0000}"/>
    <cellStyle name="Normal 57 5 4 4 7" xfId="16822" xr:uid="{00000000-0005-0000-0000-00006F8E0000}"/>
    <cellStyle name="Normal 57 5 4 4 7 2" xfId="42375" xr:uid="{00000000-0005-0000-0000-0000708E0000}"/>
    <cellStyle name="Normal 57 5 4 4 8" xfId="26794" xr:uid="{00000000-0005-0000-0000-0000718E0000}"/>
    <cellStyle name="Normal 57 5 4 5" xfId="1118" xr:uid="{00000000-0005-0000-0000-0000728E0000}"/>
    <cellStyle name="Normal 57 5 4 5 2" xfId="3547" xr:uid="{00000000-0005-0000-0000-0000738E0000}"/>
    <cellStyle name="Normal 57 5 4 5 2 2" xfId="12683" xr:uid="{00000000-0005-0000-0000-0000748E0000}"/>
    <cellStyle name="Normal 57 5 4 5 2 2 2" xfId="22902" xr:uid="{00000000-0005-0000-0000-0000758E0000}"/>
    <cellStyle name="Normal 57 5 4 5 2 2 2 2" xfId="48455" xr:uid="{00000000-0005-0000-0000-0000768E0000}"/>
    <cellStyle name="Normal 57 5 4 5 2 2 3" xfId="38238" xr:uid="{00000000-0005-0000-0000-0000778E0000}"/>
    <cellStyle name="Normal 57 5 4 5 2 3" xfId="9104" xr:uid="{00000000-0005-0000-0000-0000788E0000}"/>
    <cellStyle name="Normal 57 5 4 5 2 3 2" xfId="34661" xr:uid="{00000000-0005-0000-0000-0000798E0000}"/>
    <cellStyle name="Normal 57 5 4 5 2 4" xfId="17895" xr:uid="{00000000-0005-0000-0000-00007A8E0000}"/>
    <cellStyle name="Normal 57 5 4 5 2 4 2" xfId="43448" xr:uid="{00000000-0005-0000-0000-00007B8E0000}"/>
    <cellStyle name="Normal 57 5 4 5 2 5" xfId="29385" xr:uid="{00000000-0005-0000-0000-00007C8E0000}"/>
    <cellStyle name="Normal 57 5 4 5 3" xfId="5210" xr:uid="{00000000-0005-0000-0000-00007D8E0000}"/>
    <cellStyle name="Normal 57 5 4 5 3 2" xfId="14047" xr:uid="{00000000-0005-0000-0000-00007E8E0000}"/>
    <cellStyle name="Normal 57 5 4 5 3 2 2" xfId="24298" xr:uid="{00000000-0005-0000-0000-00007F8E0000}"/>
    <cellStyle name="Normal 57 5 4 5 3 2 2 2" xfId="49851" xr:uid="{00000000-0005-0000-0000-0000808E0000}"/>
    <cellStyle name="Normal 57 5 4 5 3 2 3" xfId="39602" xr:uid="{00000000-0005-0000-0000-0000818E0000}"/>
    <cellStyle name="Normal 57 5 4 5 3 3" xfId="10468" xr:uid="{00000000-0005-0000-0000-0000828E0000}"/>
    <cellStyle name="Normal 57 5 4 5 3 3 2" xfId="36025" xr:uid="{00000000-0005-0000-0000-0000838E0000}"/>
    <cellStyle name="Normal 57 5 4 5 3 4" xfId="19291" xr:uid="{00000000-0005-0000-0000-0000848E0000}"/>
    <cellStyle name="Normal 57 5 4 5 3 4 2" xfId="44844" xr:uid="{00000000-0005-0000-0000-0000858E0000}"/>
    <cellStyle name="Normal 57 5 4 5 3 5" xfId="30781" xr:uid="{00000000-0005-0000-0000-0000868E0000}"/>
    <cellStyle name="Normal 57 5 4 5 4" xfId="1826" xr:uid="{00000000-0005-0000-0000-0000878E0000}"/>
    <cellStyle name="Normal 57 5 4 5 4 2" xfId="11194" xr:uid="{00000000-0005-0000-0000-0000888E0000}"/>
    <cellStyle name="Normal 57 5 4 5 4 2 2" xfId="36749" xr:uid="{00000000-0005-0000-0000-0000898E0000}"/>
    <cellStyle name="Normal 57 5 4 5 4 3" xfId="21198" xr:uid="{00000000-0005-0000-0000-00008A8E0000}"/>
    <cellStyle name="Normal 57 5 4 5 4 3 2" xfId="46751" xr:uid="{00000000-0005-0000-0000-00008B8E0000}"/>
    <cellStyle name="Normal 57 5 4 5 4 4" xfId="27681" xr:uid="{00000000-0005-0000-0000-00008C8E0000}"/>
    <cellStyle name="Normal 57 5 4 5 5" xfId="6665" xr:uid="{00000000-0005-0000-0000-00008D8E0000}"/>
    <cellStyle name="Normal 57 5 4 5 5 2" xfId="15492" xr:uid="{00000000-0005-0000-0000-00008E8E0000}"/>
    <cellStyle name="Normal 57 5 4 5 5 2 2" xfId="41047" xr:uid="{00000000-0005-0000-0000-00008F8E0000}"/>
    <cellStyle name="Normal 57 5 4 5 5 3" xfId="25743" xr:uid="{00000000-0005-0000-0000-0000908E0000}"/>
    <cellStyle name="Normal 57 5 4 5 5 3 2" xfId="51296" xr:uid="{00000000-0005-0000-0000-0000918E0000}"/>
    <cellStyle name="Normal 57 5 4 5 5 4" xfId="32226" xr:uid="{00000000-0005-0000-0000-0000928E0000}"/>
    <cellStyle name="Normal 57 5 4 5 6" xfId="8111" xr:uid="{00000000-0005-0000-0000-0000938E0000}"/>
    <cellStyle name="Normal 57 5 4 5 6 2" xfId="20501" xr:uid="{00000000-0005-0000-0000-0000948E0000}"/>
    <cellStyle name="Normal 57 5 4 5 6 2 2" xfId="46054" xr:uid="{00000000-0005-0000-0000-0000958E0000}"/>
    <cellStyle name="Normal 57 5 4 5 6 3" xfId="33668" xr:uid="{00000000-0005-0000-0000-0000968E0000}"/>
    <cellStyle name="Normal 57 5 4 5 7" xfId="16191" xr:uid="{00000000-0005-0000-0000-0000978E0000}"/>
    <cellStyle name="Normal 57 5 4 5 7 2" xfId="41744" xr:uid="{00000000-0005-0000-0000-0000988E0000}"/>
    <cellStyle name="Normal 57 5 4 5 8" xfId="26984" xr:uid="{00000000-0005-0000-0000-0000998E0000}"/>
    <cellStyle name="Normal 57 5 4 6" xfId="2720" xr:uid="{00000000-0005-0000-0000-00009A8E0000}"/>
    <cellStyle name="Normal 57 5 4 6 2" xfId="12037" xr:uid="{00000000-0005-0000-0000-00009B8E0000}"/>
    <cellStyle name="Normal 57 5 4 6 2 2" xfId="22081" xr:uid="{00000000-0005-0000-0000-00009C8E0000}"/>
    <cellStyle name="Normal 57 5 4 6 2 2 2" xfId="47634" xr:uid="{00000000-0005-0000-0000-00009D8E0000}"/>
    <cellStyle name="Normal 57 5 4 6 2 3" xfId="37592" xr:uid="{00000000-0005-0000-0000-00009E8E0000}"/>
    <cellStyle name="Normal 57 5 4 6 3" xfId="8487" xr:uid="{00000000-0005-0000-0000-00009F8E0000}"/>
    <cellStyle name="Normal 57 5 4 6 3 2" xfId="34044" xr:uid="{00000000-0005-0000-0000-0000A08E0000}"/>
    <cellStyle name="Normal 57 5 4 6 4" xfId="17074" xr:uid="{00000000-0005-0000-0000-0000A18E0000}"/>
    <cellStyle name="Normal 57 5 4 6 4 2" xfId="42627" xr:uid="{00000000-0005-0000-0000-0000A28E0000}"/>
    <cellStyle name="Normal 57 5 4 6 5" xfId="28564" xr:uid="{00000000-0005-0000-0000-0000A38E0000}"/>
    <cellStyle name="Normal 57 5 4 7" xfId="4166" xr:uid="{00000000-0005-0000-0000-0000A48E0000}"/>
    <cellStyle name="Normal 57 5 4 7 2" xfId="13004" xr:uid="{00000000-0005-0000-0000-0000A58E0000}"/>
    <cellStyle name="Normal 57 5 4 7 2 2" xfId="23255" xr:uid="{00000000-0005-0000-0000-0000A68E0000}"/>
    <cellStyle name="Normal 57 5 4 7 2 2 2" xfId="48808" xr:uid="{00000000-0005-0000-0000-0000A78E0000}"/>
    <cellStyle name="Normal 57 5 4 7 2 3" xfId="38559" xr:uid="{00000000-0005-0000-0000-0000A88E0000}"/>
    <cellStyle name="Normal 57 5 4 7 3" xfId="9425" xr:uid="{00000000-0005-0000-0000-0000A98E0000}"/>
    <cellStyle name="Normal 57 5 4 7 3 2" xfId="34982" xr:uid="{00000000-0005-0000-0000-0000AA8E0000}"/>
    <cellStyle name="Normal 57 5 4 7 4" xfId="18248" xr:uid="{00000000-0005-0000-0000-0000AB8E0000}"/>
    <cellStyle name="Normal 57 5 4 7 4 2" xfId="43801" xr:uid="{00000000-0005-0000-0000-0000AC8E0000}"/>
    <cellStyle name="Normal 57 5 4 7 5" xfId="29738" xr:uid="{00000000-0005-0000-0000-0000AD8E0000}"/>
    <cellStyle name="Normal 57 5 4 8" xfId="1438" xr:uid="{00000000-0005-0000-0000-0000AE8E0000}"/>
    <cellStyle name="Normal 57 5 4 8 2" xfId="10815" xr:uid="{00000000-0005-0000-0000-0000AF8E0000}"/>
    <cellStyle name="Normal 57 5 4 8 2 2" xfId="36370" xr:uid="{00000000-0005-0000-0000-0000B08E0000}"/>
    <cellStyle name="Normal 57 5 4 8 3" xfId="20819" xr:uid="{00000000-0005-0000-0000-0000B18E0000}"/>
    <cellStyle name="Normal 57 5 4 8 3 2" xfId="46372" xr:uid="{00000000-0005-0000-0000-0000B28E0000}"/>
    <cellStyle name="Normal 57 5 4 8 4" xfId="27302" xr:uid="{00000000-0005-0000-0000-0000B38E0000}"/>
    <cellStyle name="Normal 57 5 4 9" xfId="5622" xr:uid="{00000000-0005-0000-0000-0000B48E0000}"/>
    <cellStyle name="Normal 57 5 4 9 2" xfId="14449" xr:uid="{00000000-0005-0000-0000-0000B58E0000}"/>
    <cellStyle name="Normal 57 5 4 9 2 2" xfId="40004" xr:uid="{00000000-0005-0000-0000-0000B68E0000}"/>
    <cellStyle name="Normal 57 5 4 9 3" xfId="24700" xr:uid="{00000000-0005-0000-0000-0000B78E0000}"/>
    <cellStyle name="Normal 57 5 4 9 3 2" xfId="50253" xr:uid="{00000000-0005-0000-0000-0000B88E0000}"/>
    <cellStyle name="Normal 57 5 4 9 4" xfId="31183" xr:uid="{00000000-0005-0000-0000-0000B98E0000}"/>
    <cellStyle name="Normal 57 5 4_Degree data" xfId="3972" xr:uid="{00000000-0005-0000-0000-0000BA8E0000}"/>
    <cellStyle name="Normal 57 5 5" xfId="446" xr:uid="{00000000-0005-0000-0000-0000BB8E0000}"/>
    <cellStyle name="Normal 57 5 5 10" xfId="26375" xr:uid="{00000000-0005-0000-0000-0000BC8E0000}"/>
    <cellStyle name="Normal 57 5 5 2" xfId="868" xr:uid="{00000000-0005-0000-0000-0000BD8E0000}"/>
    <cellStyle name="Normal 57 5 5 2 2" xfId="3353" xr:uid="{00000000-0005-0000-0000-0000BE8E0000}"/>
    <cellStyle name="Normal 57 5 5 2 2 2" xfId="12495" xr:uid="{00000000-0005-0000-0000-0000BF8E0000}"/>
    <cellStyle name="Normal 57 5 5 2 2 2 2" xfId="22714" xr:uid="{00000000-0005-0000-0000-0000C08E0000}"/>
    <cellStyle name="Normal 57 5 5 2 2 2 2 2" xfId="48267" xr:uid="{00000000-0005-0000-0000-0000C18E0000}"/>
    <cellStyle name="Normal 57 5 5 2 2 2 3" xfId="38050" xr:uid="{00000000-0005-0000-0000-0000C28E0000}"/>
    <cellStyle name="Normal 57 5 5 2 2 3" xfId="8917" xr:uid="{00000000-0005-0000-0000-0000C38E0000}"/>
    <cellStyle name="Normal 57 5 5 2 2 3 2" xfId="34474" xr:uid="{00000000-0005-0000-0000-0000C48E0000}"/>
    <cellStyle name="Normal 57 5 5 2 2 4" xfId="17707" xr:uid="{00000000-0005-0000-0000-0000C58E0000}"/>
    <cellStyle name="Normal 57 5 5 2 2 4 2" xfId="43260" xr:uid="{00000000-0005-0000-0000-0000C68E0000}"/>
    <cellStyle name="Normal 57 5 5 2 2 5" xfId="29197" xr:uid="{00000000-0005-0000-0000-0000C78E0000}"/>
    <cellStyle name="Normal 57 5 5 2 3" xfId="4682" xr:uid="{00000000-0005-0000-0000-0000C88E0000}"/>
    <cellStyle name="Normal 57 5 5 2 3 2" xfId="13520" xr:uid="{00000000-0005-0000-0000-0000C98E0000}"/>
    <cellStyle name="Normal 57 5 5 2 3 2 2" xfId="23771" xr:uid="{00000000-0005-0000-0000-0000CA8E0000}"/>
    <cellStyle name="Normal 57 5 5 2 3 2 2 2" xfId="49324" xr:uid="{00000000-0005-0000-0000-0000CB8E0000}"/>
    <cellStyle name="Normal 57 5 5 2 3 2 3" xfId="39075" xr:uid="{00000000-0005-0000-0000-0000CC8E0000}"/>
    <cellStyle name="Normal 57 5 5 2 3 3" xfId="9941" xr:uid="{00000000-0005-0000-0000-0000CD8E0000}"/>
    <cellStyle name="Normal 57 5 5 2 3 3 2" xfId="35498" xr:uid="{00000000-0005-0000-0000-0000CE8E0000}"/>
    <cellStyle name="Normal 57 5 5 2 3 4" xfId="18764" xr:uid="{00000000-0005-0000-0000-0000CF8E0000}"/>
    <cellStyle name="Normal 57 5 5 2 3 4 2" xfId="44317" xr:uid="{00000000-0005-0000-0000-0000D08E0000}"/>
    <cellStyle name="Normal 57 5 5 2 3 5" xfId="30254" xr:uid="{00000000-0005-0000-0000-0000D18E0000}"/>
    <cellStyle name="Normal 57 5 5 2 4" xfId="2462" xr:uid="{00000000-0005-0000-0000-0000D28E0000}"/>
    <cellStyle name="Normal 57 5 5 2 4 2" xfId="11827" xr:uid="{00000000-0005-0000-0000-0000D38E0000}"/>
    <cellStyle name="Normal 57 5 5 2 4 2 2" xfId="37382" xr:uid="{00000000-0005-0000-0000-0000D48E0000}"/>
    <cellStyle name="Normal 57 5 5 2 4 3" xfId="21831" xr:uid="{00000000-0005-0000-0000-0000D58E0000}"/>
    <cellStyle name="Normal 57 5 5 2 4 3 2" xfId="47384" xr:uid="{00000000-0005-0000-0000-0000D68E0000}"/>
    <cellStyle name="Normal 57 5 5 2 4 4" xfId="28314" xr:uid="{00000000-0005-0000-0000-0000D78E0000}"/>
    <cellStyle name="Normal 57 5 5 2 5" xfId="6138" xr:uid="{00000000-0005-0000-0000-0000D88E0000}"/>
    <cellStyle name="Normal 57 5 5 2 5 2" xfId="14965" xr:uid="{00000000-0005-0000-0000-0000D98E0000}"/>
    <cellStyle name="Normal 57 5 5 2 5 2 2" xfId="40520" xr:uid="{00000000-0005-0000-0000-0000DA8E0000}"/>
    <cellStyle name="Normal 57 5 5 2 5 3" xfId="25216" xr:uid="{00000000-0005-0000-0000-0000DB8E0000}"/>
    <cellStyle name="Normal 57 5 5 2 5 3 2" xfId="50769" xr:uid="{00000000-0005-0000-0000-0000DC8E0000}"/>
    <cellStyle name="Normal 57 5 5 2 5 4" xfId="31699" xr:uid="{00000000-0005-0000-0000-0000DD8E0000}"/>
    <cellStyle name="Normal 57 5 5 2 6" xfId="7583" xr:uid="{00000000-0005-0000-0000-0000DE8E0000}"/>
    <cellStyle name="Normal 57 5 5 2 6 2" xfId="20313" xr:uid="{00000000-0005-0000-0000-0000DF8E0000}"/>
    <cellStyle name="Normal 57 5 5 2 6 2 2" xfId="45866" xr:uid="{00000000-0005-0000-0000-0000E08E0000}"/>
    <cellStyle name="Normal 57 5 5 2 6 3" xfId="33140" xr:uid="{00000000-0005-0000-0000-0000E18E0000}"/>
    <cellStyle name="Normal 57 5 5 2 7" xfId="16824" xr:uid="{00000000-0005-0000-0000-0000E28E0000}"/>
    <cellStyle name="Normal 57 5 5 2 7 2" xfId="42377" xr:uid="{00000000-0005-0000-0000-0000E38E0000}"/>
    <cellStyle name="Normal 57 5 5 2 8" xfId="26796" xr:uid="{00000000-0005-0000-0000-0000E48E0000}"/>
    <cellStyle name="Normal 57 5 5 3" xfId="1218" xr:uid="{00000000-0005-0000-0000-0000E58E0000}"/>
    <cellStyle name="Normal 57 5 5 3 2" xfId="3647" xr:uid="{00000000-0005-0000-0000-0000E68E0000}"/>
    <cellStyle name="Normal 57 5 5 3 2 2" xfId="12783" xr:uid="{00000000-0005-0000-0000-0000E78E0000}"/>
    <cellStyle name="Normal 57 5 5 3 2 2 2" xfId="23002" xr:uid="{00000000-0005-0000-0000-0000E88E0000}"/>
    <cellStyle name="Normal 57 5 5 3 2 2 2 2" xfId="48555" xr:uid="{00000000-0005-0000-0000-0000E98E0000}"/>
    <cellStyle name="Normal 57 5 5 3 2 2 3" xfId="38338" xr:uid="{00000000-0005-0000-0000-0000EA8E0000}"/>
    <cellStyle name="Normal 57 5 5 3 2 3" xfId="9204" xr:uid="{00000000-0005-0000-0000-0000EB8E0000}"/>
    <cellStyle name="Normal 57 5 5 3 2 3 2" xfId="34761" xr:uid="{00000000-0005-0000-0000-0000EC8E0000}"/>
    <cellStyle name="Normal 57 5 5 3 2 4" xfId="17995" xr:uid="{00000000-0005-0000-0000-0000ED8E0000}"/>
    <cellStyle name="Normal 57 5 5 3 2 4 2" xfId="43548" xr:uid="{00000000-0005-0000-0000-0000EE8E0000}"/>
    <cellStyle name="Normal 57 5 5 3 2 5" xfId="29485" xr:uid="{00000000-0005-0000-0000-0000EF8E0000}"/>
    <cellStyle name="Normal 57 5 5 3 3" xfId="5031" xr:uid="{00000000-0005-0000-0000-0000F08E0000}"/>
    <cellStyle name="Normal 57 5 5 3 3 2" xfId="13868" xr:uid="{00000000-0005-0000-0000-0000F18E0000}"/>
    <cellStyle name="Normal 57 5 5 3 3 2 2" xfId="24119" xr:uid="{00000000-0005-0000-0000-0000F28E0000}"/>
    <cellStyle name="Normal 57 5 5 3 3 2 2 2" xfId="49672" xr:uid="{00000000-0005-0000-0000-0000F38E0000}"/>
    <cellStyle name="Normal 57 5 5 3 3 2 3" xfId="39423" xr:uid="{00000000-0005-0000-0000-0000F48E0000}"/>
    <cellStyle name="Normal 57 5 5 3 3 3" xfId="10289" xr:uid="{00000000-0005-0000-0000-0000F58E0000}"/>
    <cellStyle name="Normal 57 5 5 3 3 3 2" xfId="35846" xr:uid="{00000000-0005-0000-0000-0000F68E0000}"/>
    <cellStyle name="Normal 57 5 5 3 3 4" xfId="19112" xr:uid="{00000000-0005-0000-0000-0000F78E0000}"/>
    <cellStyle name="Normal 57 5 5 3 3 4 2" xfId="44665" xr:uid="{00000000-0005-0000-0000-0000F88E0000}"/>
    <cellStyle name="Normal 57 5 5 3 3 5" xfId="30602" xr:uid="{00000000-0005-0000-0000-0000F98E0000}"/>
    <cellStyle name="Normal 57 5 5 3 4" xfId="2041" xr:uid="{00000000-0005-0000-0000-0000FA8E0000}"/>
    <cellStyle name="Normal 57 5 5 3 4 2" xfId="11406" xr:uid="{00000000-0005-0000-0000-0000FB8E0000}"/>
    <cellStyle name="Normal 57 5 5 3 4 2 2" xfId="36961" xr:uid="{00000000-0005-0000-0000-0000FC8E0000}"/>
    <cellStyle name="Normal 57 5 5 3 4 3" xfId="21410" xr:uid="{00000000-0005-0000-0000-0000FD8E0000}"/>
    <cellStyle name="Normal 57 5 5 3 4 3 2" xfId="46963" xr:uid="{00000000-0005-0000-0000-0000FE8E0000}"/>
    <cellStyle name="Normal 57 5 5 3 4 4" xfId="27893" xr:uid="{00000000-0005-0000-0000-0000FF8E0000}"/>
    <cellStyle name="Normal 57 5 5 3 5" xfId="6486" xr:uid="{00000000-0005-0000-0000-0000008F0000}"/>
    <cellStyle name="Normal 57 5 5 3 5 2" xfId="15313" xr:uid="{00000000-0005-0000-0000-0000018F0000}"/>
    <cellStyle name="Normal 57 5 5 3 5 2 2" xfId="40868" xr:uid="{00000000-0005-0000-0000-0000028F0000}"/>
    <cellStyle name="Normal 57 5 5 3 5 3" xfId="25564" xr:uid="{00000000-0005-0000-0000-0000038F0000}"/>
    <cellStyle name="Normal 57 5 5 3 5 3 2" xfId="51117" xr:uid="{00000000-0005-0000-0000-0000048F0000}"/>
    <cellStyle name="Normal 57 5 5 3 5 4" xfId="32047" xr:uid="{00000000-0005-0000-0000-0000058F0000}"/>
    <cellStyle name="Normal 57 5 5 3 6" xfId="7932" xr:uid="{00000000-0005-0000-0000-0000068F0000}"/>
    <cellStyle name="Normal 57 5 5 3 6 2" xfId="20601" xr:uid="{00000000-0005-0000-0000-0000078F0000}"/>
    <cellStyle name="Normal 57 5 5 3 6 2 2" xfId="46154" xr:uid="{00000000-0005-0000-0000-0000088F0000}"/>
    <cellStyle name="Normal 57 5 5 3 6 3" xfId="33489" xr:uid="{00000000-0005-0000-0000-0000098F0000}"/>
    <cellStyle name="Normal 57 5 5 3 7" xfId="16403" xr:uid="{00000000-0005-0000-0000-00000A8F0000}"/>
    <cellStyle name="Normal 57 5 5 3 7 2" xfId="41956" xr:uid="{00000000-0005-0000-0000-00000B8F0000}"/>
    <cellStyle name="Normal 57 5 5 3 8" xfId="27084" xr:uid="{00000000-0005-0000-0000-00000C8F0000}"/>
    <cellStyle name="Normal 57 5 5 4" xfId="2932" xr:uid="{00000000-0005-0000-0000-00000D8F0000}"/>
    <cellStyle name="Normal 57 5 5 4 2" xfId="5310" xr:uid="{00000000-0005-0000-0000-00000E8F0000}"/>
    <cellStyle name="Normal 57 5 5 4 2 2" xfId="14147" xr:uid="{00000000-0005-0000-0000-00000F8F0000}"/>
    <cellStyle name="Normal 57 5 5 4 2 2 2" xfId="24398" xr:uid="{00000000-0005-0000-0000-0000108F0000}"/>
    <cellStyle name="Normal 57 5 5 4 2 2 2 2" xfId="49951" xr:uid="{00000000-0005-0000-0000-0000118F0000}"/>
    <cellStyle name="Normal 57 5 5 4 2 2 3" xfId="39702" xr:uid="{00000000-0005-0000-0000-0000128F0000}"/>
    <cellStyle name="Normal 57 5 5 4 2 3" xfId="10568" xr:uid="{00000000-0005-0000-0000-0000138F0000}"/>
    <cellStyle name="Normal 57 5 5 4 2 3 2" xfId="36125" xr:uid="{00000000-0005-0000-0000-0000148F0000}"/>
    <cellStyle name="Normal 57 5 5 4 2 4" xfId="19391" xr:uid="{00000000-0005-0000-0000-0000158F0000}"/>
    <cellStyle name="Normal 57 5 5 4 2 4 2" xfId="44944" xr:uid="{00000000-0005-0000-0000-0000168F0000}"/>
    <cellStyle name="Normal 57 5 5 4 2 5" xfId="30881" xr:uid="{00000000-0005-0000-0000-0000178F0000}"/>
    <cellStyle name="Normal 57 5 5 4 3" xfId="6765" xr:uid="{00000000-0005-0000-0000-0000188F0000}"/>
    <cellStyle name="Normal 57 5 5 4 3 2" xfId="15592" xr:uid="{00000000-0005-0000-0000-0000198F0000}"/>
    <cellStyle name="Normal 57 5 5 4 3 2 2" xfId="41147" xr:uid="{00000000-0005-0000-0000-00001A8F0000}"/>
    <cellStyle name="Normal 57 5 5 4 3 3" xfId="25843" xr:uid="{00000000-0005-0000-0000-00001B8F0000}"/>
    <cellStyle name="Normal 57 5 5 4 3 3 2" xfId="51396" xr:uid="{00000000-0005-0000-0000-00001C8F0000}"/>
    <cellStyle name="Normal 57 5 5 4 3 4" xfId="32326" xr:uid="{00000000-0005-0000-0000-00001D8F0000}"/>
    <cellStyle name="Normal 57 5 5 4 4" xfId="8211" xr:uid="{00000000-0005-0000-0000-00001E8F0000}"/>
    <cellStyle name="Normal 57 5 5 4 4 2" xfId="22293" xr:uid="{00000000-0005-0000-0000-00001F8F0000}"/>
    <cellStyle name="Normal 57 5 5 4 4 2 2" xfId="47846" xr:uid="{00000000-0005-0000-0000-0000208F0000}"/>
    <cellStyle name="Normal 57 5 5 4 4 3" xfId="33768" xr:uid="{00000000-0005-0000-0000-0000218F0000}"/>
    <cellStyle name="Normal 57 5 5 4 5" xfId="17286" xr:uid="{00000000-0005-0000-0000-0000228F0000}"/>
    <cellStyle name="Normal 57 5 5 4 5 2" xfId="42839" xr:uid="{00000000-0005-0000-0000-0000238F0000}"/>
    <cellStyle name="Normal 57 5 5 4 6" xfId="28776" xr:uid="{00000000-0005-0000-0000-0000248F0000}"/>
    <cellStyle name="Normal 57 5 5 5" xfId="4266" xr:uid="{00000000-0005-0000-0000-0000258F0000}"/>
    <cellStyle name="Normal 57 5 5 5 2" xfId="13104" xr:uid="{00000000-0005-0000-0000-0000268F0000}"/>
    <cellStyle name="Normal 57 5 5 5 2 2" xfId="23355" xr:uid="{00000000-0005-0000-0000-0000278F0000}"/>
    <cellStyle name="Normal 57 5 5 5 2 2 2" xfId="48908" xr:uid="{00000000-0005-0000-0000-0000288F0000}"/>
    <cellStyle name="Normal 57 5 5 5 2 3" xfId="38659" xr:uid="{00000000-0005-0000-0000-0000298F0000}"/>
    <cellStyle name="Normal 57 5 5 5 3" xfId="9525" xr:uid="{00000000-0005-0000-0000-00002A8F0000}"/>
    <cellStyle name="Normal 57 5 5 5 3 2" xfId="35082" xr:uid="{00000000-0005-0000-0000-00002B8F0000}"/>
    <cellStyle name="Normal 57 5 5 5 4" xfId="18348" xr:uid="{00000000-0005-0000-0000-00002C8F0000}"/>
    <cellStyle name="Normal 57 5 5 5 4 2" xfId="43901" xr:uid="{00000000-0005-0000-0000-00002D8F0000}"/>
    <cellStyle name="Normal 57 5 5 5 5" xfId="29838" xr:uid="{00000000-0005-0000-0000-00002E8F0000}"/>
    <cellStyle name="Normal 57 5 5 6" xfId="1538" xr:uid="{00000000-0005-0000-0000-00002F8F0000}"/>
    <cellStyle name="Normal 57 5 5 6 2" xfId="10915" xr:uid="{00000000-0005-0000-0000-0000308F0000}"/>
    <cellStyle name="Normal 57 5 5 6 2 2" xfId="36470" xr:uid="{00000000-0005-0000-0000-0000318F0000}"/>
    <cellStyle name="Normal 57 5 5 6 3" xfId="20919" xr:uid="{00000000-0005-0000-0000-0000328F0000}"/>
    <cellStyle name="Normal 57 5 5 6 3 2" xfId="46472" xr:uid="{00000000-0005-0000-0000-0000338F0000}"/>
    <cellStyle name="Normal 57 5 5 6 4" xfId="27402" xr:uid="{00000000-0005-0000-0000-0000348F0000}"/>
    <cellStyle name="Normal 57 5 5 7" xfId="5722" xr:uid="{00000000-0005-0000-0000-0000358F0000}"/>
    <cellStyle name="Normal 57 5 5 7 2" xfId="14549" xr:uid="{00000000-0005-0000-0000-0000368F0000}"/>
    <cellStyle name="Normal 57 5 5 7 2 2" xfId="40104" xr:uid="{00000000-0005-0000-0000-0000378F0000}"/>
    <cellStyle name="Normal 57 5 5 7 3" xfId="24800" xr:uid="{00000000-0005-0000-0000-0000388F0000}"/>
    <cellStyle name="Normal 57 5 5 7 3 2" xfId="50353" xr:uid="{00000000-0005-0000-0000-0000398F0000}"/>
    <cellStyle name="Normal 57 5 5 7 4" xfId="31283" xr:uid="{00000000-0005-0000-0000-00003A8F0000}"/>
    <cellStyle name="Normal 57 5 5 8" xfId="7166" xr:uid="{00000000-0005-0000-0000-00003B8F0000}"/>
    <cellStyle name="Normal 57 5 5 8 2" xfId="19892" xr:uid="{00000000-0005-0000-0000-00003C8F0000}"/>
    <cellStyle name="Normal 57 5 5 8 2 2" xfId="45445" xr:uid="{00000000-0005-0000-0000-00003D8F0000}"/>
    <cellStyle name="Normal 57 5 5 8 3" xfId="32723" xr:uid="{00000000-0005-0000-0000-00003E8F0000}"/>
    <cellStyle name="Normal 57 5 5 9" xfId="15912" xr:uid="{00000000-0005-0000-0000-00003F8F0000}"/>
    <cellStyle name="Normal 57 5 5 9 2" xfId="41465" xr:uid="{00000000-0005-0000-0000-0000408F0000}"/>
    <cellStyle name="Normal 57 5 5_Degree data" xfId="3974" xr:uid="{00000000-0005-0000-0000-0000418F0000}"/>
    <cellStyle name="Normal 57 5 6" xfId="334" xr:uid="{00000000-0005-0000-0000-0000428F0000}"/>
    <cellStyle name="Normal 57 5 6 10" xfId="26263" xr:uid="{00000000-0005-0000-0000-0000438F0000}"/>
    <cellStyle name="Normal 57 5 6 2" xfId="869" xr:uid="{00000000-0005-0000-0000-0000448F0000}"/>
    <cellStyle name="Normal 57 5 6 2 2" xfId="3354" xr:uid="{00000000-0005-0000-0000-0000458F0000}"/>
    <cellStyle name="Normal 57 5 6 2 2 2" xfId="12496" xr:uid="{00000000-0005-0000-0000-0000468F0000}"/>
    <cellStyle name="Normal 57 5 6 2 2 2 2" xfId="22715" xr:uid="{00000000-0005-0000-0000-0000478F0000}"/>
    <cellStyle name="Normal 57 5 6 2 2 2 2 2" xfId="48268" xr:uid="{00000000-0005-0000-0000-0000488F0000}"/>
    <cellStyle name="Normal 57 5 6 2 2 2 3" xfId="38051" xr:uid="{00000000-0005-0000-0000-0000498F0000}"/>
    <cellStyle name="Normal 57 5 6 2 2 3" xfId="8918" xr:uid="{00000000-0005-0000-0000-00004A8F0000}"/>
    <cellStyle name="Normal 57 5 6 2 2 3 2" xfId="34475" xr:uid="{00000000-0005-0000-0000-00004B8F0000}"/>
    <cellStyle name="Normal 57 5 6 2 2 4" xfId="17708" xr:uid="{00000000-0005-0000-0000-00004C8F0000}"/>
    <cellStyle name="Normal 57 5 6 2 2 4 2" xfId="43261" xr:uid="{00000000-0005-0000-0000-00004D8F0000}"/>
    <cellStyle name="Normal 57 5 6 2 2 5" xfId="29198" xr:uid="{00000000-0005-0000-0000-00004E8F0000}"/>
    <cellStyle name="Normal 57 5 6 2 3" xfId="4683" xr:uid="{00000000-0005-0000-0000-00004F8F0000}"/>
    <cellStyle name="Normal 57 5 6 2 3 2" xfId="13521" xr:uid="{00000000-0005-0000-0000-0000508F0000}"/>
    <cellStyle name="Normal 57 5 6 2 3 2 2" xfId="23772" xr:uid="{00000000-0005-0000-0000-0000518F0000}"/>
    <cellStyle name="Normal 57 5 6 2 3 2 2 2" xfId="49325" xr:uid="{00000000-0005-0000-0000-0000528F0000}"/>
    <cellStyle name="Normal 57 5 6 2 3 2 3" xfId="39076" xr:uid="{00000000-0005-0000-0000-0000538F0000}"/>
    <cellStyle name="Normal 57 5 6 2 3 3" xfId="9942" xr:uid="{00000000-0005-0000-0000-0000548F0000}"/>
    <cellStyle name="Normal 57 5 6 2 3 3 2" xfId="35499" xr:uid="{00000000-0005-0000-0000-0000558F0000}"/>
    <cellStyle name="Normal 57 5 6 2 3 4" xfId="18765" xr:uid="{00000000-0005-0000-0000-0000568F0000}"/>
    <cellStyle name="Normal 57 5 6 2 3 4 2" xfId="44318" xr:uid="{00000000-0005-0000-0000-0000578F0000}"/>
    <cellStyle name="Normal 57 5 6 2 3 5" xfId="30255" xr:uid="{00000000-0005-0000-0000-0000588F0000}"/>
    <cellStyle name="Normal 57 5 6 2 4" xfId="2463" xr:uid="{00000000-0005-0000-0000-0000598F0000}"/>
    <cellStyle name="Normal 57 5 6 2 4 2" xfId="11828" xr:uid="{00000000-0005-0000-0000-00005A8F0000}"/>
    <cellStyle name="Normal 57 5 6 2 4 2 2" xfId="37383" xr:uid="{00000000-0005-0000-0000-00005B8F0000}"/>
    <cellStyle name="Normal 57 5 6 2 4 3" xfId="21832" xr:uid="{00000000-0005-0000-0000-00005C8F0000}"/>
    <cellStyle name="Normal 57 5 6 2 4 3 2" xfId="47385" xr:uid="{00000000-0005-0000-0000-00005D8F0000}"/>
    <cellStyle name="Normal 57 5 6 2 4 4" xfId="28315" xr:uid="{00000000-0005-0000-0000-00005E8F0000}"/>
    <cellStyle name="Normal 57 5 6 2 5" xfId="6139" xr:uid="{00000000-0005-0000-0000-00005F8F0000}"/>
    <cellStyle name="Normal 57 5 6 2 5 2" xfId="14966" xr:uid="{00000000-0005-0000-0000-0000608F0000}"/>
    <cellStyle name="Normal 57 5 6 2 5 2 2" xfId="40521" xr:uid="{00000000-0005-0000-0000-0000618F0000}"/>
    <cellStyle name="Normal 57 5 6 2 5 3" xfId="25217" xr:uid="{00000000-0005-0000-0000-0000628F0000}"/>
    <cellStyle name="Normal 57 5 6 2 5 3 2" xfId="50770" xr:uid="{00000000-0005-0000-0000-0000638F0000}"/>
    <cellStyle name="Normal 57 5 6 2 5 4" xfId="31700" xr:uid="{00000000-0005-0000-0000-0000648F0000}"/>
    <cellStyle name="Normal 57 5 6 2 6" xfId="7584" xr:uid="{00000000-0005-0000-0000-0000658F0000}"/>
    <cellStyle name="Normal 57 5 6 2 6 2" xfId="20314" xr:uid="{00000000-0005-0000-0000-0000668F0000}"/>
    <cellStyle name="Normal 57 5 6 2 6 2 2" xfId="45867" xr:uid="{00000000-0005-0000-0000-0000678F0000}"/>
    <cellStyle name="Normal 57 5 6 2 6 3" xfId="33141" xr:uid="{00000000-0005-0000-0000-0000688F0000}"/>
    <cellStyle name="Normal 57 5 6 2 7" xfId="16825" xr:uid="{00000000-0005-0000-0000-0000698F0000}"/>
    <cellStyle name="Normal 57 5 6 2 7 2" xfId="42378" xr:uid="{00000000-0005-0000-0000-00006A8F0000}"/>
    <cellStyle name="Normal 57 5 6 2 8" xfId="26797" xr:uid="{00000000-0005-0000-0000-00006B8F0000}"/>
    <cellStyle name="Normal 57 5 6 3" xfId="1106" xr:uid="{00000000-0005-0000-0000-00006C8F0000}"/>
    <cellStyle name="Normal 57 5 6 3 2" xfId="3535" xr:uid="{00000000-0005-0000-0000-00006D8F0000}"/>
    <cellStyle name="Normal 57 5 6 3 2 2" xfId="12671" xr:uid="{00000000-0005-0000-0000-00006E8F0000}"/>
    <cellStyle name="Normal 57 5 6 3 2 2 2" xfId="22890" xr:uid="{00000000-0005-0000-0000-00006F8F0000}"/>
    <cellStyle name="Normal 57 5 6 3 2 2 2 2" xfId="48443" xr:uid="{00000000-0005-0000-0000-0000708F0000}"/>
    <cellStyle name="Normal 57 5 6 3 2 2 3" xfId="38226" xr:uid="{00000000-0005-0000-0000-0000718F0000}"/>
    <cellStyle name="Normal 57 5 6 3 2 3" xfId="9092" xr:uid="{00000000-0005-0000-0000-0000728F0000}"/>
    <cellStyle name="Normal 57 5 6 3 2 3 2" xfId="34649" xr:uid="{00000000-0005-0000-0000-0000738F0000}"/>
    <cellStyle name="Normal 57 5 6 3 2 4" xfId="17883" xr:uid="{00000000-0005-0000-0000-0000748F0000}"/>
    <cellStyle name="Normal 57 5 6 3 2 4 2" xfId="43436" xr:uid="{00000000-0005-0000-0000-0000758F0000}"/>
    <cellStyle name="Normal 57 5 6 3 2 5" xfId="29373" xr:uid="{00000000-0005-0000-0000-0000768F0000}"/>
    <cellStyle name="Normal 57 5 6 3 3" xfId="5032" xr:uid="{00000000-0005-0000-0000-0000778F0000}"/>
    <cellStyle name="Normal 57 5 6 3 3 2" xfId="13869" xr:uid="{00000000-0005-0000-0000-0000788F0000}"/>
    <cellStyle name="Normal 57 5 6 3 3 2 2" xfId="24120" xr:uid="{00000000-0005-0000-0000-0000798F0000}"/>
    <cellStyle name="Normal 57 5 6 3 3 2 2 2" xfId="49673" xr:uid="{00000000-0005-0000-0000-00007A8F0000}"/>
    <cellStyle name="Normal 57 5 6 3 3 2 3" xfId="39424" xr:uid="{00000000-0005-0000-0000-00007B8F0000}"/>
    <cellStyle name="Normal 57 5 6 3 3 3" xfId="10290" xr:uid="{00000000-0005-0000-0000-00007C8F0000}"/>
    <cellStyle name="Normal 57 5 6 3 3 3 2" xfId="35847" xr:uid="{00000000-0005-0000-0000-00007D8F0000}"/>
    <cellStyle name="Normal 57 5 6 3 3 4" xfId="19113" xr:uid="{00000000-0005-0000-0000-00007E8F0000}"/>
    <cellStyle name="Normal 57 5 6 3 3 4 2" xfId="44666" xr:uid="{00000000-0005-0000-0000-00007F8F0000}"/>
    <cellStyle name="Normal 57 5 6 3 3 5" xfId="30603" xr:uid="{00000000-0005-0000-0000-0000808F0000}"/>
    <cellStyle name="Normal 57 5 6 3 4" xfId="2593" xr:uid="{00000000-0005-0000-0000-0000818F0000}"/>
    <cellStyle name="Normal 57 5 6 3 4 2" xfId="11957" xr:uid="{00000000-0005-0000-0000-0000828F0000}"/>
    <cellStyle name="Normal 57 5 6 3 4 2 2" xfId="37512" xr:uid="{00000000-0005-0000-0000-0000838F0000}"/>
    <cellStyle name="Normal 57 5 6 3 4 3" xfId="21961" xr:uid="{00000000-0005-0000-0000-0000848F0000}"/>
    <cellStyle name="Normal 57 5 6 3 4 3 2" xfId="47514" xr:uid="{00000000-0005-0000-0000-0000858F0000}"/>
    <cellStyle name="Normal 57 5 6 3 4 4" xfId="28444" xr:uid="{00000000-0005-0000-0000-0000868F0000}"/>
    <cellStyle name="Normal 57 5 6 3 5" xfId="6487" xr:uid="{00000000-0005-0000-0000-0000878F0000}"/>
    <cellStyle name="Normal 57 5 6 3 5 2" xfId="15314" xr:uid="{00000000-0005-0000-0000-0000888F0000}"/>
    <cellStyle name="Normal 57 5 6 3 5 2 2" xfId="40869" xr:uid="{00000000-0005-0000-0000-0000898F0000}"/>
    <cellStyle name="Normal 57 5 6 3 5 3" xfId="25565" xr:uid="{00000000-0005-0000-0000-00008A8F0000}"/>
    <cellStyle name="Normal 57 5 6 3 5 3 2" xfId="51118" xr:uid="{00000000-0005-0000-0000-00008B8F0000}"/>
    <cellStyle name="Normal 57 5 6 3 5 4" xfId="32048" xr:uid="{00000000-0005-0000-0000-00008C8F0000}"/>
    <cellStyle name="Normal 57 5 6 3 6" xfId="7933" xr:uid="{00000000-0005-0000-0000-00008D8F0000}"/>
    <cellStyle name="Normal 57 5 6 3 6 2" xfId="20489" xr:uid="{00000000-0005-0000-0000-00008E8F0000}"/>
    <cellStyle name="Normal 57 5 6 3 6 2 2" xfId="46042" xr:uid="{00000000-0005-0000-0000-00008F8F0000}"/>
    <cellStyle name="Normal 57 5 6 3 6 3" xfId="33490" xr:uid="{00000000-0005-0000-0000-0000908F0000}"/>
    <cellStyle name="Normal 57 5 6 3 7" xfId="16954" xr:uid="{00000000-0005-0000-0000-0000918F0000}"/>
    <cellStyle name="Normal 57 5 6 3 7 2" xfId="42507" xr:uid="{00000000-0005-0000-0000-0000928F0000}"/>
    <cellStyle name="Normal 57 5 6 3 8" xfId="26972" xr:uid="{00000000-0005-0000-0000-0000938F0000}"/>
    <cellStyle name="Normal 57 5 6 4" xfId="2820" xr:uid="{00000000-0005-0000-0000-0000948F0000}"/>
    <cellStyle name="Normal 57 5 6 4 2" xfId="5198" xr:uid="{00000000-0005-0000-0000-0000958F0000}"/>
    <cellStyle name="Normal 57 5 6 4 2 2" xfId="14035" xr:uid="{00000000-0005-0000-0000-0000968F0000}"/>
    <cellStyle name="Normal 57 5 6 4 2 2 2" xfId="24286" xr:uid="{00000000-0005-0000-0000-0000978F0000}"/>
    <cellStyle name="Normal 57 5 6 4 2 2 2 2" xfId="49839" xr:uid="{00000000-0005-0000-0000-0000988F0000}"/>
    <cellStyle name="Normal 57 5 6 4 2 2 3" xfId="39590" xr:uid="{00000000-0005-0000-0000-0000998F0000}"/>
    <cellStyle name="Normal 57 5 6 4 2 3" xfId="10456" xr:uid="{00000000-0005-0000-0000-00009A8F0000}"/>
    <cellStyle name="Normal 57 5 6 4 2 3 2" xfId="36013" xr:uid="{00000000-0005-0000-0000-00009B8F0000}"/>
    <cellStyle name="Normal 57 5 6 4 2 4" xfId="19279" xr:uid="{00000000-0005-0000-0000-00009C8F0000}"/>
    <cellStyle name="Normal 57 5 6 4 2 4 2" xfId="44832" xr:uid="{00000000-0005-0000-0000-00009D8F0000}"/>
    <cellStyle name="Normal 57 5 6 4 2 5" xfId="30769" xr:uid="{00000000-0005-0000-0000-00009E8F0000}"/>
    <cellStyle name="Normal 57 5 6 4 3" xfId="6653" xr:uid="{00000000-0005-0000-0000-00009F8F0000}"/>
    <cellStyle name="Normal 57 5 6 4 3 2" xfId="15480" xr:uid="{00000000-0005-0000-0000-0000A08F0000}"/>
    <cellStyle name="Normal 57 5 6 4 3 2 2" xfId="41035" xr:uid="{00000000-0005-0000-0000-0000A18F0000}"/>
    <cellStyle name="Normal 57 5 6 4 3 3" xfId="25731" xr:uid="{00000000-0005-0000-0000-0000A28F0000}"/>
    <cellStyle name="Normal 57 5 6 4 3 3 2" xfId="51284" xr:uid="{00000000-0005-0000-0000-0000A38F0000}"/>
    <cellStyle name="Normal 57 5 6 4 3 4" xfId="32214" xr:uid="{00000000-0005-0000-0000-0000A48F0000}"/>
    <cellStyle name="Normal 57 5 6 4 4" xfId="8099" xr:uid="{00000000-0005-0000-0000-0000A58F0000}"/>
    <cellStyle name="Normal 57 5 6 4 4 2" xfId="22181" xr:uid="{00000000-0005-0000-0000-0000A68F0000}"/>
    <cellStyle name="Normal 57 5 6 4 4 2 2" xfId="47734" xr:uid="{00000000-0005-0000-0000-0000A78F0000}"/>
    <cellStyle name="Normal 57 5 6 4 4 3" xfId="33656" xr:uid="{00000000-0005-0000-0000-0000A88F0000}"/>
    <cellStyle name="Normal 57 5 6 4 5" xfId="17174" xr:uid="{00000000-0005-0000-0000-0000A98F0000}"/>
    <cellStyle name="Normal 57 5 6 4 5 2" xfId="42727" xr:uid="{00000000-0005-0000-0000-0000AA8F0000}"/>
    <cellStyle name="Normal 57 5 6 4 6" xfId="28664" xr:uid="{00000000-0005-0000-0000-0000AB8F0000}"/>
    <cellStyle name="Normal 57 5 6 5" xfId="4152" xr:uid="{00000000-0005-0000-0000-0000AC8F0000}"/>
    <cellStyle name="Normal 57 5 6 5 2" xfId="12990" xr:uid="{00000000-0005-0000-0000-0000AD8F0000}"/>
    <cellStyle name="Normal 57 5 6 5 2 2" xfId="23241" xr:uid="{00000000-0005-0000-0000-0000AE8F0000}"/>
    <cellStyle name="Normal 57 5 6 5 2 2 2" xfId="48794" xr:uid="{00000000-0005-0000-0000-0000AF8F0000}"/>
    <cellStyle name="Normal 57 5 6 5 2 3" xfId="38545" xr:uid="{00000000-0005-0000-0000-0000B08F0000}"/>
    <cellStyle name="Normal 57 5 6 5 3" xfId="9411" xr:uid="{00000000-0005-0000-0000-0000B18F0000}"/>
    <cellStyle name="Normal 57 5 6 5 3 2" xfId="34968" xr:uid="{00000000-0005-0000-0000-0000B28F0000}"/>
    <cellStyle name="Normal 57 5 6 5 4" xfId="18234" xr:uid="{00000000-0005-0000-0000-0000B38F0000}"/>
    <cellStyle name="Normal 57 5 6 5 4 2" xfId="43787" xr:uid="{00000000-0005-0000-0000-0000B48F0000}"/>
    <cellStyle name="Normal 57 5 6 5 5" xfId="29724" xr:uid="{00000000-0005-0000-0000-0000B58F0000}"/>
    <cellStyle name="Normal 57 5 6 6" xfId="1929" xr:uid="{00000000-0005-0000-0000-0000B68F0000}"/>
    <cellStyle name="Normal 57 5 6 6 2" xfId="11294" xr:uid="{00000000-0005-0000-0000-0000B78F0000}"/>
    <cellStyle name="Normal 57 5 6 6 2 2" xfId="36849" xr:uid="{00000000-0005-0000-0000-0000B88F0000}"/>
    <cellStyle name="Normal 57 5 6 6 3" xfId="21298" xr:uid="{00000000-0005-0000-0000-0000B98F0000}"/>
    <cellStyle name="Normal 57 5 6 6 3 2" xfId="46851" xr:uid="{00000000-0005-0000-0000-0000BA8F0000}"/>
    <cellStyle name="Normal 57 5 6 6 4" xfId="27781" xr:uid="{00000000-0005-0000-0000-0000BB8F0000}"/>
    <cellStyle name="Normal 57 5 6 7" xfId="5610" xr:uid="{00000000-0005-0000-0000-0000BC8F0000}"/>
    <cellStyle name="Normal 57 5 6 7 2" xfId="14437" xr:uid="{00000000-0005-0000-0000-0000BD8F0000}"/>
    <cellStyle name="Normal 57 5 6 7 2 2" xfId="39992" xr:uid="{00000000-0005-0000-0000-0000BE8F0000}"/>
    <cellStyle name="Normal 57 5 6 7 3" xfId="24688" xr:uid="{00000000-0005-0000-0000-0000BF8F0000}"/>
    <cellStyle name="Normal 57 5 6 7 3 2" xfId="50241" xr:uid="{00000000-0005-0000-0000-0000C08F0000}"/>
    <cellStyle name="Normal 57 5 6 7 4" xfId="31171" xr:uid="{00000000-0005-0000-0000-0000C18F0000}"/>
    <cellStyle name="Normal 57 5 6 8" xfId="7054" xr:uid="{00000000-0005-0000-0000-0000C28F0000}"/>
    <cellStyle name="Normal 57 5 6 8 2" xfId="19780" xr:uid="{00000000-0005-0000-0000-0000C38F0000}"/>
    <cellStyle name="Normal 57 5 6 8 2 2" xfId="45333" xr:uid="{00000000-0005-0000-0000-0000C48F0000}"/>
    <cellStyle name="Normal 57 5 6 8 3" xfId="32611" xr:uid="{00000000-0005-0000-0000-0000C58F0000}"/>
    <cellStyle name="Normal 57 5 6 9" xfId="16291" xr:uid="{00000000-0005-0000-0000-0000C68F0000}"/>
    <cellStyle name="Normal 57 5 6 9 2" xfId="41844" xr:uid="{00000000-0005-0000-0000-0000C78F0000}"/>
    <cellStyle name="Normal 57 5 6_Degree data" xfId="3975" xr:uid="{00000000-0005-0000-0000-0000C88F0000}"/>
    <cellStyle name="Normal 57 5 7" xfId="860" xr:uid="{00000000-0005-0000-0000-0000C98F0000}"/>
    <cellStyle name="Normal 57 5 7 2" xfId="3345" xr:uid="{00000000-0005-0000-0000-0000CA8F0000}"/>
    <cellStyle name="Normal 57 5 7 2 2" xfId="12487" xr:uid="{00000000-0005-0000-0000-0000CB8F0000}"/>
    <cellStyle name="Normal 57 5 7 2 2 2" xfId="22706" xr:uid="{00000000-0005-0000-0000-0000CC8F0000}"/>
    <cellStyle name="Normal 57 5 7 2 2 2 2" xfId="48259" xr:uid="{00000000-0005-0000-0000-0000CD8F0000}"/>
    <cellStyle name="Normal 57 5 7 2 2 3" xfId="38042" xr:uid="{00000000-0005-0000-0000-0000CE8F0000}"/>
    <cellStyle name="Normal 57 5 7 2 3" xfId="8909" xr:uid="{00000000-0005-0000-0000-0000CF8F0000}"/>
    <cellStyle name="Normal 57 5 7 2 3 2" xfId="34466" xr:uid="{00000000-0005-0000-0000-0000D08F0000}"/>
    <cellStyle name="Normal 57 5 7 2 4" xfId="17699" xr:uid="{00000000-0005-0000-0000-0000D18F0000}"/>
    <cellStyle name="Normal 57 5 7 2 4 2" xfId="43252" xr:uid="{00000000-0005-0000-0000-0000D28F0000}"/>
    <cellStyle name="Normal 57 5 7 2 5" xfId="29189" xr:uid="{00000000-0005-0000-0000-0000D38F0000}"/>
    <cellStyle name="Normal 57 5 7 3" xfId="4674" xr:uid="{00000000-0005-0000-0000-0000D48F0000}"/>
    <cellStyle name="Normal 57 5 7 3 2" xfId="13512" xr:uid="{00000000-0005-0000-0000-0000D58F0000}"/>
    <cellStyle name="Normal 57 5 7 3 2 2" xfId="23763" xr:uid="{00000000-0005-0000-0000-0000D68F0000}"/>
    <cellStyle name="Normal 57 5 7 3 2 2 2" xfId="49316" xr:uid="{00000000-0005-0000-0000-0000D78F0000}"/>
    <cellStyle name="Normal 57 5 7 3 2 3" xfId="39067" xr:uid="{00000000-0005-0000-0000-0000D88F0000}"/>
    <cellStyle name="Normal 57 5 7 3 3" xfId="9933" xr:uid="{00000000-0005-0000-0000-0000D98F0000}"/>
    <cellStyle name="Normal 57 5 7 3 3 2" xfId="35490" xr:uid="{00000000-0005-0000-0000-0000DA8F0000}"/>
    <cellStyle name="Normal 57 5 7 3 4" xfId="18756" xr:uid="{00000000-0005-0000-0000-0000DB8F0000}"/>
    <cellStyle name="Normal 57 5 7 3 4 2" xfId="44309" xr:uid="{00000000-0005-0000-0000-0000DC8F0000}"/>
    <cellStyle name="Normal 57 5 7 3 5" xfId="30246" xr:uid="{00000000-0005-0000-0000-0000DD8F0000}"/>
    <cellStyle name="Normal 57 5 7 4" xfId="2454" xr:uid="{00000000-0005-0000-0000-0000DE8F0000}"/>
    <cellStyle name="Normal 57 5 7 4 2" xfId="11819" xr:uid="{00000000-0005-0000-0000-0000DF8F0000}"/>
    <cellStyle name="Normal 57 5 7 4 2 2" xfId="37374" xr:uid="{00000000-0005-0000-0000-0000E08F0000}"/>
    <cellStyle name="Normal 57 5 7 4 3" xfId="21823" xr:uid="{00000000-0005-0000-0000-0000E18F0000}"/>
    <cellStyle name="Normal 57 5 7 4 3 2" xfId="47376" xr:uid="{00000000-0005-0000-0000-0000E28F0000}"/>
    <cellStyle name="Normal 57 5 7 4 4" xfId="28306" xr:uid="{00000000-0005-0000-0000-0000E38F0000}"/>
    <cellStyle name="Normal 57 5 7 5" xfId="6130" xr:uid="{00000000-0005-0000-0000-0000E48F0000}"/>
    <cellStyle name="Normal 57 5 7 5 2" xfId="14957" xr:uid="{00000000-0005-0000-0000-0000E58F0000}"/>
    <cellStyle name="Normal 57 5 7 5 2 2" xfId="40512" xr:uid="{00000000-0005-0000-0000-0000E68F0000}"/>
    <cellStyle name="Normal 57 5 7 5 3" xfId="25208" xr:uid="{00000000-0005-0000-0000-0000E78F0000}"/>
    <cellStyle name="Normal 57 5 7 5 3 2" xfId="50761" xr:uid="{00000000-0005-0000-0000-0000E88F0000}"/>
    <cellStyle name="Normal 57 5 7 5 4" xfId="31691" xr:uid="{00000000-0005-0000-0000-0000E98F0000}"/>
    <cellStyle name="Normal 57 5 7 6" xfId="7575" xr:uid="{00000000-0005-0000-0000-0000EA8F0000}"/>
    <cellStyle name="Normal 57 5 7 6 2" xfId="20305" xr:uid="{00000000-0005-0000-0000-0000EB8F0000}"/>
    <cellStyle name="Normal 57 5 7 6 2 2" xfId="45858" xr:uid="{00000000-0005-0000-0000-0000EC8F0000}"/>
    <cellStyle name="Normal 57 5 7 6 3" xfId="33132" xr:uid="{00000000-0005-0000-0000-0000ED8F0000}"/>
    <cellStyle name="Normal 57 5 7 7" xfId="16816" xr:uid="{00000000-0005-0000-0000-0000EE8F0000}"/>
    <cellStyle name="Normal 57 5 7 7 2" xfId="42369" xr:uid="{00000000-0005-0000-0000-0000EF8F0000}"/>
    <cellStyle name="Normal 57 5 7 8" xfId="26788" xr:uid="{00000000-0005-0000-0000-0000F08F0000}"/>
    <cellStyle name="Normal 57 5 8" xfId="1061" xr:uid="{00000000-0005-0000-0000-0000F18F0000}"/>
    <cellStyle name="Normal 57 5 8 2" xfId="3490" xr:uid="{00000000-0005-0000-0000-0000F28F0000}"/>
    <cellStyle name="Normal 57 5 8 2 2" xfId="12626" xr:uid="{00000000-0005-0000-0000-0000F38F0000}"/>
    <cellStyle name="Normal 57 5 8 2 2 2" xfId="22845" xr:uid="{00000000-0005-0000-0000-0000F48F0000}"/>
    <cellStyle name="Normal 57 5 8 2 2 2 2" xfId="48398" xr:uid="{00000000-0005-0000-0000-0000F58F0000}"/>
    <cellStyle name="Normal 57 5 8 2 2 3" xfId="38181" xr:uid="{00000000-0005-0000-0000-0000F68F0000}"/>
    <cellStyle name="Normal 57 5 8 2 3" xfId="9048" xr:uid="{00000000-0005-0000-0000-0000F78F0000}"/>
    <cellStyle name="Normal 57 5 8 2 3 2" xfId="34605" xr:uid="{00000000-0005-0000-0000-0000F88F0000}"/>
    <cellStyle name="Normal 57 5 8 2 4" xfId="17838" xr:uid="{00000000-0005-0000-0000-0000F98F0000}"/>
    <cellStyle name="Normal 57 5 8 2 4 2" xfId="43391" xr:uid="{00000000-0005-0000-0000-0000FA8F0000}"/>
    <cellStyle name="Normal 57 5 8 2 5" xfId="29328" xr:uid="{00000000-0005-0000-0000-0000FB8F0000}"/>
    <cellStyle name="Normal 57 5 8 3" xfId="5023" xr:uid="{00000000-0005-0000-0000-0000FC8F0000}"/>
    <cellStyle name="Normal 57 5 8 3 2" xfId="13860" xr:uid="{00000000-0005-0000-0000-0000FD8F0000}"/>
    <cellStyle name="Normal 57 5 8 3 2 2" xfId="24111" xr:uid="{00000000-0005-0000-0000-0000FE8F0000}"/>
    <cellStyle name="Normal 57 5 8 3 2 2 2" xfId="49664" xr:uid="{00000000-0005-0000-0000-0000FF8F0000}"/>
    <cellStyle name="Normal 57 5 8 3 2 3" xfId="39415" xr:uid="{00000000-0005-0000-0000-000000900000}"/>
    <cellStyle name="Normal 57 5 8 3 3" xfId="10281" xr:uid="{00000000-0005-0000-0000-000001900000}"/>
    <cellStyle name="Normal 57 5 8 3 3 2" xfId="35838" xr:uid="{00000000-0005-0000-0000-000002900000}"/>
    <cellStyle name="Normal 57 5 8 3 4" xfId="19104" xr:uid="{00000000-0005-0000-0000-000003900000}"/>
    <cellStyle name="Normal 57 5 8 3 4 2" xfId="44657" xr:uid="{00000000-0005-0000-0000-000004900000}"/>
    <cellStyle name="Normal 57 5 8 3 5" xfId="30594" xr:uid="{00000000-0005-0000-0000-000005900000}"/>
    <cellStyle name="Normal 57 5 8 4" xfId="1714" xr:uid="{00000000-0005-0000-0000-000006900000}"/>
    <cellStyle name="Normal 57 5 8 4 2" xfId="11088" xr:uid="{00000000-0005-0000-0000-000007900000}"/>
    <cellStyle name="Normal 57 5 8 4 2 2" xfId="36643" xr:uid="{00000000-0005-0000-0000-000008900000}"/>
    <cellStyle name="Normal 57 5 8 4 3" xfId="21092" xr:uid="{00000000-0005-0000-0000-000009900000}"/>
    <cellStyle name="Normal 57 5 8 4 3 2" xfId="46645" xr:uid="{00000000-0005-0000-0000-00000A900000}"/>
    <cellStyle name="Normal 57 5 8 4 4" xfId="27575" xr:uid="{00000000-0005-0000-0000-00000B900000}"/>
    <cellStyle name="Normal 57 5 8 5" xfId="6478" xr:uid="{00000000-0005-0000-0000-00000C900000}"/>
    <cellStyle name="Normal 57 5 8 5 2" xfId="15305" xr:uid="{00000000-0005-0000-0000-00000D900000}"/>
    <cellStyle name="Normal 57 5 8 5 2 2" xfId="40860" xr:uid="{00000000-0005-0000-0000-00000E900000}"/>
    <cellStyle name="Normal 57 5 8 5 3" xfId="25556" xr:uid="{00000000-0005-0000-0000-00000F900000}"/>
    <cellStyle name="Normal 57 5 8 5 3 2" xfId="51109" xr:uid="{00000000-0005-0000-0000-000010900000}"/>
    <cellStyle name="Normal 57 5 8 5 4" xfId="32039" xr:uid="{00000000-0005-0000-0000-000011900000}"/>
    <cellStyle name="Normal 57 5 8 6" xfId="7924" xr:uid="{00000000-0005-0000-0000-000012900000}"/>
    <cellStyle name="Normal 57 5 8 6 2" xfId="20444" xr:uid="{00000000-0005-0000-0000-000013900000}"/>
    <cellStyle name="Normal 57 5 8 6 2 2" xfId="45997" xr:uid="{00000000-0005-0000-0000-000014900000}"/>
    <cellStyle name="Normal 57 5 8 6 3" xfId="33481" xr:uid="{00000000-0005-0000-0000-000015900000}"/>
    <cellStyle name="Normal 57 5 8 7" xfId="16085" xr:uid="{00000000-0005-0000-0000-000016900000}"/>
    <cellStyle name="Normal 57 5 8 7 2" xfId="41638" xr:uid="{00000000-0005-0000-0000-000017900000}"/>
    <cellStyle name="Normal 57 5 8 8" xfId="26927" xr:uid="{00000000-0005-0000-0000-000018900000}"/>
    <cellStyle name="Normal 57 5 9" xfId="2612" xr:uid="{00000000-0005-0000-0000-000019900000}"/>
    <cellStyle name="Normal 57 5 9 2" xfId="5153" xr:uid="{00000000-0005-0000-0000-00001A900000}"/>
    <cellStyle name="Normal 57 5 9 2 2" xfId="13990" xr:uid="{00000000-0005-0000-0000-00001B900000}"/>
    <cellStyle name="Normal 57 5 9 2 2 2" xfId="24241" xr:uid="{00000000-0005-0000-0000-00001C900000}"/>
    <cellStyle name="Normal 57 5 9 2 2 2 2" xfId="49794" xr:uid="{00000000-0005-0000-0000-00001D900000}"/>
    <cellStyle name="Normal 57 5 9 2 2 3" xfId="39545" xr:uid="{00000000-0005-0000-0000-00001E900000}"/>
    <cellStyle name="Normal 57 5 9 2 3" xfId="10411" xr:uid="{00000000-0005-0000-0000-00001F900000}"/>
    <cellStyle name="Normal 57 5 9 2 3 2" xfId="35968" xr:uid="{00000000-0005-0000-0000-000020900000}"/>
    <cellStyle name="Normal 57 5 9 2 4" xfId="19234" xr:uid="{00000000-0005-0000-0000-000021900000}"/>
    <cellStyle name="Normal 57 5 9 2 4 2" xfId="44787" xr:uid="{00000000-0005-0000-0000-000022900000}"/>
    <cellStyle name="Normal 57 5 9 2 5" xfId="30724" xr:uid="{00000000-0005-0000-0000-000023900000}"/>
    <cellStyle name="Normal 57 5 9 3" xfId="6608" xr:uid="{00000000-0005-0000-0000-000024900000}"/>
    <cellStyle name="Normal 57 5 9 3 2" xfId="15435" xr:uid="{00000000-0005-0000-0000-000025900000}"/>
    <cellStyle name="Normal 57 5 9 3 2 2" xfId="40990" xr:uid="{00000000-0005-0000-0000-000026900000}"/>
    <cellStyle name="Normal 57 5 9 3 3" xfId="25686" xr:uid="{00000000-0005-0000-0000-000027900000}"/>
    <cellStyle name="Normal 57 5 9 3 3 2" xfId="51239" xr:uid="{00000000-0005-0000-0000-000028900000}"/>
    <cellStyle name="Normal 57 5 9 3 4" xfId="32169" xr:uid="{00000000-0005-0000-0000-000029900000}"/>
    <cellStyle name="Normal 57 5 9 4" xfId="8054" xr:uid="{00000000-0005-0000-0000-00002A900000}"/>
    <cellStyle name="Normal 57 5 9 4 2" xfId="21975" xr:uid="{00000000-0005-0000-0000-00002B900000}"/>
    <cellStyle name="Normal 57 5 9 4 2 2" xfId="47528" xr:uid="{00000000-0005-0000-0000-00002C900000}"/>
    <cellStyle name="Normal 57 5 9 4 3" xfId="33611" xr:uid="{00000000-0005-0000-0000-00002D900000}"/>
    <cellStyle name="Normal 57 5 9 5" xfId="16968" xr:uid="{00000000-0005-0000-0000-00002E900000}"/>
    <cellStyle name="Normal 57 5 9 5 2" xfId="42521" xr:uid="{00000000-0005-0000-0000-00002F900000}"/>
    <cellStyle name="Normal 57 5 9 6" xfId="28458" xr:uid="{00000000-0005-0000-0000-000030900000}"/>
    <cellStyle name="Normal 57 5_Degree data" xfId="3966" xr:uid="{00000000-0005-0000-0000-000031900000}"/>
    <cellStyle name="Normal 57 6" xfId="126" xr:uid="{00000000-0005-0000-0000-000032900000}"/>
    <cellStyle name="Normal 57 6 10" xfId="1400" xr:uid="{00000000-0005-0000-0000-000033900000}"/>
    <cellStyle name="Normal 57 6 10 2" xfId="10777" xr:uid="{00000000-0005-0000-0000-000034900000}"/>
    <cellStyle name="Normal 57 6 10 2 2" xfId="36332" xr:uid="{00000000-0005-0000-0000-000035900000}"/>
    <cellStyle name="Normal 57 6 10 3" xfId="20781" xr:uid="{00000000-0005-0000-0000-000036900000}"/>
    <cellStyle name="Normal 57 6 10 3 2" xfId="46334" xr:uid="{00000000-0005-0000-0000-000037900000}"/>
    <cellStyle name="Normal 57 6 10 4" xfId="27264" xr:uid="{00000000-0005-0000-0000-000038900000}"/>
    <cellStyle name="Normal 57 6 11" xfId="5511" xr:uid="{00000000-0005-0000-0000-000039900000}"/>
    <cellStyle name="Normal 57 6 11 2" xfId="14338" xr:uid="{00000000-0005-0000-0000-00003A900000}"/>
    <cellStyle name="Normal 57 6 11 2 2" xfId="39893" xr:uid="{00000000-0005-0000-0000-00003B900000}"/>
    <cellStyle name="Normal 57 6 11 3" xfId="24589" xr:uid="{00000000-0005-0000-0000-00003C900000}"/>
    <cellStyle name="Normal 57 6 11 3 2" xfId="50142" xr:uid="{00000000-0005-0000-0000-00003D900000}"/>
    <cellStyle name="Normal 57 6 11 4" xfId="31072" xr:uid="{00000000-0005-0000-0000-00003E900000}"/>
    <cellStyle name="Normal 57 6 12" xfId="6951" xr:uid="{00000000-0005-0000-0000-00003F900000}"/>
    <cellStyle name="Normal 57 6 12 2" xfId="19593" xr:uid="{00000000-0005-0000-0000-000040900000}"/>
    <cellStyle name="Normal 57 6 12 2 2" xfId="45146" xr:uid="{00000000-0005-0000-0000-000041900000}"/>
    <cellStyle name="Normal 57 6 12 3" xfId="32509" xr:uid="{00000000-0005-0000-0000-000042900000}"/>
    <cellStyle name="Normal 57 6 13" xfId="15774" xr:uid="{00000000-0005-0000-0000-000043900000}"/>
    <cellStyle name="Normal 57 6 13 2" xfId="41327" xr:uid="{00000000-0005-0000-0000-000044900000}"/>
    <cellStyle name="Normal 57 6 14" xfId="26076" xr:uid="{00000000-0005-0000-0000-000045900000}"/>
    <cellStyle name="Normal 57 6 2" xfId="182" xr:uid="{00000000-0005-0000-0000-000046900000}"/>
    <cellStyle name="Normal 57 6 2 10" xfId="7130" xr:uid="{00000000-0005-0000-0000-000047900000}"/>
    <cellStyle name="Normal 57 6 2 10 2" xfId="19639" xr:uid="{00000000-0005-0000-0000-000048900000}"/>
    <cellStyle name="Normal 57 6 2 10 2 2" xfId="45192" xr:uid="{00000000-0005-0000-0000-000049900000}"/>
    <cellStyle name="Normal 57 6 2 10 3" xfId="32687" xr:uid="{00000000-0005-0000-0000-00004A900000}"/>
    <cellStyle name="Normal 57 6 2 11" xfId="15876" xr:uid="{00000000-0005-0000-0000-00004B900000}"/>
    <cellStyle name="Normal 57 6 2 11 2" xfId="41429" xr:uid="{00000000-0005-0000-0000-00004C900000}"/>
    <cellStyle name="Normal 57 6 2 12" xfId="26122" xr:uid="{00000000-0005-0000-0000-00004D900000}"/>
    <cellStyle name="Normal 57 6 2 2" xfId="510" xr:uid="{00000000-0005-0000-0000-00004E900000}"/>
    <cellStyle name="Normal 57 6 2 2 10" xfId="26439" xr:uid="{00000000-0005-0000-0000-00004F900000}"/>
    <cellStyle name="Normal 57 6 2 2 2" xfId="872" xr:uid="{00000000-0005-0000-0000-000050900000}"/>
    <cellStyle name="Normal 57 6 2 2 2 2" xfId="3357" xr:uid="{00000000-0005-0000-0000-000051900000}"/>
    <cellStyle name="Normal 57 6 2 2 2 2 2" xfId="12499" xr:uid="{00000000-0005-0000-0000-000052900000}"/>
    <cellStyle name="Normal 57 6 2 2 2 2 2 2" xfId="22718" xr:uid="{00000000-0005-0000-0000-000053900000}"/>
    <cellStyle name="Normal 57 6 2 2 2 2 2 2 2" xfId="48271" xr:uid="{00000000-0005-0000-0000-000054900000}"/>
    <cellStyle name="Normal 57 6 2 2 2 2 2 3" xfId="38054" xr:uid="{00000000-0005-0000-0000-000055900000}"/>
    <cellStyle name="Normal 57 6 2 2 2 2 3" xfId="8921" xr:uid="{00000000-0005-0000-0000-000056900000}"/>
    <cellStyle name="Normal 57 6 2 2 2 2 3 2" xfId="34478" xr:uid="{00000000-0005-0000-0000-000057900000}"/>
    <cellStyle name="Normal 57 6 2 2 2 2 4" xfId="17711" xr:uid="{00000000-0005-0000-0000-000058900000}"/>
    <cellStyle name="Normal 57 6 2 2 2 2 4 2" xfId="43264" xr:uid="{00000000-0005-0000-0000-000059900000}"/>
    <cellStyle name="Normal 57 6 2 2 2 2 5" xfId="29201" xr:uid="{00000000-0005-0000-0000-00005A900000}"/>
    <cellStyle name="Normal 57 6 2 2 2 3" xfId="4686" xr:uid="{00000000-0005-0000-0000-00005B900000}"/>
    <cellStyle name="Normal 57 6 2 2 2 3 2" xfId="13524" xr:uid="{00000000-0005-0000-0000-00005C900000}"/>
    <cellStyle name="Normal 57 6 2 2 2 3 2 2" xfId="23775" xr:uid="{00000000-0005-0000-0000-00005D900000}"/>
    <cellStyle name="Normal 57 6 2 2 2 3 2 2 2" xfId="49328" xr:uid="{00000000-0005-0000-0000-00005E900000}"/>
    <cellStyle name="Normal 57 6 2 2 2 3 2 3" xfId="39079" xr:uid="{00000000-0005-0000-0000-00005F900000}"/>
    <cellStyle name="Normal 57 6 2 2 2 3 3" xfId="9945" xr:uid="{00000000-0005-0000-0000-000060900000}"/>
    <cellStyle name="Normal 57 6 2 2 2 3 3 2" xfId="35502" xr:uid="{00000000-0005-0000-0000-000061900000}"/>
    <cellStyle name="Normal 57 6 2 2 2 3 4" xfId="18768" xr:uid="{00000000-0005-0000-0000-000062900000}"/>
    <cellStyle name="Normal 57 6 2 2 2 3 4 2" xfId="44321" xr:uid="{00000000-0005-0000-0000-000063900000}"/>
    <cellStyle name="Normal 57 6 2 2 2 3 5" xfId="30258" xr:uid="{00000000-0005-0000-0000-000064900000}"/>
    <cellStyle name="Normal 57 6 2 2 2 4" xfId="2466" xr:uid="{00000000-0005-0000-0000-000065900000}"/>
    <cellStyle name="Normal 57 6 2 2 2 4 2" xfId="11831" xr:uid="{00000000-0005-0000-0000-000066900000}"/>
    <cellStyle name="Normal 57 6 2 2 2 4 2 2" xfId="37386" xr:uid="{00000000-0005-0000-0000-000067900000}"/>
    <cellStyle name="Normal 57 6 2 2 2 4 3" xfId="21835" xr:uid="{00000000-0005-0000-0000-000068900000}"/>
    <cellStyle name="Normal 57 6 2 2 2 4 3 2" xfId="47388" xr:uid="{00000000-0005-0000-0000-000069900000}"/>
    <cellStyle name="Normal 57 6 2 2 2 4 4" xfId="28318" xr:uid="{00000000-0005-0000-0000-00006A900000}"/>
    <cellStyle name="Normal 57 6 2 2 2 5" xfId="6142" xr:uid="{00000000-0005-0000-0000-00006B900000}"/>
    <cellStyle name="Normal 57 6 2 2 2 5 2" xfId="14969" xr:uid="{00000000-0005-0000-0000-00006C900000}"/>
    <cellStyle name="Normal 57 6 2 2 2 5 2 2" xfId="40524" xr:uid="{00000000-0005-0000-0000-00006D900000}"/>
    <cellStyle name="Normal 57 6 2 2 2 5 3" xfId="25220" xr:uid="{00000000-0005-0000-0000-00006E900000}"/>
    <cellStyle name="Normal 57 6 2 2 2 5 3 2" xfId="50773" xr:uid="{00000000-0005-0000-0000-00006F900000}"/>
    <cellStyle name="Normal 57 6 2 2 2 5 4" xfId="31703" xr:uid="{00000000-0005-0000-0000-000070900000}"/>
    <cellStyle name="Normal 57 6 2 2 2 6" xfId="7587" xr:uid="{00000000-0005-0000-0000-000071900000}"/>
    <cellStyle name="Normal 57 6 2 2 2 6 2" xfId="20317" xr:uid="{00000000-0005-0000-0000-000072900000}"/>
    <cellStyle name="Normal 57 6 2 2 2 6 2 2" xfId="45870" xr:uid="{00000000-0005-0000-0000-000073900000}"/>
    <cellStyle name="Normal 57 6 2 2 2 6 3" xfId="33144" xr:uid="{00000000-0005-0000-0000-000074900000}"/>
    <cellStyle name="Normal 57 6 2 2 2 7" xfId="16828" xr:uid="{00000000-0005-0000-0000-000075900000}"/>
    <cellStyle name="Normal 57 6 2 2 2 7 2" xfId="42381" xr:uid="{00000000-0005-0000-0000-000076900000}"/>
    <cellStyle name="Normal 57 6 2 2 2 8" xfId="26800" xr:uid="{00000000-0005-0000-0000-000077900000}"/>
    <cellStyle name="Normal 57 6 2 2 3" xfId="1282" xr:uid="{00000000-0005-0000-0000-000078900000}"/>
    <cellStyle name="Normal 57 6 2 2 3 2" xfId="3711" xr:uid="{00000000-0005-0000-0000-000079900000}"/>
    <cellStyle name="Normal 57 6 2 2 3 2 2" xfId="12847" xr:uid="{00000000-0005-0000-0000-00007A900000}"/>
    <cellStyle name="Normal 57 6 2 2 3 2 2 2" xfId="23066" xr:uid="{00000000-0005-0000-0000-00007B900000}"/>
    <cellStyle name="Normal 57 6 2 2 3 2 2 2 2" xfId="48619" xr:uid="{00000000-0005-0000-0000-00007C900000}"/>
    <cellStyle name="Normal 57 6 2 2 3 2 2 3" xfId="38402" xr:uid="{00000000-0005-0000-0000-00007D900000}"/>
    <cellStyle name="Normal 57 6 2 2 3 2 3" xfId="9268" xr:uid="{00000000-0005-0000-0000-00007E900000}"/>
    <cellStyle name="Normal 57 6 2 2 3 2 3 2" xfId="34825" xr:uid="{00000000-0005-0000-0000-00007F900000}"/>
    <cellStyle name="Normal 57 6 2 2 3 2 4" xfId="18059" xr:uid="{00000000-0005-0000-0000-000080900000}"/>
    <cellStyle name="Normal 57 6 2 2 3 2 4 2" xfId="43612" xr:uid="{00000000-0005-0000-0000-000081900000}"/>
    <cellStyle name="Normal 57 6 2 2 3 2 5" xfId="29549" xr:uid="{00000000-0005-0000-0000-000082900000}"/>
    <cellStyle name="Normal 57 6 2 2 3 3" xfId="5035" xr:uid="{00000000-0005-0000-0000-000083900000}"/>
    <cellStyle name="Normal 57 6 2 2 3 3 2" xfId="13872" xr:uid="{00000000-0005-0000-0000-000084900000}"/>
    <cellStyle name="Normal 57 6 2 2 3 3 2 2" xfId="24123" xr:uid="{00000000-0005-0000-0000-000085900000}"/>
    <cellStyle name="Normal 57 6 2 2 3 3 2 2 2" xfId="49676" xr:uid="{00000000-0005-0000-0000-000086900000}"/>
    <cellStyle name="Normal 57 6 2 2 3 3 2 3" xfId="39427" xr:uid="{00000000-0005-0000-0000-000087900000}"/>
    <cellStyle name="Normal 57 6 2 2 3 3 3" xfId="10293" xr:uid="{00000000-0005-0000-0000-000088900000}"/>
    <cellStyle name="Normal 57 6 2 2 3 3 3 2" xfId="35850" xr:uid="{00000000-0005-0000-0000-000089900000}"/>
    <cellStyle name="Normal 57 6 2 2 3 3 4" xfId="19116" xr:uid="{00000000-0005-0000-0000-00008A900000}"/>
    <cellStyle name="Normal 57 6 2 2 3 3 4 2" xfId="44669" xr:uid="{00000000-0005-0000-0000-00008B900000}"/>
    <cellStyle name="Normal 57 6 2 2 3 3 5" xfId="30606" xr:uid="{00000000-0005-0000-0000-00008C900000}"/>
    <cellStyle name="Normal 57 6 2 2 3 4" xfId="2105" xr:uid="{00000000-0005-0000-0000-00008D900000}"/>
    <cellStyle name="Normal 57 6 2 2 3 4 2" xfId="11470" xr:uid="{00000000-0005-0000-0000-00008E900000}"/>
    <cellStyle name="Normal 57 6 2 2 3 4 2 2" xfId="37025" xr:uid="{00000000-0005-0000-0000-00008F900000}"/>
    <cellStyle name="Normal 57 6 2 2 3 4 3" xfId="21474" xr:uid="{00000000-0005-0000-0000-000090900000}"/>
    <cellStyle name="Normal 57 6 2 2 3 4 3 2" xfId="47027" xr:uid="{00000000-0005-0000-0000-000091900000}"/>
    <cellStyle name="Normal 57 6 2 2 3 4 4" xfId="27957" xr:uid="{00000000-0005-0000-0000-000092900000}"/>
    <cellStyle name="Normal 57 6 2 2 3 5" xfId="6490" xr:uid="{00000000-0005-0000-0000-000093900000}"/>
    <cellStyle name="Normal 57 6 2 2 3 5 2" xfId="15317" xr:uid="{00000000-0005-0000-0000-000094900000}"/>
    <cellStyle name="Normal 57 6 2 2 3 5 2 2" xfId="40872" xr:uid="{00000000-0005-0000-0000-000095900000}"/>
    <cellStyle name="Normal 57 6 2 2 3 5 3" xfId="25568" xr:uid="{00000000-0005-0000-0000-000096900000}"/>
    <cellStyle name="Normal 57 6 2 2 3 5 3 2" xfId="51121" xr:uid="{00000000-0005-0000-0000-000097900000}"/>
    <cellStyle name="Normal 57 6 2 2 3 5 4" xfId="32051" xr:uid="{00000000-0005-0000-0000-000098900000}"/>
    <cellStyle name="Normal 57 6 2 2 3 6" xfId="7936" xr:uid="{00000000-0005-0000-0000-000099900000}"/>
    <cellStyle name="Normal 57 6 2 2 3 6 2" xfId="20665" xr:uid="{00000000-0005-0000-0000-00009A900000}"/>
    <cellStyle name="Normal 57 6 2 2 3 6 2 2" xfId="46218" xr:uid="{00000000-0005-0000-0000-00009B900000}"/>
    <cellStyle name="Normal 57 6 2 2 3 6 3" xfId="33493" xr:uid="{00000000-0005-0000-0000-00009C900000}"/>
    <cellStyle name="Normal 57 6 2 2 3 7" xfId="16467" xr:uid="{00000000-0005-0000-0000-00009D900000}"/>
    <cellStyle name="Normal 57 6 2 2 3 7 2" xfId="42020" xr:uid="{00000000-0005-0000-0000-00009E900000}"/>
    <cellStyle name="Normal 57 6 2 2 3 8" xfId="27148" xr:uid="{00000000-0005-0000-0000-00009F900000}"/>
    <cellStyle name="Normal 57 6 2 2 4" xfId="2996" xr:uid="{00000000-0005-0000-0000-0000A0900000}"/>
    <cellStyle name="Normal 57 6 2 2 4 2" xfId="5374" xr:uid="{00000000-0005-0000-0000-0000A1900000}"/>
    <cellStyle name="Normal 57 6 2 2 4 2 2" xfId="14211" xr:uid="{00000000-0005-0000-0000-0000A2900000}"/>
    <cellStyle name="Normal 57 6 2 2 4 2 2 2" xfId="24462" xr:uid="{00000000-0005-0000-0000-0000A3900000}"/>
    <cellStyle name="Normal 57 6 2 2 4 2 2 2 2" xfId="50015" xr:uid="{00000000-0005-0000-0000-0000A4900000}"/>
    <cellStyle name="Normal 57 6 2 2 4 2 2 3" xfId="39766" xr:uid="{00000000-0005-0000-0000-0000A5900000}"/>
    <cellStyle name="Normal 57 6 2 2 4 2 3" xfId="10632" xr:uid="{00000000-0005-0000-0000-0000A6900000}"/>
    <cellStyle name="Normal 57 6 2 2 4 2 3 2" xfId="36189" xr:uid="{00000000-0005-0000-0000-0000A7900000}"/>
    <cellStyle name="Normal 57 6 2 2 4 2 4" xfId="19455" xr:uid="{00000000-0005-0000-0000-0000A8900000}"/>
    <cellStyle name="Normal 57 6 2 2 4 2 4 2" xfId="45008" xr:uid="{00000000-0005-0000-0000-0000A9900000}"/>
    <cellStyle name="Normal 57 6 2 2 4 2 5" xfId="30945" xr:uid="{00000000-0005-0000-0000-0000AA900000}"/>
    <cellStyle name="Normal 57 6 2 2 4 3" xfId="6829" xr:uid="{00000000-0005-0000-0000-0000AB900000}"/>
    <cellStyle name="Normal 57 6 2 2 4 3 2" xfId="15656" xr:uid="{00000000-0005-0000-0000-0000AC900000}"/>
    <cellStyle name="Normal 57 6 2 2 4 3 2 2" xfId="41211" xr:uid="{00000000-0005-0000-0000-0000AD900000}"/>
    <cellStyle name="Normal 57 6 2 2 4 3 3" xfId="25907" xr:uid="{00000000-0005-0000-0000-0000AE900000}"/>
    <cellStyle name="Normal 57 6 2 2 4 3 3 2" xfId="51460" xr:uid="{00000000-0005-0000-0000-0000AF900000}"/>
    <cellStyle name="Normal 57 6 2 2 4 3 4" xfId="32390" xr:uid="{00000000-0005-0000-0000-0000B0900000}"/>
    <cellStyle name="Normal 57 6 2 2 4 4" xfId="8275" xr:uid="{00000000-0005-0000-0000-0000B1900000}"/>
    <cellStyle name="Normal 57 6 2 2 4 4 2" xfId="22357" xr:uid="{00000000-0005-0000-0000-0000B2900000}"/>
    <cellStyle name="Normal 57 6 2 2 4 4 2 2" xfId="47910" xr:uid="{00000000-0005-0000-0000-0000B3900000}"/>
    <cellStyle name="Normal 57 6 2 2 4 4 3" xfId="33832" xr:uid="{00000000-0005-0000-0000-0000B4900000}"/>
    <cellStyle name="Normal 57 6 2 2 4 5" xfId="17350" xr:uid="{00000000-0005-0000-0000-0000B5900000}"/>
    <cellStyle name="Normal 57 6 2 2 4 5 2" xfId="42903" xr:uid="{00000000-0005-0000-0000-0000B6900000}"/>
    <cellStyle name="Normal 57 6 2 2 4 6" xfId="28840" xr:uid="{00000000-0005-0000-0000-0000B7900000}"/>
    <cellStyle name="Normal 57 6 2 2 5" xfId="4330" xr:uid="{00000000-0005-0000-0000-0000B8900000}"/>
    <cellStyle name="Normal 57 6 2 2 5 2" xfId="13168" xr:uid="{00000000-0005-0000-0000-0000B9900000}"/>
    <cellStyle name="Normal 57 6 2 2 5 2 2" xfId="23419" xr:uid="{00000000-0005-0000-0000-0000BA900000}"/>
    <cellStyle name="Normal 57 6 2 2 5 2 2 2" xfId="48972" xr:uid="{00000000-0005-0000-0000-0000BB900000}"/>
    <cellStyle name="Normal 57 6 2 2 5 2 3" xfId="38723" xr:uid="{00000000-0005-0000-0000-0000BC900000}"/>
    <cellStyle name="Normal 57 6 2 2 5 3" xfId="9589" xr:uid="{00000000-0005-0000-0000-0000BD900000}"/>
    <cellStyle name="Normal 57 6 2 2 5 3 2" xfId="35146" xr:uid="{00000000-0005-0000-0000-0000BE900000}"/>
    <cellStyle name="Normal 57 6 2 2 5 4" xfId="18412" xr:uid="{00000000-0005-0000-0000-0000BF900000}"/>
    <cellStyle name="Normal 57 6 2 2 5 4 2" xfId="43965" xr:uid="{00000000-0005-0000-0000-0000C0900000}"/>
    <cellStyle name="Normal 57 6 2 2 5 5" xfId="29902" xr:uid="{00000000-0005-0000-0000-0000C1900000}"/>
    <cellStyle name="Normal 57 6 2 2 6" xfId="1602" xr:uid="{00000000-0005-0000-0000-0000C2900000}"/>
    <cellStyle name="Normal 57 6 2 2 6 2" xfId="10979" xr:uid="{00000000-0005-0000-0000-0000C3900000}"/>
    <cellStyle name="Normal 57 6 2 2 6 2 2" xfId="36534" xr:uid="{00000000-0005-0000-0000-0000C4900000}"/>
    <cellStyle name="Normal 57 6 2 2 6 3" xfId="20983" xr:uid="{00000000-0005-0000-0000-0000C5900000}"/>
    <cellStyle name="Normal 57 6 2 2 6 3 2" xfId="46536" xr:uid="{00000000-0005-0000-0000-0000C6900000}"/>
    <cellStyle name="Normal 57 6 2 2 6 4" xfId="27466" xr:uid="{00000000-0005-0000-0000-0000C7900000}"/>
    <cellStyle name="Normal 57 6 2 2 7" xfId="5786" xr:uid="{00000000-0005-0000-0000-0000C8900000}"/>
    <cellStyle name="Normal 57 6 2 2 7 2" xfId="14613" xr:uid="{00000000-0005-0000-0000-0000C9900000}"/>
    <cellStyle name="Normal 57 6 2 2 7 2 2" xfId="40168" xr:uid="{00000000-0005-0000-0000-0000CA900000}"/>
    <cellStyle name="Normal 57 6 2 2 7 3" xfId="24864" xr:uid="{00000000-0005-0000-0000-0000CB900000}"/>
    <cellStyle name="Normal 57 6 2 2 7 3 2" xfId="50417" xr:uid="{00000000-0005-0000-0000-0000CC900000}"/>
    <cellStyle name="Normal 57 6 2 2 7 4" xfId="31347" xr:uid="{00000000-0005-0000-0000-0000CD900000}"/>
    <cellStyle name="Normal 57 6 2 2 8" xfId="7230" xr:uid="{00000000-0005-0000-0000-0000CE900000}"/>
    <cellStyle name="Normal 57 6 2 2 8 2" xfId="19956" xr:uid="{00000000-0005-0000-0000-0000CF900000}"/>
    <cellStyle name="Normal 57 6 2 2 8 2 2" xfId="45509" xr:uid="{00000000-0005-0000-0000-0000D0900000}"/>
    <cellStyle name="Normal 57 6 2 2 8 3" xfId="32787" xr:uid="{00000000-0005-0000-0000-0000D1900000}"/>
    <cellStyle name="Normal 57 6 2 2 9" xfId="15976" xr:uid="{00000000-0005-0000-0000-0000D2900000}"/>
    <cellStyle name="Normal 57 6 2 2 9 2" xfId="41529" xr:uid="{00000000-0005-0000-0000-0000D3900000}"/>
    <cellStyle name="Normal 57 6 2 2_Degree data" xfId="3978" xr:uid="{00000000-0005-0000-0000-0000D4900000}"/>
    <cellStyle name="Normal 57 6 2 3" xfId="410" xr:uid="{00000000-0005-0000-0000-0000D5900000}"/>
    <cellStyle name="Normal 57 6 2 3 2" xfId="2896" xr:uid="{00000000-0005-0000-0000-0000D6900000}"/>
    <cellStyle name="Normal 57 6 2 3 2 2" xfId="12184" xr:uid="{00000000-0005-0000-0000-0000D7900000}"/>
    <cellStyle name="Normal 57 6 2 3 2 2 2" xfId="22257" xr:uid="{00000000-0005-0000-0000-0000D8900000}"/>
    <cellStyle name="Normal 57 6 2 3 2 2 2 2" xfId="47810" xr:uid="{00000000-0005-0000-0000-0000D9900000}"/>
    <cellStyle name="Normal 57 6 2 3 2 2 3" xfId="37739" xr:uid="{00000000-0005-0000-0000-0000DA900000}"/>
    <cellStyle name="Normal 57 6 2 3 2 3" xfId="8513" xr:uid="{00000000-0005-0000-0000-0000DB900000}"/>
    <cellStyle name="Normal 57 6 2 3 2 3 2" xfId="34070" xr:uid="{00000000-0005-0000-0000-0000DC900000}"/>
    <cellStyle name="Normal 57 6 2 3 2 4" xfId="17250" xr:uid="{00000000-0005-0000-0000-0000DD900000}"/>
    <cellStyle name="Normal 57 6 2 3 2 4 2" xfId="42803" xr:uid="{00000000-0005-0000-0000-0000DE900000}"/>
    <cellStyle name="Normal 57 6 2 3 2 5" xfId="28740" xr:uid="{00000000-0005-0000-0000-0000DF900000}"/>
    <cellStyle name="Normal 57 6 2 3 3" xfId="4685" xr:uid="{00000000-0005-0000-0000-0000E0900000}"/>
    <cellStyle name="Normal 57 6 2 3 3 2" xfId="13523" xr:uid="{00000000-0005-0000-0000-0000E1900000}"/>
    <cellStyle name="Normal 57 6 2 3 3 2 2" xfId="23774" xr:uid="{00000000-0005-0000-0000-0000E2900000}"/>
    <cellStyle name="Normal 57 6 2 3 3 2 2 2" xfId="49327" xr:uid="{00000000-0005-0000-0000-0000E3900000}"/>
    <cellStyle name="Normal 57 6 2 3 3 2 3" xfId="39078" xr:uid="{00000000-0005-0000-0000-0000E4900000}"/>
    <cellStyle name="Normal 57 6 2 3 3 3" xfId="9944" xr:uid="{00000000-0005-0000-0000-0000E5900000}"/>
    <cellStyle name="Normal 57 6 2 3 3 3 2" xfId="35501" xr:uid="{00000000-0005-0000-0000-0000E6900000}"/>
    <cellStyle name="Normal 57 6 2 3 3 4" xfId="18767" xr:uid="{00000000-0005-0000-0000-0000E7900000}"/>
    <cellStyle name="Normal 57 6 2 3 3 4 2" xfId="44320" xr:uid="{00000000-0005-0000-0000-0000E8900000}"/>
    <cellStyle name="Normal 57 6 2 3 3 5" xfId="30257" xr:uid="{00000000-0005-0000-0000-0000E9900000}"/>
    <cellStyle name="Normal 57 6 2 3 4" xfId="2005" xr:uid="{00000000-0005-0000-0000-0000EA900000}"/>
    <cellStyle name="Normal 57 6 2 3 4 2" xfId="11370" xr:uid="{00000000-0005-0000-0000-0000EB900000}"/>
    <cellStyle name="Normal 57 6 2 3 4 2 2" xfId="36925" xr:uid="{00000000-0005-0000-0000-0000EC900000}"/>
    <cellStyle name="Normal 57 6 2 3 4 3" xfId="21374" xr:uid="{00000000-0005-0000-0000-0000ED900000}"/>
    <cellStyle name="Normal 57 6 2 3 4 3 2" xfId="46927" xr:uid="{00000000-0005-0000-0000-0000EE900000}"/>
    <cellStyle name="Normal 57 6 2 3 4 4" xfId="27857" xr:uid="{00000000-0005-0000-0000-0000EF900000}"/>
    <cellStyle name="Normal 57 6 2 3 5" xfId="6141" xr:uid="{00000000-0005-0000-0000-0000F0900000}"/>
    <cellStyle name="Normal 57 6 2 3 5 2" xfId="14968" xr:uid="{00000000-0005-0000-0000-0000F1900000}"/>
    <cellStyle name="Normal 57 6 2 3 5 2 2" xfId="40523" xr:uid="{00000000-0005-0000-0000-0000F2900000}"/>
    <cellStyle name="Normal 57 6 2 3 5 3" xfId="25219" xr:uid="{00000000-0005-0000-0000-0000F3900000}"/>
    <cellStyle name="Normal 57 6 2 3 5 3 2" xfId="50772" xr:uid="{00000000-0005-0000-0000-0000F4900000}"/>
    <cellStyle name="Normal 57 6 2 3 5 4" xfId="31702" xr:uid="{00000000-0005-0000-0000-0000F5900000}"/>
    <cellStyle name="Normal 57 6 2 3 6" xfId="7586" xr:uid="{00000000-0005-0000-0000-0000F6900000}"/>
    <cellStyle name="Normal 57 6 2 3 6 2" xfId="19856" xr:uid="{00000000-0005-0000-0000-0000F7900000}"/>
    <cellStyle name="Normal 57 6 2 3 6 2 2" xfId="45409" xr:uid="{00000000-0005-0000-0000-0000F8900000}"/>
    <cellStyle name="Normal 57 6 2 3 6 3" xfId="33143" xr:uid="{00000000-0005-0000-0000-0000F9900000}"/>
    <cellStyle name="Normal 57 6 2 3 7" xfId="16367" xr:uid="{00000000-0005-0000-0000-0000FA900000}"/>
    <cellStyle name="Normal 57 6 2 3 7 2" xfId="41920" xr:uid="{00000000-0005-0000-0000-0000FB900000}"/>
    <cellStyle name="Normal 57 6 2 3 8" xfId="26339" xr:uid="{00000000-0005-0000-0000-0000FC900000}"/>
    <cellStyle name="Normal 57 6 2 4" xfId="871" xr:uid="{00000000-0005-0000-0000-0000FD900000}"/>
    <cellStyle name="Normal 57 6 2 4 2" xfId="3356" xr:uid="{00000000-0005-0000-0000-0000FE900000}"/>
    <cellStyle name="Normal 57 6 2 4 2 2" xfId="12498" xr:uid="{00000000-0005-0000-0000-0000FF900000}"/>
    <cellStyle name="Normal 57 6 2 4 2 2 2" xfId="22717" xr:uid="{00000000-0005-0000-0000-000000910000}"/>
    <cellStyle name="Normal 57 6 2 4 2 2 2 2" xfId="48270" xr:uid="{00000000-0005-0000-0000-000001910000}"/>
    <cellStyle name="Normal 57 6 2 4 2 2 3" xfId="38053" xr:uid="{00000000-0005-0000-0000-000002910000}"/>
    <cellStyle name="Normal 57 6 2 4 2 3" xfId="8920" xr:uid="{00000000-0005-0000-0000-000003910000}"/>
    <cellStyle name="Normal 57 6 2 4 2 3 2" xfId="34477" xr:uid="{00000000-0005-0000-0000-000004910000}"/>
    <cellStyle name="Normal 57 6 2 4 2 4" xfId="17710" xr:uid="{00000000-0005-0000-0000-000005910000}"/>
    <cellStyle name="Normal 57 6 2 4 2 4 2" xfId="43263" xr:uid="{00000000-0005-0000-0000-000006910000}"/>
    <cellStyle name="Normal 57 6 2 4 2 5" xfId="29200" xr:uid="{00000000-0005-0000-0000-000007910000}"/>
    <cellStyle name="Normal 57 6 2 4 3" xfId="5034" xr:uid="{00000000-0005-0000-0000-000008910000}"/>
    <cellStyle name="Normal 57 6 2 4 3 2" xfId="13871" xr:uid="{00000000-0005-0000-0000-000009910000}"/>
    <cellStyle name="Normal 57 6 2 4 3 2 2" xfId="24122" xr:uid="{00000000-0005-0000-0000-00000A910000}"/>
    <cellStyle name="Normal 57 6 2 4 3 2 2 2" xfId="49675" xr:uid="{00000000-0005-0000-0000-00000B910000}"/>
    <cellStyle name="Normal 57 6 2 4 3 2 3" xfId="39426" xr:uid="{00000000-0005-0000-0000-00000C910000}"/>
    <cellStyle name="Normal 57 6 2 4 3 3" xfId="10292" xr:uid="{00000000-0005-0000-0000-00000D910000}"/>
    <cellStyle name="Normal 57 6 2 4 3 3 2" xfId="35849" xr:uid="{00000000-0005-0000-0000-00000E910000}"/>
    <cellStyle name="Normal 57 6 2 4 3 4" xfId="19115" xr:uid="{00000000-0005-0000-0000-00000F910000}"/>
    <cellStyle name="Normal 57 6 2 4 3 4 2" xfId="44668" xr:uid="{00000000-0005-0000-0000-000010910000}"/>
    <cellStyle name="Normal 57 6 2 4 3 5" xfId="30605" xr:uid="{00000000-0005-0000-0000-000011910000}"/>
    <cellStyle name="Normal 57 6 2 4 4" xfId="2465" xr:uid="{00000000-0005-0000-0000-000012910000}"/>
    <cellStyle name="Normal 57 6 2 4 4 2" xfId="11830" xr:uid="{00000000-0005-0000-0000-000013910000}"/>
    <cellStyle name="Normal 57 6 2 4 4 2 2" xfId="37385" xr:uid="{00000000-0005-0000-0000-000014910000}"/>
    <cellStyle name="Normal 57 6 2 4 4 3" xfId="21834" xr:uid="{00000000-0005-0000-0000-000015910000}"/>
    <cellStyle name="Normal 57 6 2 4 4 3 2" xfId="47387" xr:uid="{00000000-0005-0000-0000-000016910000}"/>
    <cellStyle name="Normal 57 6 2 4 4 4" xfId="28317" xr:uid="{00000000-0005-0000-0000-000017910000}"/>
    <cellStyle name="Normal 57 6 2 4 5" xfId="6489" xr:uid="{00000000-0005-0000-0000-000018910000}"/>
    <cellStyle name="Normal 57 6 2 4 5 2" xfId="15316" xr:uid="{00000000-0005-0000-0000-000019910000}"/>
    <cellStyle name="Normal 57 6 2 4 5 2 2" xfId="40871" xr:uid="{00000000-0005-0000-0000-00001A910000}"/>
    <cellStyle name="Normal 57 6 2 4 5 3" xfId="25567" xr:uid="{00000000-0005-0000-0000-00001B910000}"/>
    <cellStyle name="Normal 57 6 2 4 5 3 2" xfId="51120" xr:uid="{00000000-0005-0000-0000-00001C910000}"/>
    <cellStyle name="Normal 57 6 2 4 5 4" xfId="32050" xr:uid="{00000000-0005-0000-0000-00001D910000}"/>
    <cellStyle name="Normal 57 6 2 4 6" xfId="7935" xr:uid="{00000000-0005-0000-0000-00001E910000}"/>
    <cellStyle name="Normal 57 6 2 4 6 2" xfId="20316" xr:uid="{00000000-0005-0000-0000-00001F910000}"/>
    <cellStyle name="Normal 57 6 2 4 6 2 2" xfId="45869" xr:uid="{00000000-0005-0000-0000-000020910000}"/>
    <cellStyle name="Normal 57 6 2 4 6 3" xfId="33492" xr:uid="{00000000-0005-0000-0000-000021910000}"/>
    <cellStyle name="Normal 57 6 2 4 7" xfId="16827" xr:uid="{00000000-0005-0000-0000-000022910000}"/>
    <cellStyle name="Normal 57 6 2 4 7 2" xfId="42380" xr:uid="{00000000-0005-0000-0000-000023910000}"/>
    <cellStyle name="Normal 57 6 2 4 8" xfId="26799" xr:uid="{00000000-0005-0000-0000-000024910000}"/>
    <cellStyle name="Normal 57 6 2 5" xfId="1182" xr:uid="{00000000-0005-0000-0000-000025910000}"/>
    <cellStyle name="Normal 57 6 2 5 2" xfId="3611" xr:uid="{00000000-0005-0000-0000-000026910000}"/>
    <cellStyle name="Normal 57 6 2 5 2 2" xfId="12747" xr:uid="{00000000-0005-0000-0000-000027910000}"/>
    <cellStyle name="Normal 57 6 2 5 2 2 2" xfId="22966" xr:uid="{00000000-0005-0000-0000-000028910000}"/>
    <cellStyle name="Normal 57 6 2 5 2 2 2 2" xfId="48519" xr:uid="{00000000-0005-0000-0000-000029910000}"/>
    <cellStyle name="Normal 57 6 2 5 2 2 3" xfId="38302" xr:uid="{00000000-0005-0000-0000-00002A910000}"/>
    <cellStyle name="Normal 57 6 2 5 2 3" xfId="9168" xr:uid="{00000000-0005-0000-0000-00002B910000}"/>
    <cellStyle name="Normal 57 6 2 5 2 3 2" xfId="34725" xr:uid="{00000000-0005-0000-0000-00002C910000}"/>
    <cellStyle name="Normal 57 6 2 5 2 4" xfId="17959" xr:uid="{00000000-0005-0000-0000-00002D910000}"/>
    <cellStyle name="Normal 57 6 2 5 2 4 2" xfId="43512" xr:uid="{00000000-0005-0000-0000-00002E910000}"/>
    <cellStyle name="Normal 57 6 2 5 2 5" xfId="29449" xr:uid="{00000000-0005-0000-0000-00002F910000}"/>
    <cellStyle name="Normal 57 6 2 5 3" xfId="5274" xr:uid="{00000000-0005-0000-0000-000030910000}"/>
    <cellStyle name="Normal 57 6 2 5 3 2" xfId="14111" xr:uid="{00000000-0005-0000-0000-000031910000}"/>
    <cellStyle name="Normal 57 6 2 5 3 2 2" xfId="24362" xr:uid="{00000000-0005-0000-0000-000032910000}"/>
    <cellStyle name="Normal 57 6 2 5 3 2 2 2" xfId="49915" xr:uid="{00000000-0005-0000-0000-000033910000}"/>
    <cellStyle name="Normal 57 6 2 5 3 2 3" xfId="39666" xr:uid="{00000000-0005-0000-0000-000034910000}"/>
    <cellStyle name="Normal 57 6 2 5 3 3" xfId="10532" xr:uid="{00000000-0005-0000-0000-000035910000}"/>
    <cellStyle name="Normal 57 6 2 5 3 3 2" xfId="36089" xr:uid="{00000000-0005-0000-0000-000036910000}"/>
    <cellStyle name="Normal 57 6 2 5 3 4" xfId="19355" xr:uid="{00000000-0005-0000-0000-000037910000}"/>
    <cellStyle name="Normal 57 6 2 5 3 4 2" xfId="44908" xr:uid="{00000000-0005-0000-0000-000038910000}"/>
    <cellStyle name="Normal 57 6 2 5 3 5" xfId="30845" xr:uid="{00000000-0005-0000-0000-000039910000}"/>
    <cellStyle name="Normal 57 6 2 5 4" xfId="1784" xr:uid="{00000000-0005-0000-0000-00003A910000}"/>
    <cellStyle name="Normal 57 6 2 5 4 2" xfId="11153" xr:uid="{00000000-0005-0000-0000-00003B910000}"/>
    <cellStyle name="Normal 57 6 2 5 4 2 2" xfId="36708" xr:uid="{00000000-0005-0000-0000-00003C910000}"/>
    <cellStyle name="Normal 57 6 2 5 4 3" xfId="21157" xr:uid="{00000000-0005-0000-0000-00003D910000}"/>
    <cellStyle name="Normal 57 6 2 5 4 3 2" xfId="46710" xr:uid="{00000000-0005-0000-0000-00003E910000}"/>
    <cellStyle name="Normal 57 6 2 5 4 4" xfId="27640" xr:uid="{00000000-0005-0000-0000-00003F910000}"/>
    <cellStyle name="Normal 57 6 2 5 5" xfId="6729" xr:uid="{00000000-0005-0000-0000-000040910000}"/>
    <cellStyle name="Normal 57 6 2 5 5 2" xfId="15556" xr:uid="{00000000-0005-0000-0000-000041910000}"/>
    <cellStyle name="Normal 57 6 2 5 5 2 2" xfId="41111" xr:uid="{00000000-0005-0000-0000-000042910000}"/>
    <cellStyle name="Normal 57 6 2 5 5 3" xfId="25807" xr:uid="{00000000-0005-0000-0000-000043910000}"/>
    <cellStyle name="Normal 57 6 2 5 5 3 2" xfId="51360" xr:uid="{00000000-0005-0000-0000-000044910000}"/>
    <cellStyle name="Normal 57 6 2 5 5 4" xfId="32290" xr:uid="{00000000-0005-0000-0000-000045910000}"/>
    <cellStyle name="Normal 57 6 2 5 6" xfId="8175" xr:uid="{00000000-0005-0000-0000-000046910000}"/>
    <cellStyle name="Normal 57 6 2 5 6 2" xfId="20565" xr:uid="{00000000-0005-0000-0000-000047910000}"/>
    <cellStyle name="Normal 57 6 2 5 6 2 2" xfId="46118" xr:uid="{00000000-0005-0000-0000-000048910000}"/>
    <cellStyle name="Normal 57 6 2 5 6 3" xfId="33732" xr:uid="{00000000-0005-0000-0000-000049910000}"/>
    <cellStyle name="Normal 57 6 2 5 7" xfId="16150" xr:uid="{00000000-0005-0000-0000-00004A910000}"/>
    <cellStyle name="Normal 57 6 2 5 7 2" xfId="41703" xr:uid="{00000000-0005-0000-0000-00004B910000}"/>
    <cellStyle name="Normal 57 6 2 5 8" xfId="27048" xr:uid="{00000000-0005-0000-0000-00004C910000}"/>
    <cellStyle name="Normal 57 6 2 6" xfId="2679" xr:uid="{00000000-0005-0000-0000-00004D910000}"/>
    <cellStyle name="Normal 57 6 2 6 2" xfId="11996" xr:uid="{00000000-0005-0000-0000-00004E910000}"/>
    <cellStyle name="Normal 57 6 2 6 2 2" xfId="22040" xr:uid="{00000000-0005-0000-0000-00004F910000}"/>
    <cellStyle name="Normal 57 6 2 6 2 2 2" xfId="47593" xr:uid="{00000000-0005-0000-0000-000050910000}"/>
    <cellStyle name="Normal 57 6 2 6 2 3" xfId="37551" xr:uid="{00000000-0005-0000-0000-000051910000}"/>
    <cellStyle name="Normal 57 6 2 6 3" xfId="8557" xr:uid="{00000000-0005-0000-0000-000052910000}"/>
    <cellStyle name="Normal 57 6 2 6 3 2" xfId="34114" xr:uid="{00000000-0005-0000-0000-000053910000}"/>
    <cellStyle name="Normal 57 6 2 6 4" xfId="17033" xr:uid="{00000000-0005-0000-0000-000054910000}"/>
    <cellStyle name="Normal 57 6 2 6 4 2" xfId="42586" xr:uid="{00000000-0005-0000-0000-000055910000}"/>
    <cellStyle name="Normal 57 6 2 6 5" xfId="28523" xr:uid="{00000000-0005-0000-0000-000056910000}"/>
    <cellStyle name="Normal 57 6 2 7" xfId="4230" xr:uid="{00000000-0005-0000-0000-000057910000}"/>
    <cellStyle name="Normal 57 6 2 7 2" xfId="13068" xr:uid="{00000000-0005-0000-0000-000058910000}"/>
    <cellStyle name="Normal 57 6 2 7 2 2" xfId="23319" xr:uid="{00000000-0005-0000-0000-000059910000}"/>
    <cellStyle name="Normal 57 6 2 7 2 2 2" xfId="48872" xr:uid="{00000000-0005-0000-0000-00005A910000}"/>
    <cellStyle name="Normal 57 6 2 7 2 3" xfId="38623" xr:uid="{00000000-0005-0000-0000-00005B910000}"/>
    <cellStyle name="Normal 57 6 2 7 3" xfId="9489" xr:uid="{00000000-0005-0000-0000-00005C910000}"/>
    <cellStyle name="Normal 57 6 2 7 3 2" xfId="35046" xr:uid="{00000000-0005-0000-0000-00005D910000}"/>
    <cellStyle name="Normal 57 6 2 7 4" xfId="18312" xr:uid="{00000000-0005-0000-0000-00005E910000}"/>
    <cellStyle name="Normal 57 6 2 7 4 2" xfId="43865" xr:uid="{00000000-0005-0000-0000-00005F910000}"/>
    <cellStyle name="Normal 57 6 2 7 5" xfId="29802" xr:uid="{00000000-0005-0000-0000-000060910000}"/>
    <cellStyle name="Normal 57 6 2 8" xfId="1502" xr:uid="{00000000-0005-0000-0000-000061910000}"/>
    <cellStyle name="Normal 57 6 2 8 2" xfId="10879" xr:uid="{00000000-0005-0000-0000-000062910000}"/>
    <cellStyle name="Normal 57 6 2 8 2 2" xfId="36434" xr:uid="{00000000-0005-0000-0000-000063910000}"/>
    <cellStyle name="Normal 57 6 2 8 3" xfId="20883" xr:uid="{00000000-0005-0000-0000-000064910000}"/>
    <cellStyle name="Normal 57 6 2 8 3 2" xfId="46436" xr:uid="{00000000-0005-0000-0000-000065910000}"/>
    <cellStyle name="Normal 57 6 2 8 4" xfId="27366" xr:uid="{00000000-0005-0000-0000-000066910000}"/>
    <cellStyle name="Normal 57 6 2 9" xfId="5686" xr:uid="{00000000-0005-0000-0000-000067910000}"/>
    <cellStyle name="Normal 57 6 2 9 2" xfId="14513" xr:uid="{00000000-0005-0000-0000-000068910000}"/>
    <cellStyle name="Normal 57 6 2 9 2 2" xfId="40068" xr:uid="{00000000-0005-0000-0000-000069910000}"/>
    <cellStyle name="Normal 57 6 2 9 3" xfId="24764" xr:uid="{00000000-0005-0000-0000-00006A910000}"/>
    <cellStyle name="Normal 57 6 2 9 3 2" xfId="50317" xr:uid="{00000000-0005-0000-0000-00006B910000}"/>
    <cellStyle name="Normal 57 6 2 9 4" xfId="31247" xr:uid="{00000000-0005-0000-0000-00006C910000}"/>
    <cellStyle name="Normal 57 6 2_Degree data" xfId="3977" xr:uid="{00000000-0005-0000-0000-00006D910000}"/>
    <cellStyle name="Normal 57 6 3" xfId="246" xr:uid="{00000000-0005-0000-0000-00006E910000}"/>
    <cellStyle name="Normal 57 6 3 10" xfId="7084" xr:uid="{00000000-0005-0000-0000-00006F910000}"/>
    <cellStyle name="Normal 57 6 3 10 2" xfId="19698" xr:uid="{00000000-0005-0000-0000-000070910000}"/>
    <cellStyle name="Normal 57 6 3 10 2 2" xfId="45251" xr:uid="{00000000-0005-0000-0000-000071910000}"/>
    <cellStyle name="Normal 57 6 3 10 3" xfId="32641" xr:uid="{00000000-0005-0000-0000-000072910000}"/>
    <cellStyle name="Normal 57 6 3 11" xfId="15830" xr:uid="{00000000-0005-0000-0000-000073910000}"/>
    <cellStyle name="Normal 57 6 3 11 2" xfId="41383" xr:uid="{00000000-0005-0000-0000-000074910000}"/>
    <cellStyle name="Normal 57 6 3 12" xfId="26181" xr:uid="{00000000-0005-0000-0000-000075910000}"/>
    <cellStyle name="Normal 57 6 3 2" xfId="569" xr:uid="{00000000-0005-0000-0000-000076910000}"/>
    <cellStyle name="Normal 57 6 3 2 10" xfId="26498" xr:uid="{00000000-0005-0000-0000-000077910000}"/>
    <cellStyle name="Normal 57 6 3 2 2" xfId="874" xr:uid="{00000000-0005-0000-0000-000078910000}"/>
    <cellStyle name="Normal 57 6 3 2 2 2" xfId="3359" xr:uid="{00000000-0005-0000-0000-000079910000}"/>
    <cellStyle name="Normal 57 6 3 2 2 2 2" xfId="12501" xr:uid="{00000000-0005-0000-0000-00007A910000}"/>
    <cellStyle name="Normal 57 6 3 2 2 2 2 2" xfId="22720" xr:uid="{00000000-0005-0000-0000-00007B910000}"/>
    <cellStyle name="Normal 57 6 3 2 2 2 2 2 2" xfId="48273" xr:uid="{00000000-0005-0000-0000-00007C910000}"/>
    <cellStyle name="Normal 57 6 3 2 2 2 2 3" xfId="38056" xr:uid="{00000000-0005-0000-0000-00007D910000}"/>
    <cellStyle name="Normal 57 6 3 2 2 2 3" xfId="8923" xr:uid="{00000000-0005-0000-0000-00007E910000}"/>
    <cellStyle name="Normal 57 6 3 2 2 2 3 2" xfId="34480" xr:uid="{00000000-0005-0000-0000-00007F910000}"/>
    <cellStyle name="Normal 57 6 3 2 2 2 4" xfId="17713" xr:uid="{00000000-0005-0000-0000-000080910000}"/>
    <cellStyle name="Normal 57 6 3 2 2 2 4 2" xfId="43266" xr:uid="{00000000-0005-0000-0000-000081910000}"/>
    <cellStyle name="Normal 57 6 3 2 2 2 5" xfId="29203" xr:uid="{00000000-0005-0000-0000-000082910000}"/>
    <cellStyle name="Normal 57 6 3 2 2 3" xfId="4688" xr:uid="{00000000-0005-0000-0000-000083910000}"/>
    <cellStyle name="Normal 57 6 3 2 2 3 2" xfId="13526" xr:uid="{00000000-0005-0000-0000-000084910000}"/>
    <cellStyle name="Normal 57 6 3 2 2 3 2 2" xfId="23777" xr:uid="{00000000-0005-0000-0000-000085910000}"/>
    <cellStyle name="Normal 57 6 3 2 2 3 2 2 2" xfId="49330" xr:uid="{00000000-0005-0000-0000-000086910000}"/>
    <cellStyle name="Normal 57 6 3 2 2 3 2 3" xfId="39081" xr:uid="{00000000-0005-0000-0000-000087910000}"/>
    <cellStyle name="Normal 57 6 3 2 2 3 3" xfId="9947" xr:uid="{00000000-0005-0000-0000-000088910000}"/>
    <cellStyle name="Normal 57 6 3 2 2 3 3 2" xfId="35504" xr:uid="{00000000-0005-0000-0000-000089910000}"/>
    <cellStyle name="Normal 57 6 3 2 2 3 4" xfId="18770" xr:uid="{00000000-0005-0000-0000-00008A910000}"/>
    <cellStyle name="Normal 57 6 3 2 2 3 4 2" xfId="44323" xr:uid="{00000000-0005-0000-0000-00008B910000}"/>
    <cellStyle name="Normal 57 6 3 2 2 3 5" xfId="30260" xr:uid="{00000000-0005-0000-0000-00008C910000}"/>
    <cellStyle name="Normal 57 6 3 2 2 4" xfId="2468" xr:uid="{00000000-0005-0000-0000-00008D910000}"/>
    <cellStyle name="Normal 57 6 3 2 2 4 2" xfId="11833" xr:uid="{00000000-0005-0000-0000-00008E910000}"/>
    <cellStyle name="Normal 57 6 3 2 2 4 2 2" xfId="37388" xr:uid="{00000000-0005-0000-0000-00008F910000}"/>
    <cellStyle name="Normal 57 6 3 2 2 4 3" xfId="21837" xr:uid="{00000000-0005-0000-0000-000090910000}"/>
    <cellStyle name="Normal 57 6 3 2 2 4 3 2" xfId="47390" xr:uid="{00000000-0005-0000-0000-000091910000}"/>
    <cellStyle name="Normal 57 6 3 2 2 4 4" xfId="28320" xr:uid="{00000000-0005-0000-0000-000092910000}"/>
    <cellStyle name="Normal 57 6 3 2 2 5" xfId="6144" xr:uid="{00000000-0005-0000-0000-000093910000}"/>
    <cellStyle name="Normal 57 6 3 2 2 5 2" xfId="14971" xr:uid="{00000000-0005-0000-0000-000094910000}"/>
    <cellStyle name="Normal 57 6 3 2 2 5 2 2" xfId="40526" xr:uid="{00000000-0005-0000-0000-000095910000}"/>
    <cellStyle name="Normal 57 6 3 2 2 5 3" xfId="25222" xr:uid="{00000000-0005-0000-0000-000096910000}"/>
    <cellStyle name="Normal 57 6 3 2 2 5 3 2" xfId="50775" xr:uid="{00000000-0005-0000-0000-000097910000}"/>
    <cellStyle name="Normal 57 6 3 2 2 5 4" xfId="31705" xr:uid="{00000000-0005-0000-0000-000098910000}"/>
    <cellStyle name="Normal 57 6 3 2 2 6" xfId="7589" xr:uid="{00000000-0005-0000-0000-000099910000}"/>
    <cellStyle name="Normal 57 6 3 2 2 6 2" xfId="20319" xr:uid="{00000000-0005-0000-0000-00009A910000}"/>
    <cellStyle name="Normal 57 6 3 2 2 6 2 2" xfId="45872" xr:uid="{00000000-0005-0000-0000-00009B910000}"/>
    <cellStyle name="Normal 57 6 3 2 2 6 3" xfId="33146" xr:uid="{00000000-0005-0000-0000-00009C910000}"/>
    <cellStyle name="Normal 57 6 3 2 2 7" xfId="16830" xr:uid="{00000000-0005-0000-0000-00009D910000}"/>
    <cellStyle name="Normal 57 6 3 2 2 7 2" xfId="42383" xr:uid="{00000000-0005-0000-0000-00009E910000}"/>
    <cellStyle name="Normal 57 6 3 2 2 8" xfId="26802" xr:uid="{00000000-0005-0000-0000-00009F910000}"/>
    <cellStyle name="Normal 57 6 3 2 3" xfId="1341" xr:uid="{00000000-0005-0000-0000-0000A0910000}"/>
    <cellStyle name="Normal 57 6 3 2 3 2" xfId="3770" xr:uid="{00000000-0005-0000-0000-0000A1910000}"/>
    <cellStyle name="Normal 57 6 3 2 3 2 2" xfId="12906" xr:uid="{00000000-0005-0000-0000-0000A2910000}"/>
    <cellStyle name="Normal 57 6 3 2 3 2 2 2" xfId="23125" xr:uid="{00000000-0005-0000-0000-0000A3910000}"/>
    <cellStyle name="Normal 57 6 3 2 3 2 2 2 2" xfId="48678" xr:uid="{00000000-0005-0000-0000-0000A4910000}"/>
    <cellStyle name="Normal 57 6 3 2 3 2 2 3" xfId="38461" xr:uid="{00000000-0005-0000-0000-0000A5910000}"/>
    <cellStyle name="Normal 57 6 3 2 3 2 3" xfId="9327" xr:uid="{00000000-0005-0000-0000-0000A6910000}"/>
    <cellStyle name="Normal 57 6 3 2 3 2 3 2" xfId="34884" xr:uid="{00000000-0005-0000-0000-0000A7910000}"/>
    <cellStyle name="Normal 57 6 3 2 3 2 4" xfId="18118" xr:uid="{00000000-0005-0000-0000-0000A8910000}"/>
    <cellStyle name="Normal 57 6 3 2 3 2 4 2" xfId="43671" xr:uid="{00000000-0005-0000-0000-0000A9910000}"/>
    <cellStyle name="Normal 57 6 3 2 3 2 5" xfId="29608" xr:uid="{00000000-0005-0000-0000-0000AA910000}"/>
    <cellStyle name="Normal 57 6 3 2 3 3" xfId="5037" xr:uid="{00000000-0005-0000-0000-0000AB910000}"/>
    <cellStyle name="Normal 57 6 3 2 3 3 2" xfId="13874" xr:uid="{00000000-0005-0000-0000-0000AC910000}"/>
    <cellStyle name="Normal 57 6 3 2 3 3 2 2" xfId="24125" xr:uid="{00000000-0005-0000-0000-0000AD910000}"/>
    <cellStyle name="Normal 57 6 3 2 3 3 2 2 2" xfId="49678" xr:uid="{00000000-0005-0000-0000-0000AE910000}"/>
    <cellStyle name="Normal 57 6 3 2 3 3 2 3" xfId="39429" xr:uid="{00000000-0005-0000-0000-0000AF910000}"/>
    <cellStyle name="Normal 57 6 3 2 3 3 3" xfId="10295" xr:uid="{00000000-0005-0000-0000-0000B0910000}"/>
    <cellStyle name="Normal 57 6 3 2 3 3 3 2" xfId="35852" xr:uid="{00000000-0005-0000-0000-0000B1910000}"/>
    <cellStyle name="Normal 57 6 3 2 3 3 4" xfId="19118" xr:uid="{00000000-0005-0000-0000-0000B2910000}"/>
    <cellStyle name="Normal 57 6 3 2 3 3 4 2" xfId="44671" xr:uid="{00000000-0005-0000-0000-0000B3910000}"/>
    <cellStyle name="Normal 57 6 3 2 3 3 5" xfId="30608" xr:uid="{00000000-0005-0000-0000-0000B4910000}"/>
    <cellStyle name="Normal 57 6 3 2 3 4" xfId="2164" xr:uid="{00000000-0005-0000-0000-0000B5910000}"/>
    <cellStyle name="Normal 57 6 3 2 3 4 2" xfId="11529" xr:uid="{00000000-0005-0000-0000-0000B6910000}"/>
    <cellStyle name="Normal 57 6 3 2 3 4 2 2" xfId="37084" xr:uid="{00000000-0005-0000-0000-0000B7910000}"/>
    <cellStyle name="Normal 57 6 3 2 3 4 3" xfId="21533" xr:uid="{00000000-0005-0000-0000-0000B8910000}"/>
    <cellStyle name="Normal 57 6 3 2 3 4 3 2" xfId="47086" xr:uid="{00000000-0005-0000-0000-0000B9910000}"/>
    <cellStyle name="Normal 57 6 3 2 3 4 4" xfId="28016" xr:uid="{00000000-0005-0000-0000-0000BA910000}"/>
    <cellStyle name="Normal 57 6 3 2 3 5" xfId="6492" xr:uid="{00000000-0005-0000-0000-0000BB910000}"/>
    <cellStyle name="Normal 57 6 3 2 3 5 2" xfId="15319" xr:uid="{00000000-0005-0000-0000-0000BC910000}"/>
    <cellStyle name="Normal 57 6 3 2 3 5 2 2" xfId="40874" xr:uid="{00000000-0005-0000-0000-0000BD910000}"/>
    <cellStyle name="Normal 57 6 3 2 3 5 3" xfId="25570" xr:uid="{00000000-0005-0000-0000-0000BE910000}"/>
    <cellStyle name="Normal 57 6 3 2 3 5 3 2" xfId="51123" xr:uid="{00000000-0005-0000-0000-0000BF910000}"/>
    <cellStyle name="Normal 57 6 3 2 3 5 4" xfId="32053" xr:uid="{00000000-0005-0000-0000-0000C0910000}"/>
    <cellStyle name="Normal 57 6 3 2 3 6" xfId="7938" xr:uid="{00000000-0005-0000-0000-0000C1910000}"/>
    <cellStyle name="Normal 57 6 3 2 3 6 2" xfId="20724" xr:uid="{00000000-0005-0000-0000-0000C2910000}"/>
    <cellStyle name="Normal 57 6 3 2 3 6 2 2" xfId="46277" xr:uid="{00000000-0005-0000-0000-0000C3910000}"/>
    <cellStyle name="Normal 57 6 3 2 3 6 3" xfId="33495" xr:uid="{00000000-0005-0000-0000-0000C4910000}"/>
    <cellStyle name="Normal 57 6 3 2 3 7" xfId="16526" xr:uid="{00000000-0005-0000-0000-0000C5910000}"/>
    <cellStyle name="Normal 57 6 3 2 3 7 2" xfId="42079" xr:uid="{00000000-0005-0000-0000-0000C6910000}"/>
    <cellStyle name="Normal 57 6 3 2 3 8" xfId="27207" xr:uid="{00000000-0005-0000-0000-0000C7910000}"/>
    <cellStyle name="Normal 57 6 3 2 4" xfId="3055" xr:uid="{00000000-0005-0000-0000-0000C8910000}"/>
    <cellStyle name="Normal 57 6 3 2 4 2" xfId="5433" xr:uid="{00000000-0005-0000-0000-0000C9910000}"/>
    <cellStyle name="Normal 57 6 3 2 4 2 2" xfId="14270" xr:uid="{00000000-0005-0000-0000-0000CA910000}"/>
    <cellStyle name="Normal 57 6 3 2 4 2 2 2" xfId="24521" xr:uid="{00000000-0005-0000-0000-0000CB910000}"/>
    <cellStyle name="Normal 57 6 3 2 4 2 2 2 2" xfId="50074" xr:uid="{00000000-0005-0000-0000-0000CC910000}"/>
    <cellStyle name="Normal 57 6 3 2 4 2 2 3" xfId="39825" xr:uid="{00000000-0005-0000-0000-0000CD910000}"/>
    <cellStyle name="Normal 57 6 3 2 4 2 3" xfId="10691" xr:uid="{00000000-0005-0000-0000-0000CE910000}"/>
    <cellStyle name="Normal 57 6 3 2 4 2 3 2" xfId="36248" xr:uid="{00000000-0005-0000-0000-0000CF910000}"/>
    <cellStyle name="Normal 57 6 3 2 4 2 4" xfId="19514" xr:uid="{00000000-0005-0000-0000-0000D0910000}"/>
    <cellStyle name="Normal 57 6 3 2 4 2 4 2" xfId="45067" xr:uid="{00000000-0005-0000-0000-0000D1910000}"/>
    <cellStyle name="Normal 57 6 3 2 4 2 5" xfId="31004" xr:uid="{00000000-0005-0000-0000-0000D2910000}"/>
    <cellStyle name="Normal 57 6 3 2 4 3" xfId="6888" xr:uid="{00000000-0005-0000-0000-0000D3910000}"/>
    <cellStyle name="Normal 57 6 3 2 4 3 2" xfId="15715" xr:uid="{00000000-0005-0000-0000-0000D4910000}"/>
    <cellStyle name="Normal 57 6 3 2 4 3 2 2" xfId="41270" xr:uid="{00000000-0005-0000-0000-0000D5910000}"/>
    <cellStyle name="Normal 57 6 3 2 4 3 3" xfId="25966" xr:uid="{00000000-0005-0000-0000-0000D6910000}"/>
    <cellStyle name="Normal 57 6 3 2 4 3 3 2" xfId="51519" xr:uid="{00000000-0005-0000-0000-0000D7910000}"/>
    <cellStyle name="Normal 57 6 3 2 4 3 4" xfId="32449" xr:uid="{00000000-0005-0000-0000-0000D8910000}"/>
    <cellStyle name="Normal 57 6 3 2 4 4" xfId="8334" xr:uid="{00000000-0005-0000-0000-0000D9910000}"/>
    <cellStyle name="Normal 57 6 3 2 4 4 2" xfId="22416" xr:uid="{00000000-0005-0000-0000-0000DA910000}"/>
    <cellStyle name="Normal 57 6 3 2 4 4 2 2" xfId="47969" xr:uid="{00000000-0005-0000-0000-0000DB910000}"/>
    <cellStyle name="Normal 57 6 3 2 4 4 3" xfId="33891" xr:uid="{00000000-0005-0000-0000-0000DC910000}"/>
    <cellStyle name="Normal 57 6 3 2 4 5" xfId="17409" xr:uid="{00000000-0005-0000-0000-0000DD910000}"/>
    <cellStyle name="Normal 57 6 3 2 4 5 2" xfId="42962" xr:uid="{00000000-0005-0000-0000-0000DE910000}"/>
    <cellStyle name="Normal 57 6 3 2 4 6" xfId="28899" xr:uid="{00000000-0005-0000-0000-0000DF910000}"/>
    <cellStyle name="Normal 57 6 3 2 5" xfId="4389" xr:uid="{00000000-0005-0000-0000-0000E0910000}"/>
    <cellStyle name="Normal 57 6 3 2 5 2" xfId="13227" xr:uid="{00000000-0005-0000-0000-0000E1910000}"/>
    <cellStyle name="Normal 57 6 3 2 5 2 2" xfId="23478" xr:uid="{00000000-0005-0000-0000-0000E2910000}"/>
    <cellStyle name="Normal 57 6 3 2 5 2 2 2" xfId="49031" xr:uid="{00000000-0005-0000-0000-0000E3910000}"/>
    <cellStyle name="Normal 57 6 3 2 5 2 3" xfId="38782" xr:uid="{00000000-0005-0000-0000-0000E4910000}"/>
    <cellStyle name="Normal 57 6 3 2 5 3" xfId="9648" xr:uid="{00000000-0005-0000-0000-0000E5910000}"/>
    <cellStyle name="Normal 57 6 3 2 5 3 2" xfId="35205" xr:uid="{00000000-0005-0000-0000-0000E6910000}"/>
    <cellStyle name="Normal 57 6 3 2 5 4" xfId="18471" xr:uid="{00000000-0005-0000-0000-0000E7910000}"/>
    <cellStyle name="Normal 57 6 3 2 5 4 2" xfId="44024" xr:uid="{00000000-0005-0000-0000-0000E8910000}"/>
    <cellStyle name="Normal 57 6 3 2 5 5" xfId="29961" xr:uid="{00000000-0005-0000-0000-0000E9910000}"/>
    <cellStyle name="Normal 57 6 3 2 6" xfId="1661" xr:uid="{00000000-0005-0000-0000-0000EA910000}"/>
    <cellStyle name="Normal 57 6 3 2 6 2" xfId="11038" xr:uid="{00000000-0005-0000-0000-0000EB910000}"/>
    <cellStyle name="Normal 57 6 3 2 6 2 2" xfId="36593" xr:uid="{00000000-0005-0000-0000-0000EC910000}"/>
    <cellStyle name="Normal 57 6 3 2 6 3" xfId="21042" xr:uid="{00000000-0005-0000-0000-0000ED910000}"/>
    <cellStyle name="Normal 57 6 3 2 6 3 2" xfId="46595" xr:uid="{00000000-0005-0000-0000-0000EE910000}"/>
    <cellStyle name="Normal 57 6 3 2 6 4" xfId="27525" xr:uid="{00000000-0005-0000-0000-0000EF910000}"/>
    <cellStyle name="Normal 57 6 3 2 7" xfId="5845" xr:uid="{00000000-0005-0000-0000-0000F0910000}"/>
    <cellStyle name="Normal 57 6 3 2 7 2" xfId="14672" xr:uid="{00000000-0005-0000-0000-0000F1910000}"/>
    <cellStyle name="Normal 57 6 3 2 7 2 2" xfId="40227" xr:uid="{00000000-0005-0000-0000-0000F2910000}"/>
    <cellStyle name="Normal 57 6 3 2 7 3" xfId="24923" xr:uid="{00000000-0005-0000-0000-0000F3910000}"/>
    <cellStyle name="Normal 57 6 3 2 7 3 2" xfId="50476" xr:uid="{00000000-0005-0000-0000-0000F4910000}"/>
    <cellStyle name="Normal 57 6 3 2 7 4" xfId="31406" xr:uid="{00000000-0005-0000-0000-0000F5910000}"/>
    <cellStyle name="Normal 57 6 3 2 8" xfId="7289" xr:uid="{00000000-0005-0000-0000-0000F6910000}"/>
    <cellStyle name="Normal 57 6 3 2 8 2" xfId="20015" xr:uid="{00000000-0005-0000-0000-0000F7910000}"/>
    <cellStyle name="Normal 57 6 3 2 8 2 2" xfId="45568" xr:uid="{00000000-0005-0000-0000-0000F8910000}"/>
    <cellStyle name="Normal 57 6 3 2 8 3" xfId="32846" xr:uid="{00000000-0005-0000-0000-0000F9910000}"/>
    <cellStyle name="Normal 57 6 3 2 9" xfId="16035" xr:uid="{00000000-0005-0000-0000-0000FA910000}"/>
    <cellStyle name="Normal 57 6 3 2 9 2" xfId="41588" xr:uid="{00000000-0005-0000-0000-0000FB910000}"/>
    <cellStyle name="Normal 57 6 3 2_Degree data" xfId="3980" xr:uid="{00000000-0005-0000-0000-0000FC910000}"/>
    <cellStyle name="Normal 57 6 3 3" xfId="364" xr:uid="{00000000-0005-0000-0000-0000FD910000}"/>
    <cellStyle name="Normal 57 6 3 3 2" xfId="2850" xr:uid="{00000000-0005-0000-0000-0000FE910000}"/>
    <cellStyle name="Normal 57 6 3 3 2 2" xfId="12138" xr:uid="{00000000-0005-0000-0000-0000FF910000}"/>
    <cellStyle name="Normal 57 6 3 3 2 2 2" xfId="22211" xr:uid="{00000000-0005-0000-0000-000000920000}"/>
    <cellStyle name="Normal 57 6 3 3 2 2 2 2" xfId="47764" xr:uid="{00000000-0005-0000-0000-000001920000}"/>
    <cellStyle name="Normal 57 6 3 3 2 2 3" xfId="37693" xr:uid="{00000000-0005-0000-0000-000002920000}"/>
    <cellStyle name="Normal 57 6 3 3 2 3" xfId="8525" xr:uid="{00000000-0005-0000-0000-000003920000}"/>
    <cellStyle name="Normal 57 6 3 3 2 3 2" xfId="34082" xr:uid="{00000000-0005-0000-0000-000004920000}"/>
    <cellStyle name="Normal 57 6 3 3 2 4" xfId="17204" xr:uid="{00000000-0005-0000-0000-000005920000}"/>
    <cellStyle name="Normal 57 6 3 3 2 4 2" xfId="42757" xr:uid="{00000000-0005-0000-0000-000006920000}"/>
    <cellStyle name="Normal 57 6 3 3 2 5" xfId="28694" xr:uid="{00000000-0005-0000-0000-000007920000}"/>
    <cellStyle name="Normal 57 6 3 3 3" xfId="4687" xr:uid="{00000000-0005-0000-0000-000008920000}"/>
    <cellStyle name="Normal 57 6 3 3 3 2" xfId="13525" xr:uid="{00000000-0005-0000-0000-000009920000}"/>
    <cellStyle name="Normal 57 6 3 3 3 2 2" xfId="23776" xr:uid="{00000000-0005-0000-0000-00000A920000}"/>
    <cellStyle name="Normal 57 6 3 3 3 2 2 2" xfId="49329" xr:uid="{00000000-0005-0000-0000-00000B920000}"/>
    <cellStyle name="Normal 57 6 3 3 3 2 3" xfId="39080" xr:uid="{00000000-0005-0000-0000-00000C920000}"/>
    <cellStyle name="Normal 57 6 3 3 3 3" xfId="9946" xr:uid="{00000000-0005-0000-0000-00000D920000}"/>
    <cellStyle name="Normal 57 6 3 3 3 3 2" xfId="35503" xr:uid="{00000000-0005-0000-0000-00000E920000}"/>
    <cellStyle name="Normal 57 6 3 3 3 4" xfId="18769" xr:uid="{00000000-0005-0000-0000-00000F920000}"/>
    <cellStyle name="Normal 57 6 3 3 3 4 2" xfId="44322" xr:uid="{00000000-0005-0000-0000-000010920000}"/>
    <cellStyle name="Normal 57 6 3 3 3 5" xfId="30259" xr:uid="{00000000-0005-0000-0000-000011920000}"/>
    <cellStyle name="Normal 57 6 3 3 4" xfId="1959" xr:uid="{00000000-0005-0000-0000-000012920000}"/>
    <cellStyle name="Normal 57 6 3 3 4 2" xfId="11324" xr:uid="{00000000-0005-0000-0000-000013920000}"/>
    <cellStyle name="Normal 57 6 3 3 4 2 2" xfId="36879" xr:uid="{00000000-0005-0000-0000-000014920000}"/>
    <cellStyle name="Normal 57 6 3 3 4 3" xfId="21328" xr:uid="{00000000-0005-0000-0000-000015920000}"/>
    <cellStyle name="Normal 57 6 3 3 4 3 2" xfId="46881" xr:uid="{00000000-0005-0000-0000-000016920000}"/>
    <cellStyle name="Normal 57 6 3 3 4 4" xfId="27811" xr:uid="{00000000-0005-0000-0000-000017920000}"/>
    <cellStyle name="Normal 57 6 3 3 5" xfId="6143" xr:uid="{00000000-0005-0000-0000-000018920000}"/>
    <cellStyle name="Normal 57 6 3 3 5 2" xfId="14970" xr:uid="{00000000-0005-0000-0000-000019920000}"/>
    <cellStyle name="Normal 57 6 3 3 5 2 2" xfId="40525" xr:uid="{00000000-0005-0000-0000-00001A920000}"/>
    <cellStyle name="Normal 57 6 3 3 5 3" xfId="25221" xr:uid="{00000000-0005-0000-0000-00001B920000}"/>
    <cellStyle name="Normal 57 6 3 3 5 3 2" xfId="50774" xr:uid="{00000000-0005-0000-0000-00001C920000}"/>
    <cellStyle name="Normal 57 6 3 3 5 4" xfId="31704" xr:uid="{00000000-0005-0000-0000-00001D920000}"/>
    <cellStyle name="Normal 57 6 3 3 6" xfId="7588" xr:uid="{00000000-0005-0000-0000-00001E920000}"/>
    <cellStyle name="Normal 57 6 3 3 6 2" xfId="19810" xr:uid="{00000000-0005-0000-0000-00001F920000}"/>
    <cellStyle name="Normal 57 6 3 3 6 2 2" xfId="45363" xr:uid="{00000000-0005-0000-0000-000020920000}"/>
    <cellStyle name="Normal 57 6 3 3 6 3" xfId="33145" xr:uid="{00000000-0005-0000-0000-000021920000}"/>
    <cellStyle name="Normal 57 6 3 3 7" xfId="16321" xr:uid="{00000000-0005-0000-0000-000022920000}"/>
    <cellStyle name="Normal 57 6 3 3 7 2" xfId="41874" xr:uid="{00000000-0005-0000-0000-000023920000}"/>
    <cellStyle name="Normal 57 6 3 3 8" xfId="26293" xr:uid="{00000000-0005-0000-0000-000024920000}"/>
    <cellStyle name="Normal 57 6 3 4" xfId="873" xr:uid="{00000000-0005-0000-0000-000025920000}"/>
    <cellStyle name="Normal 57 6 3 4 2" xfId="3358" xr:uid="{00000000-0005-0000-0000-000026920000}"/>
    <cellStyle name="Normal 57 6 3 4 2 2" xfId="12500" xr:uid="{00000000-0005-0000-0000-000027920000}"/>
    <cellStyle name="Normal 57 6 3 4 2 2 2" xfId="22719" xr:uid="{00000000-0005-0000-0000-000028920000}"/>
    <cellStyle name="Normal 57 6 3 4 2 2 2 2" xfId="48272" xr:uid="{00000000-0005-0000-0000-000029920000}"/>
    <cellStyle name="Normal 57 6 3 4 2 2 3" xfId="38055" xr:uid="{00000000-0005-0000-0000-00002A920000}"/>
    <cellStyle name="Normal 57 6 3 4 2 3" xfId="8922" xr:uid="{00000000-0005-0000-0000-00002B920000}"/>
    <cellStyle name="Normal 57 6 3 4 2 3 2" xfId="34479" xr:uid="{00000000-0005-0000-0000-00002C920000}"/>
    <cellStyle name="Normal 57 6 3 4 2 4" xfId="17712" xr:uid="{00000000-0005-0000-0000-00002D920000}"/>
    <cellStyle name="Normal 57 6 3 4 2 4 2" xfId="43265" xr:uid="{00000000-0005-0000-0000-00002E920000}"/>
    <cellStyle name="Normal 57 6 3 4 2 5" xfId="29202" xr:uid="{00000000-0005-0000-0000-00002F920000}"/>
    <cellStyle name="Normal 57 6 3 4 3" xfId="5036" xr:uid="{00000000-0005-0000-0000-000030920000}"/>
    <cellStyle name="Normal 57 6 3 4 3 2" xfId="13873" xr:uid="{00000000-0005-0000-0000-000031920000}"/>
    <cellStyle name="Normal 57 6 3 4 3 2 2" xfId="24124" xr:uid="{00000000-0005-0000-0000-000032920000}"/>
    <cellStyle name="Normal 57 6 3 4 3 2 2 2" xfId="49677" xr:uid="{00000000-0005-0000-0000-000033920000}"/>
    <cellStyle name="Normal 57 6 3 4 3 2 3" xfId="39428" xr:uid="{00000000-0005-0000-0000-000034920000}"/>
    <cellStyle name="Normal 57 6 3 4 3 3" xfId="10294" xr:uid="{00000000-0005-0000-0000-000035920000}"/>
    <cellStyle name="Normal 57 6 3 4 3 3 2" xfId="35851" xr:uid="{00000000-0005-0000-0000-000036920000}"/>
    <cellStyle name="Normal 57 6 3 4 3 4" xfId="19117" xr:uid="{00000000-0005-0000-0000-000037920000}"/>
    <cellStyle name="Normal 57 6 3 4 3 4 2" xfId="44670" xr:uid="{00000000-0005-0000-0000-000038920000}"/>
    <cellStyle name="Normal 57 6 3 4 3 5" xfId="30607" xr:uid="{00000000-0005-0000-0000-000039920000}"/>
    <cellStyle name="Normal 57 6 3 4 4" xfId="2467" xr:uid="{00000000-0005-0000-0000-00003A920000}"/>
    <cellStyle name="Normal 57 6 3 4 4 2" xfId="11832" xr:uid="{00000000-0005-0000-0000-00003B920000}"/>
    <cellStyle name="Normal 57 6 3 4 4 2 2" xfId="37387" xr:uid="{00000000-0005-0000-0000-00003C920000}"/>
    <cellStyle name="Normal 57 6 3 4 4 3" xfId="21836" xr:uid="{00000000-0005-0000-0000-00003D920000}"/>
    <cellStyle name="Normal 57 6 3 4 4 3 2" xfId="47389" xr:uid="{00000000-0005-0000-0000-00003E920000}"/>
    <cellStyle name="Normal 57 6 3 4 4 4" xfId="28319" xr:uid="{00000000-0005-0000-0000-00003F920000}"/>
    <cellStyle name="Normal 57 6 3 4 5" xfId="6491" xr:uid="{00000000-0005-0000-0000-000040920000}"/>
    <cellStyle name="Normal 57 6 3 4 5 2" xfId="15318" xr:uid="{00000000-0005-0000-0000-000041920000}"/>
    <cellStyle name="Normal 57 6 3 4 5 2 2" xfId="40873" xr:uid="{00000000-0005-0000-0000-000042920000}"/>
    <cellStyle name="Normal 57 6 3 4 5 3" xfId="25569" xr:uid="{00000000-0005-0000-0000-000043920000}"/>
    <cellStyle name="Normal 57 6 3 4 5 3 2" xfId="51122" xr:uid="{00000000-0005-0000-0000-000044920000}"/>
    <cellStyle name="Normal 57 6 3 4 5 4" xfId="32052" xr:uid="{00000000-0005-0000-0000-000045920000}"/>
    <cellStyle name="Normal 57 6 3 4 6" xfId="7937" xr:uid="{00000000-0005-0000-0000-000046920000}"/>
    <cellStyle name="Normal 57 6 3 4 6 2" xfId="20318" xr:uid="{00000000-0005-0000-0000-000047920000}"/>
    <cellStyle name="Normal 57 6 3 4 6 2 2" xfId="45871" xr:uid="{00000000-0005-0000-0000-000048920000}"/>
    <cellStyle name="Normal 57 6 3 4 6 3" xfId="33494" xr:uid="{00000000-0005-0000-0000-000049920000}"/>
    <cellStyle name="Normal 57 6 3 4 7" xfId="16829" xr:uid="{00000000-0005-0000-0000-00004A920000}"/>
    <cellStyle name="Normal 57 6 3 4 7 2" xfId="42382" xr:uid="{00000000-0005-0000-0000-00004B920000}"/>
    <cellStyle name="Normal 57 6 3 4 8" xfId="26801" xr:uid="{00000000-0005-0000-0000-00004C920000}"/>
    <cellStyle name="Normal 57 6 3 5" xfId="1136" xr:uid="{00000000-0005-0000-0000-00004D920000}"/>
    <cellStyle name="Normal 57 6 3 5 2" xfId="3565" xr:uid="{00000000-0005-0000-0000-00004E920000}"/>
    <cellStyle name="Normal 57 6 3 5 2 2" xfId="12701" xr:uid="{00000000-0005-0000-0000-00004F920000}"/>
    <cellStyle name="Normal 57 6 3 5 2 2 2" xfId="22920" xr:uid="{00000000-0005-0000-0000-000050920000}"/>
    <cellStyle name="Normal 57 6 3 5 2 2 2 2" xfId="48473" xr:uid="{00000000-0005-0000-0000-000051920000}"/>
    <cellStyle name="Normal 57 6 3 5 2 2 3" xfId="38256" xr:uid="{00000000-0005-0000-0000-000052920000}"/>
    <cellStyle name="Normal 57 6 3 5 2 3" xfId="9122" xr:uid="{00000000-0005-0000-0000-000053920000}"/>
    <cellStyle name="Normal 57 6 3 5 2 3 2" xfId="34679" xr:uid="{00000000-0005-0000-0000-000054920000}"/>
    <cellStyle name="Normal 57 6 3 5 2 4" xfId="17913" xr:uid="{00000000-0005-0000-0000-000055920000}"/>
    <cellStyle name="Normal 57 6 3 5 2 4 2" xfId="43466" xr:uid="{00000000-0005-0000-0000-000056920000}"/>
    <cellStyle name="Normal 57 6 3 5 2 5" xfId="29403" xr:uid="{00000000-0005-0000-0000-000057920000}"/>
    <cellStyle name="Normal 57 6 3 5 3" xfId="5228" xr:uid="{00000000-0005-0000-0000-000058920000}"/>
    <cellStyle name="Normal 57 6 3 5 3 2" xfId="14065" xr:uid="{00000000-0005-0000-0000-000059920000}"/>
    <cellStyle name="Normal 57 6 3 5 3 2 2" xfId="24316" xr:uid="{00000000-0005-0000-0000-00005A920000}"/>
    <cellStyle name="Normal 57 6 3 5 3 2 2 2" xfId="49869" xr:uid="{00000000-0005-0000-0000-00005B920000}"/>
    <cellStyle name="Normal 57 6 3 5 3 2 3" xfId="39620" xr:uid="{00000000-0005-0000-0000-00005C920000}"/>
    <cellStyle name="Normal 57 6 3 5 3 3" xfId="10486" xr:uid="{00000000-0005-0000-0000-00005D920000}"/>
    <cellStyle name="Normal 57 6 3 5 3 3 2" xfId="36043" xr:uid="{00000000-0005-0000-0000-00005E920000}"/>
    <cellStyle name="Normal 57 6 3 5 3 4" xfId="19309" xr:uid="{00000000-0005-0000-0000-00005F920000}"/>
    <cellStyle name="Normal 57 6 3 5 3 4 2" xfId="44862" xr:uid="{00000000-0005-0000-0000-000060920000}"/>
    <cellStyle name="Normal 57 6 3 5 3 5" xfId="30799" xr:uid="{00000000-0005-0000-0000-000061920000}"/>
    <cellStyle name="Normal 57 6 3 5 4" xfId="1844" xr:uid="{00000000-0005-0000-0000-000062920000}"/>
    <cellStyle name="Normal 57 6 3 5 4 2" xfId="11212" xr:uid="{00000000-0005-0000-0000-000063920000}"/>
    <cellStyle name="Normal 57 6 3 5 4 2 2" xfId="36767" xr:uid="{00000000-0005-0000-0000-000064920000}"/>
    <cellStyle name="Normal 57 6 3 5 4 3" xfId="21216" xr:uid="{00000000-0005-0000-0000-000065920000}"/>
    <cellStyle name="Normal 57 6 3 5 4 3 2" xfId="46769" xr:uid="{00000000-0005-0000-0000-000066920000}"/>
    <cellStyle name="Normal 57 6 3 5 4 4" xfId="27699" xr:uid="{00000000-0005-0000-0000-000067920000}"/>
    <cellStyle name="Normal 57 6 3 5 5" xfId="6683" xr:uid="{00000000-0005-0000-0000-000068920000}"/>
    <cellStyle name="Normal 57 6 3 5 5 2" xfId="15510" xr:uid="{00000000-0005-0000-0000-000069920000}"/>
    <cellStyle name="Normal 57 6 3 5 5 2 2" xfId="41065" xr:uid="{00000000-0005-0000-0000-00006A920000}"/>
    <cellStyle name="Normal 57 6 3 5 5 3" xfId="25761" xr:uid="{00000000-0005-0000-0000-00006B920000}"/>
    <cellStyle name="Normal 57 6 3 5 5 3 2" xfId="51314" xr:uid="{00000000-0005-0000-0000-00006C920000}"/>
    <cellStyle name="Normal 57 6 3 5 5 4" xfId="32244" xr:uid="{00000000-0005-0000-0000-00006D920000}"/>
    <cellStyle name="Normal 57 6 3 5 6" xfId="8129" xr:uid="{00000000-0005-0000-0000-00006E920000}"/>
    <cellStyle name="Normal 57 6 3 5 6 2" xfId="20519" xr:uid="{00000000-0005-0000-0000-00006F920000}"/>
    <cellStyle name="Normal 57 6 3 5 6 2 2" xfId="46072" xr:uid="{00000000-0005-0000-0000-000070920000}"/>
    <cellStyle name="Normal 57 6 3 5 6 3" xfId="33686" xr:uid="{00000000-0005-0000-0000-000071920000}"/>
    <cellStyle name="Normal 57 6 3 5 7" xfId="16209" xr:uid="{00000000-0005-0000-0000-000072920000}"/>
    <cellStyle name="Normal 57 6 3 5 7 2" xfId="41762" xr:uid="{00000000-0005-0000-0000-000073920000}"/>
    <cellStyle name="Normal 57 6 3 5 8" xfId="27002" xr:uid="{00000000-0005-0000-0000-000074920000}"/>
    <cellStyle name="Normal 57 6 3 6" xfId="2738" xr:uid="{00000000-0005-0000-0000-000075920000}"/>
    <cellStyle name="Normal 57 6 3 6 2" xfId="12055" xr:uid="{00000000-0005-0000-0000-000076920000}"/>
    <cellStyle name="Normal 57 6 3 6 2 2" xfId="22099" xr:uid="{00000000-0005-0000-0000-000077920000}"/>
    <cellStyle name="Normal 57 6 3 6 2 2 2" xfId="47652" xr:uid="{00000000-0005-0000-0000-000078920000}"/>
    <cellStyle name="Normal 57 6 3 6 2 3" xfId="37610" xr:uid="{00000000-0005-0000-0000-000079920000}"/>
    <cellStyle name="Normal 57 6 3 6 3" xfId="8545" xr:uid="{00000000-0005-0000-0000-00007A920000}"/>
    <cellStyle name="Normal 57 6 3 6 3 2" xfId="34102" xr:uid="{00000000-0005-0000-0000-00007B920000}"/>
    <cellStyle name="Normal 57 6 3 6 4" xfId="17092" xr:uid="{00000000-0005-0000-0000-00007C920000}"/>
    <cellStyle name="Normal 57 6 3 6 4 2" xfId="42645" xr:uid="{00000000-0005-0000-0000-00007D920000}"/>
    <cellStyle name="Normal 57 6 3 6 5" xfId="28582" xr:uid="{00000000-0005-0000-0000-00007E920000}"/>
    <cellStyle name="Normal 57 6 3 7" xfId="4184" xr:uid="{00000000-0005-0000-0000-00007F920000}"/>
    <cellStyle name="Normal 57 6 3 7 2" xfId="13022" xr:uid="{00000000-0005-0000-0000-000080920000}"/>
    <cellStyle name="Normal 57 6 3 7 2 2" xfId="23273" xr:uid="{00000000-0005-0000-0000-000081920000}"/>
    <cellStyle name="Normal 57 6 3 7 2 2 2" xfId="48826" xr:uid="{00000000-0005-0000-0000-000082920000}"/>
    <cellStyle name="Normal 57 6 3 7 2 3" xfId="38577" xr:uid="{00000000-0005-0000-0000-000083920000}"/>
    <cellStyle name="Normal 57 6 3 7 3" xfId="9443" xr:uid="{00000000-0005-0000-0000-000084920000}"/>
    <cellStyle name="Normal 57 6 3 7 3 2" xfId="35000" xr:uid="{00000000-0005-0000-0000-000085920000}"/>
    <cellStyle name="Normal 57 6 3 7 4" xfId="18266" xr:uid="{00000000-0005-0000-0000-000086920000}"/>
    <cellStyle name="Normal 57 6 3 7 4 2" xfId="43819" xr:uid="{00000000-0005-0000-0000-000087920000}"/>
    <cellStyle name="Normal 57 6 3 7 5" xfId="29756" xr:uid="{00000000-0005-0000-0000-000088920000}"/>
    <cellStyle name="Normal 57 6 3 8" xfId="1456" xr:uid="{00000000-0005-0000-0000-000089920000}"/>
    <cellStyle name="Normal 57 6 3 8 2" xfId="10833" xr:uid="{00000000-0005-0000-0000-00008A920000}"/>
    <cellStyle name="Normal 57 6 3 8 2 2" xfId="36388" xr:uid="{00000000-0005-0000-0000-00008B920000}"/>
    <cellStyle name="Normal 57 6 3 8 3" xfId="20837" xr:uid="{00000000-0005-0000-0000-00008C920000}"/>
    <cellStyle name="Normal 57 6 3 8 3 2" xfId="46390" xr:uid="{00000000-0005-0000-0000-00008D920000}"/>
    <cellStyle name="Normal 57 6 3 8 4" xfId="27320" xr:uid="{00000000-0005-0000-0000-00008E920000}"/>
    <cellStyle name="Normal 57 6 3 9" xfId="5640" xr:uid="{00000000-0005-0000-0000-00008F920000}"/>
    <cellStyle name="Normal 57 6 3 9 2" xfId="14467" xr:uid="{00000000-0005-0000-0000-000090920000}"/>
    <cellStyle name="Normal 57 6 3 9 2 2" xfId="40022" xr:uid="{00000000-0005-0000-0000-000091920000}"/>
    <cellStyle name="Normal 57 6 3 9 3" xfId="24718" xr:uid="{00000000-0005-0000-0000-000092920000}"/>
    <cellStyle name="Normal 57 6 3 9 3 2" xfId="50271" xr:uid="{00000000-0005-0000-0000-000093920000}"/>
    <cellStyle name="Normal 57 6 3 9 4" xfId="31201" xr:uid="{00000000-0005-0000-0000-000094920000}"/>
    <cellStyle name="Normal 57 6 3_Degree data" xfId="3979" xr:uid="{00000000-0005-0000-0000-000095920000}"/>
    <cellStyle name="Normal 57 6 4" xfId="464" xr:uid="{00000000-0005-0000-0000-000096920000}"/>
    <cellStyle name="Normal 57 6 4 10" xfId="26393" xr:uid="{00000000-0005-0000-0000-000097920000}"/>
    <cellStyle name="Normal 57 6 4 2" xfId="875" xr:uid="{00000000-0005-0000-0000-000098920000}"/>
    <cellStyle name="Normal 57 6 4 2 2" xfId="3360" xr:uid="{00000000-0005-0000-0000-000099920000}"/>
    <cellStyle name="Normal 57 6 4 2 2 2" xfId="12502" xr:uid="{00000000-0005-0000-0000-00009A920000}"/>
    <cellStyle name="Normal 57 6 4 2 2 2 2" xfId="22721" xr:uid="{00000000-0005-0000-0000-00009B920000}"/>
    <cellStyle name="Normal 57 6 4 2 2 2 2 2" xfId="48274" xr:uid="{00000000-0005-0000-0000-00009C920000}"/>
    <cellStyle name="Normal 57 6 4 2 2 2 3" xfId="38057" xr:uid="{00000000-0005-0000-0000-00009D920000}"/>
    <cellStyle name="Normal 57 6 4 2 2 3" xfId="8924" xr:uid="{00000000-0005-0000-0000-00009E920000}"/>
    <cellStyle name="Normal 57 6 4 2 2 3 2" xfId="34481" xr:uid="{00000000-0005-0000-0000-00009F920000}"/>
    <cellStyle name="Normal 57 6 4 2 2 4" xfId="17714" xr:uid="{00000000-0005-0000-0000-0000A0920000}"/>
    <cellStyle name="Normal 57 6 4 2 2 4 2" xfId="43267" xr:uid="{00000000-0005-0000-0000-0000A1920000}"/>
    <cellStyle name="Normal 57 6 4 2 2 5" xfId="29204" xr:uid="{00000000-0005-0000-0000-0000A2920000}"/>
    <cellStyle name="Normal 57 6 4 2 3" xfId="4689" xr:uid="{00000000-0005-0000-0000-0000A3920000}"/>
    <cellStyle name="Normal 57 6 4 2 3 2" xfId="13527" xr:uid="{00000000-0005-0000-0000-0000A4920000}"/>
    <cellStyle name="Normal 57 6 4 2 3 2 2" xfId="23778" xr:uid="{00000000-0005-0000-0000-0000A5920000}"/>
    <cellStyle name="Normal 57 6 4 2 3 2 2 2" xfId="49331" xr:uid="{00000000-0005-0000-0000-0000A6920000}"/>
    <cellStyle name="Normal 57 6 4 2 3 2 3" xfId="39082" xr:uid="{00000000-0005-0000-0000-0000A7920000}"/>
    <cellStyle name="Normal 57 6 4 2 3 3" xfId="9948" xr:uid="{00000000-0005-0000-0000-0000A8920000}"/>
    <cellStyle name="Normal 57 6 4 2 3 3 2" xfId="35505" xr:uid="{00000000-0005-0000-0000-0000A9920000}"/>
    <cellStyle name="Normal 57 6 4 2 3 4" xfId="18771" xr:uid="{00000000-0005-0000-0000-0000AA920000}"/>
    <cellStyle name="Normal 57 6 4 2 3 4 2" xfId="44324" xr:uid="{00000000-0005-0000-0000-0000AB920000}"/>
    <cellStyle name="Normal 57 6 4 2 3 5" xfId="30261" xr:uid="{00000000-0005-0000-0000-0000AC920000}"/>
    <cellStyle name="Normal 57 6 4 2 4" xfId="2469" xr:uid="{00000000-0005-0000-0000-0000AD920000}"/>
    <cellStyle name="Normal 57 6 4 2 4 2" xfId="11834" xr:uid="{00000000-0005-0000-0000-0000AE920000}"/>
    <cellStyle name="Normal 57 6 4 2 4 2 2" xfId="37389" xr:uid="{00000000-0005-0000-0000-0000AF920000}"/>
    <cellStyle name="Normal 57 6 4 2 4 3" xfId="21838" xr:uid="{00000000-0005-0000-0000-0000B0920000}"/>
    <cellStyle name="Normal 57 6 4 2 4 3 2" xfId="47391" xr:uid="{00000000-0005-0000-0000-0000B1920000}"/>
    <cellStyle name="Normal 57 6 4 2 4 4" xfId="28321" xr:uid="{00000000-0005-0000-0000-0000B2920000}"/>
    <cellStyle name="Normal 57 6 4 2 5" xfId="6145" xr:uid="{00000000-0005-0000-0000-0000B3920000}"/>
    <cellStyle name="Normal 57 6 4 2 5 2" xfId="14972" xr:uid="{00000000-0005-0000-0000-0000B4920000}"/>
    <cellStyle name="Normal 57 6 4 2 5 2 2" xfId="40527" xr:uid="{00000000-0005-0000-0000-0000B5920000}"/>
    <cellStyle name="Normal 57 6 4 2 5 3" xfId="25223" xr:uid="{00000000-0005-0000-0000-0000B6920000}"/>
    <cellStyle name="Normal 57 6 4 2 5 3 2" xfId="50776" xr:uid="{00000000-0005-0000-0000-0000B7920000}"/>
    <cellStyle name="Normal 57 6 4 2 5 4" xfId="31706" xr:uid="{00000000-0005-0000-0000-0000B8920000}"/>
    <cellStyle name="Normal 57 6 4 2 6" xfId="7590" xr:uid="{00000000-0005-0000-0000-0000B9920000}"/>
    <cellStyle name="Normal 57 6 4 2 6 2" xfId="20320" xr:uid="{00000000-0005-0000-0000-0000BA920000}"/>
    <cellStyle name="Normal 57 6 4 2 6 2 2" xfId="45873" xr:uid="{00000000-0005-0000-0000-0000BB920000}"/>
    <cellStyle name="Normal 57 6 4 2 6 3" xfId="33147" xr:uid="{00000000-0005-0000-0000-0000BC920000}"/>
    <cellStyle name="Normal 57 6 4 2 7" xfId="16831" xr:uid="{00000000-0005-0000-0000-0000BD920000}"/>
    <cellStyle name="Normal 57 6 4 2 7 2" xfId="42384" xr:uid="{00000000-0005-0000-0000-0000BE920000}"/>
    <cellStyle name="Normal 57 6 4 2 8" xfId="26803" xr:uid="{00000000-0005-0000-0000-0000BF920000}"/>
    <cellStyle name="Normal 57 6 4 3" xfId="1236" xr:uid="{00000000-0005-0000-0000-0000C0920000}"/>
    <cellStyle name="Normal 57 6 4 3 2" xfId="3665" xr:uid="{00000000-0005-0000-0000-0000C1920000}"/>
    <cellStyle name="Normal 57 6 4 3 2 2" xfId="12801" xr:uid="{00000000-0005-0000-0000-0000C2920000}"/>
    <cellStyle name="Normal 57 6 4 3 2 2 2" xfId="23020" xr:uid="{00000000-0005-0000-0000-0000C3920000}"/>
    <cellStyle name="Normal 57 6 4 3 2 2 2 2" xfId="48573" xr:uid="{00000000-0005-0000-0000-0000C4920000}"/>
    <cellStyle name="Normal 57 6 4 3 2 2 3" xfId="38356" xr:uid="{00000000-0005-0000-0000-0000C5920000}"/>
    <cellStyle name="Normal 57 6 4 3 2 3" xfId="9222" xr:uid="{00000000-0005-0000-0000-0000C6920000}"/>
    <cellStyle name="Normal 57 6 4 3 2 3 2" xfId="34779" xr:uid="{00000000-0005-0000-0000-0000C7920000}"/>
    <cellStyle name="Normal 57 6 4 3 2 4" xfId="18013" xr:uid="{00000000-0005-0000-0000-0000C8920000}"/>
    <cellStyle name="Normal 57 6 4 3 2 4 2" xfId="43566" xr:uid="{00000000-0005-0000-0000-0000C9920000}"/>
    <cellStyle name="Normal 57 6 4 3 2 5" xfId="29503" xr:uid="{00000000-0005-0000-0000-0000CA920000}"/>
    <cellStyle name="Normal 57 6 4 3 3" xfId="5038" xr:uid="{00000000-0005-0000-0000-0000CB920000}"/>
    <cellStyle name="Normal 57 6 4 3 3 2" xfId="13875" xr:uid="{00000000-0005-0000-0000-0000CC920000}"/>
    <cellStyle name="Normal 57 6 4 3 3 2 2" xfId="24126" xr:uid="{00000000-0005-0000-0000-0000CD920000}"/>
    <cellStyle name="Normal 57 6 4 3 3 2 2 2" xfId="49679" xr:uid="{00000000-0005-0000-0000-0000CE920000}"/>
    <cellStyle name="Normal 57 6 4 3 3 2 3" xfId="39430" xr:uid="{00000000-0005-0000-0000-0000CF920000}"/>
    <cellStyle name="Normal 57 6 4 3 3 3" xfId="10296" xr:uid="{00000000-0005-0000-0000-0000D0920000}"/>
    <cellStyle name="Normal 57 6 4 3 3 3 2" xfId="35853" xr:uid="{00000000-0005-0000-0000-0000D1920000}"/>
    <cellStyle name="Normal 57 6 4 3 3 4" xfId="19119" xr:uid="{00000000-0005-0000-0000-0000D2920000}"/>
    <cellStyle name="Normal 57 6 4 3 3 4 2" xfId="44672" xr:uid="{00000000-0005-0000-0000-0000D3920000}"/>
    <cellStyle name="Normal 57 6 4 3 3 5" xfId="30609" xr:uid="{00000000-0005-0000-0000-0000D4920000}"/>
    <cellStyle name="Normal 57 6 4 3 4" xfId="2059" xr:uid="{00000000-0005-0000-0000-0000D5920000}"/>
    <cellStyle name="Normal 57 6 4 3 4 2" xfId="11424" xr:uid="{00000000-0005-0000-0000-0000D6920000}"/>
    <cellStyle name="Normal 57 6 4 3 4 2 2" xfId="36979" xr:uid="{00000000-0005-0000-0000-0000D7920000}"/>
    <cellStyle name="Normal 57 6 4 3 4 3" xfId="21428" xr:uid="{00000000-0005-0000-0000-0000D8920000}"/>
    <cellStyle name="Normal 57 6 4 3 4 3 2" xfId="46981" xr:uid="{00000000-0005-0000-0000-0000D9920000}"/>
    <cellStyle name="Normal 57 6 4 3 4 4" xfId="27911" xr:uid="{00000000-0005-0000-0000-0000DA920000}"/>
    <cellStyle name="Normal 57 6 4 3 5" xfId="6493" xr:uid="{00000000-0005-0000-0000-0000DB920000}"/>
    <cellStyle name="Normal 57 6 4 3 5 2" xfId="15320" xr:uid="{00000000-0005-0000-0000-0000DC920000}"/>
    <cellStyle name="Normal 57 6 4 3 5 2 2" xfId="40875" xr:uid="{00000000-0005-0000-0000-0000DD920000}"/>
    <cellStyle name="Normal 57 6 4 3 5 3" xfId="25571" xr:uid="{00000000-0005-0000-0000-0000DE920000}"/>
    <cellStyle name="Normal 57 6 4 3 5 3 2" xfId="51124" xr:uid="{00000000-0005-0000-0000-0000DF920000}"/>
    <cellStyle name="Normal 57 6 4 3 5 4" xfId="32054" xr:uid="{00000000-0005-0000-0000-0000E0920000}"/>
    <cellStyle name="Normal 57 6 4 3 6" xfId="7939" xr:uid="{00000000-0005-0000-0000-0000E1920000}"/>
    <cellStyle name="Normal 57 6 4 3 6 2" xfId="20619" xr:uid="{00000000-0005-0000-0000-0000E2920000}"/>
    <cellStyle name="Normal 57 6 4 3 6 2 2" xfId="46172" xr:uid="{00000000-0005-0000-0000-0000E3920000}"/>
    <cellStyle name="Normal 57 6 4 3 6 3" xfId="33496" xr:uid="{00000000-0005-0000-0000-0000E4920000}"/>
    <cellStyle name="Normal 57 6 4 3 7" xfId="16421" xr:uid="{00000000-0005-0000-0000-0000E5920000}"/>
    <cellStyle name="Normal 57 6 4 3 7 2" xfId="41974" xr:uid="{00000000-0005-0000-0000-0000E6920000}"/>
    <cellStyle name="Normal 57 6 4 3 8" xfId="27102" xr:uid="{00000000-0005-0000-0000-0000E7920000}"/>
    <cellStyle name="Normal 57 6 4 4" xfId="2950" xr:uid="{00000000-0005-0000-0000-0000E8920000}"/>
    <cellStyle name="Normal 57 6 4 4 2" xfId="5328" xr:uid="{00000000-0005-0000-0000-0000E9920000}"/>
    <cellStyle name="Normal 57 6 4 4 2 2" xfId="14165" xr:uid="{00000000-0005-0000-0000-0000EA920000}"/>
    <cellStyle name="Normal 57 6 4 4 2 2 2" xfId="24416" xr:uid="{00000000-0005-0000-0000-0000EB920000}"/>
    <cellStyle name="Normal 57 6 4 4 2 2 2 2" xfId="49969" xr:uid="{00000000-0005-0000-0000-0000EC920000}"/>
    <cellStyle name="Normal 57 6 4 4 2 2 3" xfId="39720" xr:uid="{00000000-0005-0000-0000-0000ED920000}"/>
    <cellStyle name="Normal 57 6 4 4 2 3" xfId="10586" xr:uid="{00000000-0005-0000-0000-0000EE920000}"/>
    <cellStyle name="Normal 57 6 4 4 2 3 2" xfId="36143" xr:uid="{00000000-0005-0000-0000-0000EF920000}"/>
    <cellStyle name="Normal 57 6 4 4 2 4" xfId="19409" xr:uid="{00000000-0005-0000-0000-0000F0920000}"/>
    <cellStyle name="Normal 57 6 4 4 2 4 2" xfId="44962" xr:uid="{00000000-0005-0000-0000-0000F1920000}"/>
    <cellStyle name="Normal 57 6 4 4 2 5" xfId="30899" xr:uid="{00000000-0005-0000-0000-0000F2920000}"/>
    <cellStyle name="Normal 57 6 4 4 3" xfId="6783" xr:uid="{00000000-0005-0000-0000-0000F3920000}"/>
    <cellStyle name="Normal 57 6 4 4 3 2" xfId="15610" xr:uid="{00000000-0005-0000-0000-0000F4920000}"/>
    <cellStyle name="Normal 57 6 4 4 3 2 2" xfId="41165" xr:uid="{00000000-0005-0000-0000-0000F5920000}"/>
    <cellStyle name="Normal 57 6 4 4 3 3" xfId="25861" xr:uid="{00000000-0005-0000-0000-0000F6920000}"/>
    <cellStyle name="Normal 57 6 4 4 3 3 2" xfId="51414" xr:uid="{00000000-0005-0000-0000-0000F7920000}"/>
    <cellStyle name="Normal 57 6 4 4 3 4" xfId="32344" xr:uid="{00000000-0005-0000-0000-0000F8920000}"/>
    <cellStyle name="Normal 57 6 4 4 4" xfId="8229" xr:uid="{00000000-0005-0000-0000-0000F9920000}"/>
    <cellStyle name="Normal 57 6 4 4 4 2" xfId="22311" xr:uid="{00000000-0005-0000-0000-0000FA920000}"/>
    <cellStyle name="Normal 57 6 4 4 4 2 2" xfId="47864" xr:uid="{00000000-0005-0000-0000-0000FB920000}"/>
    <cellStyle name="Normal 57 6 4 4 4 3" xfId="33786" xr:uid="{00000000-0005-0000-0000-0000FC920000}"/>
    <cellStyle name="Normal 57 6 4 4 5" xfId="17304" xr:uid="{00000000-0005-0000-0000-0000FD920000}"/>
    <cellStyle name="Normal 57 6 4 4 5 2" xfId="42857" xr:uid="{00000000-0005-0000-0000-0000FE920000}"/>
    <cellStyle name="Normal 57 6 4 4 6" xfId="28794" xr:uid="{00000000-0005-0000-0000-0000FF920000}"/>
    <cellStyle name="Normal 57 6 4 5" xfId="4284" xr:uid="{00000000-0005-0000-0000-000000930000}"/>
    <cellStyle name="Normal 57 6 4 5 2" xfId="13122" xr:uid="{00000000-0005-0000-0000-000001930000}"/>
    <cellStyle name="Normal 57 6 4 5 2 2" xfId="23373" xr:uid="{00000000-0005-0000-0000-000002930000}"/>
    <cellStyle name="Normal 57 6 4 5 2 2 2" xfId="48926" xr:uid="{00000000-0005-0000-0000-000003930000}"/>
    <cellStyle name="Normal 57 6 4 5 2 3" xfId="38677" xr:uid="{00000000-0005-0000-0000-000004930000}"/>
    <cellStyle name="Normal 57 6 4 5 3" xfId="9543" xr:uid="{00000000-0005-0000-0000-000005930000}"/>
    <cellStyle name="Normal 57 6 4 5 3 2" xfId="35100" xr:uid="{00000000-0005-0000-0000-000006930000}"/>
    <cellStyle name="Normal 57 6 4 5 4" xfId="18366" xr:uid="{00000000-0005-0000-0000-000007930000}"/>
    <cellStyle name="Normal 57 6 4 5 4 2" xfId="43919" xr:uid="{00000000-0005-0000-0000-000008930000}"/>
    <cellStyle name="Normal 57 6 4 5 5" xfId="29856" xr:uid="{00000000-0005-0000-0000-000009930000}"/>
    <cellStyle name="Normal 57 6 4 6" xfId="1556" xr:uid="{00000000-0005-0000-0000-00000A930000}"/>
    <cellStyle name="Normal 57 6 4 6 2" xfId="10933" xr:uid="{00000000-0005-0000-0000-00000B930000}"/>
    <cellStyle name="Normal 57 6 4 6 2 2" xfId="36488" xr:uid="{00000000-0005-0000-0000-00000C930000}"/>
    <cellStyle name="Normal 57 6 4 6 3" xfId="20937" xr:uid="{00000000-0005-0000-0000-00000D930000}"/>
    <cellStyle name="Normal 57 6 4 6 3 2" xfId="46490" xr:uid="{00000000-0005-0000-0000-00000E930000}"/>
    <cellStyle name="Normal 57 6 4 6 4" xfId="27420" xr:uid="{00000000-0005-0000-0000-00000F930000}"/>
    <cellStyle name="Normal 57 6 4 7" xfId="5740" xr:uid="{00000000-0005-0000-0000-000010930000}"/>
    <cellStyle name="Normal 57 6 4 7 2" xfId="14567" xr:uid="{00000000-0005-0000-0000-000011930000}"/>
    <cellStyle name="Normal 57 6 4 7 2 2" xfId="40122" xr:uid="{00000000-0005-0000-0000-000012930000}"/>
    <cellStyle name="Normal 57 6 4 7 3" xfId="24818" xr:uid="{00000000-0005-0000-0000-000013930000}"/>
    <cellStyle name="Normal 57 6 4 7 3 2" xfId="50371" xr:uid="{00000000-0005-0000-0000-000014930000}"/>
    <cellStyle name="Normal 57 6 4 7 4" xfId="31301" xr:uid="{00000000-0005-0000-0000-000015930000}"/>
    <cellStyle name="Normal 57 6 4 8" xfId="7184" xr:uid="{00000000-0005-0000-0000-000016930000}"/>
    <cellStyle name="Normal 57 6 4 8 2" xfId="19910" xr:uid="{00000000-0005-0000-0000-000017930000}"/>
    <cellStyle name="Normal 57 6 4 8 2 2" xfId="45463" xr:uid="{00000000-0005-0000-0000-000018930000}"/>
    <cellStyle name="Normal 57 6 4 8 3" xfId="32741" xr:uid="{00000000-0005-0000-0000-000019930000}"/>
    <cellStyle name="Normal 57 6 4 9" xfId="15930" xr:uid="{00000000-0005-0000-0000-00001A930000}"/>
    <cellStyle name="Normal 57 6 4 9 2" xfId="41483" xr:uid="{00000000-0005-0000-0000-00001B930000}"/>
    <cellStyle name="Normal 57 6 4_Degree data" xfId="3981" xr:uid="{00000000-0005-0000-0000-00001C930000}"/>
    <cellStyle name="Normal 57 6 5" xfId="308" xr:uid="{00000000-0005-0000-0000-00001D930000}"/>
    <cellStyle name="Normal 57 6 5 2" xfId="2794" xr:uid="{00000000-0005-0000-0000-00001E930000}"/>
    <cellStyle name="Normal 57 6 5 2 2" xfId="12098" xr:uid="{00000000-0005-0000-0000-00001F930000}"/>
    <cellStyle name="Normal 57 6 5 2 2 2" xfId="22155" xr:uid="{00000000-0005-0000-0000-000020930000}"/>
    <cellStyle name="Normal 57 6 5 2 2 2 2" xfId="47708" xr:uid="{00000000-0005-0000-0000-000021930000}"/>
    <cellStyle name="Normal 57 6 5 2 2 3" xfId="37653" xr:uid="{00000000-0005-0000-0000-000022930000}"/>
    <cellStyle name="Normal 57 6 5 2 3" xfId="8434" xr:uid="{00000000-0005-0000-0000-000023930000}"/>
    <cellStyle name="Normal 57 6 5 2 3 2" xfId="33991" xr:uid="{00000000-0005-0000-0000-000024930000}"/>
    <cellStyle name="Normal 57 6 5 2 4" xfId="17148" xr:uid="{00000000-0005-0000-0000-000025930000}"/>
    <cellStyle name="Normal 57 6 5 2 4 2" xfId="42701" xr:uid="{00000000-0005-0000-0000-000026930000}"/>
    <cellStyle name="Normal 57 6 5 2 5" xfId="28638" xr:uid="{00000000-0005-0000-0000-000027930000}"/>
    <cellStyle name="Normal 57 6 5 3" xfId="4684" xr:uid="{00000000-0005-0000-0000-000028930000}"/>
    <cellStyle name="Normal 57 6 5 3 2" xfId="13522" xr:uid="{00000000-0005-0000-0000-000029930000}"/>
    <cellStyle name="Normal 57 6 5 3 2 2" xfId="23773" xr:uid="{00000000-0005-0000-0000-00002A930000}"/>
    <cellStyle name="Normal 57 6 5 3 2 2 2" xfId="49326" xr:uid="{00000000-0005-0000-0000-00002B930000}"/>
    <cellStyle name="Normal 57 6 5 3 2 3" xfId="39077" xr:uid="{00000000-0005-0000-0000-00002C930000}"/>
    <cellStyle name="Normal 57 6 5 3 3" xfId="9943" xr:uid="{00000000-0005-0000-0000-00002D930000}"/>
    <cellStyle name="Normal 57 6 5 3 3 2" xfId="35500" xr:uid="{00000000-0005-0000-0000-00002E930000}"/>
    <cellStyle name="Normal 57 6 5 3 4" xfId="18766" xr:uid="{00000000-0005-0000-0000-00002F930000}"/>
    <cellStyle name="Normal 57 6 5 3 4 2" xfId="44319" xr:uid="{00000000-0005-0000-0000-000030930000}"/>
    <cellStyle name="Normal 57 6 5 3 5" xfId="30256" xr:uid="{00000000-0005-0000-0000-000031930000}"/>
    <cellStyle name="Normal 57 6 5 4" xfId="1903" xr:uid="{00000000-0005-0000-0000-000032930000}"/>
    <cellStyle name="Normal 57 6 5 4 2" xfId="11268" xr:uid="{00000000-0005-0000-0000-000033930000}"/>
    <cellStyle name="Normal 57 6 5 4 2 2" xfId="36823" xr:uid="{00000000-0005-0000-0000-000034930000}"/>
    <cellStyle name="Normal 57 6 5 4 3" xfId="21272" xr:uid="{00000000-0005-0000-0000-000035930000}"/>
    <cellStyle name="Normal 57 6 5 4 3 2" xfId="46825" xr:uid="{00000000-0005-0000-0000-000036930000}"/>
    <cellStyle name="Normal 57 6 5 4 4" xfId="27755" xr:uid="{00000000-0005-0000-0000-000037930000}"/>
    <cellStyle name="Normal 57 6 5 5" xfId="6140" xr:uid="{00000000-0005-0000-0000-000038930000}"/>
    <cellStyle name="Normal 57 6 5 5 2" xfId="14967" xr:uid="{00000000-0005-0000-0000-000039930000}"/>
    <cellStyle name="Normal 57 6 5 5 2 2" xfId="40522" xr:uid="{00000000-0005-0000-0000-00003A930000}"/>
    <cellStyle name="Normal 57 6 5 5 3" xfId="25218" xr:uid="{00000000-0005-0000-0000-00003B930000}"/>
    <cellStyle name="Normal 57 6 5 5 3 2" xfId="50771" xr:uid="{00000000-0005-0000-0000-00003C930000}"/>
    <cellStyle name="Normal 57 6 5 5 4" xfId="31701" xr:uid="{00000000-0005-0000-0000-00003D930000}"/>
    <cellStyle name="Normal 57 6 5 6" xfId="7585" xr:uid="{00000000-0005-0000-0000-00003E930000}"/>
    <cellStyle name="Normal 57 6 5 6 2" xfId="19754" xr:uid="{00000000-0005-0000-0000-00003F930000}"/>
    <cellStyle name="Normal 57 6 5 6 2 2" xfId="45307" xr:uid="{00000000-0005-0000-0000-000040930000}"/>
    <cellStyle name="Normal 57 6 5 6 3" xfId="33142" xr:uid="{00000000-0005-0000-0000-000041930000}"/>
    <cellStyle name="Normal 57 6 5 7" xfId="16265" xr:uid="{00000000-0005-0000-0000-000042930000}"/>
    <cellStyle name="Normal 57 6 5 7 2" xfId="41818" xr:uid="{00000000-0005-0000-0000-000043930000}"/>
    <cellStyle name="Normal 57 6 5 8" xfId="26237" xr:uid="{00000000-0005-0000-0000-000044930000}"/>
    <cellStyle name="Normal 57 6 6" xfId="870" xr:uid="{00000000-0005-0000-0000-000045930000}"/>
    <cellStyle name="Normal 57 6 6 2" xfId="3355" xr:uid="{00000000-0005-0000-0000-000046930000}"/>
    <cellStyle name="Normal 57 6 6 2 2" xfId="12497" xr:uid="{00000000-0005-0000-0000-000047930000}"/>
    <cellStyle name="Normal 57 6 6 2 2 2" xfId="22716" xr:uid="{00000000-0005-0000-0000-000048930000}"/>
    <cellStyle name="Normal 57 6 6 2 2 2 2" xfId="48269" xr:uid="{00000000-0005-0000-0000-000049930000}"/>
    <cellStyle name="Normal 57 6 6 2 2 3" xfId="38052" xr:uid="{00000000-0005-0000-0000-00004A930000}"/>
    <cellStyle name="Normal 57 6 6 2 3" xfId="8919" xr:uid="{00000000-0005-0000-0000-00004B930000}"/>
    <cellStyle name="Normal 57 6 6 2 3 2" xfId="34476" xr:uid="{00000000-0005-0000-0000-00004C930000}"/>
    <cellStyle name="Normal 57 6 6 2 4" xfId="17709" xr:uid="{00000000-0005-0000-0000-00004D930000}"/>
    <cellStyle name="Normal 57 6 6 2 4 2" xfId="43262" xr:uid="{00000000-0005-0000-0000-00004E930000}"/>
    <cellStyle name="Normal 57 6 6 2 5" xfId="29199" xr:uid="{00000000-0005-0000-0000-00004F930000}"/>
    <cellStyle name="Normal 57 6 6 3" xfId="5033" xr:uid="{00000000-0005-0000-0000-000050930000}"/>
    <cellStyle name="Normal 57 6 6 3 2" xfId="13870" xr:uid="{00000000-0005-0000-0000-000051930000}"/>
    <cellStyle name="Normal 57 6 6 3 2 2" xfId="24121" xr:uid="{00000000-0005-0000-0000-000052930000}"/>
    <cellStyle name="Normal 57 6 6 3 2 2 2" xfId="49674" xr:uid="{00000000-0005-0000-0000-000053930000}"/>
    <cellStyle name="Normal 57 6 6 3 2 3" xfId="39425" xr:uid="{00000000-0005-0000-0000-000054930000}"/>
    <cellStyle name="Normal 57 6 6 3 3" xfId="10291" xr:uid="{00000000-0005-0000-0000-000055930000}"/>
    <cellStyle name="Normal 57 6 6 3 3 2" xfId="35848" xr:uid="{00000000-0005-0000-0000-000056930000}"/>
    <cellStyle name="Normal 57 6 6 3 4" xfId="19114" xr:uid="{00000000-0005-0000-0000-000057930000}"/>
    <cellStyle name="Normal 57 6 6 3 4 2" xfId="44667" xr:uid="{00000000-0005-0000-0000-000058930000}"/>
    <cellStyle name="Normal 57 6 6 3 5" xfId="30604" xr:uid="{00000000-0005-0000-0000-000059930000}"/>
    <cellStyle name="Normal 57 6 6 4" xfId="2464" xr:uid="{00000000-0005-0000-0000-00005A930000}"/>
    <cellStyle name="Normal 57 6 6 4 2" xfId="11829" xr:uid="{00000000-0005-0000-0000-00005B930000}"/>
    <cellStyle name="Normal 57 6 6 4 2 2" xfId="37384" xr:uid="{00000000-0005-0000-0000-00005C930000}"/>
    <cellStyle name="Normal 57 6 6 4 3" xfId="21833" xr:uid="{00000000-0005-0000-0000-00005D930000}"/>
    <cellStyle name="Normal 57 6 6 4 3 2" xfId="47386" xr:uid="{00000000-0005-0000-0000-00005E930000}"/>
    <cellStyle name="Normal 57 6 6 4 4" xfId="28316" xr:uid="{00000000-0005-0000-0000-00005F930000}"/>
    <cellStyle name="Normal 57 6 6 5" xfId="6488" xr:uid="{00000000-0005-0000-0000-000060930000}"/>
    <cellStyle name="Normal 57 6 6 5 2" xfId="15315" xr:uid="{00000000-0005-0000-0000-000061930000}"/>
    <cellStyle name="Normal 57 6 6 5 2 2" xfId="40870" xr:uid="{00000000-0005-0000-0000-000062930000}"/>
    <cellStyle name="Normal 57 6 6 5 3" xfId="25566" xr:uid="{00000000-0005-0000-0000-000063930000}"/>
    <cellStyle name="Normal 57 6 6 5 3 2" xfId="51119" xr:uid="{00000000-0005-0000-0000-000064930000}"/>
    <cellStyle name="Normal 57 6 6 5 4" xfId="32049" xr:uid="{00000000-0005-0000-0000-000065930000}"/>
    <cellStyle name="Normal 57 6 6 6" xfId="7934" xr:uid="{00000000-0005-0000-0000-000066930000}"/>
    <cellStyle name="Normal 57 6 6 6 2" xfId="20315" xr:uid="{00000000-0005-0000-0000-000067930000}"/>
    <cellStyle name="Normal 57 6 6 6 2 2" xfId="45868" xr:uid="{00000000-0005-0000-0000-000068930000}"/>
    <cellStyle name="Normal 57 6 6 6 3" xfId="33491" xr:uid="{00000000-0005-0000-0000-000069930000}"/>
    <cellStyle name="Normal 57 6 6 7" xfId="16826" xr:uid="{00000000-0005-0000-0000-00006A930000}"/>
    <cellStyle name="Normal 57 6 6 7 2" xfId="42379" xr:uid="{00000000-0005-0000-0000-00006B930000}"/>
    <cellStyle name="Normal 57 6 6 8" xfId="26798" xr:uid="{00000000-0005-0000-0000-00006C930000}"/>
    <cellStyle name="Normal 57 6 7" xfId="1080" xr:uid="{00000000-0005-0000-0000-00006D930000}"/>
    <cellStyle name="Normal 57 6 7 2" xfId="3509" xr:uid="{00000000-0005-0000-0000-00006E930000}"/>
    <cellStyle name="Normal 57 6 7 2 2" xfId="12645" xr:uid="{00000000-0005-0000-0000-00006F930000}"/>
    <cellStyle name="Normal 57 6 7 2 2 2" xfId="22864" xr:uid="{00000000-0005-0000-0000-000070930000}"/>
    <cellStyle name="Normal 57 6 7 2 2 2 2" xfId="48417" xr:uid="{00000000-0005-0000-0000-000071930000}"/>
    <cellStyle name="Normal 57 6 7 2 2 3" xfId="38200" xr:uid="{00000000-0005-0000-0000-000072930000}"/>
    <cellStyle name="Normal 57 6 7 2 3" xfId="9067" xr:uid="{00000000-0005-0000-0000-000073930000}"/>
    <cellStyle name="Normal 57 6 7 2 3 2" xfId="34624" xr:uid="{00000000-0005-0000-0000-000074930000}"/>
    <cellStyle name="Normal 57 6 7 2 4" xfId="17857" xr:uid="{00000000-0005-0000-0000-000075930000}"/>
    <cellStyle name="Normal 57 6 7 2 4 2" xfId="43410" xr:uid="{00000000-0005-0000-0000-000076930000}"/>
    <cellStyle name="Normal 57 6 7 2 5" xfId="29347" xr:uid="{00000000-0005-0000-0000-000077930000}"/>
    <cellStyle name="Normal 57 6 7 3" xfId="5172" xr:uid="{00000000-0005-0000-0000-000078930000}"/>
    <cellStyle name="Normal 57 6 7 3 2" xfId="14009" xr:uid="{00000000-0005-0000-0000-000079930000}"/>
    <cellStyle name="Normal 57 6 7 3 2 2" xfId="24260" xr:uid="{00000000-0005-0000-0000-00007A930000}"/>
    <cellStyle name="Normal 57 6 7 3 2 2 2" xfId="49813" xr:uid="{00000000-0005-0000-0000-00007B930000}"/>
    <cellStyle name="Normal 57 6 7 3 2 3" xfId="39564" xr:uid="{00000000-0005-0000-0000-00007C930000}"/>
    <cellStyle name="Normal 57 6 7 3 3" xfId="10430" xr:uid="{00000000-0005-0000-0000-00007D930000}"/>
    <cellStyle name="Normal 57 6 7 3 3 2" xfId="35987" xr:uid="{00000000-0005-0000-0000-00007E930000}"/>
    <cellStyle name="Normal 57 6 7 3 4" xfId="19253" xr:uid="{00000000-0005-0000-0000-00007F930000}"/>
    <cellStyle name="Normal 57 6 7 3 4 2" xfId="44806" xr:uid="{00000000-0005-0000-0000-000080930000}"/>
    <cellStyle name="Normal 57 6 7 3 5" xfId="30743" xr:uid="{00000000-0005-0000-0000-000081930000}"/>
    <cellStyle name="Normal 57 6 7 4" xfId="1732" xr:uid="{00000000-0005-0000-0000-000082930000}"/>
    <cellStyle name="Normal 57 6 7 4 2" xfId="11106" xr:uid="{00000000-0005-0000-0000-000083930000}"/>
    <cellStyle name="Normal 57 6 7 4 2 2" xfId="36661" xr:uid="{00000000-0005-0000-0000-000084930000}"/>
    <cellStyle name="Normal 57 6 7 4 3" xfId="21110" xr:uid="{00000000-0005-0000-0000-000085930000}"/>
    <cellStyle name="Normal 57 6 7 4 3 2" xfId="46663" xr:uid="{00000000-0005-0000-0000-000086930000}"/>
    <cellStyle name="Normal 57 6 7 4 4" xfId="27593" xr:uid="{00000000-0005-0000-0000-000087930000}"/>
    <cellStyle name="Normal 57 6 7 5" xfId="6627" xr:uid="{00000000-0005-0000-0000-000088930000}"/>
    <cellStyle name="Normal 57 6 7 5 2" xfId="15454" xr:uid="{00000000-0005-0000-0000-000089930000}"/>
    <cellStyle name="Normal 57 6 7 5 2 2" xfId="41009" xr:uid="{00000000-0005-0000-0000-00008A930000}"/>
    <cellStyle name="Normal 57 6 7 5 3" xfId="25705" xr:uid="{00000000-0005-0000-0000-00008B930000}"/>
    <cellStyle name="Normal 57 6 7 5 3 2" xfId="51258" xr:uid="{00000000-0005-0000-0000-00008C930000}"/>
    <cellStyle name="Normal 57 6 7 5 4" xfId="32188" xr:uid="{00000000-0005-0000-0000-00008D930000}"/>
    <cellStyle name="Normal 57 6 7 6" xfId="8073" xr:uid="{00000000-0005-0000-0000-00008E930000}"/>
    <cellStyle name="Normal 57 6 7 6 2" xfId="20463" xr:uid="{00000000-0005-0000-0000-00008F930000}"/>
    <cellStyle name="Normal 57 6 7 6 2 2" xfId="46016" xr:uid="{00000000-0005-0000-0000-000090930000}"/>
    <cellStyle name="Normal 57 6 7 6 3" xfId="33630" xr:uid="{00000000-0005-0000-0000-000091930000}"/>
    <cellStyle name="Normal 57 6 7 7" xfId="16103" xr:uid="{00000000-0005-0000-0000-000092930000}"/>
    <cellStyle name="Normal 57 6 7 7 2" xfId="41656" xr:uid="{00000000-0005-0000-0000-000093930000}"/>
    <cellStyle name="Normal 57 6 7 8" xfId="26946" xr:uid="{00000000-0005-0000-0000-000094930000}"/>
    <cellStyle name="Normal 57 6 8" xfId="2632" xr:uid="{00000000-0005-0000-0000-000095930000}"/>
    <cellStyle name="Normal 57 6 8 2" xfId="5584" xr:uid="{00000000-0005-0000-0000-000096930000}"/>
    <cellStyle name="Normal 57 6 8 2 2" xfId="14411" xr:uid="{00000000-0005-0000-0000-000097930000}"/>
    <cellStyle name="Normal 57 6 8 2 2 2" xfId="39966" xr:uid="{00000000-0005-0000-0000-000098930000}"/>
    <cellStyle name="Normal 57 6 8 2 3" xfId="24662" xr:uid="{00000000-0005-0000-0000-000099930000}"/>
    <cellStyle name="Normal 57 6 8 2 3 2" xfId="50215" xr:uid="{00000000-0005-0000-0000-00009A930000}"/>
    <cellStyle name="Normal 57 6 8 2 4" xfId="31145" xr:uid="{00000000-0005-0000-0000-00009B930000}"/>
    <cellStyle name="Normal 57 6 8 3" xfId="7028" xr:uid="{00000000-0005-0000-0000-00009C930000}"/>
    <cellStyle name="Normal 57 6 8 3 2" xfId="21994" xr:uid="{00000000-0005-0000-0000-00009D930000}"/>
    <cellStyle name="Normal 57 6 8 3 2 2" xfId="47547" xr:uid="{00000000-0005-0000-0000-00009E930000}"/>
    <cellStyle name="Normal 57 6 8 3 3" xfId="32585" xr:uid="{00000000-0005-0000-0000-00009F930000}"/>
    <cellStyle name="Normal 57 6 8 4" xfId="16987" xr:uid="{00000000-0005-0000-0000-0000A0930000}"/>
    <cellStyle name="Normal 57 6 8 4 2" xfId="42540" xr:uid="{00000000-0005-0000-0000-0000A1930000}"/>
    <cellStyle name="Normal 57 6 8 5" xfId="28477" xr:uid="{00000000-0005-0000-0000-0000A2930000}"/>
    <cellStyle name="Normal 57 6 9" xfId="4126" xr:uid="{00000000-0005-0000-0000-0000A3930000}"/>
    <cellStyle name="Normal 57 6 9 2" xfId="12964" xr:uid="{00000000-0005-0000-0000-0000A4930000}"/>
    <cellStyle name="Normal 57 6 9 2 2" xfId="23215" xr:uid="{00000000-0005-0000-0000-0000A5930000}"/>
    <cellStyle name="Normal 57 6 9 2 2 2" xfId="48768" xr:uid="{00000000-0005-0000-0000-0000A6930000}"/>
    <cellStyle name="Normal 57 6 9 2 3" xfId="38519" xr:uid="{00000000-0005-0000-0000-0000A7930000}"/>
    <cellStyle name="Normal 57 6 9 3" xfId="9385" xr:uid="{00000000-0005-0000-0000-0000A8930000}"/>
    <cellStyle name="Normal 57 6 9 3 2" xfId="34942" xr:uid="{00000000-0005-0000-0000-0000A9930000}"/>
    <cellStyle name="Normal 57 6 9 4" xfId="18208" xr:uid="{00000000-0005-0000-0000-0000AA930000}"/>
    <cellStyle name="Normal 57 6 9 4 2" xfId="43761" xr:uid="{00000000-0005-0000-0000-0000AB930000}"/>
    <cellStyle name="Normal 57 6 9 5" xfId="29698" xr:uid="{00000000-0005-0000-0000-0000AC930000}"/>
    <cellStyle name="Normal 57 6_Degree data" xfId="3976" xr:uid="{00000000-0005-0000-0000-0000AD930000}"/>
    <cellStyle name="Normal 57 7" xfId="132" xr:uid="{00000000-0005-0000-0000-0000AE930000}"/>
    <cellStyle name="Normal 57 7 10" xfId="5643" xr:uid="{00000000-0005-0000-0000-0000AF930000}"/>
    <cellStyle name="Normal 57 7 10 2" xfId="14470" xr:uid="{00000000-0005-0000-0000-0000B0930000}"/>
    <cellStyle name="Normal 57 7 10 2 2" xfId="40025" xr:uid="{00000000-0005-0000-0000-0000B1930000}"/>
    <cellStyle name="Normal 57 7 10 3" xfId="24721" xr:uid="{00000000-0005-0000-0000-0000B2930000}"/>
    <cellStyle name="Normal 57 7 10 3 2" xfId="50274" xr:uid="{00000000-0005-0000-0000-0000B3930000}"/>
    <cellStyle name="Normal 57 7 10 4" xfId="31204" xr:uid="{00000000-0005-0000-0000-0000B4930000}"/>
    <cellStyle name="Normal 57 7 11" xfId="7087" xr:uid="{00000000-0005-0000-0000-0000B5930000}"/>
    <cellStyle name="Normal 57 7 11 2" xfId="19596" xr:uid="{00000000-0005-0000-0000-0000B6930000}"/>
    <cellStyle name="Normal 57 7 11 2 2" xfId="45149" xr:uid="{00000000-0005-0000-0000-0000B7930000}"/>
    <cellStyle name="Normal 57 7 11 3" xfId="32644" xr:uid="{00000000-0005-0000-0000-0000B8930000}"/>
    <cellStyle name="Normal 57 7 12" xfId="15833" xr:uid="{00000000-0005-0000-0000-0000B9930000}"/>
    <cellStyle name="Normal 57 7 12 2" xfId="41386" xr:uid="{00000000-0005-0000-0000-0000BA930000}"/>
    <cellStyle name="Normal 57 7 13" xfId="26079" xr:uid="{00000000-0005-0000-0000-0000BB930000}"/>
    <cellStyle name="Normal 57 7 2" xfId="249" xr:uid="{00000000-0005-0000-0000-0000BC930000}"/>
    <cellStyle name="Normal 57 7 2 10" xfId="16038" xr:uid="{00000000-0005-0000-0000-0000BD930000}"/>
    <cellStyle name="Normal 57 7 2 10 2" xfId="41591" xr:uid="{00000000-0005-0000-0000-0000BE930000}"/>
    <cellStyle name="Normal 57 7 2 11" xfId="26184" xr:uid="{00000000-0005-0000-0000-0000BF930000}"/>
    <cellStyle name="Normal 57 7 2 2" xfId="572" xr:uid="{00000000-0005-0000-0000-0000C0930000}"/>
    <cellStyle name="Normal 57 7 2 2 2" xfId="3058" xr:uid="{00000000-0005-0000-0000-0000C1930000}"/>
    <cellStyle name="Normal 57 7 2 2 2 2" xfId="12219" xr:uid="{00000000-0005-0000-0000-0000C2930000}"/>
    <cellStyle name="Normal 57 7 2 2 2 2 2" xfId="22419" xr:uid="{00000000-0005-0000-0000-0000C3930000}"/>
    <cellStyle name="Normal 57 7 2 2 2 2 2 2" xfId="47972" xr:uid="{00000000-0005-0000-0000-0000C4930000}"/>
    <cellStyle name="Normal 57 7 2 2 2 2 3" xfId="37774" xr:uid="{00000000-0005-0000-0000-0000C5930000}"/>
    <cellStyle name="Normal 57 7 2 2 2 3" xfId="8641" xr:uid="{00000000-0005-0000-0000-0000C6930000}"/>
    <cellStyle name="Normal 57 7 2 2 2 3 2" xfId="34198" xr:uid="{00000000-0005-0000-0000-0000C7930000}"/>
    <cellStyle name="Normal 57 7 2 2 2 4" xfId="17412" xr:uid="{00000000-0005-0000-0000-0000C8930000}"/>
    <cellStyle name="Normal 57 7 2 2 2 4 2" xfId="42965" xr:uid="{00000000-0005-0000-0000-0000C9930000}"/>
    <cellStyle name="Normal 57 7 2 2 2 5" xfId="28902" xr:uid="{00000000-0005-0000-0000-0000CA930000}"/>
    <cellStyle name="Normal 57 7 2 2 3" xfId="4691" xr:uid="{00000000-0005-0000-0000-0000CB930000}"/>
    <cellStyle name="Normal 57 7 2 2 3 2" xfId="13529" xr:uid="{00000000-0005-0000-0000-0000CC930000}"/>
    <cellStyle name="Normal 57 7 2 2 3 2 2" xfId="23780" xr:uid="{00000000-0005-0000-0000-0000CD930000}"/>
    <cellStyle name="Normal 57 7 2 2 3 2 2 2" xfId="49333" xr:uid="{00000000-0005-0000-0000-0000CE930000}"/>
    <cellStyle name="Normal 57 7 2 2 3 2 3" xfId="39084" xr:uid="{00000000-0005-0000-0000-0000CF930000}"/>
    <cellStyle name="Normal 57 7 2 2 3 3" xfId="9950" xr:uid="{00000000-0005-0000-0000-0000D0930000}"/>
    <cellStyle name="Normal 57 7 2 2 3 3 2" xfId="35507" xr:uid="{00000000-0005-0000-0000-0000D1930000}"/>
    <cellStyle name="Normal 57 7 2 2 3 4" xfId="18773" xr:uid="{00000000-0005-0000-0000-0000D2930000}"/>
    <cellStyle name="Normal 57 7 2 2 3 4 2" xfId="44326" xr:uid="{00000000-0005-0000-0000-0000D3930000}"/>
    <cellStyle name="Normal 57 7 2 2 3 5" xfId="30263" xr:uid="{00000000-0005-0000-0000-0000D4930000}"/>
    <cellStyle name="Normal 57 7 2 2 4" xfId="2167" xr:uid="{00000000-0005-0000-0000-0000D5930000}"/>
    <cellStyle name="Normal 57 7 2 2 4 2" xfId="11532" xr:uid="{00000000-0005-0000-0000-0000D6930000}"/>
    <cellStyle name="Normal 57 7 2 2 4 2 2" xfId="37087" xr:uid="{00000000-0005-0000-0000-0000D7930000}"/>
    <cellStyle name="Normal 57 7 2 2 4 3" xfId="21536" xr:uid="{00000000-0005-0000-0000-0000D8930000}"/>
    <cellStyle name="Normal 57 7 2 2 4 3 2" xfId="47089" xr:uid="{00000000-0005-0000-0000-0000D9930000}"/>
    <cellStyle name="Normal 57 7 2 2 4 4" xfId="28019" xr:uid="{00000000-0005-0000-0000-0000DA930000}"/>
    <cellStyle name="Normal 57 7 2 2 5" xfId="6147" xr:uid="{00000000-0005-0000-0000-0000DB930000}"/>
    <cellStyle name="Normal 57 7 2 2 5 2" xfId="14974" xr:uid="{00000000-0005-0000-0000-0000DC930000}"/>
    <cellStyle name="Normal 57 7 2 2 5 2 2" xfId="40529" xr:uid="{00000000-0005-0000-0000-0000DD930000}"/>
    <cellStyle name="Normal 57 7 2 2 5 3" xfId="25225" xr:uid="{00000000-0005-0000-0000-0000DE930000}"/>
    <cellStyle name="Normal 57 7 2 2 5 3 2" xfId="50778" xr:uid="{00000000-0005-0000-0000-0000DF930000}"/>
    <cellStyle name="Normal 57 7 2 2 5 4" xfId="31708" xr:uid="{00000000-0005-0000-0000-0000E0930000}"/>
    <cellStyle name="Normal 57 7 2 2 6" xfId="7592" xr:uid="{00000000-0005-0000-0000-0000E1930000}"/>
    <cellStyle name="Normal 57 7 2 2 6 2" xfId="20018" xr:uid="{00000000-0005-0000-0000-0000E2930000}"/>
    <cellStyle name="Normal 57 7 2 2 6 2 2" xfId="45571" xr:uid="{00000000-0005-0000-0000-0000E3930000}"/>
    <cellStyle name="Normal 57 7 2 2 6 3" xfId="33149" xr:uid="{00000000-0005-0000-0000-0000E4930000}"/>
    <cellStyle name="Normal 57 7 2 2 7" xfId="16529" xr:uid="{00000000-0005-0000-0000-0000E5930000}"/>
    <cellStyle name="Normal 57 7 2 2 7 2" xfId="42082" xr:uid="{00000000-0005-0000-0000-0000E6930000}"/>
    <cellStyle name="Normal 57 7 2 2 8" xfId="26501" xr:uid="{00000000-0005-0000-0000-0000E7930000}"/>
    <cellStyle name="Normal 57 7 2 3" xfId="877" xr:uid="{00000000-0005-0000-0000-0000E8930000}"/>
    <cellStyle name="Normal 57 7 2 3 2" xfId="3362" xr:uid="{00000000-0005-0000-0000-0000E9930000}"/>
    <cellStyle name="Normal 57 7 2 3 2 2" xfId="12504" xr:uid="{00000000-0005-0000-0000-0000EA930000}"/>
    <cellStyle name="Normal 57 7 2 3 2 2 2" xfId="22723" xr:uid="{00000000-0005-0000-0000-0000EB930000}"/>
    <cellStyle name="Normal 57 7 2 3 2 2 2 2" xfId="48276" xr:uid="{00000000-0005-0000-0000-0000EC930000}"/>
    <cellStyle name="Normal 57 7 2 3 2 2 3" xfId="38059" xr:uid="{00000000-0005-0000-0000-0000ED930000}"/>
    <cellStyle name="Normal 57 7 2 3 2 3" xfId="8926" xr:uid="{00000000-0005-0000-0000-0000EE930000}"/>
    <cellStyle name="Normal 57 7 2 3 2 3 2" xfId="34483" xr:uid="{00000000-0005-0000-0000-0000EF930000}"/>
    <cellStyle name="Normal 57 7 2 3 2 4" xfId="17716" xr:uid="{00000000-0005-0000-0000-0000F0930000}"/>
    <cellStyle name="Normal 57 7 2 3 2 4 2" xfId="43269" xr:uid="{00000000-0005-0000-0000-0000F1930000}"/>
    <cellStyle name="Normal 57 7 2 3 2 5" xfId="29206" xr:uid="{00000000-0005-0000-0000-0000F2930000}"/>
    <cellStyle name="Normal 57 7 2 3 3" xfId="5040" xr:uid="{00000000-0005-0000-0000-0000F3930000}"/>
    <cellStyle name="Normal 57 7 2 3 3 2" xfId="13877" xr:uid="{00000000-0005-0000-0000-0000F4930000}"/>
    <cellStyle name="Normal 57 7 2 3 3 2 2" xfId="24128" xr:uid="{00000000-0005-0000-0000-0000F5930000}"/>
    <cellStyle name="Normal 57 7 2 3 3 2 2 2" xfId="49681" xr:uid="{00000000-0005-0000-0000-0000F6930000}"/>
    <cellStyle name="Normal 57 7 2 3 3 2 3" xfId="39432" xr:uid="{00000000-0005-0000-0000-0000F7930000}"/>
    <cellStyle name="Normal 57 7 2 3 3 3" xfId="10298" xr:uid="{00000000-0005-0000-0000-0000F8930000}"/>
    <cellStyle name="Normal 57 7 2 3 3 3 2" xfId="35855" xr:uid="{00000000-0005-0000-0000-0000F9930000}"/>
    <cellStyle name="Normal 57 7 2 3 3 4" xfId="19121" xr:uid="{00000000-0005-0000-0000-0000FA930000}"/>
    <cellStyle name="Normal 57 7 2 3 3 4 2" xfId="44674" xr:uid="{00000000-0005-0000-0000-0000FB930000}"/>
    <cellStyle name="Normal 57 7 2 3 3 5" xfId="30611" xr:uid="{00000000-0005-0000-0000-0000FC930000}"/>
    <cellStyle name="Normal 57 7 2 3 4" xfId="2471" xr:uid="{00000000-0005-0000-0000-0000FD930000}"/>
    <cellStyle name="Normal 57 7 2 3 4 2" xfId="11836" xr:uid="{00000000-0005-0000-0000-0000FE930000}"/>
    <cellStyle name="Normal 57 7 2 3 4 2 2" xfId="37391" xr:uid="{00000000-0005-0000-0000-0000FF930000}"/>
    <cellStyle name="Normal 57 7 2 3 4 3" xfId="21840" xr:uid="{00000000-0005-0000-0000-000000940000}"/>
    <cellStyle name="Normal 57 7 2 3 4 3 2" xfId="47393" xr:uid="{00000000-0005-0000-0000-000001940000}"/>
    <cellStyle name="Normal 57 7 2 3 4 4" xfId="28323" xr:uid="{00000000-0005-0000-0000-000002940000}"/>
    <cellStyle name="Normal 57 7 2 3 5" xfId="6495" xr:uid="{00000000-0005-0000-0000-000003940000}"/>
    <cellStyle name="Normal 57 7 2 3 5 2" xfId="15322" xr:uid="{00000000-0005-0000-0000-000004940000}"/>
    <cellStyle name="Normal 57 7 2 3 5 2 2" xfId="40877" xr:uid="{00000000-0005-0000-0000-000005940000}"/>
    <cellStyle name="Normal 57 7 2 3 5 3" xfId="25573" xr:uid="{00000000-0005-0000-0000-000006940000}"/>
    <cellStyle name="Normal 57 7 2 3 5 3 2" xfId="51126" xr:uid="{00000000-0005-0000-0000-000007940000}"/>
    <cellStyle name="Normal 57 7 2 3 5 4" xfId="32056" xr:uid="{00000000-0005-0000-0000-000008940000}"/>
    <cellStyle name="Normal 57 7 2 3 6" xfId="7941" xr:uid="{00000000-0005-0000-0000-000009940000}"/>
    <cellStyle name="Normal 57 7 2 3 6 2" xfId="20322" xr:uid="{00000000-0005-0000-0000-00000A940000}"/>
    <cellStyle name="Normal 57 7 2 3 6 2 2" xfId="45875" xr:uid="{00000000-0005-0000-0000-00000B940000}"/>
    <cellStyle name="Normal 57 7 2 3 6 3" xfId="33498" xr:uid="{00000000-0005-0000-0000-00000C940000}"/>
    <cellStyle name="Normal 57 7 2 3 7" xfId="16833" xr:uid="{00000000-0005-0000-0000-00000D940000}"/>
    <cellStyle name="Normal 57 7 2 3 7 2" xfId="42386" xr:uid="{00000000-0005-0000-0000-00000E940000}"/>
    <cellStyle name="Normal 57 7 2 3 8" xfId="26805" xr:uid="{00000000-0005-0000-0000-00000F940000}"/>
    <cellStyle name="Normal 57 7 2 4" xfId="1344" xr:uid="{00000000-0005-0000-0000-000010940000}"/>
    <cellStyle name="Normal 57 7 2 4 2" xfId="3773" xr:uid="{00000000-0005-0000-0000-000011940000}"/>
    <cellStyle name="Normal 57 7 2 4 2 2" xfId="12909" xr:uid="{00000000-0005-0000-0000-000012940000}"/>
    <cellStyle name="Normal 57 7 2 4 2 2 2" xfId="23128" xr:uid="{00000000-0005-0000-0000-000013940000}"/>
    <cellStyle name="Normal 57 7 2 4 2 2 2 2" xfId="48681" xr:uid="{00000000-0005-0000-0000-000014940000}"/>
    <cellStyle name="Normal 57 7 2 4 2 2 3" xfId="38464" xr:uid="{00000000-0005-0000-0000-000015940000}"/>
    <cellStyle name="Normal 57 7 2 4 2 3" xfId="9330" xr:uid="{00000000-0005-0000-0000-000016940000}"/>
    <cellStyle name="Normal 57 7 2 4 2 3 2" xfId="34887" xr:uid="{00000000-0005-0000-0000-000017940000}"/>
    <cellStyle name="Normal 57 7 2 4 2 4" xfId="18121" xr:uid="{00000000-0005-0000-0000-000018940000}"/>
    <cellStyle name="Normal 57 7 2 4 2 4 2" xfId="43674" xr:uid="{00000000-0005-0000-0000-000019940000}"/>
    <cellStyle name="Normal 57 7 2 4 2 5" xfId="29611" xr:uid="{00000000-0005-0000-0000-00001A940000}"/>
    <cellStyle name="Normal 57 7 2 4 3" xfId="5436" xr:uid="{00000000-0005-0000-0000-00001B940000}"/>
    <cellStyle name="Normal 57 7 2 4 3 2" xfId="14273" xr:uid="{00000000-0005-0000-0000-00001C940000}"/>
    <cellStyle name="Normal 57 7 2 4 3 2 2" xfId="24524" xr:uid="{00000000-0005-0000-0000-00001D940000}"/>
    <cellStyle name="Normal 57 7 2 4 3 2 2 2" xfId="50077" xr:uid="{00000000-0005-0000-0000-00001E940000}"/>
    <cellStyle name="Normal 57 7 2 4 3 2 3" xfId="39828" xr:uid="{00000000-0005-0000-0000-00001F940000}"/>
    <cellStyle name="Normal 57 7 2 4 3 3" xfId="10694" xr:uid="{00000000-0005-0000-0000-000020940000}"/>
    <cellStyle name="Normal 57 7 2 4 3 3 2" xfId="36251" xr:uid="{00000000-0005-0000-0000-000021940000}"/>
    <cellStyle name="Normal 57 7 2 4 3 4" xfId="19517" xr:uid="{00000000-0005-0000-0000-000022940000}"/>
    <cellStyle name="Normal 57 7 2 4 3 4 2" xfId="45070" xr:uid="{00000000-0005-0000-0000-000023940000}"/>
    <cellStyle name="Normal 57 7 2 4 3 5" xfId="31007" xr:uid="{00000000-0005-0000-0000-000024940000}"/>
    <cellStyle name="Normal 57 7 2 4 4" xfId="1847" xr:uid="{00000000-0005-0000-0000-000025940000}"/>
    <cellStyle name="Normal 57 7 2 4 4 2" xfId="11215" xr:uid="{00000000-0005-0000-0000-000026940000}"/>
    <cellStyle name="Normal 57 7 2 4 4 2 2" xfId="36770" xr:uid="{00000000-0005-0000-0000-000027940000}"/>
    <cellStyle name="Normal 57 7 2 4 4 3" xfId="21219" xr:uid="{00000000-0005-0000-0000-000028940000}"/>
    <cellStyle name="Normal 57 7 2 4 4 3 2" xfId="46772" xr:uid="{00000000-0005-0000-0000-000029940000}"/>
    <cellStyle name="Normal 57 7 2 4 4 4" xfId="27702" xr:uid="{00000000-0005-0000-0000-00002A940000}"/>
    <cellStyle name="Normal 57 7 2 4 5" xfId="6891" xr:uid="{00000000-0005-0000-0000-00002B940000}"/>
    <cellStyle name="Normal 57 7 2 4 5 2" xfId="15718" xr:uid="{00000000-0005-0000-0000-00002C940000}"/>
    <cellStyle name="Normal 57 7 2 4 5 2 2" xfId="41273" xr:uid="{00000000-0005-0000-0000-00002D940000}"/>
    <cellStyle name="Normal 57 7 2 4 5 3" xfId="25969" xr:uid="{00000000-0005-0000-0000-00002E940000}"/>
    <cellStyle name="Normal 57 7 2 4 5 3 2" xfId="51522" xr:uid="{00000000-0005-0000-0000-00002F940000}"/>
    <cellStyle name="Normal 57 7 2 4 5 4" xfId="32452" xr:uid="{00000000-0005-0000-0000-000030940000}"/>
    <cellStyle name="Normal 57 7 2 4 6" xfId="8337" xr:uid="{00000000-0005-0000-0000-000031940000}"/>
    <cellStyle name="Normal 57 7 2 4 6 2" xfId="20727" xr:uid="{00000000-0005-0000-0000-000032940000}"/>
    <cellStyle name="Normal 57 7 2 4 6 2 2" xfId="46280" xr:uid="{00000000-0005-0000-0000-000033940000}"/>
    <cellStyle name="Normal 57 7 2 4 6 3" xfId="33894" xr:uid="{00000000-0005-0000-0000-000034940000}"/>
    <cellStyle name="Normal 57 7 2 4 7" xfId="16212" xr:uid="{00000000-0005-0000-0000-000035940000}"/>
    <cellStyle name="Normal 57 7 2 4 7 2" xfId="41765" xr:uid="{00000000-0005-0000-0000-000036940000}"/>
    <cellStyle name="Normal 57 7 2 4 8" xfId="27210" xr:uid="{00000000-0005-0000-0000-000037940000}"/>
    <cellStyle name="Normal 57 7 2 5" xfId="2741" xr:uid="{00000000-0005-0000-0000-000038940000}"/>
    <cellStyle name="Normal 57 7 2 5 2" xfId="12058" xr:uid="{00000000-0005-0000-0000-000039940000}"/>
    <cellStyle name="Normal 57 7 2 5 2 2" xfId="22102" xr:uid="{00000000-0005-0000-0000-00003A940000}"/>
    <cellStyle name="Normal 57 7 2 5 2 2 2" xfId="47655" xr:uid="{00000000-0005-0000-0000-00003B940000}"/>
    <cellStyle name="Normal 57 7 2 5 2 3" xfId="37613" xr:uid="{00000000-0005-0000-0000-00003C940000}"/>
    <cellStyle name="Normal 57 7 2 5 3" xfId="8628" xr:uid="{00000000-0005-0000-0000-00003D940000}"/>
    <cellStyle name="Normal 57 7 2 5 3 2" xfId="34185" xr:uid="{00000000-0005-0000-0000-00003E940000}"/>
    <cellStyle name="Normal 57 7 2 5 4" xfId="17095" xr:uid="{00000000-0005-0000-0000-00003F940000}"/>
    <cellStyle name="Normal 57 7 2 5 4 2" xfId="42648" xr:uid="{00000000-0005-0000-0000-000040940000}"/>
    <cellStyle name="Normal 57 7 2 5 5" xfId="28585" xr:uid="{00000000-0005-0000-0000-000041940000}"/>
    <cellStyle name="Normal 57 7 2 6" xfId="4392" xr:uid="{00000000-0005-0000-0000-000042940000}"/>
    <cellStyle name="Normal 57 7 2 6 2" xfId="13230" xr:uid="{00000000-0005-0000-0000-000043940000}"/>
    <cellStyle name="Normal 57 7 2 6 2 2" xfId="23481" xr:uid="{00000000-0005-0000-0000-000044940000}"/>
    <cellStyle name="Normal 57 7 2 6 2 2 2" xfId="49034" xr:uid="{00000000-0005-0000-0000-000045940000}"/>
    <cellStyle name="Normal 57 7 2 6 2 3" xfId="38785" xr:uid="{00000000-0005-0000-0000-000046940000}"/>
    <cellStyle name="Normal 57 7 2 6 3" xfId="9651" xr:uid="{00000000-0005-0000-0000-000047940000}"/>
    <cellStyle name="Normal 57 7 2 6 3 2" xfId="35208" xr:uid="{00000000-0005-0000-0000-000048940000}"/>
    <cellStyle name="Normal 57 7 2 6 4" xfId="18474" xr:uid="{00000000-0005-0000-0000-000049940000}"/>
    <cellStyle name="Normal 57 7 2 6 4 2" xfId="44027" xr:uid="{00000000-0005-0000-0000-00004A940000}"/>
    <cellStyle name="Normal 57 7 2 6 5" xfId="29964" xr:uid="{00000000-0005-0000-0000-00004B940000}"/>
    <cellStyle name="Normal 57 7 2 7" xfId="1664" xr:uid="{00000000-0005-0000-0000-00004C940000}"/>
    <cellStyle name="Normal 57 7 2 7 2" xfId="11041" xr:uid="{00000000-0005-0000-0000-00004D940000}"/>
    <cellStyle name="Normal 57 7 2 7 2 2" xfId="36596" xr:uid="{00000000-0005-0000-0000-00004E940000}"/>
    <cellStyle name="Normal 57 7 2 7 3" xfId="21045" xr:uid="{00000000-0005-0000-0000-00004F940000}"/>
    <cellStyle name="Normal 57 7 2 7 3 2" xfId="46598" xr:uid="{00000000-0005-0000-0000-000050940000}"/>
    <cellStyle name="Normal 57 7 2 7 4" xfId="27528" xr:uid="{00000000-0005-0000-0000-000051940000}"/>
    <cellStyle name="Normal 57 7 2 8" xfId="5848" xr:uid="{00000000-0005-0000-0000-000052940000}"/>
    <cellStyle name="Normal 57 7 2 8 2" xfId="14675" xr:uid="{00000000-0005-0000-0000-000053940000}"/>
    <cellStyle name="Normal 57 7 2 8 2 2" xfId="40230" xr:uid="{00000000-0005-0000-0000-000054940000}"/>
    <cellStyle name="Normal 57 7 2 8 3" xfId="24926" xr:uid="{00000000-0005-0000-0000-000055940000}"/>
    <cellStyle name="Normal 57 7 2 8 3 2" xfId="50479" xr:uid="{00000000-0005-0000-0000-000056940000}"/>
    <cellStyle name="Normal 57 7 2 8 4" xfId="31409" xr:uid="{00000000-0005-0000-0000-000057940000}"/>
    <cellStyle name="Normal 57 7 2 9" xfId="7292" xr:uid="{00000000-0005-0000-0000-000058940000}"/>
    <cellStyle name="Normal 57 7 2 9 2" xfId="19701" xr:uid="{00000000-0005-0000-0000-000059940000}"/>
    <cellStyle name="Normal 57 7 2 9 2 2" xfId="45254" xr:uid="{00000000-0005-0000-0000-00005A940000}"/>
    <cellStyle name="Normal 57 7 2 9 3" xfId="32849" xr:uid="{00000000-0005-0000-0000-00005B940000}"/>
    <cellStyle name="Normal 57 7 2_Degree data" xfId="3983" xr:uid="{00000000-0005-0000-0000-00005C940000}"/>
    <cellStyle name="Normal 57 7 3" xfId="467" xr:uid="{00000000-0005-0000-0000-00005D940000}"/>
    <cellStyle name="Normal 57 7 3 10" xfId="26396" xr:uid="{00000000-0005-0000-0000-00005E940000}"/>
    <cellStyle name="Normal 57 7 3 2" xfId="878" xr:uid="{00000000-0005-0000-0000-00005F940000}"/>
    <cellStyle name="Normal 57 7 3 2 2" xfId="3363" xr:uid="{00000000-0005-0000-0000-000060940000}"/>
    <cellStyle name="Normal 57 7 3 2 2 2" xfId="12505" xr:uid="{00000000-0005-0000-0000-000061940000}"/>
    <cellStyle name="Normal 57 7 3 2 2 2 2" xfId="22724" xr:uid="{00000000-0005-0000-0000-000062940000}"/>
    <cellStyle name="Normal 57 7 3 2 2 2 2 2" xfId="48277" xr:uid="{00000000-0005-0000-0000-000063940000}"/>
    <cellStyle name="Normal 57 7 3 2 2 2 3" xfId="38060" xr:uid="{00000000-0005-0000-0000-000064940000}"/>
    <cellStyle name="Normal 57 7 3 2 2 3" xfId="8927" xr:uid="{00000000-0005-0000-0000-000065940000}"/>
    <cellStyle name="Normal 57 7 3 2 2 3 2" xfId="34484" xr:uid="{00000000-0005-0000-0000-000066940000}"/>
    <cellStyle name="Normal 57 7 3 2 2 4" xfId="17717" xr:uid="{00000000-0005-0000-0000-000067940000}"/>
    <cellStyle name="Normal 57 7 3 2 2 4 2" xfId="43270" xr:uid="{00000000-0005-0000-0000-000068940000}"/>
    <cellStyle name="Normal 57 7 3 2 2 5" xfId="29207" xr:uid="{00000000-0005-0000-0000-000069940000}"/>
    <cellStyle name="Normal 57 7 3 2 3" xfId="4692" xr:uid="{00000000-0005-0000-0000-00006A940000}"/>
    <cellStyle name="Normal 57 7 3 2 3 2" xfId="13530" xr:uid="{00000000-0005-0000-0000-00006B940000}"/>
    <cellStyle name="Normal 57 7 3 2 3 2 2" xfId="23781" xr:uid="{00000000-0005-0000-0000-00006C940000}"/>
    <cellStyle name="Normal 57 7 3 2 3 2 2 2" xfId="49334" xr:uid="{00000000-0005-0000-0000-00006D940000}"/>
    <cellStyle name="Normal 57 7 3 2 3 2 3" xfId="39085" xr:uid="{00000000-0005-0000-0000-00006E940000}"/>
    <cellStyle name="Normal 57 7 3 2 3 3" xfId="9951" xr:uid="{00000000-0005-0000-0000-00006F940000}"/>
    <cellStyle name="Normal 57 7 3 2 3 3 2" xfId="35508" xr:uid="{00000000-0005-0000-0000-000070940000}"/>
    <cellStyle name="Normal 57 7 3 2 3 4" xfId="18774" xr:uid="{00000000-0005-0000-0000-000071940000}"/>
    <cellStyle name="Normal 57 7 3 2 3 4 2" xfId="44327" xr:uid="{00000000-0005-0000-0000-000072940000}"/>
    <cellStyle name="Normal 57 7 3 2 3 5" xfId="30264" xr:uid="{00000000-0005-0000-0000-000073940000}"/>
    <cellStyle name="Normal 57 7 3 2 4" xfId="2472" xr:uid="{00000000-0005-0000-0000-000074940000}"/>
    <cellStyle name="Normal 57 7 3 2 4 2" xfId="11837" xr:uid="{00000000-0005-0000-0000-000075940000}"/>
    <cellStyle name="Normal 57 7 3 2 4 2 2" xfId="37392" xr:uid="{00000000-0005-0000-0000-000076940000}"/>
    <cellStyle name="Normal 57 7 3 2 4 3" xfId="21841" xr:uid="{00000000-0005-0000-0000-000077940000}"/>
    <cellStyle name="Normal 57 7 3 2 4 3 2" xfId="47394" xr:uid="{00000000-0005-0000-0000-000078940000}"/>
    <cellStyle name="Normal 57 7 3 2 4 4" xfId="28324" xr:uid="{00000000-0005-0000-0000-000079940000}"/>
    <cellStyle name="Normal 57 7 3 2 5" xfId="6148" xr:uid="{00000000-0005-0000-0000-00007A940000}"/>
    <cellStyle name="Normal 57 7 3 2 5 2" xfId="14975" xr:uid="{00000000-0005-0000-0000-00007B940000}"/>
    <cellStyle name="Normal 57 7 3 2 5 2 2" xfId="40530" xr:uid="{00000000-0005-0000-0000-00007C940000}"/>
    <cellStyle name="Normal 57 7 3 2 5 3" xfId="25226" xr:uid="{00000000-0005-0000-0000-00007D940000}"/>
    <cellStyle name="Normal 57 7 3 2 5 3 2" xfId="50779" xr:uid="{00000000-0005-0000-0000-00007E940000}"/>
    <cellStyle name="Normal 57 7 3 2 5 4" xfId="31709" xr:uid="{00000000-0005-0000-0000-00007F940000}"/>
    <cellStyle name="Normal 57 7 3 2 6" xfId="7593" xr:uid="{00000000-0005-0000-0000-000080940000}"/>
    <cellStyle name="Normal 57 7 3 2 6 2" xfId="20323" xr:uid="{00000000-0005-0000-0000-000081940000}"/>
    <cellStyle name="Normal 57 7 3 2 6 2 2" xfId="45876" xr:uid="{00000000-0005-0000-0000-000082940000}"/>
    <cellStyle name="Normal 57 7 3 2 6 3" xfId="33150" xr:uid="{00000000-0005-0000-0000-000083940000}"/>
    <cellStyle name="Normal 57 7 3 2 7" xfId="16834" xr:uid="{00000000-0005-0000-0000-000084940000}"/>
    <cellStyle name="Normal 57 7 3 2 7 2" xfId="42387" xr:uid="{00000000-0005-0000-0000-000085940000}"/>
    <cellStyle name="Normal 57 7 3 2 8" xfId="26806" xr:uid="{00000000-0005-0000-0000-000086940000}"/>
    <cellStyle name="Normal 57 7 3 3" xfId="1239" xr:uid="{00000000-0005-0000-0000-000087940000}"/>
    <cellStyle name="Normal 57 7 3 3 2" xfId="3668" xr:uid="{00000000-0005-0000-0000-000088940000}"/>
    <cellStyle name="Normal 57 7 3 3 2 2" xfId="12804" xr:uid="{00000000-0005-0000-0000-000089940000}"/>
    <cellStyle name="Normal 57 7 3 3 2 2 2" xfId="23023" xr:uid="{00000000-0005-0000-0000-00008A940000}"/>
    <cellStyle name="Normal 57 7 3 3 2 2 2 2" xfId="48576" xr:uid="{00000000-0005-0000-0000-00008B940000}"/>
    <cellStyle name="Normal 57 7 3 3 2 2 3" xfId="38359" xr:uid="{00000000-0005-0000-0000-00008C940000}"/>
    <cellStyle name="Normal 57 7 3 3 2 3" xfId="9225" xr:uid="{00000000-0005-0000-0000-00008D940000}"/>
    <cellStyle name="Normal 57 7 3 3 2 3 2" xfId="34782" xr:uid="{00000000-0005-0000-0000-00008E940000}"/>
    <cellStyle name="Normal 57 7 3 3 2 4" xfId="18016" xr:uid="{00000000-0005-0000-0000-00008F940000}"/>
    <cellStyle name="Normal 57 7 3 3 2 4 2" xfId="43569" xr:uid="{00000000-0005-0000-0000-000090940000}"/>
    <cellStyle name="Normal 57 7 3 3 2 5" xfId="29506" xr:uid="{00000000-0005-0000-0000-000091940000}"/>
    <cellStyle name="Normal 57 7 3 3 3" xfId="5041" xr:uid="{00000000-0005-0000-0000-000092940000}"/>
    <cellStyle name="Normal 57 7 3 3 3 2" xfId="13878" xr:uid="{00000000-0005-0000-0000-000093940000}"/>
    <cellStyle name="Normal 57 7 3 3 3 2 2" xfId="24129" xr:uid="{00000000-0005-0000-0000-000094940000}"/>
    <cellStyle name="Normal 57 7 3 3 3 2 2 2" xfId="49682" xr:uid="{00000000-0005-0000-0000-000095940000}"/>
    <cellStyle name="Normal 57 7 3 3 3 2 3" xfId="39433" xr:uid="{00000000-0005-0000-0000-000096940000}"/>
    <cellStyle name="Normal 57 7 3 3 3 3" xfId="10299" xr:uid="{00000000-0005-0000-0000-000097940000}"/>
    <cellStyle name="Normal 57 7 3 3 3 3 2" xfId="35856" xr:uid="{00000000-0005-0000-0000-000098940000}"/>
    <cellStyle name="Normal 57 7 3 3 3 4" xfId="19122" xr:uid="{00000000-0005-0000-0000-000099940000}"/>
    <cellStyle name="Normal 57 7 3 3 3 4 2" xfId="44675" xr:uid="{00000000-0005-0000-0000-00009A940000}"/>
    <cellStyle name="Normal 57 7 3 3 3 5" xfId="30612" xr:uid="{00000000-0005-0000-0000-00009B940000}"/>
    <cellStyle name="Normal 57 7 3 3 4" xfId="2062" xr:uid="{00000000-0005-0000-0000-00009C940000}"/>
    <cellStyle name="Normal 57 7 3 3 4 2" xfId="11427" xr:uid="{00000000-0005-0000-0000-00009D940000}"/>
    <cellStyle name="Normal 57 7 3 3 4 2 2" xfId="36982" xr:uid="{00000000-0005-0000-0000-00009E940000}"/>
    <cellStyle name="Normal 57 7 3 3 4 3" xfId="21431" xr:uid="{00000000-0005-0000-0000-00009F940000}"/>
    <cellStyle name="Normal 57 7 3 3 4 3 2" xfId="46984" xr:uid="{00000000-0005-0000-0000-0000A0940000}"/>
    <cellStyle name="Normal 57 7 3 3 4 4" xfId="27914" xr:uid="{00000000-0005-0000-0000-0000A1940000}"/>
    <cellStyle name="Normal 57 7 3 3 5" xfId="6496" xr:uid="{00000000-0005-0000-0000-0000A2940000}"/>
    <cellStyle name="Normal 57 7 3 3 5 2" xfId="15323" xr:uid="{00000000-0005-0000-0000-0000A3940000}"/>
    <cellStyle name="Normal 57 7 3 3 5 2 2" xfId="40878" xr:uid="{00000000-0005-0000-0000-0000A4940000}"/>
    <cellStyle name="Normal 57 7 3 3 5 3" xfId="25574" xr:uid="{00000000-0005-0000-0000-0000A5940000}"/>
    <cellStyle name="Normal 57 7 3 3 5 3 2" xfId="51127" xr:uid="{00000000-0005-0000-0000-0000A6940000}"/>
    <cellStyle name="Normal 57 7 3 3 5 4" xfId="32057" xr:uid="{00000000-0005-0000-0000-0000A7940000}"/>
    <cellStyle name="Normal 57 7 3 3 6" xfId="7942" xr:uid="{00000000-0005-0000-0000-0000A8940000}"/>
    <cellStyle name="Normal 57 7 3 3 6 2" xfId="20622" xr:uid="{00000000-0005-0000-0000-0000A9940000}"/>
    <cellStyle name="Normal 57 7 3 3 6 2 2" xfId="46175" xr:uid="{00000000-0005-0000-0000-0000AA940000}"/>
    <cellStyle name="Normal 57 7 3 3 6 3" xfId="33499" xr:uid="{00000000-0005-0000-0000-0000AB940000}"/>
    <cellStyle name="Normal 57 7 3 3 7" xfId="16424" xr:uid="{00000000-0005-0000-0000-0000AC940000}"/>
    <cellStyle name="Normal 57 7 3 3 7 2" xfId="41977" xr:uid="{00000000-0005-0000-0000-0000AD940000}"/>
    <cellStyle name="Normal 57 7 3 3 8" xfId="27105" xr:uid="{00000000-0005-0000-0000-0000AE940000}"/>
    <cellStyle name="Normal 57 7 3 4" xfId="2953" xr:uid="{00000000-0005-0000-0000-0000AF940000}"/>
    <cellStyle name="Normal 57 7 3 4 2" xfId="5331" xr:uid="{00000000-0005-0000-0000-0000B0940000}"/>
    <cellStyle name="Normal 57 7 3 4 2 2" xfId="14168" xr:uid="{00000000-0005-0000-0000-0000B1940000}"/>
    <cellStyle name="Normal 57 7 3 4 2 2 2" xfId="24419" xr:uid="{00000000-0005-0000-0000-0000B2940000}"/>
    <cellStyle name="Normal 57 7 3 4 2 2 2 2" xfId="49972" xr:uid="{00000000-0005-0000-0000-0000B3940000}"/>
    <cellStyle name="Normal 57 7 3 4 2 2 3" xfId="39723" xr:uid="{00000000-0005-0000-0000-0000B4940000}"/>
    <cellStyle name="Normal 57 7 3 4 2 3" xfId="10589" xr:uid="{00000000-0005-0000-0000-0000B5940000}"/>
    <cellStyle name="Normal 57 7 3 4 2 3 2" xfId="36146" xr:uid="{00000000-0005-0000-0000-0000B6940000}"/>
    <cellStyle name="Normal 57 7 3 4 2 4" xfId="19412" xr:uid="{00000000-0005-0000-0000-0000B7940000}"/>
    <cellStyle name="Normal 57 7 3 4 2 4 2" xfId="44965" xr:uid="{00000000-0005-0000-0000-0000B8940000}"/>
    <cellStyle name="Normal 57 7 3 4 2 5" xfId="30902" xr:uid="{00000000-0005-0000-0000-0000B9940000}"/>
    <cellStyle name="Normal 57 7 3 4 3" xfId="6786" xr:uid="{00000000-0005-0000-0000-0000BA940000}"/>
    <cellStyle name="Normal 57 7 3 4 3 2" xfId="15613" xr:uid="{00000000-0005-0000-0000-0000BB940000}"/>
    <cellStyle name="Normal 57 7 3 4 3 2 2" xfId="41168" xr:uid="{00000000-0005-0000-0000-0000BC940000}"/>
    <cellStyle name="Normal 57 7 3 4 3 3" xfId="25864" xr:uid="{00000000-0005-0000-0000-0000BD940000}"/>
    <cellStyle name="Normal 57 7 3 4 3 3 2" xfId="51417" xr:uid="{00000000-0005-0000-0000-0000BE940000}"/>
    <cellStyle name="Normal 57 7 3 4 3 4" xfId="32347" xr:uid="{00000000-0005-0000-0000-0000BF940000}"/>
    <cellStyle name="Normal 57 7 3 4 4" xfId="8232" xr:uid="{00000000-0005-0000-0000-0000C0940000}"/>
    <cellStyle name="Normal 57 7 3 4 4 2" xfId="22314" xr:uid="{00000000-0005-0000-0000-0000C1940000}"/>
    <cellStyle name="Normal 57 7 3 4 4 2 2" xfId="47867" xr:uid="{00000000-0005-0000-0000-0000C2940000}"/>
    <cellStyle name="Normal 57 7 3 4 4 3" xfId="33789" xr:uid="{00000000-0005-0000-0000-0000C3940000}"/>
    <cellStyle name="Normal 57 7 3 4 5" xfId="17307" xr:uid="{00000000-0005-0000-0000-0000C4940000}"/>
    <cellStyle name="Normal 57 7 3 4 5 2" xfId="42860" xr:uid="{00000000-0005-0000-0000-0000C5940000}"/>
    <cellStyle name="Normal 57 7 3 4 6" xfId="28797" xr:uid="{00000000-0005-0000-0000-0000C6940000}"/>
    <cellStyle name="Normal 57 7 3 5" xfId="4287" xr:uid="{00000000-0005-0000-0000-0000C7940000}"/>
    <cellStyle name="Normal 57 7 3 5 2" xfId="13125" xr:uid="{00000000-0005-0000-0000-0000C8940000}"/>
    <cellStyle name="Normal 57 7 3 5 2 2" xfId="23376" xr:uid="{00000000-0005-0000-0000-0000C9940000}"/>
    <cellStyle name="Normal 57 7 3 5 2 2 2" xfId="48929" xr:uid="{00000000-0005-0000-0000-0000CA940000}"/>
    <cellStyle name="Normal 57 7 3 5 2 3" xfId="38680" xr:uid="{00000000-0005-0000-0000-0000CB940000}"/>
    <cellStyle name="Normal 57 7 3 5 3" xfId="9546" xr:uid="{00000000-0005-0000-0000-0000CC940000}"/>
    <cellStyle name="Normal 57 7 3 5 3 2" xfId="35103" xr:uid="{00000000-0005-0000-0000-0000CD940000}"/>
    <cellStyle name="Normal 57 7 3 5 4" xfId="18369" xr:uid="{00000000-0005-0000-0000-0000CE940000}"/>
    <cellStyle name="Normal 57 7 3 5 4 2" xfId="43922" xr:uid="{00000000-0005-0000-0000-0000CF940000}"/>
    <cellStyle name="Normal 57 7 3 5 5" xfId="29859" xr:uid="{00000000-0005-0000-0000-0000D0940000}"/>
    <cellStyle name="Normal 57 7 3 6" xfId="1559" xr:uid="{00000000-0005-0000-0000-0000D1940000}"/>
    <cellStyle name="Normal 57 7 3 6 2" xfId="10936" xr:uid="{00000000-0005-0000-0000-0000D2940000}"/>
    <cellStyle name="Normal 57 7 3 6 2 2" xfId="36491" xr:uid="{00000000-0005-0000-0000-0000D3940000}"/>
    <cellStyle name="Normal 57 7 3 6 3" xfId="20940" xr:uid="{00000000-0005-0000-0000-0000D4940000}"/>
    <cellStyle name="Normal 57 7 3 6 3 2" xfId="46493" xr:uid="{00000000-0005-0000-0000-0000D5940000}"/>
    <cellStyle name="Normal 57 7 3 6 4" xfId="27423" xr:uid="{00000000-0005-0000-0000-0000D6940000}"/>
    <cellStyle name="Normal 57 7 3 7" xfId="5743" xr:uid="{00000000-0005-0000-0000-0000D7940000}"/>
    <cellStyle name="Normal 57 7 3 7 2" xfId="14570" xr:uid="{00000000-0005-0000-0000-0000D8940000}"/>
    <cellStyle name="Normal 57 7 3 7 2 2" xfId="40125" xr:uid="{00000000-0005-0000-0000-0000D9940000}"/>
    <cellStyle name="Normal 57 7 3 7 3" xfId="24821" xr:uid="{00000000-0005-0000-0000-0000DA940000}"/>
    <cellStyle name="Normal 57 7 3 7 3 2" xfId="50374" xr:uid="{00000000-0005-0000-0000-0000DB940000}"/>
    <cellStyle name="Normal 57 7 3 7 4" xfId="31304" xr:uid="{00000000-0005-0000-0000-0000DC940000}"/>
    <cellStyle name="Normal 57 7 3 8" xfId="7187" xr:uid="{00000000-0005-0000-0000-0000DD940000}"/>
    <cellStyle name="Normal 57 7 3 8 2" xfId="19913" xr:uid="{00000000-0005-0000-0000-0000DE940000}"/>
    <cellStyle name="Normal 57 7 3 8 2 2" xfId="45466" xr:uid="{00000000-0005-0000-0000-0000DF940000}"/>
    <cellStyle name="Normal 57 7 3 8 3" xfId="32744" xr:uid="{00000000-0005-0000-0000-0000E0940000}"/>
    <cellStyle name="Normal 57 7 3 9" xfId="15933" xr:uid="{00000000-0005-0000-0000-0000E1940000}"/>
    <cellStyle name="Normal 57 7 3 9 2" xfId="41486" xr:uid="{00000000-0005-0000-0000-0000E2940000}"/>
    <cellStyle name="Normal 57 7 3_Degree data" xfId="3984" xr:uid="{00000000-0005-0000-0000-0000E3940000}"/>
    <cellStyle name="Normal 57 7 4" xfId="367" xr:uid="{00000000-0005-0000-0000-0000E4940000}"/>
    <cellStyle name="Normal 57 7 4 2" xfId="2853" xr:uid="{00000000-0005-0000-0000-0000E5940000}"/>
    <cellStyle name="Normal 57 7 4 2 2" xfId="12141" xr:uid="{00000000-0005-0000-0000-0000E6940000}"/>
    <cellStyle name="Normal 57 7 4 2 2 2" xfId="22214" xr:uid="{00000000-0005-0000-0000-0000E7940000}"/>
    <cellStyle name="Normal 57 7 4 2 2 2 2" xfId="47767" xr:uid="{00000000-0005-0000-0000-0000E8940000}"/>
    <cellStyle name="Normal 57 7 4 2 2 3" xfId="37696" xr:uid="{00000000-0005-0000-0000-0000E9940000}"/>
    <cellStyle name="Normal 57 7 4 2 3" xfId="8612" xr:uid="{00000000-0005-0000-0000-0000EA940000}"/>
    <cellStyle name="Normal 57 7 4 2 3 2" xfId="34169" xr:uid="{00000000-0005-0000-0000-0000EB940000}"/>
    <cellStyle name="Normal 57 7 4 2 4" xfId="17207" xr:uid="{00000000-0005-0000-0000-0000EC940000}"/>
    <cellStyle name="Normal 57 7 4 2 4 2" xfId="42760" xr:uid="{00000000-0005-0000-0000-0000ED940000}"/>
    <cellStyle name="Normal 57 7 4 2 5" xfId="28697" xr:uid="{00000000-0005-0000-0000-0000EE940000}"/>
    <cellStyle name="Normal 57 7 4 3" xfId="4690" xr:uid="{00000000-0005-0000-0000-0000EF940000}"/>
    <cellStyle name="Normal 57 7 4 3 2" xfId="13528" xr:uid="{00000000-0005-0000-0000-0000F0940000}"/>
    <cellStyle name="Normal 57 7 4 3 2 2" xfId="23779" xr:uid="{00000000-0005-0000-0000-0000F1940000}"/>
    <cellStyle name="Normal 57 7 4 3 2 2 2" xfId="49332" xr:uid="{00000000-0005-0000-0000-0000F2940000}"/>
    <cellStyle name="Normal 57 7 4 3 2 3" xfId="39083" xr:uid="{00000000-0005-0000-0000-0000F3940000}"/>
    <cellStyle name="Normal 57 7 4 3 3" xfId="9949" xr:uid="{00000000-0005-0000-0000-0000F4940000}"/>
    <cellStyle name="Normal 57 7 4 3 3 2" xfId="35506" xr:uid="{00000000-0005-0000-0000-0000F5940000}"/>
    <cellStyle name="Normal 57 7 4 3 4" xfId="18772" xr:uid="{00000000-0005-0000-0000-0000F6940000}"/>
    <cellStyle name="Normal 57 7 4 3 4 2" xfId="44325" xr:uid="{00000000-0005-0000-0000-0000F7940000}"/>
    <cellStyle name="Normal 57 7 4 3 5" xfId="30262" xr:uid="{00000000-0005-0000-0000-0000F8940000}"/>
    <cellStyle name="Normal 57 7 4 4" xfId="1962" xr:uid="{00000000-0005-0000-0000-0000F9940000}"/>
    <cellStyle name="Normal 57 7 4 4 2" xfId="11327" xr:uid="{00000000-0005-0000-0000-0000FA940000}"/>
    <cellStyle name="Normal 57 7 4 4 2 2" xfId="36882" xr:uid="{00000000-0005-0000-0000-0000FB940000}"/>
    <cellStyle name="Normal 57 7 4 4 3" xfId="21331" xr:uid="{00000000-0005-0000-0000-0000FC940000}"/>
    <cellStyle name="Normal 57 7 4 4 3 2" xfId="46884" xr:uid="{00000000-0005-0000-0000-0000FD940000}"/>
    <cellStyle name="Normal 57 7 4 4 4" xfId="27814" xr:uid="{00000000-0005-0000-0000-0000FE940000}"/>
    <cellStyle name="Normal 57 7 4 5" xfId="6146" xr:uid="{00000000-0005-0000-0000-0000FF940000}"/>
    <cellStyle name="Normal 57 7 4 5 2" xfId="14973" xr:uid="{00000000-0005-0000-0000-000000950000}"/>
    <cellStyle name="Normal 57 7 4 5 2 2" xfId="40528" xr:uid="{00000000-0005-0000-0000-000001950000}"/>
    <cellStyle name="Normal 57 7 4 5 3" xfId="25224" xr:uid="{00000000-0005-0000-0000-000002950000}"/>
    <cellStyle name="Normal 57 7 4 5 3 2" xfId="50777" xr:uid="{00000000-0005-0000-0000-000003950000}"/>
    <cellStyle name="Normal 57 7 4 5 4" xfId="31707" xr:uid="{00000000-0005-0000-0000-000004950000}"/>
    <cellStyle name="Normal 57 7 4 6" xfId="7591" xr:uid="{00000000-0005-0000-0000-000005950000}"/>
    <cellStyle name="Normal 57 7 4 6 2" xfId="19813" xr:uid="{00000000-0005-0000-0000-000006950000}"/>
    <cellStyle name="Normal 57 7 4 6 2 2" xfId="45366" xr:uid="{00000000-0005-0000-0000-000007950000}"/>
    <cellStyle name="Normal 57 7 4 6 3" xfId="33148" xr:uid="{00000000-0005-0000-0000-000008950000}"/>
    <cellStyle name="Normal 57 7 4 7" xfId="16324" xr:uid="{00000000-0005-0000-0000-000009950000}"/>
    <cellStyle name="Normal 57 7 4 7 2" xfId="41877" xr:uid="{00000000-0005-0000-0000-00000A950000}"/>
    <cellStyle name="Normal 57 7 4 8" xfId="26296" xr:uid="{00000000-0005-0000-0000-00000B950000}"/>
    <cellStyle name="Normal 57 7 5" xfId="876" xr:uid="{00000000-0005-0000-0000-00000C950000}"/>
    <cellStyle name="Normal 57 7 5 2" xfId="3361" xr:uid="{00000000-0005-0000-0000-00000D950000}"/>
    <cellStyle name="Normal 57 7 5 2 2" xfId="12503" xr:uid="{00000000-0005-0000-0000-00000E950000}"/>
    <cellStyle name="Normal 57 7 5 2 2 2" xfId="22722" xr:uid="{00000000-0005-0000-0000-00000F950000}"/>
    <cellStyle name="Normal 57 7 5 2 2 2 2" xfId="48275" xr:uid="{00000000-0005-0000-0000-000010950000}"/>
    <cellStyle name="Normal 57 7 5 2 2 3" xfId="38058" xr:uid="{00000000-0005-0000-0000-000011950000}"/>
    <cellStyle name="Normal 57 7 5 2 3" xfId="8925" xr:uid="{00000000-0005-0000-0000-000012950000}"/>
    <cellStyle name="Normal 57 7 5 2 3 2" xfId="34482" xr:uid="{00000000-0005-0000-0000-000013950000}"/>
    <cellStyle name="Normal 57 7 5 2 4" xfId="17715" xr:uid="{00000000-0005-0000-0000-000014950000}"/>
    <cellStyle name="Normal 57 7 5 2 4 2" xfId="43268" xr:uid="{00000000-0005-0000-0000-000015950000}"/>
    <cellStyle name="Normal 57 7 5 2 5" xfId="29205" xr:uid="{00000000-0005-0000-0000-000016950000}"/>
    <cellStyle name="Normal 57 7 5 3" xfId="5039" xr:uid="{00000000-0005-0000-0000-000017950000}"/>
    <cellStyle name="Normal 57 7 5 3 2" xfId="13876" xr:uid="{00000000-0005-0000-0000-000018950000}"/>
    <cellStyle name="Normal 57 7 5 3 2 2" xfId="24127" xr:uid="{00000000-0005-0000-0000-000019950000}"/>
    <cellStyle name="Normal 57 7 5 3 2 2 2" xfId="49680" xr:uid="{00000000-0005-0000-0000-00001A950000}"/>
    <cellStyle name="Normal 57 7 5 3 2 3" xfId="39431" xr:uid="{00000000-0005-0000-0000-00001B950000}"/>
    <cellStyle name="Normal 57 7 5 3 3" xfId="10297" xr:uid="{00000000-0005-0000-0000-00001C950000}"/>
    <cellStyle name="Normal 57 7 5 3 3 2" xfId="35854" xr:uid="{00000000-0005-0000-0000-00001D950000}"/>
    <cellStyle name="Normal 57 7 5 3 4" xfId="19120" xr:uid="{00000000-0005-0000-0000-00001E950000}"/>
    <cellStyle name="Normal 57 7 5 3 4 2" xfId="44673" xr:uid="{00000000-0005-0000-0000-00001F950000}"/>
    <cellStyle name="Normal 57 7 5 3 5" xfId="30610" xr:uid="{00000000-0005-0000-0000-000020950000}"/>
    <cellStyle name="Normal 57 7 5 4" xfId="2470" xr:uid="{00000000-0005-0000-0000-000021950000}"/>
    <cellStyle name="Normal 57 7 5 4 2" xfId="11835" xr:uid="{00000000-0005-0000-0000-000022950000}"/>
    <cellStyle name="Normal 57 7 5 4 2 2" xfId="37390" xr:uid="{00000000-0005-0000-0000-000023950000}"/>
    <cellStyle name="Normal 57 7 5 4 3" xfId="21839" xr:uid="{00000000-0005-0000-0000-000024950000}"/>
    <cellStyle name="Normal 57 7 5 4 3 2" xfId="47392" xr:uid="{00000000-0005-0000-0000-000025950000}"/>
    <cellStyle name="Normal 57 7 5 4 4" xfId="28322" xr:uid="{00000000-0005-0000-0000-000026950000}"/>
    <cellStyle name="Normal 57 7 5 5" xfId="6494" xr:uid="{00000000-0005-0000-0000-000027950000}"/>
    <cellStyle name="Normal 57 7 5 5 2" xfId="15321" xr:uid="{00000000-0005-0000-0000-000028950000}"/>
    <cellStyle name="Normal 57 7 5 5 2 2" xfId="40876" xr:uid="{00000000-0005-0000-0000-000029950000}"/>
    <cellStyle name="Normal 57 7 5 5 3" xfId="25572" xr:uid="{00000000-0005-0000-0000-00002A950000}"/>
    <cellStyle name="Normal 57 7 5 5 3 2" xfId="51125" xr:uid="{00000000-0005-0000-0000-00002B950000}"/>
    <cellStyle name="Normal 57 7 5 5 4" xfId="32055" xr:uid="{00000000-0005-0000-0000-00002C950000}"/>
    <cellStyle name="Normal 57 7 5 6" xfId="7940" xr:uid="{00000000-0005-0000-0000-00002D950000}"/>
    <cellStyle name="Normal 57 7 5 6 2" xfId="20321" xr:uid="{00000000-0005-0000-0000-00002E950000}"/>
    <cellStyle name="Normal 57 7 5 6 2 2" xfId="45874" xr:uid="{00000000-0005-0000-0000-00002F950000}"/>
    <cellStyle name="Normal 57 7 5 6 3" xfId="33497" xr:uid="{00000000-0005-0000-0000-000030950000}"/>
    <cellStyle name="Normal 57 7 5 7" xfId="16832" xr:uid="{00000000-0005-0000-0000-000031950000}"/>
    <cellStyle name="Normal 57 7 5 7 2" xfId="42385" xr:uid="{00000000-0005-0000-0000-000032950000}"/>
    <cellStyle name="Normal 57 7 5 8" xfId="26804" xr:uid="{00000000-0005-0000-0000-000033950000}"/>
    <cellStyle name="Normal 57 7 6" xfId="1139" xr:uid="{00000000-0005-0000-0000-000034950000}"/>
    <cellStyle name="Normal 57 7 6 2" xfId="3568" xr:uid="{00000000-0005-0000-0000-000035950000}"/>
    <cellStyle name="Normal 57 7 6 2 2" xfId="12704" xr:uid="{00000000-0005-0000-0000-000036950000}"/>
    <cellStyle name="Normal 57 7 6 2 2 2" xfId="22923" xr:uid="{00000000-0005-0000-0000-000037950000}"/>
    <cellStyle name="Normal 57 7 6 2 2 2 2" xfId="48476" xr:uid="{00000000-0005-0000-0000-000038950000}"/>
    <cellStyle name="Normal 57 7 6 2 2 3" xfId="38259" xr:uid="{00000000-0005-0000-0000-000039950000}"/>
    <cellStyle name="Normal 57 7 6 2 3" xfId="9125" xr:uid="{00000000-0005-0000-0000-00003A950000}"/>
    <cellStyle name="Normal 57 7 6 2 3 2" xfId="34682" xr:uid="{00000000-0005-0000-0000-00003B950000}"/>
    <cellStyle name="Normal 57 7 6 2 4" xfId="17916" xr:uid="{00000000-0005-0000-0000-00003C950000}"/>
    <cellStyle name="Normal 57 7 6 2 4 2" xfId="43469" xr:uid="{00000000-0005-0000-0000-00003D950000}"/>
    <cellStyle name="Normal 57 7 6 2 5" xfId="29406" xr:uid="{00000000-0005-0000-0000-00003E950000}"/>
    <cellStyle name="Normal 57 7 6 3" xfId="5231" xr:uid="{00000000-0005-0000-0000-00003F950000}"/>
    <cellStyle name="Normal 57 7 6 3 2" xfId="14068" xr:uid="{00000000-0005-0000-0000-000040950000}"/>
    <cellStyle name="Normal 57 7 6 3 2 2" xfId="24319" xr:uid="{00000000-0005-0000-0000-000041950000}"/>
    <cellStyle name="Normal 57 7 6 3 2 2 2" xfId="49872" xr:uid="{00000000-0005-0000-0000-000042950000}"/>
    <cellStyle name="Normal 57 7 6 3 2 3" xfId="39623" xr:uid="{00000000-0005-0000-0000-000043950000}"/>
    <cellStyle name="Normal 57 7 6 3 3" xfId="10489" xr:uid="{00000000-0005-0000-0000-000044950000}"/>
    <cellStyle name="Normal 57 7 6 3 3 2" xfId="36046" xr:uid="{00000000-0005-0000-0000-000045950000}"/>
    <cellStyle name="Normal 57 7 6 3 4" xfId="19312" xr:uid="{00000000-0005-0000-0000-000046950000}"/>
    <cellStyle name="Normal 57 7 6 3 4 2" xfId="44865" xr:uid="{00000000-0005-0000-0000-000047950000}"/>
    <cellStyle name="Normal 57 7 6 3 5" xfId="30802" xr:uid="{00000000-0005-0000-0000-000048950000}"/>
    <cellStyle name="Normal 57 7 6 4" xfId="1738" xr:uid="{00000000-0005-0000-0000-000049950000}"/>
    <cellStyle name="Normal 57 7 6 4 2" xfId="11109" xr:uid="{00000000-0005-0000-0000-00004A950000}"/>
    <cellStyle name="Normal 57 7 6 4 2 2" xfId="36664" xr:uid="{00000000-0005-0000-0000-00004B950000}"/>
    <cellStyle name="Normal 57 7 6 4 3" xfId="21113" xr:uid="{00000000-0005-0000-0000-00004C950000}"/>
    <cellStyle name="Normal 57 7 6 4 3 2" xfId="46666" xr:uid="{00000000-0005-0000-0000-00004D950000}"/>
    <cellStyle name="Normal 57 7 6 4 4" xfId="27596" xr:uid="{00000000-0005-0000-0000-00004E950000}"/>
    <cellStyle name="Normal 57 7 6 5" xfId="6686" xr:uid="{00000000-0005-0000-0000-00004F950000}"/>
    <cellStyle name="Normal 57 7 6 5 2" xfId="15513" xr:uid="{00000000-0005-0000-0000-000050950000}"/>
    <cellStyle name="Normal 57 7 6 5 2 2" xfId="41068" xr:uid="{00000000-0005-0000-0000-000051950000}"/>
    <cellStyle name="Normal 57 7 6 5 3" xfId="25764" xr:uid="{00000000-0005-0000-0000-000052950000}"/>
    <cellStyle name="Normal 57 7 6 5 3 2" xfId="51317" xr:uid="{00000000-0005-0000-0000-000053950000}"/>
    <cellStyle name="Normal 57 7 6 5 4" xfId="32247" xr:uid="{00000000-0005-0000-0000-000054950000}"/>
    <cellStyle name="Normal 57 7 6 6" xfId="8132" xr:uid="{00000000-0005-0000-0000-000055950000}"/>
    <cellStyle name="Normal 57 7 6 6 2" xfId="20522" xr:uid="{00000000-0005-0000-0000-000056950000}"/>
    <cellStyle name="Normal 57 7 6 6 2 2" xfId="46075" xr:uid="{00000000-0005-0000-0000-000057950000}"/>
    <cellStyle name="Normal 57 7 6 6 3" xfId="33689" xr:uid="{00000000-0005-0000-0000-000058950000}"/>
    <cellStyle name="Normal 57 7 6 7" xfId="16106" xr:uid="{00000000-0005-0000-0000-000059950000}"/>
    <cellStyle name="Normal 57 7 6 7 2" xfId="41659" xr:uid="{00000000-0005-0000-0000-00005A950000}"/>
    <cellStyle name="Normal 57 7 6 8" xfId="27005" xr:uid="{00000000-0005-0000-0000-00005B950000}"/>
    <cellStyle name="Normal 57 7 7" xfId="2636" xr:uid="{00000000-0005-0000-0000-00005C950000}"/>
    <cellStyle name="Normal 57 7 7 2" xfId="11968" xr:uid="{00000000-0005-0000-0000-00005D950000}"/>
    <cellStyle name="Normal 57 7 7 2 2" xfId="21997" xr:uid="{00000000-0005-0000-0000-00005E950000}"/>
    <cellStyle name="Normal 57 7 7 2 2 2" xfId="47550" xr:uid="{00000000-0005-0000-0000-00005F950000}"/>
    <cellStyle name="Normal 57 7 7 2 3" xfId="37523" xr:uid="{00000000-0005-0000-0000-000060950000}"/>
    <cellStyle name="Normal 57 7 7 3" xfId="8388" xr:uid="{00000000-0005-0000-0000-000061950000}"/>
    <cellStyle name="Normal 57 7 7 3 2" xfId="33945" xr:uid="{00000000-0005-0000-0000-000062950000}"/>
    <cellStyle name="Normal 57 7 7 4" xfId="16990" xr:uid="{00000000-0005-0000-0000-000063950000}"/>
    <cellStyle name="Normal 57 7 7 4 2" xfId="42543" xr:uid="{00000000-0005-0000-0000-000064950000}"/>
    <cellStyle name="Normal 57 7 7 5" xfId="28480" xr:uid="{00000000-0005-0000-0000-000065950000}"/>
    <cellStyle name="Normal 57 7 8" xfId="4187" xr:uid="{00000000-0005-0000-0000-000066950000}"/>
    <cellStyle name="Normal 57 7 8 2" xfId="13025" xr:uid="{00000000-0005-0000-0000-000067950000}"/>
    <cellStyle name="Normal 57 7 8 2 2" xfId="23276" xr:uid="{00000000-0005-0000-0000-000068950000}"/>
    <cellStyle name="Normal 57 7 8 2 2 2" xfId="48829" xr:uid="{00000000-0005-0000-0000-000069950000}"/>
    <cellStyle name="Normal 57 7 8 2 3" xfId="38580" xr:uid="{00000000-0005-0000-0000-00006A950000}"/>
    <cellStyle name="Normal 57 7 8 3" xfId="9446" xr:uid="{00000000-0005-0000-0000-00006B950000}"/>
    <cellStyle name="Normal 57 7 8 3 2" xfId="35003" xr:uid="{00000000-0005-0000-0000-00006C950000}"/>
    <cellStyle name="Normal 57 7 8 4" xfId="18269" xr:uid="{00000000-0005-0000-0000-00006D950000}"/>
    <cellStyle name="Normal 57 7 8 4 2" xfId="43822" xr:uid="{00000000-0005-0000-0000-00006E950000}"/>
    <cellStyle name="Normal 57 7 8 5" xfId="29759" xr:uid="{00000000-0005-0000-0000-00006F950000}"/>
    <cellStyle name="Normal 57 7 9" xfId="1459" xr:uid="{00000000-0005-0000-0000-000070950000}"/>
    <cellStyle name="Normal 57 7 9 2" xfId="10836" xr:uid="{00000000-0005-0000-0000-000071950000}"/>
    <cellStyle name="Normal 57 7 9 2 2" xfId="36391" xr:uid="{00000000-0005-0000-0000-000072950000}"/>
    <cellStyle name="Normal 57 7 9 3" xfId="20840" xr:uid="{00000000-0005-0000-0000-000073950000}"/>
    <cellStyle name="Normal 57 7 9 3 2" xfId="46393" xr:uid="{00000000-0005-0000-0000-000074950000}"/>
    <cellStyle name="Normal 57 7 9 4" xfId="27323" xr:uid="{00000000-0005-0000-0000-000075950000}"/>
    <cellStyle name="Normal 57 7_Degree data" xfId="3982" xr:uid="{00000000-0005-0000-0000-000076950000}"/>
    <cellStyle name="Normal 57 8" xfId="169" xr:uid="{00000000-0005-0000-0000-000077950000}"/>
    <cellStyle name="Normal 57 8 10" xfId="7117" xr:uid="{00000000-0005-0000-0000-000078950000}"/>
    <cellStyle name="Normal 57 8 10 2" xfId="19626" xr:uid="{00000000-0005-0000-0000-000079950000}"/>
    <cellStyle name="Normal 57 8 10 2 2" xfId="45179" xr:uid="{00000000-0005-0000-0000-00007A950000}"/>
    <cellStyle name="Normal 57 8 10 3" xfId="32674" xr:uid="{00000000-0005-0000-0000-00007B950000}"/>
    <cellStyle name="Normal 57 8 11" xfId="15863" xr:uid="{00000000-0005-0000-0000-00007C950000}"/>
    <cellStyle name="Normal 57 8 11 2" xfId="41416" xr:uid="{00000000-0005-0000-0000-00007D950000}"/>
    <cellStyle name="Normal 57 8 12" xfId="26109" xr:uid="{00000000-0005-0000-0000-00007E950000}"/>
    <cellStyle name="Normal 57 8 2" xfId="497" xr:uid="{00000000-0005-0000-0000-00007F950000}"/>
    <cellStyle name="Normal 57 8 2 10" xfId="26426" xr:uid="{00000000-0005-0000-0000-000080950000}"/>
    <cellStyle name="Normal 57 8 2 2" xfId="880" xr:uid="{00000000-0005-0000-0000-000081950000}"/>
    <cellStyle name="Normal 57 8 2 2 2" xfId="3365" xr:uid="{00000000-0005-0000-0000-000082950000}"/>
    <cellStyle name="Normal 57 8 2 2 2 2" xfId="12507" xr:uid="{00000000-0005-0000-0000-000083950000}"/>
    <cellStyle name="Normal 57 8 2 2 2 2 2" xfId="22726" xr:uid="{00000000-0005-0000-0000-000084950000}"/>
    <cellStyle name="Normal 57 8 2 2 2 2 2 2" xfId="48279" xr:uid="{00000000-0005-0000-0000-000085950000}"/>
    <cellStyle name="Normal 57 8 2 2 2 2 3" xfId="38062" xr:uid="{00000000-0005-0000-0000-000086950000}"/>
    <cellStyle name="Normal 57 8 2 2 2 3" xfId="8929" xr:uid="{00000000-0005-0000-0000-000087950000}"/>
    <cellStyle name="Normal 57 8 2 2 2 3 2" xfId="34486" xr:uid="{00000000-0005-0000-0000-000088950000}"/>
    <cellStyle name="Normal 57 8 2 2 2 4" xfId="17719" xr:uid="{00000000-0005-0000-0000-000089950000}"/>
    <cellStyle name="Normal 57 8 2 2 2 4 2" xfId="43272" xr:uid="{00000000-0005-0000-0000-00008A950000}"/>
    <cellStyle name="Normal 57 8 2 2 2 5" xfId="29209" xr:uid="{00000000-0005-0000-0000-00008B950000}"/>
    <cellStyle name="Normal 57 8 2 2 3" xfId="4694" xr:uid="{00000000-0005-0000-0000-00008C950000}"/>
    <cellStyle name="Normal 57 8 2 2 3 2" xfId="13532" xr:uid="{00000000-0005-0000-0000-00008D950000}"/>
    <cellStyle name="Normal 57 8 2 2 3 2 2" xfId="23783" xr:uid="{00000000-0005-0000-0000-00008E950000}"/>
    <cellStyle name="Normal 57 8 2 2 3 2 2 2" xfId="49336" xr:uid="{00000000-0005-0000-0000-00008F950000}"/>
    <cellStyle name="Normal 57 8 2 2 3 2 3" xfId="39087" xr:uid="{00000000-0005-0000-0000-000090950000}"/>
    <cellStyle name="Normal 57 8 2 2 3 3" xfId="9953" xr:uid="{00000000-0005-0000-0000-000091950000}"/>
    <cellStyle name="Normal 57 8 2 2 3 3 2" xfId="35510" xr:uid="{00000000-0005-0000-0000-000092950000}"/>
    <cellStyle name="Normal 57 8 2 2 3 4" xfId="18776" xr:uid="{00000000-0005-0000-0000-000093950000}"/>
    <cellStyle name="Normal 57 8 2 2 3 4 2" xfId="44329" xr:uid="{00000000-0005-0000-0000-000094950000}"/>
    <cellStyle name="Normal 57 8 2 2 3 5" xfId="30266" xr:uid="{00000000-0005-0000-0000-000095950000}"/>
    <cellStyle name="Normal 57 8 2 2 4" xfId="2474" xr:uid="{00000000-0005-0000-0000-000096950000}"/>
    <cellStyle name="Normal 57 8 2 2 4 2" xfId="11839" xr:uid="{00000000-0005-0000-0000-000097950000}"/>
    <cellStyle name="Normal 57 8 2 2 4 2 2" xfId="37394" xr:uid="{00000000-0005-0000-0000-000098950000}"/>
    <cellStyle name="Normal 57 8 2 2 4 3" xfId="21843" xr:uid="{00000000-0005-0000-0000-000099950000}"/>
    <cellStyle name="Normal 57 8 2 2 4 3 2" xfId="47396" xr:uid="{00000000-0005-0000-0000-00009A950000}"/>
    <cellStyle name="Normal 57 8 2 2 4 4" xfId="28326" xr:uid="{00000000-0005-0000-0000-00009B950000}"/>
    <cellStyle name="Normal 57 8 2 2 5" xfId="6150" xr:uid="{00000000-0005-0000-0000-00009C950000}"/>
    <cellStyle name="Normal 57 8 2 2 5 2" xfId="14977" xr:uid="{00000000-0005-0000-0000-00009D950000}"/>
    <cellStyle name="Normal 57 8 2 2 5 2 2" xfId="40532" xr:uid="{00000000-0005-0000-0000-00009E950000}"/>
    <cellStyle name="Normal 57 8 2 2 5 3" xfId="25228" xr:uid="{00000000-0005-0000-0000-00009F950000}"/>
    <cellStyle name="Normal 57 8 2 2 5 3 2" xfId="50781" xr:uid="{00000000-0005-0000-0000-0000A0950000}"/>
    <cellStyle name="Normal 57 8 2 2 5 4" xfId="31711" xr:uid="{00000000-0005-0000-0000-0000A1950000}"/>
    <cellStyle name="Normal 57 8 2 2 6" xfId="7595" xr:uid="{00000000-0005-0000-0000-0000A2950000}"/>
    <cellStyle name="Normal 57 8 2 2 6 2" xfId="20325" xr:uid="{00000000-0005-0000-0000-0000A3950000}"/>
    <cellStyle name="Normal 57 8 2 2 6 2 2" xfId="45878" xr:uid="{00000000-0005-0000-0000-0000A4950000}"/>
    <cellStyle name="Normal 57 8 2 2 6 3" xfId="33152" xr:uid="{00000000-0005-0000-0000-0000A5950000}"/>
    <cellStyle name="Normal 57 8 2 2 7" xfId="16836" xr:uid="{00000000-0005-0000-0000-0000A6950000}"/>
    <cellStyle name="Normal 57 8 2 2 7 2" xfId="42389" xr:uid="{00000000-0005-0000-0000-0000A7950000}"/>
    <cellStyle name="Normal 57 8 2 2 8" xfId="26808" xr:uid="{00000000-0005-0000-0000-0000A8950000}"/>
    <cellStyle name="Normal 57 8 2 3" xfId="1269" xr:uid="{00000000-0005-0000-0000-0000A9950000}"/>
    <cellStyle name="Normal 57 8 2 3 2" xfId="3698" xr:uid="{00000000-0005-0000-0000-0000AA950000}"/>
    <cellStyle name="Normal 57 8 2 3 2 2" xfId="12834" xr:uid="{00000000-0005-0000-0000-0000AB950000}"/>
    <cellStyle name="Normal 57 8 2 3 2 2 2" xfId="23053" xr:uid="{00000000-0005-0000-0000-0000AC950000}"/>
    <cellStyle name="Normal 57 8 2 3 2 2 2 2" xfId="48606" xr:uid="{00000000-0005-0000-0000-0000AD950000}"/>
    <cellStyle name="Normal 57 8 2 3 2 2 3" xfId="38389" xr:uid="{00000000-0005-0000-0000-0000AE950000}"/>
    <cellStyle name="Normal 57 8 2 3 2 3" xfId="9255" xr:uid="{00000000-0005-0000-0000-0000AF950000}"/>
    <cellStyle name="Normal 57 8 2 3 2 3 2" xfId="34812" xr:uid="{00000000-0005-0000-0000-0000B0950000}"/>
    <cellStyle name="Normal 57 8 2 3 2 4" xfId="18046" xr:uid="{00000000-0005-0000-0000-0000B1950000}"/>
    <cellStyle name="Normal 57 8 2 3 2 4 2" xfId="43599" xr:uid="{00000000-0005-0000-0000-0000B2950000}"/>
    <cellStyle name="Normal 57 8 2 3 2 5" xfId="29536" xr:uid="{00000000-0005-0000-0000-0000B3950000}"/>
    <cellStyle name="Normal 57 8 2 3 3" xfId="5043" xr:uid="{00000000-0005-0000-0000-0000B4950000}"/>
    <cellStyle name="Normal 57 8 2 3 3 2" xfId="13880" xr:uid="{00000000-0005-0000-0000-0000B5950000}"/>
    <cellStyle name="Normal 57 8 2 3 3 2 2" xfId="24131" xr:uid="{00000000-0005-0000-0000-0000B6950000}"/>
    <cellStyle name="Normal 57 8 2 3 3 2 2 2" xfId="49684" xr:uid="{00000000-0005-0000-0000-0000B7950000}"/>
    <cellStyle name="Normal 57 8 2 3 3 2 3" xfId="39435" xr:uid="{00000000-0005-0000-0000-0000B8950000}"/>
    <cellStyle name="Normal 57 8 2 3 3 3" xfId="10301" xr:uid="{00000000-0005-0000-0000-0000B9950000}"/>
    <cellStyle name="Normal 57 8 2 3 3 3 2" xfId="35858" xr:uid="{00000000-0005-0000-0000-0000BA950000}"/>
    <cellStyle name="Normal 57 8 2 3 3 4" xfId="19124" xr:uid="{00000000-0005-0000-0000-0000BB950000}"/>
    <cellStyle name="Normal 57 8 2 3 3 4 2" xfId="44677" xr:uid="{00000000-0005-0000-0000-0000BC950000}"/>
    <cellStyle name="Normal 57 8 2 3 3 5" xfId="30614" xr:uid="{00000000-0005-0000-0000-0000BD950000}"/>
    <cellStyle name="Normal 57 8 2 3 4" xfId="2092" xr:uid="{00000000-0005-0000-0000-0000BE950000}"/>
    <cellStyle name="Normal 57 8 2 3 4 2" xfId="11457" xr:uid="{00000000-0005-0000-0000-0000BF950000}"/>
    <cellStyle name="Normal 57 8 2 3 4 2 2" xfId="37012" xr:uid="{00000000-0005-0000-0000-0000C0950000}"/>
    <cellStyle name="Normal 57 8 2 3 4 3" xfId="21461" xr:uid="{00000000-0005-0000-0000-0000C1950000}"/>
    <cellStyle name="Normal 57 8 2 3 4 3 2" xfId="47014" xr:uid="{00000000-0005-0000-0000-0000C2950000}"/>
    <cellStyle name="Normal 57 8 2 3 4 4" xfId="27944" xr:uid="{00000000-0005-0000-0000-0000C3950000}"/>
    <cellStyle name="Normal 57 8 2 3 5" xfId="6498" xr:uid="{00000000-0005-0000-0000-0000C4950000}"/>
    <cellStyle name="Normal 57 8 2 3 5 2" xfId="15325" xr:uid="{00000000-0005-0000-0000-0000C5950000}"/>
    <cellStyle name="Normal 57 8 2 3 5 2 2" xfId="40880" xr:uid="{00000000-0005-0000-0000-0000C6950000}"/>
    <cellStyle name="Normal 57 8 2 3 5 3" xfId="25576" xr:uid="{00000000-0005-0000-0000-0000C7950000}"/>
    <cellStyle name="Normal 57 8 2 3 5 3 2" xfId="51129" xr:uid="{00000000-0005-0000-0000-0000C8950000}"/>
    <cellStyle name="Normal 57 8 2 3 5 4" xfId="32059" xr:uid="{00000000-0005-0000-0000-0000C9950000}"/>
    <cellStyle name="Normal 57 8 2 3 6" xfId="7944" xr:uid="{00000000-0005-0000-0000-0000CA950000}"/>
    <cellStyle name="Normal 57 8 2 3 6 2" xfId="20652" xr:uid="{00000000-0005-0000-0000-0000CB950000}"/>
    <cellStyle name="Normal 57 8 2 3 6 2 2" xfId="46205" xr:uid="{00000000-0005-0000-0000-0000CC950000}"/>
    <cellStyle name="Normal 57 8 2 3 6 3" xfId="33501" xr:uid="{00000000-0005-0000-0000-0000CD950000}"/>
    <cellStyle name="Normal 57 8 2 3 7" xfId="16454" xr:uid="{00000000-0005-0000-0000-0000CE950000}"/>
    <cellStyle name="Normal 57 8 2 3 7 2" xfId="42007" xr:uid="{00000000-0005-0000-0000-0000CF950000}"/>
    <cellStyle name="Normal 57 8 2 3 8" xfId="27135" xr:uid="{00000000-0005-0000-0000-0000D0950000}"/>
    <cellStyle name="Normal 57 8 2 4" xfId="2983" xr:uid="{00000000-0005-0000-0000-0000D1950000}"/>
    <cellStyle name="Normal 57 8 2 4 2" xfId="5361" xr:uid="{00000000-0005-0000-0000-0000D2950000}"/>
    <cellStyle name="Normal 57 8 2 4 2 2" xfId="14198" xr:uid="{00000000-0005-0000-0000-0000D3950000}"/>
    <cellStyle name="Normal 57 8 2 4 2 2 2" xfId="24449" xr:uid="{00000000-0005-0000-0000-0000D4950000}"/>
    <cellStyle name="Normal 57 8 2 4 2 2 2 2" xfId="50002" xr:uid="{00000000-0005-0000-0000-0000D5950000}"/>
    <cellStyle name="Normal 57 8 2 4 2 2 3" xfId="39753" xr:uid="{00000000-0005-0000-0000-0000D6950000}"/>
    <cellStyle name="Normal 57 8 2 4 2 3" xfId="10619" xr:uid="{00000000-0005-0000-0000-0000D7950000}"/>
    <cellStyle name="Normal 57 8 2 4 2 3 2" xfId="36176" xr:uid="{00000000-0005-0000-0000-0000D8950000}"/>
    <cellStyle name="Normal 57 8 2 4 2 4" xfId="19442" xr:uid="{00000000-0005-0000-0000-0000D9950000}"/>
    <cellStyle name="Normal 57 8 2 4 2 4 2" xfId="44995" xr:uid="{00000000-0005-0000-0000-0000DA950000}"/>
    <cellStyle name="Normal 57 8 2 4 2 5" xfId="30932" xr:uid="{00000000-0005-0000-0000-0000DB950000}"/>
    <cellStyle name="Normal 57 8 2 4 3" xfId="6816" xr:uid="{00000000-0005-0000-0000-0000DC950000}"/>
    <cellStyle name="Normal 57 8 2 4 3 2" xfId="15643" xr:uid="{00000000-0005-0000-0000-0000DD950000}"/>
    <cellStyle name="Normal 57 8 2 4 3 2 2" xfId="41198" xr:uid="{00000000-0005-0000-0000-0000DE950000}"/>
    <cellStyle name="Normal 57 8 2 4 3 3" xfId="25894" xr:uid="{00000000-0005-0000-0000-0000DF950000}"/>
    <cellStyle name="Normal 57 8 2 4 3 3 2" xfId="51447" xr:uid="{00000000-0005-0000-0000-0000E0950000}"/>
    <cellStyle name="Normal 57 8 2 4 3 4" xfId="32377" xr:uid="{00000000-0005-0000-0000-0000E1950000}"/>
    <cellStyle name="Normal 57 8 2 4 4" xfId="8262" xr:uid="{00000000-0005-0000-0000-0000E2950000}"/>
    <cellStyle name="Normal 57 8 2 4 4 2" xfId="22344" xr:uid="{00000000-0005-0000-0000-0000E3950000}"/>
    <cellStyle name="Normal 57 8 2 4 4 2 2" xfId="47897" xr:uid="{00000000-0005-0000-0000-0000E4950000}"/>
    <cellStyle name="Normal 57 8 2 4 4 3" xfId="33819" xr:uid="{00000000-0005-0000-0000-0000E5950000}"/>
    <cellStyle name="Normal 57 8 2 4 5" xfId="17337" xr:uid="{00000000-0005-0000-0000-0000E6950000}"/>
    <cellStyle name="Normal 57 8 2 4 5 2" xfId="42890" xr:uid="{00000000-0005-0000-0000-0000E7950000}"/>
    <cellStyle name="Normal 57 8 2 4 6" xfId="28827" xr:uid="{00000000-0005-0000-0000-0000E8950000}"/>
    <cellStyle name="Normal 57 8 2 5" xfId="4317" xr:uid="{00000000-0005-0000-0000-0000E9950000}"/>
    <cellStyle name="Normal 57 8 2 5 2" xfId="13155" xr:uid="{00000000-0005-0000-0000-0000EA950000}"/>
    <cellStyle name="Normal 57 8 2 5 2 2" xfId="23406" xr:uid="{00000000-0005-0000-0000-0000EB950000}"/>
    <cellStyle name="Normal 57 8 2 5 2 2 2" xfId="48959" xr:uid="{00000000-0005-0000-0000-0000EC950000}"/>
    <cellStyle name="Normal 57 8 2 5 2 3" xfId="38710" xr:uid="{00000000-0005-0000-0000-0000ED950000}"/>
    <cellStyle name="Normal 57 8 2 5 3" xfId="9576" xr:uid="{00000000-0005-0000-0000-0000EE950000}"/>
    <cellStyle name="Normal 57 8 2 5 3 2" xfId="35133" xr:uid="{00000000-0005-0000-0000-0000EF950000}"/>
    <cellStyle name="Normal 57 8 2 5 4" xfId="18399" xr:uid="{00000000-0005-0000-0000-0000F0950000}"/>
    <cellStyle name="Normal 57 8 2 5 4 2" xfId="43952" xr:uid="{00000000-0005-0000-0000-0000F1950000}"/>
    <cellStyle name="Normal 57 8 2 5 5" xfId="29889" xr:uid="{00000000-0005-0000-0000-0000F2950000}"/>
    <cellStyle name="Normal 57 8 2 6" xfId="1589" xr:uid="{00000000-0005-0000-0000-0000F3950000}"/>
    <cellStyle name="Normal 57 8 2 6 2" xfId="10966" xr:uid="{00000000-0005-0000-0000-0000F4950000}"/>
    <cellStyle name="Normal 57 8 2 6 2 2" xfId="36521" xr:uid="{00000000-0005-0000-0000-0000F5950000}"/>
    <cellStyle name="Normal 57 8 2 6 3" xfId="20970" xr:uid="{00000000-0005-0000-0000-0000F6950000}"/>
    <cellStyle name="Normal 57 8 2 6 3 2" xfId="46523" xr:uid="{00000000-0005-0000-0000-0000F7950000}"/>
    <cellStyle name="Normal 57 8 2 6 4" xfId="27453" xr:uid="{00000000-0005-0000-0000-0000F8950000}"/>
    <cellStyle name="Normal 57 8 2 7" xfId="5773" xr:uid="{00000000-0005-0000-0000-0000F9950000}"/>
    <cellStyle name="Normal 57 8 2 7 2" xfId="14600" xr:uid="{00000000-0005-0000-0000-0000FA950000}"/>
    <cellStyle name="Normal 57 8 2 7 2 2" xfId="40155" xr:uid="{00000000-0005-0000-0000-0000FB950000}"/>
    <cellStyle name="Normal 57 8 2 7 3" xfId="24851" xr:uid="{00000000-0005-0000-0000-0000FC950000}"/>
    <cellStyle name="Normal 57 8 2 7 3 2" xfId="50404" xr:uid="{00000000-0005-0000-0000-0000FD950000}"/>
    <cellStyle name="Normal 57 8 2 7 4" xfId="31334" xr:uid="{00000000-0005-0000-0000-0000FE950000}"/>
    <cellStyle name="Normal 57 8 2 8" xfId="7217" xr:uid="{00000000-0005-0000-0000-0000FF950000}"/>
    <cellStyle name="Normal 57 8 2 8 2" xfId="19943" xr:uid="{00000000-0005-0000-0000-000000960000}"/>
    <cellStyle name="Normal 57 8 2 8 2 2" xfId="45496" xr:uid="{00000000-0005-0000-0000-000001960000}"/>
    <cellStyle name="Normal 57 8 2 8 3" xfId="32774" xr:uid="{00000000-0005-0000-0000-000002960000}"/>
    <cellStyle name="Normal 57 8 2 9" xfId="15963" xr:uid="{00000000-0005-0000-0000-000003960000}"/>
    <cellStyle name="Normal 57 8 2 9 2" xfId="41516" xr:uid="{00000000-0005-0000-0000-000004960000}"/>
    <cellStyle name="Normal 57 8 2_Degree data" xfId="3986" xr:uid="{00000000-0005-0000-0000-000005960000}"/>
    <cellStyle name="Normal 57 8 3" xfId="397" xr:uid="{00000000-0005-0000-0000-000006960000}"/>
    <cellStyle name="Normal 57 8 3 2" xfId="2883" xr:uid="{00000000-0005-0000-0000-000007960000}"/>
    <cellStyle name="Normal 57 8 3 2 2" xfId="12171" xr:uid="{00000000-0005-0000-0000-000008960000}"/>
    <cellStyle name="Normal 57 8 3 2 2 2" xfId="22244" xr:uid="{00000000-0005-0000-0000-000009960000}"/>
    <cellStyle name="Normal 57 8 3 2 2 2 2" xfId="47797" xr:uid="{00000000-0005-0000-0000-00000A960000}"/>
    <cellStyle name="Normal 57 8 3 2 2 3" xfId="37726" xr:uid="{00000000-0005-0000-0000-00000B960000}"/>
    <cellStyle name="Normal 57 8 3 2 3" xfId="8437" xr:uid="{00000000-0005-0000-0000-00000C960000}"/>
    <cellStyle name="Normal 57 8 3 2 3 2" xfId="33994" xr:uid="{00000000-0005-0000-0000-00000D960000}"/>
    <cellStyle name="Normal 57 8 3 2 4" xfId="17237" xr:uid="{00000000-0005-0000-0000-00000E960000}"/>
    <cellStyle name="Normal 57 8 3 2 4 2" xfId="42790" xr:uid="{00000000-0005-0000-0000-00000F960000}"/>
    <cellStyle name="Normal 57 8 3 2 5" xfId="28727" xr:uid="{00000000-0005-0000-0000-000010960000}"/>
    <cellStyle name="Normal 57 8 3 3" xfId="4693" xr:uid="{00000000-0005-0000-0000-000011960000}"/>
    <cellStyle name="Normal 57 8 3 3 2" xfId="13531" xr:uid="{00000000-0005-0000-0000-000012960000}"/>
    <cellStyle name="Normal 57 8 3 3 2 2" xfId="23782" xr:uid="{00000000-0005-0000-0000-000013960000}"/>
    <cellStyle name="Normal 57 8 3 3 2 2 2" xfId="49335" xr:uid="{00000000-0005-0000-0000-000014960000}"/>
    <cellStyle name="Normal 57 8 3 3 2 3" xfId="39086" xr:uid="{00000000-0005-0000-0000-000015960000}"/>
    <cellStyle name="Normal 57 8 3 3 3" xfId="9952" xr:uid="{00000000-0005-0000-0000-000016960000}"/>
    <cellStyle name="Normal 57 8 3 3 3 2" xfId="35509" xr:uid="{00000000-0005-0000-0000-000017960000}"/>
    <cellStyle name="Normal 57 8 3 3 4" xfId="18775" xr:uid="{00000000-0005-0000-0000-000018960000}"/>
    <cellStyle name="Normal 57 8 3 3 4 2" xfId="44328" xr:uid="{00000000-0005-0000-0000-000019960000}"/>
    <cellStyle name="Normal 57 8 3 3 5" xfId="30265" xr:uid="{00000000-0005-0000-0000-00001A960000}"/>
    <cellStyle name="Normal 57 8 3 4" xfId="1992" xr:uid="{00000000-0005-0000-0000-00001B960000}"/>
    <cellStyle name="Normal 57 8 3 4 2" xfId="11357" xr:uid="{00000000-0005-0000-0000-00001C960000}"/>
    <cellStyle name="Normal 57 8 3 4 2 2" xfId="36912" xr:uid="{00000000-0005-0000-0000-00001D960000}"/>
    <cellStyle name="Normal 57 8 3 4 3" xfId="21361" xr:uid="{00000000-0005-0000-0000-00001E960000}"/>
    <cellStyle name="Normal 57 8 3 4 3 2" xfId="46914" xr:uid="{00000000-0005-0000-0000-00001F960000}"/>
    <cellStyle name="Normal 57 8 3 4 4" xfId="27844" xr:uid="{00000000-0005-0000-0000-000020960000}"/>
    <cellStyle name="Normal 57 8 3 5" xfId="6149" xr:uid="{00000000-0005-0000-0000-000021960000}"/>
    <cellStyle name="Normal 57 8 3 5 2" xfId="14976" xr:uid="{00000000-0005-0000-0000-000022960000}"/>
    <cellStyle name="Normal 57 8 3 5 2 2" xfId="40531" xr:uid="{00000000-0005-0000-0000-000023960000}"/>
    <cellStyle name="Normal 57 8 3 5 3" xfId="25227" xr:uid="{00000000-0005-0000-0000-000024960000}"/>
    <cellStyle name="Normal 57 8 3 5 3 2" xfId="50780" xr:uid="{00000000-0005-0000-0000-000025960000}"/>
    <cellStyle name="Normal 57 8 3 5 4" xfId="31710" xr:uid="{00000000-0005-0000-0000-000026960000}"/>
    <cellStyle name="Normal 57 8 3 6" xfId="7594" xr:uid="{00000000-0005-0000-0000-000027960000}"/>
    <cellStyle name="Normal 57 8 3 6 2" xfId="19843" xr:uid="{00000000-0005-0000-0000-000028960000}"/>
    <cellStyle name="Normal 57 8 3 6 2 2" xfId="45396" xr:uid="{00000000-0005-0000-0000-000029960000}"/>
    <cellStyle name="Normal 57 8 3 6 3" xfId="33151" xr:uid="{00000000-0005-0000-0000-00002A960000}"/>
    <cellStyle name="Normal 57 8 3 7" xfId="16354" xr:uid="{00000000-0005-0000-0000-00002B960000}"/>
    <cellStyle name="Normal 57 8 3 7 2" xfId="41907" xr:uid="{00000000-0005-0000-0000-00002C960000}"/>
    <cellStyle name="Normal 57 8 3 8" xfId="26326" xr:uid="{00000000-0005-0000-0000-00002D960000}"/>
    <cellStyle name="Normal 57 8 4" xfId="879" xr:uid="{00000000-0005-0000-0000-00002E960000}"/>
    <cellStyle name="Normal 57 8 4 2" xfId="3364" xr:uid="{00000000-0005-0000-0000-00002F960000}"/>
    <cellStyle name="Normal 57 8 4 2 2" xfId="12506" xr:uid="{00000000-0005-0000-0000-000030960000}"/>
    <cellStyle name="Normal 57 8 4 2 2 2" xfId="22725" xr:uid="{00000000-0005-0000-0000-000031960000}"/>
    <cellStyle name="Normal 57 8 4 2 2 2 2" xfId="48278" xr:uid="{00000000-0005-0000-0000-000032960000}"/>
    <cellStyle name="Normal 57 8 4 2 2 3" xfId="38061" xr:uid="{00000000-0005-0000-0000-000033960000}"/>
    <cellStyle name="Normal 57 8 4 2 3" xfId="8928" xr:uid="{00000000-0005-0000-0000-000034960000}"/>
    <cellStyle name="Normal 57 8 4 2 3 2" xfId="34485" xr:uid="{00000000-0005-0000-0000-000035960000}"/>
    <cellStyle name="Normal 57 8 4 2 4" xfId="17718" xr:uid="{00000000-0005-0000-0000-000036960000}"/>
    <cellStyle name="Normal 57 8 4 2 4 2" xfId="43271" xr:uid="{00000000-0005-0000-0000-000037960000}"/>
    <cellStyle name="Normal 57 8 4 2 5" xfId="29208" xr:uid="{00000000-0005-0000-0000-000038960000}"/>
    <cellStyle name="Normal 57 8 4 3" xfId="5042" xr:uid="{00000000-0005-0000-0000-000039960000}"/>
    <cellStyle name="Normal 57 8 4 3 2" xfId="13879" xr:uid="{00000000-0005-0000-0000-00003A960000}"/>
    <cellStyle name="Normal 57 8 4 3 2 2" xfId="24130" xr:uid="{00000000-0005-0000-0000-00003B960000}"/>
    <cellStyle name="Normal 57 8 4 3 2 2 2" xfId="49683" xr:uid="{00000000-0005-0000-0000-00003C960000}"/>
    <cellStyle name="Normal 57 8 4 3 2 3" xfId="39434" xr:uid="{00000000-0005-0000-0000-00003D960000}"/>
    <cellStyle name="Normal 57 8 4 3 3" xfId="10300" xr:uid="{00000000-0005-0000-0000-00003E960000}"/>
    <cellStyle name="Normal 57 8 4 3 3 2" xfId="35857" xr:uid="{00000000-0005-0000-0000-00003F960000}"/>
    <cellStyle name="Normal 57 8 4 3 4" xfId="19123" xr:uid="{00000000-0005-0000-0000-000040960000}"/>
    <cellStyle name="Normal 57 8 4 3 4 2" xfId="44676" xr:uid="{00000000-0005-0000-0000-000041960000}"/>
    <cellStyle name="Normal 57 8 4 3 5" xfId="30613" xr:uid="{00000000-0005-0000-0000-000042960000}"/>
    <cellStyle name="Normal 57 8 4 4" xfId="2473" xr:uid="{00000000-0005-0000-0000-000043960000}"/>
    <cellStyle name="Normal 57 8 4 4 2" xfId="11838" xr:uid="{00000000-0005-0000-0000-000044960000}"/>
    <cellStyle name="Normal 57 8 4 4 2 2" xfId="37393" xr:uid="{00000000-0005-0000-0000-000045960000}"/>
    <cellStyle name="Normal 57 8 4 4 3" xfId="21842" xr:uid="{00000000-0005-0000-0000-000046960000}"/>
    <cellStyle name="Normal 57 8 4 4 3 2" xfId="47395" xr:uid="{00000000-0005-0000-0000-000047960000}"/>
    <cellStyle name="Normal 57 8 4 4 4" xfId="28325" xr:uid="{00000000-0005-0000-0000-000048960000}"/>
    <cellStyle name="Normal 57 8 4 5" xfId="6497" xr:uid="{00000000-0005-0000-0000-000049960000}"/>
    <cellStyle name="Normal 57 8 4 5 2" xfId="15324" xr:uid="{00000000-0005-0000-0000-00004A960000}"/>
    <cellStyle name="Normal 57 8 4 5 2 2" xfId="40879" xr:uid="{00000000-0005-0000-0000-00004B960000}"/>
    <cellStyle name="Normal 57 8 4 5 3" xfId="25575" xr:uid="{00000000-0005-0000-0000-00004C960000}"/>
    <cellStyle name="Normal 57 8 4 5 3 2" xfId="51128" xr:uid="{00000000-0005-0000-0000-00004D960000}"/>
    <cellStyle name="Normal 57 8 4 5 4" xfId="32058" xr:uid="{00000000-0005-0000-0000-00004E960000}"/>
    <cellStyle name="Normal 57 8 4 6" xfId="7943" xr:uid="{00000000-0005-0000-0000-00004F960000}"/>
    <cellStyle name="Normal 57 8 4 6 2" xfId="20324" xr:uid="{00000000-0005-0000-0000-000050960000}"/>
    <cellStyle name="Normal 57 8 4 6 2 2" xfId="45877" xr:uid="{00000000-0005-0000-0000-000051960000}"/>
    <cellStyle name="Normal 57 8 4 6 3" xfId="33500" xr:uid="{00000000-0005-0000-0000-000052960000}"/>
    <cellStyle name="Normal 57 8 4 7" xfId="16835" xr:uid="{00000000-0005-0000-0000-000053960000}"/>
    <cellStyle name="Normal 57 8 4 7 2" xfId="42388" xr:uid="{00000000-0005-0000-0000-000054960000}"/>
    <cellStyle name="Normal 57 8 4 8" xfId="26807" xr:uid="{00000000-0005-0000-0000-000055960000}"/>
    <cellStyle name="Normal 57 8 5" xfId="1169" xr:uid="{00000000-0005-0000-0000-000056960000}"/>
    <cellStyle name="Normal 57 8 5 2" xfId="3598" xr:uid="{00000000-0005-0000-0000-000057960000}"/>
    <cellStyle name="Normal 57 8 5 2 2" xfId="12734" xr:uid="{00000000-0005-0000-0000-000058960000}"/>
    <cellStyle name="Normal 57 8 5 2 2 2" xfId="22953" xr:uid="{00000000-0005-0000-0000-000059960000}"/>
    <cellStyle name="Normal 57 8 5 2 2 2 2" xfId="48506" xr:uid="{00000000-0005-0000-0000-00005A960000}"/>
    <cellStyle name="Normal 57 8 5 2 2 3" xfId="38289" xr:uid="{00000000-0005-0000-0000-00005B960000}"/>
    <cellStyle name="Normal 57 8 5 2 3" xfId="9155" xr:uid="{00000000-0005-0000-0000-00005C960000}"/>
    <cellStyle name="Normal 57 8 5 2 3 2" xfId="34712" xr:uid="{00000000-0005-0000-0000-00005D960000}"/>
    <cellStyle name="Normal 57 8 5 2 4" xfId="17946" xr:uid="{00000000-0005-0000-0000-00005E960000}"/>
    <cellStyle name="Normal 57 8 5 2 4 2" xfId="43499" xr:uid="{00000000-0005-0000-0000-00005F960000}"/>
    <cellStyle name="Normal 57 8 5 2 5" xfId="29436" xr:uid="{00000000-0005-0000-0000-000060960000}"/>
    <cellStyle name="Normal 57 8 5 3" xfId="5261" xr:uid="{00000000-0005-0000-0000-000061960000}"/>
    <cellStyle name="Normal 57 8 5 3 2" xfId="14098" xr:uid="{00000000-0005-0000-0000-000062960000}"/>
    <cellStyle name="Normal 57 8 5 3 2 2" xfId="24349" xr:uid="{00000000-0005-0000-0000-000063960000}"/>
    <cellStyle name="Normal 57 8 5 3 2 2 2" xfId="49902" xr:uid="{00000000-0005-0000-0000-000064960000}"/>
    <cellStyle name="Normal 57 8 5 3 2 3" xfId="39653" xr:uid="{00000000-0005-0000-0000-000065960000}"/>
    <cellStyle name="Normal 57 8 5 3 3" xfId="10519" xr:uid="{00000000-0005-0000-0000-000066960000}"/>
    <cellStyle name="Normal 57 8 5 3 3 2" xfId="36076" xr:uid="{00000000-0005-0000-0000-000067960000}"/>
    <cellStyle name="Normal 57 8 5 3 4" xfId="19342" xr:uid="{00000000-0005-0000-0000-000068960000}"/>
    <cellStyle name="Normal 57 8 5 3 4 2" xfId="44895" xr:uid="{00000000-0005-0000-0000-000069960000}"/>
    <cellStyle name="Normal 57 8 5 3 5" xfId="30832" xr:uid="{00000000-0005-0000-0000-00006A960000}"/>
    <cellStyle name="Normal 57 8 5 4" xfId="1771" xr:uid="{00000000-0005-0000-0000-00006B960000}"/>
    <cellStyle name="Normal 57 8 5 4 2" xfId="11140" xr:uid="{00000000-0005-0000-0000-00006C960000}"/>
    <cellStyle name="Normal 57 8 5 4 2 2" xfId="36695" xr:uid="{00000000-0005-0000-0000-00006D960000}"/>
    <cellStyle name="Normal 57 8 5 4 3" xfId="21144" xr:uid="{00000000-0005-0000-0000-00006E960000}"/>
    <cellStyle name="Normal 57 8 5 4 3 2" xfId="46697" xr:uid="{00000000-0005-0000-0000-00006F960000}"/>
    <cellStyle name="Normal 57 8 5 4 4" xfId="27627" xr:uid="{00000000-0005-0000-0000-000070960000}"/>
    <cellStyle name="Normal 57 8 5 5" xfId="6716" xr:uid="{00000000-0005-0000-0000-000071960000}"/>
    <cellStyle name="Normal 57 8 5 5 2" xfId="15543" xr:uid="{00000000-0005-0000-0000-000072960000}"/>
    <cellStyle name="Normal 57 8 5 5 2 2" xfId="41098" xr:uid="{00000000-0005-0000-0000-000073960000}"/>
    <cellStyle name="Normal 57 8 5 5 3" xfId="25794" xr:uid="{00000000-0005-0000-0000-000074960000}"/>
    <cellStyle name="Normal 57 8 5 5 3 2" xfId="51347" xr:uid="{00000000-0005-0000-0000-000075960000}"/>
    <cellStyle name="Normal 57 8 5 5 4" xfId="32277" xr:uid="{00000000-0005-0000-0000-000076960000}"/>
    <cellStyle name="Normal 57 8 5 6" xfId="8162" xr:uid="{00000000-0005-0000-0000-000077960000}"/>
    <cellStyle name="Normal 57 8 5 6 2" xfId="20552" xr:uid="{00000000-0005-0000-0000-000078960000}"/>
    <cellStyle name="Normal 57 8 5 6 2 2" xfId="46105" xr:uid="{00000000-0005-0000-0000-000079960000}"/>
    <cellStyle name="Normal 57 8 5 6 3" xfId="33719" xr:uid="{00000000-0005-0000-0000-00007A960000}"/>
    <cellStyle name="Normal 57 8 5 7" xfId="16137" xr:uid="{00000000-0005-0000-0000-00007B960000}"/>
    <cellStyle name="Normal 57 8 5 7 2" xfId="41690" xr:uid="{00000000-0005-0000-0000-00007C960000}"/>
    <cellStyle name="Normal 57 8 5 8" xfId="27035" xr:uid="{00000000-0005-0000-0000-00007D960000}"/>
    <cellStyle name="Normal 57 8 6" xfId="2666" xr:uid="{00000000-0005-0000-0000-00007E960000}"/>
    <cellStyle name="Normal 57 8 6 2" xfId="11983" xr:uid="{00000000-0005-0000-0000-00007F960000}"/>
    <cellStyle name="Normal 57 8 6 2 2" xfId="22027" xr:uid="{00000000-0005-0000-0000-000080960000}"/>
    <cellStyle name="Normal 57 8 6 2 2 2" xfId="47580" xr:uid="{00000000-0005-0000-0000-000081960000}"/>
    <cellStyle name="Normal 57 8 6 2 3" xfId="37538" xr:uid="{00000000-0005-0000-0000-000082960000}"/>
    <cellStyle name="Normal 57 8 6 3" xfId="8567" xr:uid="{00000000-0005-0000-0000-000083960000}"/>
    <cellStyle name="Normal 57 8 6 3 2" xfId="34124" xr:uid="{00000000-0005-0000-0000-000084960000}"/>
    <cellStyle name="Normal 57 8 6 4" xfId="17020" xr:uid="{00000000-0005-0000-0000-000085960000}"/>
    <cellStyle name="Normal 57 8 6 4 2" xfId="42573" xr:uid="{00000000-0005-0000-0000-000086960000}"/>
    <cellStyle name="Normal 57 8 6 5" xfId="28510" xr:uid="{00000000-0005-0000-0000-000087960000}"/>
    <cellStyle name="Normal 57 8 7" xfId="4217" xr:uid="{00000000-0005-0000-0000-000088960000}"/>
    <cellStyle name="Normal 57 8 7 2" xfId="13055" xr:uid="{00000000-0005-0000-0000-000089960000}"/>
    <cellStyle name="Normal 57 8 7 2 2" xfId="23306" xr:uid="{00000000-0005-0000-0000-00008A960000}"/>
    <cellStyle name="Normal 57 8 7 2 2 2" xfId="48859" xr:uid="{00000000-0005-0000-0000-00008B960000}"/>
    <cellStyle name="Normal 57 8 7 2 3" xfId="38610" xr:uid="{00000000-0005-0000-0000-00008C960000}"/>
    <cellStyle name="Normal 57 8 7 3" xfId="9476" xr:uid="{00000000-0005-0000-0000-00008D960000}"/>
    <cellStyle name="Normal 57 8 7 3 2" xfId="35033" xr:uid="{00000000-0005-0000-0000-00008E960000}"/>
    <cellStyle name="Normal 57 8 7 4" xfId="18299" xr:uid="{00000000-0005-0000-0000-00008F960000}"/>
    <cellStyle name="Normal 57 8 7 4 2" xfId="43852" xr:uid="{00000000-0005-0000-0000-000090960000}"/>
    <cellStyle name="Normal 57 8 7 5" xfId="29789" xr:uid="{00000000-0005-0000-0000-000091960000}"/>
    <cellStyle name="Normal 57 8 8" xfId="1489" xr:uid="{00000000-0005-0000-0000-000092960000}"/>
    <cellStyle name="Normal 57 8 8 2" xfId="10866" xr:uid="{00000000-0005-0000-0000-000093960000}"/>
    <cellStyle name="Normal 57 8 8 2 2" xfId="36421" xr:uid="{00000000-0005-0000-0000-000094960000}"/>
    <cellStyle name="Normal 57 8 8 3" xfId="20870" xr:uid="{00000000-0005-0000-0000-000095960000}"/>
    <cellStyle name="Normal 57 8 8 3 2" xfId="46423" xr:uid="{00000000-0005-0000-0000-000096960000}"/>
    <cellStyle name="Normal 57 8 8 4" xfId="27353" xr:uid="{00000000-0005-0000-0000-000097960000}"/>
    <cellStyle name="Normal 57 8 9" xfId="5673" xr:uid="{00000000-0005-0000-0000-000098960000}"/>
    <cellStyle name="Normal 57 8 9 2" xfId="14500" xr:uid="{00000000-0005-0000-0000-000099960000}"/>
    <cellStyle name="Normal 57 8 9 2 2" xfId="40055" xr:uid="{00000000-0005-0000-0000-00009A960000}"/>
    <cellStyle name="Normal 57 8 9 3" xfId="24751" xr:uid="{00000000-0005-0000-0000-00009B960000}"/>
    <cellStyle name="Normal 57 8 9 3 2" xfId="50304" xr:uid="{00000000-0005-0000-0000-00009C960000}"/>
    <cellStyle name="Normal 57 8 9 4" xfId="31234" xr:uid="{00000000-0005-0000-0000-00009D960000}"/>
    <cellStyle name="Normal 57 8_Degree data" xfId="3985" xr:uid="{00000000-0005-0000-0000-00009E960000}"/>
    <cellStyle name="Normal 57 9" xfId="222" xr:uid="{00000000-0005-0000-0000-00009F960000}"/>
    <cellStyle name="Normal 57 9 10" xfId="7060" xr:uid="{00000000-0005-0000-0000-0000A0960000}"/>
    <cellStyle name="Normal 57 9 10 2" xfId="19674" xr:uid="{00000000-0005-0000-0000-0000A1960000}"/>
    <cellStyle name="Normal 57 9 10 2 2" xfId="45227" xr:uid="{00000000-0005-0000-0000-0000A2960000}"/>
    <cellStyle name="Normal 57 9 10 3" xfId="32617" xr:uid="{00000000-0005-0000-0000-0000A3960000}"/>
    <cellStyle name="Normal 57 9 11" xfId="15806" xr:uid="{00000000-0005-0000-0000-0000A4960000}"/>
    <cellStyle name="Normal 57 9 11 2" xfId="41359" xr:uid="{00000000-0005-0000-0000-0000A5960000}"/>
    <cellStyle name="Normal 57 9 12" xfId="26157" xr:uid="{00000000-0005-0000-0000-0000A6960000}"/>
    <cellStyle name="Normal 57 9 2" xfId="545" xr:uid="{00000000-0005-0000-0000-0000A7960000}"/>
    <cellStyle name="Normal 57 9 2 10" xfId="26474" xr:uid="{00000000-0005-0000-0000-0000A8960000}"/>
    <cellStyle name="Normal 57 9 2 2" xfId="882" xr:uid="{00000000-0005-0000-0000-0000A9960000}"/>
    <cellStyle name="Normal 57 9 2 2 2" xfId="3367" xr:uid="{00000000-0005-0000-0000-0000AA960000}"/>
    <cellStyle name="Normal 57 9 2 2 2 2" xfId="12509" xr:uid="{00000000-0005-0000-0000-0000AB960000}"/>
    <cellStyle name="Normal 57 9 2 2 2 2 2" xfId="22728" xr:uid="{00000000-0005-0000-0000-0000AC960000}"/>
    <cellStyle name="Normal 57 9 2 2 2 2 2 2" xfId="48281" xr:uid="{00000000-0005-0000-0000-0000AD960000}"/>
    <cellStyle name="Normal 57 9 2 2 2 2 3" xfId="38064" xr:uid="{00000000-0005-0000-0000-0000AE960000}"/>
    <cellStyle name="Normal 57 9 2 2 2 3" xfId="8931" xr:uid="{00000000-0005-0000-0000-0000AF960000}"/>
    <cellStyle name="Normal 57 9 2 2 2 3 2" xfId="34488" xr:uid="{00000000-0005-0000-0000-0000B0960000}"/>
    <cellStyle name="Normal 57 9 2 2 2 4" xfId="17721" xr:uid="{00000000-0005-0000-0000-0000B1960000}"/>
    <cellStyle name="Normal 57 9 2 2 2 4 2" xfId="43274" xr:uid="{00000000-0005-0000-0000-0000B2960000}"/>
    <cellStyle name="Normal 57 9 2 2 2 5" xfId="29211" xr:uid="{00000000-0005-0000-0000-0000B3960000}"/>
    <cellStyle name="Normal 57 9 2 2 3" xfId="4696" xr:uid="{00000000-0005-0000-0000-0000B4960000}"/>
    <cellStyle name="Normal 57 9 2 2 3 2" xfId="13534" xr:uid="{00000000-0005-0000-0000-0000B5960000}"/>
    <cellStyle name="Normal 57 9 2 2 3 2 2" xfId="23785" xr:uid="{00000000-0005-0000-0000-0000B6960000}"/>
    <cellStyle name="Normal 57 9 2 2 3 2 2 2" xfId="49338" xr:uid="{00000000-0005-0000-0000-0000B7960000}"/>
    <cellStyle name="Normal 57 9 2 2 3 2 3" xfId="39089" xr:uid="{00000000-0005-0000-0000-0000B8960000}"/>
    <cellStyle name="Normal 57 9 2 2 3 3" xfId="9955" xr:uid="{00000000-0005-0000-0000-0000B9960000}"/>
    <cellStyle name="Normal 57 9 2 2 3 3 2" xfId="35512" xr:uid="{00000000-0005-0000-0000-0000BA960000}"/>
    <cellStyle name="Normal 57 9 2 2 3 4" xfId="18778" xr:uid="{00000000-0005-0000-0000-0000BB960000}"/>
    <cellStyle name="Normal 57 9 2 2 3 4 2" xfId="44331" xr:uid="{00000000-0005-0000-0000-0000BC960000}"/>
    <cellStyle name="Normal 57 9 2 2 3 5" xfId="30268" xr:uid="{00000000-0005-0000-0000-0000BD960000}"/>
    <cellStyle name="Normal 57 9 2 2 4" xfId="2476" xr:uid="{00000000-0005-0000-0000-0000BE960000}"/>
    <cellStyle name="Normal 57 9 2 2 4 2" xfId="11841" xr:uid="{00000000-0005-0000-0000-0000BF960000}"/>
    <cellStyle name="Normal 57 9 2 2 4 2 2" xfId="37396" xr:uid="{00000000-0005-0000-0000-0000C0960000}"/>
    <cellStyle name="Normal 57 9 2 2 4 3" xfId="21845" xr:uid="{00000000-0005-0000-0000-0000C1960000}"/>
    <cellStyle name="Normal 57 9 2 2 4 3 2" xfId="47398" xr:uid="{00000000-0005-0000-0000-0000C2960000}"/>
    <cellStyle name="Normal 57 9 2 2 4 4" xfId="28328" xr:uid="{00000000-0005-0000-0000-0000C3960000}"/>
    <cellStyle name="Normal 57 9 2 2 5" xfId="6152" xr:uid="{00000000-0005-0000-0000-0000C4960000}"/>
    <cellStyle name="Normal 57 9 2 2 5 2" xfId="14979" xr:uid="{00000000-0005-0000-0000-0000C5960000}"/>
    <cellStyle name="Normal 57 9 2 2 5 2 2" xfId="40534" xr:uid="{00000000-0005-0000-0000-0000C6960000}"/>
    <cellStyle name="Normal 57 9 2 2 5 3" xfId="25230" xr:uid="{00000000-0005-0000-0000-0000C7960000}"/>
    <cellStyle name="Normal 57 9 2 2 5 3 2" xfId="50783" xr:uid="{00000000-0005-0000-0000-0000C8960000}"/>
    <cellStyle name="Normal 57 9 2 2 5 4" xfId="31713" xr:uid="{00000000-0005-0000-0000-0000C9960000}"/>
    <cellStyle name="Normal 57 9 2 2 6" xfId="7597" xr:uid="{00000000-0005-0000-0000-0000CA960000}"/>
    <cellStyle name="Normal 57 9 2 2 6 2" xfId="20327" xr:uid="{00000000-0005-0000-0000-0000CB960000}"/>
    <cellStyle name="Normal 57 9 2 2 6 2 2" xfId="45880" xr:uid="{00000000-0005-0000-0000-0000CC960000}"/>
    <cellStyle name="Normal 57 9 2 2 6 3" xfId="33154" xr:uid="{00000000-0005-0000-0000-0000CD960000}"/>
    <cellStyle name="Normal 57 9 2 2 7" xfId="16838" xr:uid="{00000000-0005-0000-0000-0000CE960000}"/>
    <cellStyle name="Normal 57 9 2 2 7 2" xfId="42391" xr:uid="{00000000-0005-0000-0000-0000CF960000}"/>
    <cellStyle name="Normal 57 9 2 2 8" xfId="26810" xr:uid="{00000000-0005-0000-0000-0000D0960000}"/>
    <cellStyle name="Normal 57 9 2 3" xfId="1317" xr:uid="{00000000-0005-0000-0000-0000D1960000}"/>
    <cellStyle name="Normal 57 9 2 3 2" xfId="3746" xr:uid="{00000000-0005-0000-0000-0000D2960000}"/>
    <cellStyle name="Normal 57 9 2 3 2 2" xfId="12882" xr:uid="{00000000-0005-0000-0000-0000D3960000}"/>
    <cellStyle name="Normal 57 9 2 3 2 2 2" xfId="23101" xr:uid="{00000000-0005-0000-0000-0000D4960000}"/>
    <cellStyle name="Normal 57 9 2 3 2 2 2 2" xfId="48654" xr:uid="{00000000-0005-0000-0000-0000D5960000}"/>
    <cellStyle name="Normal 57 9 2 3 2 2 3" xfId="38437" xr:uid="{00000000-0005-0000-0000-0000D6960000}"/>
    <cellStyle name="Normal 57 9 2 3 2 3" xfId="9303" xr:uid="{00000000-0005-0000-0000-0000D7960000}"/>
    <cellStyle name="Normal 57 9 2 3 2 3 2" xfId="34860" xr:uid="{00000000-0005-0000-0000-0000D8960000}"/>
    <cellStyle name="Normal 57 9 2 3 2 4" xfId="18094" xr:uid="{00000000-0005-0000-0000-0000D9960000}"/>
    <cellStyle name="Normal 57 9 2 3 2 4 2" xfId="43647" xr:uid="{00000000-0005-0000-0000-0000DA960000}"/>
    <cellStyle name="Normal 57 9 2 3 2 5" xfId="29584" xr:uid="{00000000-0005-0000-0000-0000DB960000}"/>
    <cellStyle name="Normal 57 9 2 3 3" xfId="5045" xr:uid="{00000000-0005-0000-0000-0000DC960000}"/>
    <cellStyle name="Normal 57 9 2 3 3 2" xfId="13882" xr:uid="{00000000-0005-0000-0000-0000DD960000}"/>
    <cellStyle name="Normal 57 9 2 3 3 2 2" xfId="24133" xr:uid="{00000000-0005-0000-0000-0000DE960000}"/>
    <cellStyle name="Normal 57 9 2 3 3 2 2 2" xfId="49686" xr:uid="{00000000-0005-0000-0000-0000DF960000}"/>
    <cellStyle name="Normal 57 9 2 3 3 2 3" xfId="39437" xr:uid="{00000000-0005-0000-0000-0000E0960000}"/>
    <cellStyle name="Normal 57 9 2 3 3 3" xfId="10303" xr:uid="{00000000-0005-0000-0000-0000E1960000}"/>
    <cellStyle name="Normal 57 9 2 3 3 3 2" xfId="35860" xr:uid="{00000000-0005-0000-0000-0000E2960000}"/>
    <cellStyle name="Normal 57 9 2 3 3 4" xfId="19126" xr:uid="{00000000-0005-0000-0000-0000E3960000}"/>
    <cellStyle name="Normal 57 9 2 3 3 4 2" xfId="44679" xr:uid="{00000000-0005-0000-0000-0000E4960000}"/>
    <cellStyle name="Normal 57 9 2 3 3 5" xfId="30616" xr:uid="{00000000-0005-0000-0000-0000E5960000}"/>
    <cellStyle name="Normal 57 9 2 3 4" xfId="2140" xr:uid="{00000000-0005-0000-0000-0000E6960000}"/>
    <cellStyle name="Normal 57 9 2 3 4 2" xfId="11505" xr:uid="{00000000-0005-0000-0000-0000E7960000}"/>
    <cellStyle name="Normal 57 9 2 3 4 2 2" xfId="37060" xr:uid="{00000000-0005-0000-0000-0000E8960000}"/>
    <cellStyle name="Normal 57 9 2 3 4 3" xfId="21509" xr:uid="{00000000-0005-0000-0000-0000E9960000}"/>
    <cellStyle name="Normal 57 9 2 3 4 3 2" xfId="47062" xr:uid="{00000000-0005-0000-0000-0000EA960000}"/>
    <cellStyle name="Normal 57 9 2 3 4 4" xfId="27992" xr:uid="{00000000-0005-0000-0000-0000EB960000}"/>
    <cellStyle name="Normal 57 9 2 3 5" xfId="6500" xr:uid="{00000000-0005-0000-0000-0000EC960000}"/>
    <cellStyle name="Normal 57 9 2 3 5 2" xfId="15327" xr:uid="{00000000-0005-0000-0000-0000ED960000}"/>
    <cellStyle name="Normal 57 9 2 3 5 2 2" xfId="40882" xr:uid="{00000000-0005-0000-0000-0000EE960000}"/>
    <cellStyle name="Normal 57 9 2 3 5 3" xfId="25578" xr:uid="{00000000-0005-0000-0000-0000EF960000}"/>
    <cellStyle name="Normal 57 9 2 3 5 3 2" xfId="51131" xr:uid="{00000000-0005-0000-0000-0000F0960000}"/>
    <cellStyle name="Normal 57 9 2 3 5 4" xfId="32061" xr:uid="{00000000-0005-0000-0000-0000F1960000}"/>
    <cellStyle name="Normal 57 9 2 3 6" xfId="7946" xr:uid="{00000000-0005-0000-0000-0000F2960000}"/>
    <cellStyle name="Normal 57 9 2 3 6 2" xfId="20700" xr:uid="{00000000-0005-0000-0000-0000F3960000}"/>
    <cellStyle name="Normal 57 9 2 3 6 2 2" xfId="46253" xr:uid="{00000000-0005-0000-0000-0000F4960000}"/>
    <cellStyle name="Normal 57 9 2 3 6 3" xfId="33503" xr:uid="{00000000-0005-0000-0000-0000F5960000}"/>
    <cellStyle name="Normal 57 9 2 3 7" xfId="16502" xr:uid="{00000000-0005-0000-0000-0000F6960000}"/>
    <cellStyle name="Normal 57 9 2 3 7 2" xfId="42055" xr:uid="{00000000-0005-0000-0000-0000F7960000}"/>
    <cellStyle name="Normal 57 9 2 3 8" xfId="27183" xr:uid="{00000000-0005-0000-0000-0000F8960000}"/>
    <cellStyle name="Normal 57 9 2 4" xfId="3031" xr:uid="{00000000-0005-0000-0000-0000F9960000}"/>
    <cellStyle name="Normal 57 9 2 4 2" xfId="5409" xr:uid="{00000000-0005-0000-0000-0000FA960000}"/>
    <cellStyle name="Normal 57 9 2 4 2 2" xfId="14246" xr:uid="{00000000-0005-0000-0000-0000FB960000}"/>
    <cellStyle name="Normal 57 9 2 4 2 2 2" xfId="24497" xr:uid="{00000000-0005-0000-0000-0000FC960000}"/>
    <cellStyle name="Normal 57 9 2 4 2 2 2 2" xfId="50050" xr:uid="{00000000-0005-0000-0000-0000FD960000}"/>
    <cellStyle name="Normal 57 9 2 4 2 2 3" xfId="39801" xr:uid="{00000000-0005-0000-0000-0000FE960000}"/>
    <cellStyle name="Normal 57 9 2 4 2 3" xfId="10667" xr:uid="{00000000-0005-0000-0000-0000FF960000}"/>
    <cellStyle name="Normal 57 9 2 4 2 3 2" xfId="36224" xr:uid="{00000000-0005-0000-0000-000000970000}"/>
    <cellStyle name="Normal 57 9 2 4 2 4" xfId="19490" xr:uid="{00000000-0005-0000-0000-000001970000}"/>
    <cellStyle name="Normal 57 9 2 4 2 4 2" xfId="45043" xr:uid="{00000000-0005-0000-0000-000002970000}"/>
    <cellStyle name="Normal 57 9 2 4 2 5" xfId="30980" xr:uid="{00000000-0005-0000-0000-000003970000}"/>
    <cellStyle name="Normal 57 9 2 4 3" xfId="6864" xr:uid="{00000000-0005-0000-0000-000004970000}"/>
    <cellStyle name="Normal 57 9 2 4 3 2" xfId="15691" xr:uid="{00000000-0005-0000-0000-000005970000}"/>
    <cellStyle name="Normal 57 9 2 4 3 2 2" xfId="41246" xr:uid="{00000000-0005-0000-0000-000006970000}"/>
    <cellStyle name="Normal 57 9 2 4 3 3" xfId="25942" xr:uid="{00000000-0005-0000-0000-000007970000}"/>
    <cellStyle name="Normal 57 9 2 4 3 3 2" xfId="51495" xr:uid="{00000000-0005-0000-0000-000008970000}"/>
    <cellStyle name="Normal 57 9 2 4 3 4" xfId="32425" xr:uid="{00000000-0005-0000-0000-000009970000}"/>
    <cellStyle name="Normal 57 9 2 4 4" xfId="8310" xr:uid="{00000000-0005-0000-0000-00000A970000}"/>
    <cellStyle name="Normal 57 9 2 4 4 2" xfId="22392" xr:uid="{00000000-0005-0000-0000-00000B970000}"/>
    <cellStyle name="Normal 57 9 2 4 4 2 2" xfId="47945" xr:uid="{00000000-0005-0000-0000-00000C970000}"/>
    <cellStyle name="Normal 57 9 2 4 4 3" xfId="33867" xr:uid="{00000000-0005-0000-0000-00000D970000}"/>
    <cellStyle name="Normal 57 9 2 4 5" xfId="17385" xr:uid="{00000000-0005-0000-0000-00000E970000}"/>
    <cellStyle name="Normal 57 9 2 4 5 2" xfId="42938" xr:uid="{00000000-0005-0000-0000-00000F970000}"/>
    <cellStyle name="Normal 57 9 2 4 6" xfId="28875" xr:uid="{00000000-0005-0000-0000-000010970000}"/>
    <cellStyle name="Normal 57 9 2 5" xfId="4365" xr:uid="{00000000-0005-0000-0000-000011970000}"/>
    <cellStyle name="Normal 57 9 2 5 2" xfId="13203" xr:uid="{00000000-0005-0000-0000-000012970000}"/>
    <cellStyle name="Normal 57 9 2 5 2 2" xfId="23454" xr:uid="{00000000-0005-0000-0000-000013970000}"/>
    <cellStyle name="Normal 57 9 2 5 2 2 2" xfId="49007" xr:uid="{00000000-0005-0000-0000-000014970000}"/>
    <cellStyle name="Normal 57 9 2 5 2 3" xfId="38758" xr:uid="{00000000-0005-0000-0000-000015970000}"/>
    <cellStyle name="Normal 57 9 2 5 3" xfId="9624" xr:uid="{00000000-0005-0000-0000-000016970000}"/>
    <cellStyle name="Normal 57 9 2 5 3 2" xfId="35181" xr:uid="{00000000-0005-0000-0000-000017970000}"/>
    <cellStyle name="Normal 57 9 2 5 4" xfId="18447" xr:uid="{00000000-0005-0000-0000-000018970000}"/>
    <cellStyle name="Normal 57 9 2 5 4 2" xfId="44000" xr:uid="{00000000-0005-0000-0000-000019970000}"/>
    <cellStyle name="Normal 57 9 2 5 5" xfId="29937" xr:uid="{00000000-0005-0000-0000-00001A970000}"/>
    <cellStyle name="Normal 57 9 2 6" xfId="1637" xr:uid="{00000000-0005-0000-0000-00001B970000}"/>
    <cellStyle name="Normal 57 9 2 6 2" xfId="11014" xr:uid="{00000000-0005-0000-0000-00001C970000}"/>
    <cellStyle name="Normal 57 9 2 6 2 2" xfId="36569" xr:uid="{00000000-0005-0000-0000-00001D970000}"/>
    <cellStyle name="Normal 57 9 2 6 3" xfId="21018" xr:uid="{00000000-0005-0000-0000-00001E970000}"/>
    <cellStyle name="Normal 57 9 2 6 3 2" xfId="46571" xr:uid="{00000000-0005-0000-0000-00001F970000}"/>
    <cellStyle name="Normal 57 9 2 6 4" xfId="27501" xr:uid="{00000000-0005-0000-0000-000020970000}"/>
    <cellStyle name="Normal 57 9 2 7" xfId="5821" xr:uid="{00000000-0005-0000-0000-000021970000}"/>
    <cellStyle name="Normal 57 9 2 7 2" xfId="14648" xr:uid="{00000000-0005-0000-0000-000022970000}"/>
    <cellStyle name="Normal 57 9 2 7 2 2" xfId="40203" xr:uid="{00000000-0005-0000-0000-000023970000}"/>
    <cellStyle name="Normal 57 9 2 7 3" xfId="24899" xr:uid="{00000000-0005-0000-0000-000024970000}"/>
    <cellStyle name="Normal 57 9 2 7 3 2" xfId="50452" xr:uid="{00000000-0005-0000-0000-000025970000}"/>
    <cellStyle name="Normal 57 9 2 7 4" xfId="31382" xr:uid="{00000000-0005-0000-0000-000026970000}"/>
    <cellStyle name="Normal 57 9 2 8" xfId="7265" xr:uid="{00000000-0005-0000-0000-000027970000}"/>
    <cellStyle name="Normal 57 9 2 8 2" xfId="19991" xr:uid="{00000000-0005-0000-0000-000028970000}"/>
    <cellStyle name="Normal 57 9 2 8 2 2" xfId="45544" xr:uid="{00000000-0005-0000-0000-000029970000}"/>
    <cellStyle name="Normal 57 9 2 8 3" xfId="32822" xr:uid="{00000000-0005-0000-0000-00002A970000}"/>
    <cellStyle name="Normal 57 9 2 9" xfId="16011" xr:uid="{00000000-0005-0000-0000-00002B970000}"/>
    <cellStyle name="Normal 57 9 2 9 2" xfId="41564" xr:uid="{00000000-0005-0000-0000-00002C970000}"/>
    <cellStyle name="Normal 57 9 2_Degree data" xfId="3988" xr:uid="{00000000-0005-0000-0000-00002D970000}"/>
    <cellStyle name="Normal 57 9 3" xfId="340" xr:uid="{00000000-0005-0000-0000-00002E970000}"/>
    <cellStyle name="Normal 57 9 3 2" xfId="2826" xr:uid="{00000000-0005-0000-0000-00002F970000}"/>
    <cellStyle name="Normal 57 9 3 2 2" xfId="12114" xr:uid="{00000000-0005-0000-0000-000030970000}"/>
    <cellStyle name="Normal 57 9 3 2 2 2" xfId="22187" xr:uid="{00000000-0005-0000-0000-000031970000}"/>
    <cellStyle name="Normal 57 9 3 2 2 2 2" xfId="47740" xr:uid="{00000000-0005-0000-0000-000032970000}"/>
    <cellStyle name="Normal 57 9 3 2 2 3" xfId="37669" xr:uid="{00000000-0005-0000-0000-000033970000}"/>
    <cellStyle name="Normal 57 9 3 2 3" xfId="8467" xr:uid="{00000000-0005-0000-0000-000034970000}"/>
    <cellStyle name="Normal 57 9 3 2 3 2" xfId="34024" xr:uid="{00000000-0005-0000-0000-000035970000}"/>
    <cellStyle name="Normal 57 9 3 2 4" xfId="17180" xr:uid="{00000000-0005-0000-0000-000036970000}"/>
    <cellStyle name="Normal 57 9 3 2 4 2" xfId="42733" xr:uid="{00000000-0005-0000-0000-000037970000}"/>
    <cellStyle name="Normal 57 9 3 2 5" xfId="28670" xr:uid="{00000000-0005-0000-0000-000038970000}"/>
    <cellStyle name="Normal 57 9 3 3" xfId="4695" xr:uid="{00000000-0005-0000-0000-000039970000}"/>
    <cellStyle name="Normal 57 9 3 3 2" xfId="13533" xr:uid="{00000000-0005-0000-0000-00003A970000}"/>
    <cellStyle name="Normal 57 9 3 3 2 2" xfId="23784" xr:uid="{00000000-0005-0000-0000-00003B970000}"/>
    <cellStyle name="Normal 57 9 3 3 2 2 2" xfId="49337" xr:uid="{00000000-0005-0000-0000-00003C970000}"/>
    <cellStyle name="Normal 57 9 3 3 2 3" xfId="39088" xr:uid="{00000000-0005-0000-0000-00003D970000}"/>
    <cellStyle name="Normal 57 9 3 3 3" xfId="9954" xr:uid="{00000000-0005-0000-0000-00003E970000}"/>
    <cellStyle name="Normal 57 9 3 3 3 2" xfId="35511" xr:uid="{00000000-0005-0000-0000-00003F970000}"/>
    <cellStyle name="Normal 57 9 3 3 4" xfId="18777" xr:uid="{00000000-0005-0000-0000-000040970000}"/>
    <cellStyle name="Normal 57 9 3 3 4 2" xfId="44330" xr:uid="{00000000-0005-0000-0000-000041970000}"/>
    <cellStyle name="Normal 57 9 3 3 5" xfId="30267" xr:uid="{00000000-0005-0000-0000-000042970000}"/>
    <cellStyle name="Normal 57 9 3 4" xfId="1935" xr:uid="{00000000-0005-0000-0000-000043970000}"/>
    <cellStyle name="Normal 57 9 3 4 2" xfId="11300" xr:uid="{00000000-0005-0000-0000-000044970000}"/>
    <cellStyle name="Normal 57 9 3 4 2 2" xfId="36855" xr:uid="{00000000-0005-0000-0000-000045970000}"/>
    <cellStyle name="Normal 57 9 3 4 3" xfId="21304" xr:uid="{00000000-0005-0000-0000-000046970000}"/>
    <cellStyle name="Normal 57 9 3 4 3 2" xfId="46857" xr:uid="{00000000-0005-0000-0000-000047970000}"/>
    <cellStyle name="Normal 57 9 3 4 4" xfId="27787" xr:uid="{00000000-0005-0000-0000-000048970000}"/>
    <cellStyle name="Normal 57 9 3 5" xfId="6151" xr:uid="{00000000-0005-0000-0000-000049970000}"/>
    <cellStyle name="Normal 57 9 3 5 2" xfId="14978" xr:uid="{00000000-0005-0000-0000-00004A970000}"/>
    <cellStyle name="Normal 57 9 3 5 2 2" xfId="40533" xr:uid="{00000000-0005-0000-0000-00004B970000}"/>
    <cellStyle name="Normal 57 9 3 5 3" xfId="25229" xr:uid="{00000000-0005-0000-0000-00004C970000}"/>
    <cellStyle name="Normal 57 9 3 5 3 2" xfId="50782" xr:uid="{00000000-0005-0000-0000-00004D970000}"/>
    <cellStyle name="Normal 57 9 3 5 4" xfId="31712" xr:uid="{00000000-0005-0000-0000-00004E970000}"/>
    <cellStyle name="Normal 57 9 3 6" xfId="7596" xr:uid="{00000000-0005-0000-0000-00004F970000}"/>
    <cellStyle name="Normal 57 9 3 6 2" xfId="19786" xr:uid="{00000000-0005-0000-0000-000050970000}"/>
    <cellStyle name="Normal 57 9 3 6 2 2" xfId="45339" xr:uid="{00000000-0005-0000-0000-000051970000}"/>
    <cellStyle name="Normal 57 9 3 6 3" xfId="33153" xr:uid="{00000000-0005-0000-0000-000052970000}"/>
    <cellStyle name="Normal 57 9 3 7" xfId="16297" xr:uid="{00000000-0005-0000-0000-000053970000}"/>
    <cellStyle name="Normal 57 9 3 7 2" xfId="41850" xr:uid="{00000000-0005-0000-0000-000054970000}"/>
    <cellStyle name="Normal 57 9 3 8" xfId="26269" xr:uid="{00000000-0005-0000-0000-000055970000}"/>
    <cellStyle name="Normal 57 9 4" xfId="881" xr:uid="{00000000-0005-0000-0000-000056970000}"/>
    <cellStyle name="Normal 57 9 4 2" xfId="3366" xr:uid="{00000000-0005-0000-0000-000057970000}"/>
    <cellStyle name="Normal 57 9 4 2 2" xfId="12508" xr:uid="{00000000-0005-0000-0000-000058970000}"/>
    <cellStyle name="Normal 57 9 4 2 2 2" xfId="22727" xr:uid="{00000000-0005-0000-0000-000059970000}"/>
    <cellStyle name="Normal 57 9 4 2 2 2 2" xfId="48280" xr:uid="{00000000-0005-0000-0000-00005A970000}"/>
    <cellStyle name="Normal 57 9 4 2 2 3" xfId="38063" xr:uid="{00000000-0005-0000-0000-00005B970000}"/>
    <cellStyle name="Normal 57 9 4 2 3" xfId="8930" xr:uid="{00000000-0005-0000-0000-00005C970000}"/>
    <cellStyle name="Normal 57 9 4 2 3 2" xfId="34487" xr:uid="{00000000-0005-0000-0000-00005D970000}"/>
    <cellStyle name="Normal 57 9 4 2 4" xfId="17720" xr:uid="{00000000-0005-0000-0000-00005E970000}"/>
    <cellStyle name="Normal 57 9 4 2 4 2" xfId="43273" xr:uid="{00000000-0005-0000-0000-00005F970000}"/>
    <cellStyle name="Normal 57 9 4 2 5" xfId="29210" xr:uid="{00000000-0005-0000-0000-000060970000}"/>
    <cellStyle name="Normal 57 9 4 3" xfId="5044" xr:uid="{00000000-0005-0000-0000-000061970000}"/>
    <cellStyle name="Normal 57 9 4 3 2" xfId="13881" xr:uid="{00000000-0005-0000-0000-000062970000}"/>
    <cellStyle name="Normal 57 9 4 3 2 2" xfId="24132" xr:uid="{00000000-0005-0000-0000-000063970000}"/>
    <cellStyle name="Normal 57 9 4 3 2 2 2" xfId="49685" xr:uid="{00000000-0005-0000-0000-000064970000}"/>
    <cellStyle name="Normal 57 9 4 3 2 3" xfId="39436" xr:uid="{00000000-0005-0000-0000-000065970000}"/>
    <cellStyle name="Normal 57 9 4 3 3" xfId="10302" xr:uid="{00000000-0005-0000-0000-000066970000}"/>
    <cellStyle name="Normal 57 9 4 3 3 2" xfId="35859" xr:uid="{00000000-0005-0000-0000-000067970000}"/>
    <cellStyle name="Normal 57 9 4 3 4" xfId="19125" xr:uid="{00000000-0005-0000-0000-000068970000}"/>
    <cellStyle name="Normal 57 9 4 3 4 2" xfId="44678" xr:uid="{00000000-0005-0000-0000-000069970000}"/>
    <cellStyle name="Normal 57 9 4 3 5" xfId="30615" xr:uid="{00000000-0005-0000-0000-00006A970000}"/>
    <cellStyle name="Normal 57 9 4 4" xfId="2475" xr:uid="{00000000-0005-0000-0000-00006B970000}"/>
    <cellStyle name="Normal 57 9 4 4 2" xfId="11840" xr:uid="{00000000-0005-0000-0000-00006C970000}"/>
    <cellStyle name="Normal 57 9 4 4 2 2" xfId="37395" xr:uid="{00000000-0005-0000-0000-00006D970000}"/>
    <cellStyle name="Normal 57 9 4 4 3" xfId="21844" xr:uid="{00000000-0005-0000-0000-00006E970000}"/>
    <cellStyle name="Normal 57 9 4 4 3 2" xfId="47397" xr:uid="{00000000-0005-0000-0000-00006F970000}"/>
    <cellStyle name="Normal 57 9 4 4 4" xfId="28327" xr:uid="{00000000-0005-0000-0000-000070970000}"/>
    <cellStyle name="Normal 57 9 4 5" xfId="6499" xr:uid="{00000000-0005-0000-0000-000071970000}"/>
    <cellStyle name="Normal 57 9 4 5 2" xfId="15326" xr:uid="{00000000-0005-0000-0000-000072970000}"/>
    <cellStyle name="Normal 57 9 4 5 2 2" xfId="40881" xr:uid="{00000000-0005-0000-0000-000073970000}"/>
    <cellStyle name="Normal 57 9 4 5 3" xfId="25577" xr:uid="{00000000-0005-0000-0000-000074970000}"/>
    <cellStyle name="Normal 57 9 4 5 3 2" xfId="51130" xr:uid="{00000000-0005-0000-0000-000075970000}"/>
    <cellStyle name="Normal 57 9 4 5 4" xfId="32060" xr:uid="{00000000-0005-0000-0000-000076970000}"/>
    <cellStyle name="Normal 57 9 4 6" xfId="7945" xr:uid="{00000000-0005-0000-0000-000077970000}"/>
    <cellStyle name="Normal 57 9 4 6 2" xfId="20326" xr:uid="{00000000-0005-0000-0000-000078970000}"/>
    <cellStyle name="Normal 57 9 4 6 2 2" xfId="45879" xr:uid="{00000000-0005-0000-0000-000079970000}"/>
    <cellStyle name="Normal 57 9 4 6 3" xfId="33502" xr:uid="{00000000-0005-0000-0000-00007A970000}"/>
    <cellStyle name="Normal 57 9 4 7" xfId="16837" xr:uid="{00000000-0005-0000-0000-00007B970000}"/>
    <cellStyle name="Normal 57 9 4 7 2" xfId="42390" xr:uid="{00000000-0005-0000-0000-00007C970000}"/>
    <cellStyle name="Normal 57 9 4 8" xfId="26809" xr:uid="{00000000-0005-0000-0000-00007D970000}"/>
    <cellStyle name="Normal 57 9 5" xfId="1112" xr:uid="{00000000-0005-0000-0000-00007E970000}"/>
    <cellStyle name="Normal 57 9 5 2" xfId="3541" xr:uid="{00000000-0005-0000-0000-00007F970000}"/>
    <cellStyle name="Normal 57 9 5 2 2" xfId="12677" xr:uid="{00000000-0005-0000-0000-000080970000}"/>
    <cellStyle name="Normal 57 9 5 2 2 2" xfId="22896" xr:uid="{00000000-0005-0000-0000-000081970000}"/>
    <cellStyle name="Normal 57 9 5 2 2 2 2" xfId="48449" xr:uid="{00000000-0005-0000-0000-000082970000}"/>
    <cellStyle name="Normal 57 9 5 2 2 3" xfId="38232" xr:uid="{00000000-0005-0000-0000-000083970000}"/>
    <cellStyle name="Normal 57 9 5 2 3" xfId="9098" xr:uid="{00000000-0005-0000-0000-000084970000}"/>
    <cellStyle name="Normal 57 9 5 2 3 2" xfId="34655" xr:uid="{00000000-0005-0000-0000-000085970000}"/>
    <cellStyle name="Normal 57 9 5 2 4" xfId="17889" xr:uid="{00000000-0005-0000-0000-000086970000}"/>
    <cellStyle name="Normal 57 9 5 2 4 2" xfId="43442" xr:uid="{00000000-0005-0000-0000-000087970000}"/>
    <cellStyle name="Normal 57 9 5 2 5" xfId="29379" xr:uid="{00000000-0005-0000-0000-000088970000}"/>
    <cellStyle name="Normal 57 9 5 3" xfId="5204" xr:uid="{00000000-0005-0000-0000-000089970000}"/>
    <cellStyle name="Normal 57 9 5 3 2" xfId="14041" xr:uid="{00000000-0005-0000-0000-00008A970000}"/>
    <cellStyle name="Normal 57 9 5 3 2 2" xfId="24292" xr:uid="{00000000-0005-0000-0000-00008B970000}"/>
    <cellStyle name="Normal 57 9 5 3 2 2 2" xfId="49845" xr:uid="{00000000-0005-0000-0000-00008C970000}"/>
    <cellStyle name="Normal 57 9 5 3 2 3" xfId="39596" xr:uid="{00000000-0005-0000-0000-00008D970000}"/>
    <cellStyle name="Normal 57 9 5 3 3" xfId="10462" xr:uid="{00000000-0005-0000-0000-00008E970000}"/>
    <cellStyle name="Normal 57 9 5 3 3 2" xfId="36019" xr:uid="{00000000-0005-0000-0000-00008F970000}"/>
    <cellStyle name="Normal 57 9 5 3 4" xfId="19285" xr:uid="{00000000-0005-0000-0000-000090970000}"/>
    <cellStyle name="Normal 57 9 5 3 4 2" xfId="44838" xr:uid="{00000000-0005-0000-0000-000091970000}"/>
    <cellStyle name="Normal 57 9 5 3 5" xfId="30775" xr:uid="{00000000-0005-0000-0000-000092970000}"/>
    <cellStyle name="Normal 57 9 5 4" xfId="1820" xr:uid="{00000000-0005-0000-0000-000093970000}"/>
    <cellStyle name="Normal 57 9 5 4 2" xfId="11188" xr:uid="{00000000-0005-0000-0000-000094970000}"/>
    <cellStyle name="Normal 57 9 5 4 2 2" xfId="36743" xr:uid="{00000000-0005-0000-0000-000095970000}"/>
    <cellStyle name="Normal 57 9 5 4 3" xfId="21192" xr:uid="{00000000-0005-0000-0000-000096970000}"/>
    <cellStyle name="Normal 57 9 5 4 3 2" xfId="46745" xr:uid="{00000000-0005-0000-0000-000097970000}"/>
    <cellStyle name="Normal 57 9 5 4 4" xfId="27675" xr:uid="{00000000-0005-0000-0000-000098970000}"/>
    <cellStyle name="Normal 57 9 5 5" xfId="6659" xr:uid="{00000000-0005-0000-0000-000099970000}"/>
    <cellStyle name="Normal 57 9 5 5 2" xfId="15486" xr:uid="{00000000-0005-0000-0000-00009A970000}"/>
    <cellStyle name="Normal 57 9 5 5 2 2" xfId="41041" xr:uid="{00000000-0005-0000-0000-00009B970000}"/>
    <cellStyle name="Normal 57 9 5 5 3" xfId="25737" xr:uid="{00000000-0005-0000-0000-00009C970000}"/>
    <cellStyle name="Normal 57 9 5 5 3 2" xfId="51290" xr:uid="{00000000-0005-0000-0000-00009D970000}"/>
    <cellStyle name="Normal 57 9 5 5 4" xfId="32220" xr:uid="{00000000-0005-0000-0000-00009E970000}"/>
    <cellStyle name="Normal 57 9 5 6" xfId="8105" xr:uid="{00000000-0005-0000-0000-00009F970000}"/>
    <cellStyle name="Normal 57 9 5 6 2" xfId="20495" xr:uid="{00000000-0005-0000-0000-0000A0970000}"/>
    <cellStyle name="Normal 57 9 5 6 2 2" xfId="46048" xr:uid="{00000000-0005-0000-0000-0000A1970000}"/>
    <cellStyle name="Normal 57 9 5 6 3" xfId="33662" xr:uid="{00000000-0005-0000-0000-0000A2970000}"/>
    <cellStyle name="Normal 57 9 5 7" xfId="16185" xr:uid="{00000000-0005-0000-0000-0000A3970000}"/>
    <cellStyle name="Normal 57 9 5 7 2" xfId="41738" xr:uid="{00000000-0005-0000-0000-0000A4970000}"/>
    <cellStyle name="Normal 57 9 5 8" xfId="26978" xr:uid="{00000000-0005-0000-0000-0000A5970000}"/>
    <cellStyle name="Normal 57 9 6" xfId="2714" xr:uid="{00000000-0005-0000-0000-0000A6970000}"/>
    <cellStyle name="Normal 57 9 6 2" xfId="12031" xr:uid="{00000000-0005-0000-0000-0000A7970000}"/>
    <cellStyle name="Normal 57 9 6 2 2" xfId="22075" xr:uid="{00000000-0005-0000-0000-0000A8970000}"/>
    <cellStyle name="Normal 57 9 6 2 2 2" xfId="47628" xr:uid="{00000000-0005-0000-0000-0000A9970000}"/>
    <cellStyle name="Normal 57 9 6 2 3" xfId="37586" xr:uid="{00000000-0005-0000-0000-0000AA970000}"/>
    <cellStyle name="Normal 57 9 6 3" xfId="8613" xr:uid="{00000000-0005-0000-0000-0000AB970000}"/>
    <cellStyle name="Normal 57 9 6 3 2" xfId="34170" xr:uid="{00000000-0005-0000-0000-0000AC970000}"/>
    <cellStyle name="Normal 57 9 6 4" xfId="17068" xr:uid="{00000000-0005-0000-0000-0000AD970000}"/>
    <cellStyle name="Normal 57 9 6 4 2" xfId="42621" xr:uid="{00000000-0005-0000-0000-0000AE970000}"/>
    <cellStyle name="Normal 57 9 6 5" xfId="28558" xr:uid="{00000000-0005-0000-0000-0000AF970000}"/>
    <cellStyle name="Normal 57 9 7" xfId="4160" xr:uid="{00000000-0005-0000-0000-0000B0970000}"/>
    <cellStyle name="Normal 57 9 7 2" xfId="12998" xr:uid="{00000000-0005-0000-0000-0000B1970000}"/>
    <cellStyle name="Normal 57 9 7 2 2" xfId="23249" xr:uid="{00000000-0005-0000-0000-0000B2970000}"/>
    <cellStyle name="Normal 57 9 7 2 2 2" xfId="48802" xr:uid="{00000000-0005-0000-0000-0000B3970000}"/>
    <cellStyle name="Normal 57 9 7 2 3" xfId="38553" xr:uid="{00000000-0005-0000-0000-0000B4970000}"/>
    <cellStyle name="Normal 57 9 7 3" xfId="9419" xr:uid="{00000000-0005-0000-0000-0000B5970000}"/>
    <cellStyle name="Normal 57 9 7 3 2" xfId="34976" xr:uid="{00000000-0005-0000-0000-0000B6970000}"/>
    <cellStyle name="Normal 57 9 7 4" xfId="18242" xr:uid="{00000000-0005-0000-0000-0000B7970000}"/>
    <cellStyle name="Normal 57 9 7 4 2" xfId="43795" xr:uid="{00000000-0005-0000-0000-0000B8970000}"/>
    <cellStyle name="Normal 57 9 7 5" xfId="29732" xr:uid="{00000000-0005-0000-0000-0000B9970000}"/>
    <cellStyle name="Normal 57 9 8" xfId="1432" xr:uid="{00000000-0005-0000-0000-0000BA970000}"/>
    <cellStyle name="Normal 57 9 8 2" xfId="10809" xr:uid="{00000000-0005-0000-0000-0000BB970000}"/>
    <cellStyle name="Normal 57 9 8 2 2" xfId="36364" xr:uid="{00000000-0005-0000-0000-0000BC970000}"/>
    <cellStyle name="Normal 57 9 8 3" xfId="20813" xr:uid="{00000000-0005-0000-0000-0000BD970000}"/>
    <cellStyle name="Normal 57 9 8 3 2" xfId="46366" xr:uid="{00000000-0005-0000-0000-0000BE970000}"/>
    <cellStyle name="Normal 57 9 8 4" xfId="27296" xr:uid="{00000000-0005-0000-0000-0000BF970000}"/>
    <cellStyle name="Normal 57 9 9" xfId="5616" xr:uid="{00000000-0005-0000-0000-0000C0970000}"/>
    <cellStyle name="Normal 57 9 9 2" xfId="14443" xr:uid="{00000000-0005-0000-0000-0000C1970000}"/>
    <cellStyle name="Normal 57 9 9 2 2" xfId="39998" xr:uid="{00000000-0005-0000-0000-0000C2970000}"/>
    <cellStyle name="Normal 57 9 9 3" xfId="24694" xr:uid="{00000000-0005-0000-0000-0000C3970000}"/>
    <cellStyle name="Normal 57 9 9 3 2" xfId="50247" xr:uid="{00000000-0005-0000-0000-0000C4970000}"/>
    <cellStyle name="Normal 57 9 9 4" xfId="31177" xr:uid="{00000000-0005-0000-0000-0000C5970000}"/>
    <cellStyle name="Normal 57 9_Degree data" xfId="3987" xr:uid="{00000000-0005-0000-0000-0000C6970000}"/>
    <cellStyle name="Normal 57_Degree data" xfId="3931" xr:uid="{00000000-0005-0000-0000-0000C7970000}"/>
    <cellStyle name="Normal 58" xfId="38" xr:uid="{00000000-0005-0000-0000-0000C8970000}"/>
    <cellStyle name="Normal 58 10" xfId="441" xr:uid="{00000000-0005-0000-0000-0000C9970000}"/>
    <cellStyle name="Normal 58 10 10" xfId="26370" xr:uid="{00000000-0005-0000-0000-0000CA970000}"/>
    <cellStyle name="Normal 58 10 2" xfId="884" xr:uid="{00000000-0005-0000-0000-0000CB970000}"/>
    <cellStyle name="Normal 58 10 2 2" xfId="3369" xr:uid="{00000000-0005-0000-0000-0000CC970000}"/>
    <cellStyle name="Normal 58 10 2 2 2" xfId="12511" xr:uid="{00000000-0005-0000-0000-0000CD970000}"/>
    <cellStyle name="Normal 58 10 2 2 2 2" xfId="22730" xr:uid="{00000000-0005-0000-0000-0000CE970000}"/>
    <cellStyle name="Normal 58 10 2 2 2 2 2" xfId="48283" xr:uid="{00000000-0005-0000-0000-0000CF970000}"/>
    <cellStyle name="Normal 58 10 2 2 2 3" xfId="38066" xr:uid="{00000000-0005-0000-0000-0000D0970000}"/>
    <cellStyle name="Normal 58 10 2 2 3" xfId="8933" xr:uid="{00000000-0005-0000-0000-0000D1970000}"/>
    <cellStyle name="Normal 58 10 2 2 3 2" xfId="34490" xr:uid="{00000000-0005-0000-0000-0000D2970000}"/>
    <cellStyle name="Normal 58 10 2 2 4" xfId="17723" xr:uid="{00000000-0005-0000-0000-0000D3970000}"/>
    <cellStyle name="Normal 58 10 2 2 4 2" xfId="43276" xr:uid="{00000000-0005-0000-0000-0000D4970000}"/>
    <cellStyle name="Normal 58 10 2 2 5" xfId="29213" xr:uid="{00000000-0005-0000-0000-0000D5970000}"/>
    <cellStyle name="Normal 58 10 2 3" xfId="4698" xr:uid="{00000000-0005-0000-0000-0000D6970000}"/>
    <cellStyle name="Normal 58 10 2 3 2" xfId="13536" xr:uid="{00000000-0005-0000-0000-0000D7970000}"/>
    <cellStyle name="Normal 58 10 2 3 2 2" xfId="23787" xr:uid="{00000000-0005-0000-0000-0000D8970000}"/>
    <cellStyle name="Normal 58 10 2 3 2 2 2" xfId="49340" xr:uid="{00000000-0005-0000-0000-0000D9970000}"/>
    <cellStyle name="Normal 58 10 2 3 2 3" xfId="39091" xr:uid="{00000000-0005-0000-0000-0000DA970000}"/>
    <cellStyle name="Normal 58 10 2 3 3" xfId="9957" xr:uid="{00000000-0005-0000-0000-0000DB970000}"/>
    <cellStyle name="Normal 58 10 2 3 3 2" xfId="35514" xr:uid="{00000000-0005-0000-0000-0000DC970000}"/>
    <cellStyle name="Normal 58 10 2 3 4" xfId="18780" xr:uid="{00000000-0005-0000-0000-0000DD970000}"/>
    <cellStyle name="Normal 58 10 2 3 4 2" xfId="44333" xr:uid="{00000000-0005-0000-0000-0000DE970000}"/>
    <cellStyle name="Normal 58 10 2 3 5" xfId="30270" xr:uid="{00000000-0005-0000-0000-0000DF970000}"/>
    <cellStyle name="Normal 58 10 2 4" xfId="2478" xr:uid="{00000000-0005-0000-0000-0000E0970000}"/>
    <cellStyle name="Normal 58 10 2 4 2" xfId="11843" xr:uid="{00000000-0005-0000-0000-0000E1970000}"/>
    <cellStyle name="Normal 58 10 2 4 2 2" xfId="37398" xr:uid="{00000000-0005-0000-0000-0000E2970000}"/>
    <cellStyle name="Normal 58 10 2 4 3" xfId="21847" xr:uid="{00000000-0005-0000-0000-0000E3970000}"/>
    <cellStyle name="Normal 58 10 2 4 3 2" xfId="47400" xr:uid="{00000000-0005-0000-0000-0000E4970000}"/>
    <cellStyle name="Normal 58 10 2 4 4" xfId="28330" xr:uid="{00000000-0005-0000-0000-0000E5970000}"/>
    <cellStyle name="Normal 58 10 2 5" xfId="6154" xr:uid="{00000000-0005-0000-0000-0000E6970000}"/>
    <cellStyle name="Normal 58 10 2 5 2" xfId="14981" xr:uid="{00000000-0005-0000-0000-0000E7970000}"/>
    <cellStyle name="Normal 58 10 2 5 2 2" xfId="40536" xr:uid="{00000000-0005-0000-0000-0000E8970000}"/>
    <cellStyle name="Normal 58 10 2 5 3" xfId="25232" xr:uid="{00000000-0005-0000-0000-0000E9970000}"/>
    <cellStyle name="Normal 58 10 2 5 3 2" xfId="50785" xr:uid="{00000000-0005-0000-0000-0000EA970000}"/>
    <cellStyle name="Normal 58 10 2 5 4" xfId="31715" xr:uid="{00000000-0005-0000-0000-0000EB970000}"/>
    <cellStyle name="Normal 58 10 2 6" xfId="7599" xr:uid="{00000000-0005-0000-0000-0000EC970000}"/>
    <cellStyle name="Normal 58 10 2 6 2" xfId="20329" xr:uid="{00000000-0005-0000-0000-0000ED970000}"/>
    <cellStyle name="Normal 58 10 2 6 2 2" xfId="45882" xr:uid="{00000000-0005-0000-0000-0000EE970000}"/>
    <cellStyle name="Normal 58 10 2 6 3" xfId="33156" xr:uid="{00000000-0005-0000-0000-0000EF970000}"/>
    <cellStyle name="Normal 58 10 2 7" xfId="16840" xr:uid="{00000000-0005-0000-0000-0000F0970000}"/>
    <cellStyle name="Normal 58 10 2 7 2" xfId="42393" xr:uid="{00000000-0005-0000-0000-0000F1970000}"/>
    <cellStyle name="Normal 58 10 2 8" xfId="26812" xr:uid="{00000000-0005-0000-0000-0000F2970000}"/>
    <cellStyle name="Normal 58 10 3" xfId="1213" xr:uid="{00000000-0005-0000-0000-0000F3970000}"/>
    <cellStyle name="Normal 58 10 3 2" xfId="3642" xr:uid="{00000000-0005-0000-0000-0000F4970000}"/>
    <cellStyle name="Normal 58 10 3 2 2" xfId="12778" xr:uid="{00000000-0005-0000-0000-0000F5970000}"/>
    <cellStyle name="Normal 58 10 3 2 2 2" xfId="22997" xr:uid="{00000000-0005-0000-0000-0000F6970000}"/>
    <cellStyle name="Normal 58 10 3 2 2 2 2" xfId="48550" xr:uid="{00000000-0005-0000-0000-0000F7970000}"/>
    <cellStyle name="Normal 58 10 3 2 2 3" xfId="38333" xr:uid="{00000000-0005-0000-0000-0000F8970000}"/>
    <cellStyle name="Normal 58 10 3 2 3" xfId="9199" xr:uid="{00000000-0005-0000-0000-0000F9970000}"/>
    <cellStyle name="Normal 58 10 3 2 3 2" xfId="34756" xr:uid="{00000000-0005-0000-0000-0000FA970000}"/>
    <cellStyle name="Normal 58 10 3 2 4" xfId="17990" xr:uid="{00000000-0005-0000-0000-0000FB970000}"/>
    <cellStyle name="Normal 58 10 3 2 4 2" xfId="43543" xr:uid="{00000000-0005-0000-0000-0000FC970000}"/>
    <cellStyle name="Normal 58 10 3 2 5" xfId="29480" xr:uid="{00000000-0005-0000-0000-0000FD970000}"/>
    <cellStyle name="Normal 58 10 3 3" xfId="5047" xr:uid="{00000000-0005-0000-0000-0000FE970000}"/>
    <cellStyle name="Normal 58 10 3 3 2" xfId="13884" xr:uid="{00000000-0005-0000-0000-0000FF970000}"/>
    <cellStyle name="Normal 58 10 3 3 2 2" xfId="24135" xr:uid="{00000000-0005-0000-0000-000000980000}"/>
    <cellStyle name="Normal 58 10 3 3 2 2 2" xfId="49688" xr:uid="{00000000-0005-0000-0000-000001980000}"/>
    <cellStyle name="Normal 58 10 3 3 2 3" xfId="39439" xr:uid="{00000000-0005-0000-0000-000002980000}"/>
    <cellStyle name="Normal 58 10 3 3 3" xfId="10305" xr:uid="{00000000-0005-0000-0000-000003980000}"/>
    <cellStyle name="Normal 58 10 3 3 3 2" xfId="35862" xr:uid="{00000000-0005-0000-0000-000004980000}"/>
    <cellStyle name="Normal 58 10 3 3 4" xfId="19128" xr:uid="{00000000-0005-0000-0000-000005980000}"/>
    <cellStyle name="Normal 58 10 3 3 4 2" xfId="44681" xr:uid="{00000000-0005-0000-0000-000006980000}"/>
    <cellStyle name="Normal 58 10 3 3 5" xfId="30618" xr:uid="{00000000-0005-0000-0000-000007980000}"/>
    <cellStyle name="Normal 58 10 3 4" xfId="2036" xr:uid="{00000000-0005-0000-0000-000008980000}"/>
    <cellStyle name="Normal 58 10 3 4 2" xfId="11401" xr:uid="{00000000-0005-0000-0000-000009980000}"/>
    <cellStyle name="Normal 58 10 3 4 2 2" xfId="36956" xr:uid="{00000000-0005-0000-0000-00000A980000}"/>
    <cellStyle name="Normal 58 10 3 4 3" xfId="21405" xr:uid="{00000000-0005-0000-0000-00000B980000}"/>
    <cellStyle name="Normal 58 10 3 4 3 2" xfId="46958" xr:uid="{00000000-0005-0000-0000-00000C980000}"/>
    <cellStyle name="Normal 58 10 3 4 4" xfId="27888" xr:uid="{00000000-0005-0000-0000-00000D980000}"/>
    <cellStyle name="Normal 58 10 3 5" xfId="6502" xr:uid="{00000000-0005-0000-0000-00000E980000}"/>
    <cellStyle name="Normal 58 10 3 5 2" xfId="15329" xr:uid="{00000000-0005-0000-0000-00000F980000}"/>
    <cellStyle name="Normal 58 10 3 5 2 2" xfId="40884" xr:uid="{00000000-0005-0000-0000-000010980000}"/>
    <cellStyle name="Normal 58 10 3 5 3" xfId="25580" xr:uid="{00000000-0005-0000-0000-000011980000}"/>
    <cellStyle name="Normal 58 10 3 5 3 2" xfId="51133" xr:uid="{00000000-0005-0000-0000-000012980000}"/>
    <cellStyle name="Normal 58 10 3 5 4" xfId="32063" xr:uid="{00000000-0005-0000-0000-000013980000}"/>
    <cellStyle name="Normal 58 10 3 6" xfId="7948" xr:uid="{00000000-0005-0000-0000-000014980000}"/>
    <cellStyle name="Normal 58 10 3 6 2" xfId="20596" xr:uid="{00000000-0005-0000-0000-000015980000}"/>
    <cellStyle name="Normal 58 10 3 6 2 2" xfId="46149" xr:uid="{00000000-0005-0000-0000-000016980000}"/>
    <cellStyle name="Normal 58 10 3 6 3" xfId="33505" xr:uid="{00000000-0005-0000-0000-000017980000}"/>
    <cellStyle name="Normal 58 10 3 7" xfId="16398" xr:uid="{00000000-0005-0000-0000-000018980000}"/>
    <cellStyle name="Normal 58 10 3 7 2" xfId="41951" xr:uid="{00000000-0005-0000-0000-000019980000}"/>
    <cellStyle name="Normal 58 10 3 8" xfId="27079" xr:uid="{00000000-0005-0000-0000-00001A980000}"/>
    <cellStyle name="Normal 58 10 4" xfId="2927" xr:uid="{00000000-0005-0000-0000-00001B980000}"/>
    <cellStyle name="Normal 58 10 4 2" xfId="5305" xr:uid="{00000000-0005-0000-0000-00001C980000}"/>
    <cellStyle name="Normal 58 10 4 2 2" xfId="14142" xr:uid="{00000000-0005-0000-0000-00001D980000}"/>
    <cellStyle name="Normal 58 10 4 2 2 2" xfId="24393" xr:uid="{00000000-0005-0000-0000-00001E980000}"/>
    <cellStyle name="Normal 58 10 4 2 2 2 2" xfId="49946" xr:uid="{00000000-0005-0000-0000-00001F980000}"/>
    <cellStyle name="Normal 58 10 4 2 2 3" xfId="39697" xr:uid="{00000000-0005-0000-0000-000020980000}"/>
    <cellStyle name="Normal 58 10 4 2 3" xfId="10563" xr:uid="{00000000-0005-0000-0000-000021980000}"/>
    <cellStyle name="Normal 58 10 4 2 3 2" xfId="36120" xr:uid="{00000000-0005-0000-0000-000022980000}"/>
    <cellStyle name="Normal 58 10 4 2 4" xfId="19386" xr:uid="{00000000-0005-0000-0000-000023980000}"/>
    <cellStyle name="Normal 58 10 4 2 4 2" xfId="44939" xr:uid="{00000000-0005-0000-0000-000024980000}"/>
    <cellStyle name="Normal 58 10 4 2 5" xfId="30876" xr:uid="{00000000-0005-0000-0000-000025980000}"/>
    <cellStyle name="Normal 58 10 4 3" xfId="6760" xr:uid="{00000000-0005-0000-0000-000026980000}"/>
    <cellStyle name="Normal 58 10 4 3 2" xfId="15587" xr:uid="{00000000-0005-0000-0000-000027980000}"/>
    <cellStyle name="Normal 58 10 4 3 2 2" xfId="41142" xr:uid="{00000000-0005-0000-0000-000028980000}"/>
    <cellStyle name="Normal 58 10 4 3 3" xfId="25838" xr:uid="{00000000-0005-0000-0000-000029980000}"/>
    <cellStyle name="Normal 58 10 4 3 3 2" xfId="51391" xr:uid="{00000000-0005-0000-0000-00002A980000}"/>
    <cellStyle name="Normal 58 10 4 3 4" xfId="32321" xr:uid="{00000000-0005-0000-0000-00002B980000}"/>
    <cellStyle name="Normal 58 10 4 4" xfId="8206" xr:uid="{00000000-0005-0000-0000-00002C980000}"/>
    <cellStyle name="Normal 58 10 4 4 2" xfId="22288" xr:uid="{00000000-0005-0000-0000-00002D980000}"/>
    <cellStyle name="Normal 58 10 4 4 2 2" xfId="47841" xr:uid="{00000000-0005-0000-0000-00002E980000}"/>
    <cellStyle name="Normal 58 10 4 4 3" xfId="33763" xr:uid="{00000000-0005-0000-0000-00002F980000}"/>
    <cellStyle name="Normal 58 10 4 5" xfId="17281" xr:uid="{00000000-0005-0000-0000-000030980000}"/>
    <cellStyle name="Normal 58 10 4 5 2" xfId="42834" xr:uid="{00000000-0005-0000-0000-000031980000}"/>
    <cellStyle name="Normal 58 10 4 6" xfId="28771" xr:uid="{00000000-0005-0000-0000-000032980000}"/>
    <cellStyle name="Normal 58 10 5" xfId="4261" xr:uid="{00000000-0005-0000-0000-000033980000}"/>
    <cellStyle name="Normal 58 10 5 2" xfId="13099" xr:uid="{00000000-0005-0000-0000-000034980000}"/>
    <cellStyle name="Normal 58 10 5 2 2" xfId="23350" xr:uid="{00000000-0005-0000-0000-000035980000}"/>
    <cellStyle name="Normal 58 10 5 2 2 2" xfId="48903" xr:uid="{00000000-0005-0000-0000-000036980000}"/>
    <cellStyle name="Normal 58 10 5 2 3" xfId="38654" xr:uid="{00000000-0005-0000-0000-000037980000}"/>
    <cellStyle name="Normal 58 10 5 3" xfId="9520" xr:uid="{00000000-0005-0000-0000-000038980000}"/>
    <cellStyle name="Normal 58 10 5 3 2" xfId="35077" xr:uid="{00000000-0005-0000-0000-000039980000}"/>
    <cellStyle name="Normal 58 10 5 4" xfId="18343" xr:uid="{00000000-0005-0000-0000-00003A980000}"/>
    <cellStyle name="Normal 58 10 5 4 2" xfId="43896" xr:uid="{00000000-0005-0000-0000-00003B980000}"/>
    <cellStyle name="Normal 58 10 5 5" xfId="29833" xr:uid="{00000000-0005-0000-0000-00003C980000}"/>
    <cellStyle name="Normal 58 10 6" xfId="1533" xr:uid="{00000000-0005-0000-0000-00003D980000}"/>
    <cellStyle name="Normal 58 10 6 2" xfId="10910" xr:uid="{00000000-0005-0000-0000-00003E980000}"/>
    <cellStyle name="Normal 58 10 6 2 2" xfId="36465" xr:uid="{00000000-0005-0000-0000-00003F980000}"/>
    <cellStyle name="Normal 58 10 6 3" xfId="20914" xr:uid="{00000000-0005-0000-0000-000040980000}"/>
    <cellStyle name="Normal 58 10 6 3 2" xfId="46467" xr:uid="{00000000-0005-0000-0000-000041980000}"/>
    <cellStyle name="Normal 58 10 6 4" xfId="27397" xr:uid="{00000000-0005-0000-0000-000042980000}"/>
    <cellStyle name="Normal 58 10 7" xfId="5717" xr:uid="{00000000-0005-0000-0000-000043980000}"/>
    <cellStyle name="Normal 58 10 7 2" xfId="14544" xr:uid="{00000000-0005-0000-0000-000044980000}"/>
    <cellStyle name="Normal 58 10 7 2 2" xfId="40099" xr:uid="{00000000-0005-0000-0000-000045980000}"/>
    <cellStyle name="Normal 58 10 7 3" xfId="24795" xr:uid="{00000000-0005-0000-0000-000046980000}"/>
    <cellStyle name="Normal 58 10 7 3 2" xfId="50348" xr:uid="{00000000-0005-0000-0000-000047980000}"/>
    <cellStyle name="Normal 58 10 7 4" xfId="31278" xr:uid="{00000000-0005-0000-0000-000048980000}"/>
    <cellStyle name="Normal 58 10 8" xfId="7161" xr:uid="{00000000-0005-0000-0000-000049980000}"/>
    <cellStyle name="Normal 58 10 8 2" xfId="19887" xr:uid="{00000000-0005-0000-0000-00004A980000}"/>
    <cellStyle name="Normal 58 10 8 2 2" xfId="45440" xr:uid="{00000000-0005-0000-0000-00004B980000}"/>
    <cellStyle name="Normal 58 10 8 3" xfId="32718" xr:uid="{00000000-0005-0000-0000-00004C980000}"/>
    <cellStyle name="Normal 58 10 9" xfId="15907" xr:uid="{00000000-0005-0000-0000-00004D980000}"/>
    <cellStyle name="Normal 58 10 9 2" xfId="41460" xr:uid="{00000000-0005-0000-0000-00004E980000}"/>
    <cellStyle name="Normal 58 10_Degree data" xfId="3990" xr:uid="{00000000-0005-0000-0000-00004F980000}"/>
    <cellStyle name="Normal 58 11" xfId="297" xr:uid="{00000000-0005-0000-0000-000050980000}"/>
    <cellStyle name="Normal 58 11 10" xfId="26226" xr:uid="{00000000-0005-0000-0000-000051980000}"/>
    <cellStyle name="Normal 58 11 2" xfId="885" xr:uid="{00000000-0005-0000-0000-000052980000}"/>
    <cellStyle name="Normal 58 11 2 2" xfId="3370" xr:uid="{00000000-0005-0000-0000-000053980000}"/>
    <cellStyle name="Normal 58 11 2 2 2" xfId="12512" xr:uid="{00000000-0005-0000-0000-000054980000}"/>
    <cellStyle name="Normal 58 11 2 2 2 2" xfId="22731" xr:uid="{00000000-0005-0000-0000-000055980000}"/>
    <cellStyle name="Normal 58 11 2 2 2 2 2" xfId="48284" xr:uid="{00000000-0005-0000-0000-000056980000}"/>
    <cellStyle name="Normal 58 11 2 2 2 3" xfId="38067" xr:uid="{00000000-0005-0000-0000-000057980000}"/>
    <cellStyle name="Normal 58 11 2 2 3" xfId="8934" xr:uid="{00000000-0005-0000-0000-000058980000}"/>
    <cellStyle name="Normal 58 11 2 2 3 2" xfId="34491" xr:uid="{00000000-0005-0000-0000-000059980000}"/>
    <cellStyle name="Normal 58 11 2 2 4" xfId="17724" xr:uid="{00000000-0005-0000-0000-00005A980000}"/>
    <cellStyle name="Normal 58 11 2 2 4 2" xfId="43277" xr:uid="{00000000-0005-0000-0000-00005B980000}"/>
    <cellStyle name="Normal 58 11 2 2 5" xfId="29214" xr:uid="{00000000-0005-0000-0000-00005C980000}"/>
    <cellStyle name="Normal 58 11 2 3" xfId="4699" xr:uid="{00000000-0005-0000-0000-00005D980000}"/>
    <cellStyle name="Normal 58 11 2 3 2" xfId="13537" xr:uid="{00000000-0005-0000-0000-00005E980000}"/>
    <cellStyle name="Normal 58 11 2 3 2 2" xfId="23788" xr:uid="{00000000-0005-0000-0000-00005F980000}"/>
    <cellStyle name="Normal 58 11 2 3 2 2 2" xfId="49341" xr:uid="{00000000-0005-0000-0000-000060980000}"/>
    <cellStyle name="Normal 58 11 2 3 2 3" xfId="39092" xr:uid="{00000000-0005-0000-0000-000061980000}"/>
    <cellStyle name="Normal 58 11 2 3 3" xfId="9958" xr:uid="{00000000-0005-0000-0000-000062980000}"/>
    <cellStyle name="Normal 58 11 2 3 3 2" xfId="35515" xr:uid="{00000000-0005-0000-0000-000063980000}"/>
    <cellStyle name="Normal 58 11 2 3 4" xfId="18781" xr:uid="{00000000-0005-0000-0000-000064980000}"/>
    <cellStyle name="Normal 58 11 2 3 4 2" xfId="44334" xr:uid="{00000000-0005-0000-0000-000065980000}"/>
    <cellStyle name="Normal 58 11 2 3 5" xfId="30271" xr:uid="{00000000-0005-0000-0000-000066980000}"/>
    <cellStyle name="Normal 58 11 2 4" xfId="2479" xr:uid="{00000000-0005-0000-0000-000067980000}"/>
    <cellStyle name="Normal 58 11 2 4 2" xfId="11844" xr:uid="{00000000-0005-0000-0000-000068980000}"/>
    <cellStyle name="Normal 58 11 2 4 2 2" xfId="37399" xr:uid="{00000000-0005-0000-0000-000069980000}"/>
    <cellStyle name="Normal 58 11 2 4 3" xfId="21848" xr:uid="{00000000-0005-0000-0000-00006A980000}"/>
    <cellStyle name="Normal 58 11 2 4 3 2" xfId="47401" xr:uid="{00000000-0005-0000-0000-00006B980000}"/>
    <cellStyle name="Normal 58 11 2 4 4" xfId="28331" xr:uid="{00000000-0005-0000-0000-00006C980000}"/>
    <cellStyle name="Normal 58 11 2 5" xfId="6155" xr:uid="{00000000-0005-0000-0000-00006D980000}"/>
    <cellStyle name="Normal 58 11 2 5 2" xfId="14982" xr:uid="{00000000-0005-0000-0000-00006E980000}"/>
    <cellStyle name="Normal 58 11 2 5 2 2" xfId="40537" xr:uid="{00000000-0005-0000-0000-00006F980000}"/>
    <cellStyle name="Normal 58 11 2 5 3" xfId="25233" xr:uid="{00000000-0005-0000-0000-000070980000}"/>
    <cellStyle name="Normal 58 11 2 5 3 2" xfId="50786" xr:uid="{00000000-0005-0000-0000-000071980000}"/>
    <cellStyle name="Normal 58 11 2 5 4" xfId="31716" xr:uid="{00000000-0005-0000-0000-000072980000}"/>
    <cellStyle name="Normal 58 11 2 6" xfId="7600" xr:uid="{00000000-0005-0000-0000-000073980000}"/>
    <cellStyle name="Normal 58 11 2 6 2" xfId="20330" xr:uid="{00000000-0005-0000-0000-000074980000}"/>
    <cellStyle name="Normal 58 11 2 6 2 2" xfId="45883" xr:uid="{00000000-0005-0000-0000-000075980000}"/>
    <cellStyle name="Normal 58 11 2 6 3" xfId="33157" xr:uid="{00000000-0005-0000-0000-000076980000}"/>
    <cellStyle name="Normal 58 11 2 7" xfId="16841" xr:uid="{00000000-0005-0000-0000-000077980000}"/>
    <cellStyle name="Normal 58 11 2 7 2" xfId="42394" xr:uid="{00000000-0005-0000-0000-000078980000}"/>
    <cellStyle name="Normal 58 11 2 8" xfId="26813" xr:uid="{00000000-0005-0000-0000-000079980000}"/>
    <cellStyle name="Normal 58 11 3" xfId="1069" xr:uid="{00000000-0005-0000-0000-00007A980000}"/>
    <cellStyle name="Normal 58 11 3 2" xfId="3498" xr:uid="{00000000-0005-0000-0000-00007B980000}"/>
    <cellStyle name="Normal 58 11 3 2 2" xfId="12634" xr:uid="{00000000-0005-0000-0000-00007C980000}"/>
    <cellStyle name="Normal 58 11 3 2 2 2" xfId="22853" xr:uid="{00000000-0005-0000-0000-00007D980000}"/>
    <cellStyle name="Normal 58 11 3 2 2 2 2" xfId="48406" xr:uid="{00000000-0005-0000-0000-00007E980000}"/>
    <cellStyle name="Normal 58 11 3 2 2 3" xfId="38189" xr:uid="{00000000-0005-0000-0000-00007F980000}"/>
    <cellStyle name="Normal 58 11 3 2 3" xfId="9056" xr:uid="{00000000-0005-0000-0000-000080980000}"/>
    <cellStyle name="Normal 58 11 3 2 3 2" xfId="34613" xr:uid="{00000000-0005-0000-0000-000081980000}"/>
    <cellStyle name="Normal 58 11 3 2 4" xfId="17846" xr:uid="{00000000-0005-0000-0000-000082980000}"/>
    <cellStyle name="Normal 58 11 3 2 4 2" xfId="43399" xr:uid="{00000000-0005-0000-0000-000083980000}"/>
    <cellStyle name="Normal 58 11 3 2 5" xfId="29336" xr:uid="{00000000-0005-0000-0000-000084980000}"/>
    <cellStyle name="Normal 58 11 3 3" xfId="5048" xr:uid="{00000000-0005-0000-0000-000085980000}"/>
    <cellStyle name="Normal 58 11 3 3 2" xfId="13885" xr:uid="{00000000-0005-0000-0000-000086980000}"/>
    <cellStyle name="Normal 58 11 3 3 2 2" xfId="24136" xr:uid="{00000000-0005-0000-0000-000087980000}"/>
    <cellStyle name="Normal 58 11 3 3 2 2 2" xfId="49689" xr:uid="{00000000-0005-0000-0000-000088980000}"/>
    <cellStyle name="Normal 58 11 3 3 2 3" xfId="39440" xr:uid="{00000000-0005-0000-0000-000089980000}"/>
    <cellStyle name="Normal 58 11 3 3 3" xfId="10306" xr:uid="{00000000-0005-0000-0000-00008A980000}"/>
    <cellStyle name="Normal 58 11 3 3 3 2" xfId="35863" xr:uid="{00000000-0005-0000-0000-00008B980000}"/>
    <cellStyle name="Normal 58 11 3 3 4" xfId="19129" xr:uid="{00000000-0005-0000-0000-00008C980000}"/>
    <cellStyle name="Normal 58 11 3 3 4 2" xfId="44682" xr:uid="{00000000-0005-0000-0000-00008D980000}"/>
    <cellStyle name="Normal 58 11 3 3 5" xfId="30619" xr:uid="{00000000-0005-0000-0000-00008E980000}"/>
    <cellStyle name="Normal 58 11 3 4" xfId="2594" xr:uid="{00000000-0005-0000-0000-00008F980000}"/>
    <cellStyle name="Normal 58 11 3 4 2" xfId="11958" xr:uid="{00000000-0005-0000-0000-000090980000}"/>
    <cellStyle name="Normal 58 11 3 4 2 2" xfId="37513" xr:uid="{00000000-0005-0000-0000-000091980000}"/>
    <cellStyle name="Normal 58 11 3 4 3" xfId="21962" xr:uid="{00000000-0005-0000-0000-000092980000}"/>
    <cellStyle name="Normal 58 11 3 4 3 2" xfId="47515" xr:uid="{00000000-0005-0000-0000-000093980000}"/>
    <cellStyle name="Normal 58 11 3 4 4" xfId="28445" xr:uid="{00000000-0005-0000-0000-000094980000}"/>
    <cellStyle name="Normal 58 11 3 5" xfId="6503" xr:uid="{00000000-0005-0000-0000-000095980000}"/>
    <cellStyle name="Normal 58 11 3 5 2" xfId="15330" xr:uid="{00000000-0005-0000-0000-000096980000}"/>
    <cellStyle name="Normal 58 11 3 5 2 2" xfId="40885" xr:uid="{00000000-0005-0000-0000-000097980000}"/>
    <cellStyle name="Normal 58 11 3 5 3" xfId="25581" xr:uid="{00000000-0005-0000-0000-000098980000}"/>
    <cellStyle name="Normal 58 11 3 5 3 2" xfId="51134" xr:uid="{00000000-0005-0000-0000-000099980000}"/>
    <cellStyle name="Normal 58 11 3 5 4" xfId="32064" xr:uid="{00000000-0005-0000-0000-00009A980000}"/>
    <cellStyle name="Normal 58 11 3 6" xfId="7949" xr:uid="{00000000-0005-0000-0000-00009B980000}"/>
    <cellStyle name="Normal 58 11 3 6 2" xfId="20452" xr:uid="{00000000-0005-0000-0000-00009C980000}"/>
    <cellStyle name="Normal 58 11 3 6 2 2" xfId="46005" xr:uid="{00000000-0005-0000-0000-00009D980000}"/>
    <cellStyle name="Normal 58 11 3 6 3" xfId="33506" xr:uid="{00000000-0005-0000-0000-00009E980000}"/>
    <cellStyle name="Normal 58 11 3 7" xfId="16955" xr:uid="{00000000-0005-0000-0000-00009F980000}"/>
    <cellStyle name="Normal 58 11 3 7 2" xfId="42508" xr:uid="{00000000-0005-0000-0000-0000A0980000}"/>
    <cellStyle name="Normal 58 11 3 8" xfId="26935" xr:uid="{00000000-0005-0000-0000-0000A1980000}"/>
    <cellStyle name="Normal 58 11 4" xfId="2783" xr:uid="{00000000-0005-0000-0000-0000A2980000}"/>
    <cellStyle name="Normal 58 11 4 2" xfId="5161" xr:uid="{00000000-0005-0000-0000-0000A3980000}"/>
    <cellStyle name="Normal 58 11 4 2 2" xfId="13998" xr:uid="{00000000-0005-0000-0000-0000A4980000}"/>
    <cellStyle name="Normal 58 11 4 2 2 2" xfId="24249" xr:uid="{00000000-0005-0000-0000-0000A5980000}"/>
    <cellStyle name="Normal 58 11 4 2 2 2 2" xfId="49802" xr:uid="{00000000-0005-0000-0000-0000A6980000}"/>
    <cellStyle name="Normal 58 11 4 2 2 3" xfId="39553" xr:uid="{00000000-0005-0000-0000-0000A7980000}"/>
    <cellStyle name="Normal 58 11 4 2 3" xfId="10419" xr:uid="{00000000-0005-0000-0000-0000A8980000}"/>
    <cellStyle name="Normal 58 11 4 2 3 2" xfId="35976" xr:uid="{00000000-0005-0000-0000-0000A9980000}"/>
    <cellStyle name="Normal 58 11 4 2 4" xfId="19242" xr:uid="{00000000-0005-0000-0000-0000AA980000}"/>
    <cellStyle name="Normal 58 11 4 2 4 2" xfId="44795" xr:uid="{00000000-0005-0000-0000-0000AB980000}"/>
    <cellStyle name="Normal 58 11 4 2 5" xfId="30732" xr:uid="{00000000-0005-0000-0000-0000AC980000}"/>
    <cellStyle name="Normal 58 11 4 3" xfId="6616" xr:uid="{00000000-0005-0000-0000-0000AD980000}"/>
    <cellStyle name="Normal 58 11 4 3 2" xfId="15443" xr:uid="{00000000-0005-0000-0000-0000AE980000}"/>
    <cellStyle name="Normal 58 11 4 3 2 2" xfId="40998" xr:uid="{00000000-0005-0000-0000-0000AF980000}"/>
    <cellStyle name="Normal 58 11 4 3 3" xfId="25694" xr:uid="{00000000-0005-0000-0000-0000B0980000}"/>
    <cellStyle name="Normal 58 11 4 3 3 2" xfId="51247" xr:uid="{00000000-0005-0000-0000-0000B1980000}"/>
    <cellStyle name="Normal 58 11 4 3 4" xfId="32177" xr:uid="{00000000-0005-0000-0000-0000B2980000}"/>
    <cellStyle name="Normal 58 11 4 4" xfId="8062" xr:uid="{00000000-0005-0000-0000-0000B3980000}"/>
    <cellStyle name="Normal 58 11 4 4 2" xfId="22144" xr:uid="{00000000-0005-0000-0000-0000B4980000}"/>
    <cellStyle name="Normal 58 11 4 4 2 2" xfId="47697" xr:uid="{00000000-0005-0000-0000-0000B5980000}"/>
    <cellStyle name="Normal 58 11 4 4 3" xfId="33619" xr:uid="{00000000-0005-0000-0000-0000B6980000}"/>
    <cellStyle name="Normal 58 11 4 5" xfId="17137" xr:uid="{00000000-0005-0000-0000-0000B7980000}"/>
    <cellStyle name="Normal 58 11 4 5 2" xfId="42690" xr:uid="{00000000-0005-0000-0000-0000B8980000}"/>
    <cellStyle name="Normal 58 11 4 6" xfId="28627" xr:uid="{00000000-0005-0000-0000-0000B9980000}"/>
    <cellStyle name="Normal 58 11 5" xfId="4115" xr:uid="{00000000-0005-0000-0000-0000BA980000}"/>
    <cellStyle name="Normal 58 11 5 2" xfId="12953" xr:uid="{00000000-0005-0000-0000-0000BB980000}"/>
    <cellStyle name="Normal 58 11 5 2 2" xfId="23204" xr:uid="{00000000-0005-0000-0000-0000BC980000}"/>
    <cellStyle name="Normal 58 11 5 2 2 2" xfId="48757" xr:uid="{00000000-0005-0000-0000-0000BD980000}"/>
    <cellStyle name="Normal 58 11 5 2 3" xfId="38508" xr:uid="{00000000-0005-0000-0000-0000BE980000}"/>
    <cellStyle name="Normal 58 11 5 3" xfId="9374" xr:uid="{00000000-0005-0000-0000-0000BF980000}"/>
    <cellStyle name="Normal 58 11 5 3 2" xfId="34931" xr:uid="{00000000-0005-0000-0000-0000C0980000}"/>
    <cellStyle name="Normal 58 11 5 4" xfId="18197" xr:uid="{00000000-0005-0000-0000-0000C1980000}"/>
    <cellStyle name="Normal 58 11 5 4 2" xfId="43750" xr:uid="{00000000-0005-0000-0000-0000C2980000}"/>
    <cellStyle name="Normal 58 11 5 5" xfId="29687" xr:uid="{00000000-0005-0000-0000-0000C3980000}"/>
    <cellStyle name="Normal 58 11 6" xfId="1892" xr:uid="{00000000-0005-0000-0000-0000C4980000}"/>
    <cellStyle name="Normal 58 11 6 2" xfId="11257" xr:uid="{00000000-0005-0000-0000-0000C5980000}"/>
    <cellStyle name="Normal 58 11 6 2 2" xfId="36812" xr:uid="{00000000-0005-0000-0000-0000C6980000}"/>
    <cellStyle name="Normal 58 11 6 3" xfId="21261" xr:uid="{00000000-0005-0000-0000-0000C7980000}"/>
    <cellStyle name="Normal 58 11 6 3 2" xfId="46814" xr:uid="{00000000-0005-0000-0000-0000C8980000}"/>
    <cellStyle name="Normal 58 11 6 4" xfId="27744" xr:uid="{00000000-0005-0000-0000-0000C9980000}"/>
    <cellStyle name="Normal 58 11 7" xfId="5573" xr:uid="{00000000-0005-0000-0000-0000CA980000}"/>
    <cellStyle name="Normal 58 11 7 2" xfId="14400" xr:uid="{00000000-0005-0000-0000-0000CB980000}"/>
    <cellStyle name="Normal 58 11 7 2 2" xfId="39955" xr:uid="{00000000-0005-0000-0000-0000CC980000}"/>
    <cellStyle name="Normal 58 11 7 3" xfId="24651" xr:uid="{00000000-0005-0000-0000-0000CD980000}"/>
    <cellStyle name="Normal 58 11 7 3 2" xfId="50204" xr:uid="{00000000-0005-0000-0000-0000CE980000}"/>
    <cellStyle name="Normal 58 11 7 4" xfId="31134" xr:uid="{00000000-0005-0000-0000-0000CF980000}"/>
    <cellStyle name="Normal 58 11 8" xfId="7017" xr:uid="{00000000-0005-0000-0000-0000D0980000}"/>
    <cellStyle name="Normal 58 11 8 2" xfId="19743" xr:uid="{00000000-0005-0000-0000-0000D1980000}"/>
    <cellStyle name="Normal 58 11 8 2 2" xfId="45296" xr:uid="{00000000-0005-0000-0000-0000D2980000}"/>
    <cellStyle name="Normal 58 11 8 3" xfId="32574" xr:uid="{00000000-0005-0000-0000-0000D3980000}"/>
    <cellStyle name="Normal 58 11 9" xfId="16254" xr:uid="{00000000-0005-0000-0000-0000D4980000}"/>
    <cellStyle name="Normal 58 11 9 2" xfId="41807" xr:uid="{00000000-0005-0000-0000-0000D5980000}"/>
    <cellStyle name="Normal 58 11_Degree data" xfId="3991" xr:uid="{00000000-0005-0000-0000-0000D6980000}"/>
    <cellStyle name="Normal 58 12" xfId="883" xr:uid="{00000000-0005-0000-0000-0000D7980000}"/>
    <cellStyle name="Normal 58 12 2" xfId="3368" xr:uid="{00000000-0005-0000-0000-0000D8980000}"/>
    <cellStyle name="Normal 58 12 2 2" xfId="12510" xr:uid="{00000000-0005-0000-0000-0000D9980000}"/>
    <cellStyle name="Normal 58 12 2 2 2" xfId="22729" xr:uid="{00000000-0005-0000-0000-0000DA980000}"/>
    <cellStyle name="Normal 58 12 2 2 2 2" xfId="48282" xr:uid="{00000000-0005-0000-0000-0000DB980000}"/>
    <cellStyle name="Normal 58 12 2 2 3" xfId="38065" xr:uid="{00000000-0005-0000-0000-0000DC980000}"/>
    <cellStyle name="Normal 58 12 2 3" xfId="8932" xr:uid="{00000000-0005-0000-0000-0000DD980000}"/>
    <cellStyle name="Normal 58 12 2 3 2" xfId="34489" xr:uid="{00000000-0005-0000-0000-0000DE980000}"/>
    <cellStyle name="Normal 58 12 2 4" xfId="17722" xr:uid="{00000000-0005-0000-0000-0000DF980000}"/>
    <cellStyle name="Normal 58 12 2 4 2" xfId="43275" xr:uid="{00000000-0005-0000-0000-0000E0980000}"/>
    <cellStyle name="Normal 58 12 2 5" xfId="29212" xr:uid="{00000000-0005-0000-0000-0000E1980000}"/>
    <cellStyle name="Normal 58 12 3" xfId="4697" xr:uid="{00000000-0005-0000-0000-0000E2980000}"/>
    <cellStyle name="Normal 58 12 3 2" xfId="13535" xr:uid="{00000000-0005-0000-0000-0000E3980000}"/>
    <cellStyle name="Normal 58 12 3 2 2" xfId="23786" xr:uid="{00000000-0005-0000-0000-0000E4980000}"/>
    <cellStyle name="Normal 58 12 3 2 2 2" xfId="49339" xr:uid="{00000000-0005-0000-0000-0000E5980000}"/>
    <cellStyle name="Normal 58 12 3 2 3" xfId="39090" xr:uid="{00000000-0005-0000-0000-0000E6980000}"/>
    <cellStyle name="Normal 58 12 3 3" xfId="9956" xr:uid="{00000000-0005-0000-0000-0000E7980000}"/>
    <cellStyle name="Normal 58 12 3 3 2" xfId="35513" xr:uid="{00000000-0005-0000-0000-0000E8980000}"/>
    <cellStyle name="Normal 58 12 3 4" xfId="18779" xr:uid="{00000000-0005-0000-0000-0000E9980000}"/>
    <cellStyle name="Normal 58 12 3 4 2" xfId="44332" xr:uid="{00000000-0005-0000-0000-0000EA980000}"/>
    <cellStyle name="Normal 58 12 3 5" xfId="30269" xr:uid="{00000000-0005-0000-0000-0000EB980000}"/>
    <cellStyle name="Normal 58 12 4" xfId="2477" xr:uid="{00000000-0005-0000-0000-0000EC980000}"/>
    <cellStyle name="Normal 58 12 4 2" xfId="11842" xr:uid="{00000000-0005-0000-0000-0000ED980000}"/>
    <cellStyle name="Normal 58 12 4 2 2" xfId="37397" xr:uid="{00000000-0005-0000-0000-0000EE980000}"/>
    <cellStyle name="Normal 58 12 4 3" xfId="21846" xr:uid="{00000000-0005-0000-0000-0000EF980000}"/>
    <cellStyle name="Normal 58 12 4 3 2" xfId="47399" xr:uid="{00000000-0005-0000-0000-0000F0980000}"/>
    <cellStyle name="Normal 58 12 4 4" xfId="28329" xr:uid="{00000000-0005-0000-0000-0000F1980000}"/>
    <cellStyle name="Normal 58 12 5" xfId="6153" xr:uid="{00000000-0005-0000-0000-0000F2980000}"/>
    <cellStyle name="Normal 58 12 5 2" xfId="14980" xr:uid="{00000000-0005-0000-0000-0000F3980000}"/>
    <cellStyle name="Normal 58 12 5 2 2" xfId="40535" xr:uid="{00000000-0005-0000-0000-0000F4980000}"/>
    <cellStyle name="Normal 58 12 5 3" xfId="25231" xr:uid="{00000000-0005-0000-0000-0000F5980000}"/>
    <cellStyle name="Normal 58 12 5 3 2" xfId="50784" xr:uid="{00000000-0005-0000-0000-0000F6980000}"/>
    <cellStyle name="Normal 58 12 5 4" xfId="31714" xr:uid="{00000000-0005-0000-0000-0000F7980000}"/>
    <cellStyle name="Normal 58 12 6" xfId="7598" xr:uid="{00000000-0005-0000-0000-0000F8980000}"/>
    <cellStyle name="Normal 58 12 6 2" xfId="20328" xr:uid="{00000000-0005-0000-0000-0000F9980000}"/>
    <cellStyle name="Normal 58 12 6 2 2" xfId="45881" xr:uid="{00000000-0005-0000-0000-0000FA980000}"/>
    <cellStyle name="Normal 58 12 6 3" xfId="33155" xr:uid="{00000000-0005-0000-0000-0000FB980000}"/>
    <cellStyle name="Normal 58 12 7" xfId="16839" xr:uid="{00000000-0005-0000-0000-0000FC980000}"/>
    <cellStyle name="Normal 58 12 7 2" xfId="42392" xr:uid="{00000000-0005-0000-0000-0000FD980000}"/>
    <cellStyle name="Normal 58 12 8" xfId="26811" xr:uid="{00000000-0005-0000-0000-0000FE980000}"/>
    <cellStyle name="Normal 58 13" xfId="1042" xr:uid="{00000000-0005-0000-0000-0000FF980000}"/>
    <cellStyle name="Normal 58 13 2" xfId="3471" xr:uid="{00000000-0005-0000-0000-000000990000}"/>
    <cellStyle name="Normal 58 13 2 2" xfId="12607" xr:uid="{00000000-0005-0000-0000-000001990000}"/>
    <cellStyle name="Normal 58 13 2 2 2" xfId="22826" xr:uid="{00000000-0005-0000-0000-000002990000}"/>
    <cellStyle name="Normal 58 13 2 2 2 2" xfId="48379" xr:uid="{00000000-0005-0000-0000-000003990000}"/>
    <cellStyle name="Normal 58 13 2 2 3" xfId="38162" xr:uid="{00000000-0005-0000-0000-000004990000}"/>
    <cellStyle name="Normal 58 13 2 3" xfId="9029" xr:uid="{00000000-0005-0000-0000-000005990000}"/>
    <cellStyle name="Normal 58 13 2 3 2" xfId="34586" xr:uid="{00000000-0005-0000-0000-000006990000}"/>
    <cellStyle name="Normal 58 13 2 4" xfId="17819" xr:uid="{00000000-0005-0000-0000-000007990000}"/>
    <cellStyle name="Normal 58 13 2 4 2" xfId="43372" xr:uid="{00000000-0005-0000-0000-000008990000}"/>
    <cellStyle name="Normal 58 13 2 5" xfId="29309" xr:uid="{00000000-0005-0000-0000-000009990000}"/>
    <cellStyle name="Normal 58 13 3" xfId="5046" xr:uid="{00000000-0005-0000-0000-00000A990000}"/>
    <cellStyle name="Normal 58 13 3 2" xfId="13883" xr:uid="{00000000-0005-0000-0000-00000B990000}"/>
    <cellStyle name="Normal 58 13 3 2 2" xfId="24134" xr:uid="{00000000-0005-0000-0000-00000C990000}"/>
    <cellStyle name="Normal 58 13 3 2 2 2" xfId="49687" xr:uid="{00000000-0005-0000-0000-00000D990000}"/>
    <cellStyle name="Normal 58 13 3 2 3" xfId="39438" xr:uid="{00000000-0005-0000-0000-00000E990000}"/>
    <cellStyle name="Normal 58 13 3 3" xfId="10304" xr:uid="{00000000-0005-0000-0000-00000F990000}"/>
    <cellStyle name="Normal 58 13 3 3 2" xfId="35861" xr:uid="{00000000-0005-0000-0000-000010990000}"/>
    <cellStyle name="Normal 58 13 3 4" xfId="19127" xr:uid="{00000000-0005-0000-0000-000011990000}"/>
    <cellStyle name="Normal 58 13 3 4 2" xfId="44680" xr:uid="{00000000-0005-0000-0000-000012990000}"/>
    <cellStyle name="Normal 58 13 3 5" xfId="30617" xr:uid="{00000000-0005-0000-0000-000013990000}"/>
    <cellStyle name="Normal 58 13 4" xfId="1706" xr:uid="{00000000-0005-0000-0000-000014990000}"/>
    <cellStyle name="Normal 58 13 4 2" xfId="11083" xr:uid="{00000000-0005-0000-0000-000015990000}"/>
    <cellStyle name="Normal 58 13 4 2 2" xfId="36638" xr:uid="{00000000-0005-0000-0000-000016990000}"/>
    <cellStyle name="Normal 58 13 4 3" xfId="21087" xr:uid="{00000000-0005-0000-0000-000017990000}"/>
    <cellStyle name="Normal 58 13 4 3 2" xfId="46640" xr:uid="{00000000-0005-0000-0000-000018990000}"/>
    <cellStyle name="Normal 58 13 4 4" xfId="27570" xr:uid="{00000000-0005-0000-0000-000019990000}"/>
    <cellStyle name="Normal 58 13 5" xfId="6501" xr:uid="{00000000-0005-0000-0000-00001A990000}"/>
    <cellStyle name="Normal 58 13 5 2" xfId="15328" xr:uid="{00000000-0005-0000-0000-00001B990000}"/>
    <cellStyle name="Normal 58 13 5 2 2" xfId="40883" xr:uid="{00000000-0005-0000-0000-00001C990000}"/>
    <cellStyle name="Normal 58 13 5 3" xfId="25579" xr:uid="{00000000-0005-0000-0000-00001D990000}"/>
    <cellStyle name="Normal 58 13 5 3 2" xfId="51132" xr:uid="{00000000-0005-0000-0000-00001E990000}"/>
    <cellStyle name="Normal 58 13 5 4" xfId="32062" xr:uid="{00000000-0005-0000-0000-00001F990000}"/>
    <cellStyle name="Normal 58 13 6" xfId="7947" xr:uid="{00000000-0005-0000-0000-000020990000}"/>
    <cellStyle name="Normal 58 13 6 2" xfId="20425" xr:uid="{00000000-0005-0000-0000-000021990000}"/>
    <cellStyle name="Normal 58 13 6 2 2" xfId="45978" xr:uid="{00000000-0005-0000-0000-000022990000}"/>
    <cellStyle name="Normal 58 13 6 3" xfId="33504" xr:uid="{00000000-0005-0000-0000-000023990000}"/>
    <cellStyle name="Normal 58 13 7" xfId="16080" xr:uid="{00000000-0005-0000-0000-000024990000}"/>
    <cellStyle name="Normal 58 13 7 2" xfId="41633" xr:uid="{00000000-0005-0000-0000-000025990000}"/>
    <cellStyle name="Normal 58 13 8" xfId="26908" xr:uid="{00000000-0005-0000-0000-000026990000}"/>
    <cellStyle name="Normal 58 14" xfId="2606" xr:uid="{00000000-0005-0000-0000-000027990000}"/>
    <cellStyle name="Normal 58 14 2" xfId="5134" xr:uid="{00000000-0005-0000-0000-000028990000}"/>
    <cellStyle name="Normal 58 14 2 2" xfId="13971" xr:uid="{00000000-0005-0000-0000-000029990000}"/>
    <cellStyle name="Normal 58 14 2 2 2" xfId="24222" xr:uid="{00000000-0005-0000-0000-00002A990000}"/>
    <cellStyle name="Normal 58 14 2 2 2 2" xfId="49775" xr:uid="{00000000-0005-0000-0000-00002B990000}"/>
    <cellStyle name="Normal 58 14 2 2 3" xfId="39526" xr:uid="{00000000-0005-0000-0000-00002C990000}"/>
    <cellStyle name="Normal 58 14 2 3" xfId="10392" xr:uid="{00000000-0005-0000-0000-00002D990000}"/>
    <cellStyle name="Normal 58 14 2 3 2" xfId="35949" xr:uid="{00000000-0005-0000-0000-00002E990000}"/>
    <cellStyle name="Normal 58 14 2 4" xfId="19215" xr:uid="{00000000-0005-0000-0000-00002F990000}"/>
    <cellStyle name="Normal 58 14 2 4 2" xfId="44768" xr:uid="{00000000-0005-0000-0000-000030990000}"/>
    <cellStyle name="Normal 58 14 2 5" xfId="30705" xr:uid="{00000000-0005-0000-0000-000031990000}"/>
    <cellStyle name="Normal 58 14 3" xfId="6589" xr:uid="{00000000-0005-0000-0000-000032990000}"/>
    <cellStyle name="Normal 58 14 3 2" xfId="15416" xr:uid="{00000000-0005-0000-0000-000033990000}"/>
    <cellStyle name="Normal 58 14 3 2 2" xfId="40971" xr:uid="{00000000-0005-0000-0000-000034990000}"/>
    <cellStyle name="Normal 58 14 3 3" xfId="25667" xr:uid="{00000000-0005-0000-0000-000035990000}"/>
    <cellStyle name="Normal 58 14 3 3 2" xfId="51220" xr:uid="{00000000-0005-0000-0000-000036990000}"/>
    <cellStyle name="Normal 58 14 3 4" xfId="32150" xr:uid="{00000000-0005-0000-0000-000037990000}"/>
    <cellStyle name="Normal 58 14 4" xfId="8035" xr:uid="{00000000-0005-0000-0000-000038990000}"/>
    <cellStyle name="Normal 58 14 4 2" xfId="21970" xr:uid="{00000000-0005-0000-0000-000039990000}"/>
    <cellStyle name="Normal 58 14 4 2 2" xfId="47523" xr:uid="{00000000-0005-0000-0000-00003A990000}"/>
    <cellStyle name="Normal 58 14 4 3" xfId="33592" xr:uid="{00000000-0005-0000-0000-00003B990000}"/>
    <cellStyle name="Normal 58 14 5" xfId="16963" xr:uid="{00000000-0005-0000-0000-00003C990000}"/>
    <cellStyle name="Normal 58 14 5 2" xfId="42516" xr:uid="{00000000-0005-0000-0000-00003D990000}"/>
    <cellStyle name="Normal 58 14 6" xfId="28453" xr:uid="{00000000-0005-0000-0000-00003E990000}"/>
    <cellStyle name="Normal 58 15" xfId="4088" xr:uid="{00000000-0005-0000-0000-00003F990000}"/>
    <cellStyle name="Normal 58 15 2" xfId="5546" xr:uid="{00000000-0005-0000-0000-000040990000}"/>
    <cellStyle name="Normal 58 15 2 2" xfId="14373" xr:uid="{00000000-0005-0000-0000-000041990000}"/>
    <cellStyle name="Normal 58 15 2 2 2" xfId="39928" xr:uid="{00000000-0005-0000-0000-000042990000}"/>
    <cellStyle name="Normal 58 15 2 3" xfId="24624" xr:uid="{00000000-0005-0000-0000-000043990000}"/>
    <cellStyle name="Normal 58 15 2 3 2" xfId="50177" xr:uid="{00000000-0005-0000-0000-000044990000}"/>
    <cellStyle name="Normal 58 15 2 4" xfId="31107" xr:uid="{00000000-0005-0000-0000-000045990000}"/>
    <cellStyle name="Normal 58 15 3" xfId="6990" xr:uid="{00000000-0005-0000-0000-000046990000}"/>
    <cellStyle name="Normal 58 15 3 2" xfId="23177" xr:uid="{00000000-0005-0000-0000-000047990000}"/>
    <cellStyle name="Normal 58 15 3 2 2" xfId="48730" xr:uid="{00000000-0005-0000-0000-000048990000}"/>
    <cellStyle name="Normal 58 15 3 3" xfId="32547" xr:uid="{00000000-0005-0000-0000-000049990000}"/>
    <cellStyle name="Normal 58 15 4" xfId="18170" xr:uid="{00000000-0005-0000-0000-00004A990000}"/>
    <cellStyle name="Normal 58 15 4 2" xfId="43723" xr:uid="{00000000-0005-0000-0000-00004B990000}"/>
    <cellStyle name="Normal 58 15 5" xfId="29660" xr:uid="{00000000-0005-0000-0000-00004C990000}"/>
    <cellStyle name="Normal 58 16" xfId="1389" xr:uid="{00000000-0005-0000-0000-00004D990000}"/>
    <cellStyle name="Normal 58 16 2" xfId="10766" xr:uid="{00000000-0005-0000-0000-00004E990000}"/>
    <cellStyle name="Normal 58 16 2 2" xfId="36321" xr:uid="{00000000-0005-0000-0000-00004F990000}"/>
    <cellStyle name="Normal 58 16 3" xfId="20770" xr:uid="{00000000-0005-0000-0000-000050990000}"/>
    <cellStyle name="Normal 58 16 3 2" xfId="46323" xr:uid="{00000000-0005-0000-0000-000051990000}"/>
    <cellStyle name="Normal 58 16 4" xfId="27253" xr:uid="{00000000-0005-0000-0000-000052990000}"/>
    <cellStyle name="Normal 58 17" xfId="5506" xr:uid="{00000000-0005-0000-0000-000053990000}"/>
    <cellStyle name="Normal 58 17 2" xfId="14333" xr:uid="{00000000-0005-0000-0000-000054990000}"/>
    <cellStyle name="Normal 58 17 2 2" xfId="39888" xr:uid="{00000000-0005-0000-0000-000055990000}"/>
    <cellStyle name="Normal 58 17 3" xfId="24584" xr:uid="{00000000-0005-0000-0000-000056990000}"/>
    <cellStyle name="Normal 58 17 3 2" xfId="50137" xr:uid="{00000000-0005-0000-0000-000057990000}"/>
    <cellStyle name="Normal 58 17 4" xfId="31067" xr:uid="{00000000-0005-0000-0000-000058990000}"/>
    <cellStyle name="Normal 58 18" xfId="6945" xr:uid="{00000000-0005-0000-0000-000059990000}"/>
    <cellStyle name="Normal 58 18 2" xfId="19570" xr:uid="{00000000-0005-0000-0000-00005A990000}"/>
    <cellStyle name="Normal 58 18 2 2" xfId="45123" xr:uid="{00000000-0005-0000-0000-00005B990000}"/>
    <cellStyle name="Normal 58 18 3" xfId="32503" xr:uid="{00000000-0005-0000-0000-00005C990000}"/>
    <cellStyle name="Normal 58 19" xfId="15763" xr:uid="{00000000-0005-0000-0000-00005D990000}"/>
    <cellStyle name="Normal 58 19 2" xfId="41316" xr:uid="{00000000-0005-0000-0000-00005E990000}"/>
    <cellStyle name="Normal 58 2" xfId="37" xr:uid="{00000000-0005-0000-0000-00005F990000}"/>
    <cellStyle name="Normal 58 20" xfId="26053" xr:uid="{00000000-0005-0000-0000-000060990000}"/>
    <cellStyle name="Normal 58 3" xfId="110" xr:uid="{00000000-0005-0000-0000-000061990000}"/>
    <cellStyle name="Normal 58 3 10" xfId="4100" xr:uid="{00000000-0005-0000-0000-000062990000}"/>
    <cellStyle name="Normal 58 3 10 2" xfId="5558" xr:uid="{00000000-0005-0000-0000-000063990000}"/>
    <cellStyle name="Normal 58 3 10 2 2" xfId="14385" xr:uid="{00000000-0005-0000-0000-000064990000}"/>
    <cellStyle name="Normal 58 3 10 2 2 2" xfId="39940" xr:uid="{00000000-0005-0000-0000-000065990000}"/>
    <cellStyle name="Normal 58 3 10 2 3" xfId="24636" xr:uid="{00000000-0005-0000-0000-000066990000}"/>
    <cellStyle name="Normal 58 3 10 2 3 2" xfId="50189" xr:uid="{00000000-0005-0000-0000-000067990000}"/>
    <cellStyle name="Normal 58 3 10 2 4" xfId="31119" xr:uid="{00000000-0005-0000-0000-000068990000}"/>
    <cellStyle name="Normal 58 3 10 3" xfId="7002" xr:uid="{00000000-0005-0000-0000-000069990000}"/>
    <cellStyle name="Normal 58 3 10 3 2" xfId="23189" xr:uid="{00000000-0005-0000-0000-00006A990000}"/>
    <cellStyle name="Normal 58 3 10 3 2 2" xfId="48742" xr:uid="{00000000-0005-0000-0000-00006B990000}"/>
    <cellStyle name="Normal 58 3 10 3 3" xfId="32559" xr:uid="{00000000-0005-0000-0000-00006C990000}"/>
    <cellStyle name="Normal 58 3 10 4" xfId="18182" xr:uid="{00000000-0005-0000-0000-00006D990000}"/>
    <cellStyle name="Normal 58 3 10 4 2" xfId="43735" xr:uid="{00000000-0005-0000-0000-00006E990000}"/>
    <cellStyle name="Normal 58 3 10 5" xfId="29672" xr:uid="{00000000-0005-0000-0000-00006F990000}"/>
    <cellStyle name="Normal 58 3 11" xfId="1394" xr:uid="{00000000-0005-0000-0000-000070990000}"/>
    <cellStyle name="Normal 58 3 11 2" xfId="10771" xr:uid="{00000000-0005-0000-0000-000071990000}"/>
    <cellStyle name="Normal 58 3 11 2 2" xfId="36326" xr:uid="{00000000-0005-0000-0000-000072990000}"/>
    <cellStyle name="Normal 58 3 11 3" xfId="20775" xr:uid="{00000000-0005-0000-0000-000073990000}"/>
    <cellStyle name="Normal 58 3 11 3 2" xfId="46328" xr:uid="{00000000-0005-0000-0000-000074990000}"/>
    <cellStyle name="Normal 58 3 11 4" xfId="27258" xr:uid="{00000000-0005-0000-0000-000075990000}"/>
    <cellStyle name="Normal 58 3 12" xfId="5528" xr:uid="{00000000-0005-0000-0000-000076990000}"/>
    <cellStyle name="Normal 58 3 12 2" xfId="14355" xr:uid="{00000000-0005-0000-0000-000077990000}"/>
    <cellStyle name="Normal 58 3 12 2 2" xfId="39910" xr:uid="{00000000-0005-0000-0000-000078990000}"/>
    <cellStyle name="Normal 58 3 12 3" xfId="24606" xr:uid="{00000000-0005-0000-0000-000079990000}"/>
    <cellStyle name="Normal 58 3 12 3 2" xfId="50159" xr:uid="{00000000-0005-0000-0000-00007A990000}"/>
    <cellStyle name="Normal 58 3 12 4" xfId="31089" xr:uid="{00000000-0005-0000-0000-00007B990000}"/>
    <cellStyle name="Normal 58 3 13" xfId="6972" xr:uid="{00000000-0005-0000-0000-00007C990000}"/>
    <cellStyle name="Normal 58 3 13 2" xfId="19583" xr:uid="{00000000-0005-0000-0000-00007D990000}"/>
    <cellStyle name="Normal 58 3 13 2 2" xfId="45136" xr:uid="{00000000-0005-0000-0000-00007E990000}"/>
    <cellStyle name="Normal 58 3 13 3" xfId="32529" xr:uid="{00000000-0005-0000-0000-00007F990000}"/>
    <cellStyle name="Normal 58 3 14" xfId="15768" xr:uid="{00000000-0005-0000-0000-000080990000}"/>
    <cellStyle name="Normal 58 3 14 2" xfId="41321" xr:uid="{00000000-0005-0000-0000-000081990000}"/>
    <cellStyle name="Normal 58 3 15" xfId="26066" xr:uid="{00000000-0005-0000-0000-000082990000}"/>
    <cellStyle name="Normal 58 3 2" xfId="154" xr:uid="{00000000-0005-0000-0000-000083990000}"/>
    <cellStyle name="Normal 58 3 2 10" xfId="1419" xr:uid="{00000000-0005-0000-0000-000084990000}"/>
    <cellStyle name="Normal 58 3 2 10 2" xfId="10796" xr:uid="{00000000-0005-0000-0000-000085990000}"/>
    <cellStyle name="Normal 58 3 2 10 2 2" xfId="36351" xr:uid="{00000000-0005-0000-0000-000086990000}"/>
    <cellStyle name="Normal 58 3 2 10 3" xfId="20800" xr:uid="{00000000-0005-0000-0000-000087990000}"/>
    <cellStyle name="Normal 58 3 2 10 3 2" xfId="46353" xr:uid="{00000000-0005-0000-0000-000088990000}"/>
    <cellStyle name="Normal 58 3 2 10 4" xfId="27283" xr:uid="{00000000-0005-0000-0000-000089990000}"/>
    <cellStyle name="Normal 58 3 2 11" xfId="5603" xr:uid="{00000000-0005-0000-0000-00008A990000}"/>
    <cellStyle name="Normal 58 3 2 11 2" xfId="14430" xr:uid="{00000000-0005-0000-0000-00008B990000}"/>
    <cellStyle name="Normal 58 3 2 11 2 2" xfId="39985" xr:uid="{00000000-0005-0000-0000-00008C990000}"/>
    <cellStyle name="Normal 58 3 2 11 3" xfId="24681" xr:uid="{00000000-0005-0000-0000-00008D990000}"/>
    <cellStyle name="Normal 58 3 2 11 3 2" xfId="50234" xr:uid="{00000000-0005-0000-0000-00008E990000}"/>
    <cellStyle name="Normal 58 3 2 11 4" xfId="31164" xr:uid="{00000000-0005-0000-0000-00008F990000}"/>
    <cellStyle name="Normal 58 3 2 12" xfId="7047" xr:uid="{00000000-0005-0000-0000-000090990000}"/>
    <cellStyle name="Normal 58 3 2 12 2" xfId="19613" xr:uid="{00000000-0005-0000-0000-000091990000}"/>
    <cellStyle name="Normal 58 3 2 12 2 2" xfId="45166" xr:uid="{00000000-0005-0000-0000-000092990000}"/>
    <cellStyle name="Normal 58 3 2 12 3" xfId="32604" xr:uid="{00000000-0005-0000-0000-000093990000}"/>
    <cellStyle name="Normal 58 3 2 13" xfId="15793" xr:uid="{00000000-0005-0000-0000-000094990000}"/>
    <cellStyle name="Normal 58 3 2 13 2" xfId="41346" xr:uid="{00000000-0005-0000-0000-000095990000}"/>
    <cellStyle name="Normal 58 3 2 14" xfId="26096" xr:uid="{00000000-0005-0000-0000-000096990000}"/>
    <cellStyle name="Normal 58 3 2 2" xfId="266" xr:uid="{00000000-0005-0000-0000-000097990000}"/>
    <cellStyle name="Normal 58 3 2 2 10" xfId="7104" xr:uid="{00000000-0005-0000-0000-000098990000}"/>
    <cellStyle name="Normal 58 3 2 2 10 2" xfId="19717" xr:uid="{00000000-0005-0000-0000-000099990000}"/>
    <cellStyle name="Normal 58 3 2 2 10 2 2" xfId="45270" xr:uid="{00000000-0005-0000-0000-00009A990000}"/>
    <cellStyle name="Normal 58 3 2 2 10 3" xfId="32661" xr:uid="{00000000-0005-0000-0000-00009B990000}"/>
    <cellStyle name="Normal 58 3 2 2 11" xfId="15850" xr:uid="{00000000-0005-0000-0000-00009C990000}"/>
    <cellStyle name="Normal 58 3 2 2 11 2" xfId="41403" xr:uid="{00000000-0005-0000-0000-00009D990000}"/>
    <cellStyle name="Normal 58 3 2 2 12" xfId="26200" xr:uid="{00000000-0005-0000-0000-00009E990000}"/>
    <cellStyle name="Normal 58 3 2 2 2" xfId="588" xr:uid="{00000000-0005-0000-0000-00009F990000}"/>
    <cellStyle name="Normal 58 3 2 2 2 10" xfId="26517" xr:uid="{00000000-0005-0000-0000-0000A0990000}"/>
    <cellStyle name="Normal 58 3 2 2 2 2" xfId="889" xr:uid="{00000000-0005-0000-0000-0000A1990000}"/>
    <cellStyle name="Normal 58 3 2 2 2 2 2" xfId="3374" xr:uid="{00000000-0005-0000-0000-0000A2990000}"/>
    <cellStyle name="Normal 58 3 2 2 2 2 2 2" xfId="12516" xr:uid="{00000000-0005-0000-0000-0000A3990000}"/>
    <cellStyle name="Normal 58 3 2 2 2 2 2 2 2" xfId="22735" xr:uid="{00000000-0005-0000-0000-0000A4990000}"/>
    <cellStyle name="Normal 58 3 2 2 2 2 2 2 2 2" xfId="48288" xr:uid="{00000000-0005-0000-0000-0000A5990000}"/>
    <cellStyle name="Normal 58 3 2 2 2 2 2 2 3" xfId="38071" xr:uid="{00000000-0005-0000-0000-0000A6990000}"/>
    <cellStyle name="Normal 58 3 2 2 2 2 2 3" xfId="8938" xr:uid="{00000000-0005-0000-0000-0000A7990000}"/>
    <cellStyle name="Normal 58 3 2 2 2 2 2 3 2" xfId="34495" xr:uid="{00000000-0005-0000-0000-0000A8990000}"/>
    <cellStyle name="Normal 58 3 2 2 2 2 2 4" xfId="17728" xr:uid="{00000000-0005-0000-0000-0000A9990000}"/>
    <cellStyle name="Normal 58 3 2 2 2 2 2 4 2" xfId="43281" xr:uid="{00000000-0005-0000-0000-0000AA990000}"/>
    <cellStyle name="Normal 58 3 2 2 2 2 2 5" xfId="29218" xr:uid="{00000000-0005-0000-0000-0000AB990000}"/>
    <cellStyle name="Normal 58 3 2 2 2 2 3" xfId="4703" xr:uid="{00000000-0005-0000-0000-0000AC990000}"/>
    <cellStyle name="Normal 58 3 2 2 2 2 3 2" xfId="13541" xr:uid="{00000000-0005-0000-0000-0000AD990000}"/>
    <cellStyle name="Normal 58 3 2 2 2 2 3 2 2" xfId="23792" xr:uid="{00000000-0005-0000-0000-0000AE990000}"/>
    <cellStyle name="Normal 58 3 2 2 2 2 3 2 2 2" xfId="49345" xr:uid="{00000000-0005-0000-0000-0000AF990000}"/>
    <cellStyle name="Normal 58 3 2 2 2 2 3 2 3" xfId="39096" xr:uid="{00000000-0005-0000-0000-0000B0990000}"/>
    <cellStyle name="Normal 58 3 2 2 2 2 3 3" xfId="9962" xr:uid="{00000000-0005-0000-0000-0000B1990000}"/>
    <cellStyle name="Normal 58 3 2 2 2 2 3 3 2" xfId="35519" xr:uid="{00000000-0005-0000-0000-0000B2990000}"/>
    <cellStyle name="Normal 58 3 2 2 2 2 3 4" xfId="18785" xr:uid="{00000000-0005-0000-0000-0000B3990000}"/>
    <cellStyle name="Normal 58 3 2 2 2 2 3 4 2" xfId="44338" xr:uid="{00000000-0005-0000-0000-0000B4990000}"/>
    <cellStyle name="Normal 58 3 2 2 2 2 3 5" xfId="30275" xr:uid="{00000000-0005-0000-0000-0000B5990000}"/>
    <cellStyle name="Normal 58 3 2 2 2 2 4" xfId="2483" xr:uid="{00000000-0005-0000-0000-0000B6990000}"/>
    <cellStyle name="Normal 58 3 2 2 2 2 4 2" xfId="11848" xr:uid="{00000000-0005-0000-0000-0000B7990000}"/>
    <cellStyle name="Normal 58 3 2 2 2 2 4 2 2" xfId="37403" xr:uid="{00000000-0005-0000-0000-0000B8990000}"/>
    <cellStyle name="Normal 58 3 2 2 2 2 4 3" xfId="21852" xr:uid="{00000000-0005-0000-0000-0000B9990000}"/>
    <cellStyle name="Normal 58 3 2 2 2 2 4 3 2" xfId="47405" xr:uid="{00000000-0005-0000-0000-0000BA990000}"/>
    <cellStyle name="Normal 58 3 2 2 2 2 4 4" xfId="28335" xr:uid="{00000000-0005-0000-0000-0000BB990000}"/>
    <cellStyle name="Normal 58 3 2 2 2 2 5" xfId="6159" xr:uid="{00000000-0005-0000-0000-0000BC990000}"/>
    <cellStyle name="Normal 58 3 2 2 2 2 5 2" xfId="14986" xr:uid="{00000000-0005-0000-0000-0000BD990000}"/>
    <cellStyle name="Normal 58 3 2 2 2 2 5 2 2" xfId="40541" xr:uid="{00000000-0005-0000-0000-0000BE990000}"/>
    <cellStyle name="Normal 58 3 2 2 2 2 5 3" xfId="25237" xr:uid="{00000000-0005-0000-0000-0000BF990000}"/>
    <cellStyle name="Normal 58 3 2 2 2 2 5 3 2" xfId="50790" xr:uid="{00000000-0005-0000-0000-0000C0990000}"/>
    <cellStyle name="Normal 58 3 2 2 2 2 5 4" xfId="31720" xr:uid="{00000000-0005-0000-0000-0000C1990000}"/>
    <cellStyle name="Normal 58 3 2 2 2 2 6" xfId="7604" xr:uid="{00000000-0005-0000-0000-0000C2990000}"/>
    <cellStyle name="Normal 58 3 2 2 2 2 6 2" xfId="20334" xr:uid="{00000000-0005-0000-0000-0000C3990000}"/>
    <cellStyle name="Normal 58 3 2 2 2 2 6 2 2" xfId="45887" xr:uid="{00000000-0005-0000-0000-0000C4990000}"/>
    <cellStyle name="Normal 58 3 2 2 2 2 6 3" xfId="33161" xr:uid="{00000000-0005-0000-0000-0000C5990000}"/>
    <cellStyle name="Normal 58 3 2 2 2 2 7" xfId="16845" xr:uid="{00000000-0005-0000-0000-0000C6990000}"/>
    <cellStyle name="Normal 58 3 2 2 2 2 7 2" xfId="42398" xr:uid="{00000000-0005-0000-0000-0000C7990000}"/>
    <cellStyle name="Normal 58 3 2 2 2 2 8" xfId="26817" xr:uid="{00000000-0005-0000-0000-0000C8990000}"/>
    <cellStyle name="Normal 58 3 2 2 2 3" xfId="1360" xr:uid="{00000000-0005-0000-0000-0000C9990000}"/>
    <cellStyle name="Normal 58 3 2 2 2 3 2" xfId="3789" xr:uid="{00000000-0005-0000-0000-0000CA990000}"/>
    <cellStyle name="Normal 58 3 2 2 2 3 2 2" xfId="12925" xr:uid="{00000000-0005-0000-0000-0000CB990000}"/>
    <cellStyle name="Normal 58 3 2 2 2 3 2 2 2" xfId="23144" xr:uid="{00000000-0005-0000-0000-0000CC990000}"/>
    <cellStyle name="Normal 58 3 2 2 2 3 2 2 2 2" xfId="48697" xr:uid="{00000000-0005-0000-0000-0000CD990000}"/>
    <cellStyle name="Normal 58 3 2 2 2 3 2 2 3" xfId="38480" xr:uid="{00000000-0005-0000-0000-0000CE990000}"/>
    <cellStyle name="Normal 58 3 2 2 2 3 2 3" xfId="9346" xr:uid="{00000000-0005-0000-0000-0000CF990000}"/>
    <cellStyle name="Normal 58 3 2 2 2 3 2 3 2" xfId="34903" xr:uid="{00000000-0005-0000-0000-0000D0990000}"/>
    <cellStyle name="Normal 58 3 2 2 2 3 2 4" xfId="18137" xr:uid="{00000000-0005-0000-0000-0000D1990000}"/>
    <cellStyle name="Normal 58 3 2 2 2 3 2 4 2" xfId="43690" xr:uid="{00000000-0005-0000-0000-0000D2990000}"/>
    <cellStyle name="Normal 58 3 2 2 2 3 2 5" xfId="29627" xr:uid="{00000000-0005-0000-0000-0000D3990000}"/>
    <cellStyle name="Normal 58 3 2 2 2 3 3" xfId="5052" xr:uid="{00000000-0005-0000-0000-0000D4990000}"/>
    <cellStyle name="Normal 58 3 2 2 2 3 3 2" xfId="13889" xr:uid="{00000000-0005-0000-0000-0000D5990000}"/>
    <cellStyle name="Normal 58 3 2 2 2 3 3 2 2" xfId="24140" xr:uid="{00000000-0005-0000-0000-0000D6990000}"/>
    <cellStyle name="Normal 58 3 2 2 2 3 3 2 2 2" xfId="49693" xr:uid="{00000000-0005-0000-0000-0000D7990000}"/>
    <cellStyle name="Normal 58 3 2 2 2 3 3 2 3" xfId="39444" xr:uid="{00000000-0005-0000-0000-0000D8990000}"/>
    <cellStyle name="Normal 58 3 2 2 2 3 3 3" xfId="10310" xr:uid="{00000000-0005-0000-0000-0000D9990000}"/>
    <cellStyle name="Normal 58 3 2 2 2 3 3 3 2" xfId="35867" xr:uid="{00000000-0005-0000-0000-0000DA990000}"/>
    <cellStyle name="Normal 58 3 2 2 2 3 3 4" xfId="19133" xr:uid="{00000000-0005-0000-0000-0000DB990000}"/>
    <cellStyle name="Normal 58 3 2 2 2 3 3 4 2" xfId="44686" xr:uid="{00000000-0005-0000-0000-0000DC990000}"/>
    <cellStyle name="Normal 58 3 2 2 2 3 3 5" xfId="30623" xr:uid="{00000000-0005-0000-0000-0000DD990000}"/>
    <cellStyle name="Normal 58 3 2 2 2 3 4" xfId="2183" xr:uid="{00000000-0005-0000-0000-0000DE990000}"/>
    <cellStyle name="Normal 58 3 2 2 2 3 4 2" xfId="11548" xr:uid="{00000000-0005-0000-0000-0000DF990000}"/>
    <cellStyle name="Normal 58 3 2 2 2 3 4 2 2" xfId="37103" xr:uid="{00000000-0005-0000-0000-0000E0990000}"/>
    <cellStyle name="Normal 58 3 2 2 2 3 4 3" xfId="21552" xr:uid="{00000000-0005-0000-0000-0000E1990000}"/>
    <cellStyle name="Normal 58 3 2 2 2 3 4 3 2" xfId="47105" xr:uid="{00000000-0005-0000-0000-0000E2990000}"/>
    <cellStyle name="Normal 58 3 2 2 2 3 4 4" xfId="28035" xr:uid="{00000000-0005-0000-0000-0000E3990000}"/>
    <cellStyle name="Normal 58 3 2 2 2 3 5" xfId="6507" xr:uid="{00000000-0005-0000-0000-0000E4990000}"/>
    <cellStyle name="Normal 58 3 2 2 2 3 5 2" xfId="15334" xr:uid="{00000000-0005-0000-0000-0000E5990000}"/>
    <cellStyle name="Normal 58 3 2 2 2 3 5 2 2" xfId="40889" xr:uid="{00000000-0005-0000-0000-0000E6990000}"/>
    <cellStyle name="Normal 58 3 2 2 2 3 5 3" xfId="25585" xr:uid="{00000000-0005-0000-0000-0000E7990000}"/>
    <cellStyle name="Normal 58 3 2 2 2 3 5 3 2" xfId="51138" xr:uid="{00000000-0005-0000-0000-0000E8990000}"/>
    <cellStyle name="Normal 58 3 2 2 2 3 5 4" xfId="32068" xr:uid="{00000000-0005-0000-0000-0000E9990000}"/>
    <cellStyle name="Normal 58 3 2 2 2 3 6" xfId="7953" xr:uid="{00000000-0005-0000-0000-0000EA990000}"/>
    <cellStyle name="Normal 58 3 2 2 2 3 6 2" xfId="20743" xr:uid="{00000000-0005-0000-0000-0000EB990000}"/>
    <cellStyle name="Normal 58 3 2 2 2 3 6 2 2" xfId="46296" xr:uid="{00000000-0005-0000-0000-0000EC990000}"/>
    <cellStyle name="Normal 58 3 2 2 2 3 6 3" xfId="33510" xr:uid="{00000000-0005-0000-0000-0000ED990000}"/>
    <cellStyle name="Normal 58 3 2 2 2 3 7" xfId="16545" xr:uid="{00000000-0005-0000-0000-0000EE990000}"/>
    <cellStyle name="Normal 58 3 2 2 2 3 7 2" xfId="42098" xr:uid="{00000000-0005-0000-0000-0000EF990000}"/>
    <cellStyle name="Normal 58 3 2 2 2 3 8" xfId="27226" xr:uid="{00000000-0005-0000-0000-0000F0990000}"/>
    <cellStyle name="Normal 58 3 2 2 2 4" xfId="3074" xr:uid="{00000000-0005-0000-0000-0000F1990000}"/>
    <cellStyle name="Normal 58 3 2 2 2 4 2" xfId="5452" xr:uid="{00000000-0005-0000-0000-0000F2990000}"/>
    <cellStyle name="Normal 58 3 2 2 2 4 2 2" xfId="14289" xr:uid="{00000000-0005-0000-0000-0000F3990000}"/>
    <cellStyle name="Normal 58 3 2 2 2 4 2 2 2" xfId="24540" xr:uid="{00000000-0005-0000-0000-0000F4990000}"/>
    <cellStyle name="Normal 58 3 2 2 2 4 2 2 2 2" xfId="50093" xr:uid="{00000000-0005-0000-0000-0000F5990000}"/>
    <cellStyle name="Normal 58 3 2 2 2 4 2 2 3" xfId="39844" xr:uid="{00000000-0005-0000-0000-0000F6990000}"/>
    <cellStyle name="Normal 58 3 2 2 2 4 2 3" xfId="10710" xr:uid="{00000000-0005-0000-0000-0000F7990000}"/>
    <cellStyle name="Normal 58 3 2 2 2 4 2 3 2" xfId="36267" xr:uid="{00000000-0005-0000-0000-0000F8990000}"/>
    <cellStyle name="Normal 58 3 2 2 2 4 2 4" xfId="19533" xr:uid="{00000000-0005-0000-0000-0000F9990000}"/>
    <cellStyle name="Normal 58 3 2 2 2 4 2 4 2" xfId="45086" xr:uid="{00000000-0005-0000-0000-0000FA990000}"/>
    <cellStyle name="Normal 58 3 2 2 2 4 2 5" xfId="31023" xr:uid="{00000000-0005-0000-0000-0000FB990000}"/>
    <cellStyle name="Normal 58 3 2 2 2 4 3" xfId="6907" xr:uid="{00000000-0005-0000-0000-0000FC990000}"/>
    <cellStyle name="Normal 58 3 2 2 2 4 3 2" xfId="15734" xr:uid="{00000000-0005-0000-0000-0000FD990000}"/>
    <cellStyle name="Normal 58 3 2 2 2 4 3 2 2" xfId="41289" xr:uid="{00000000-0005-0000-0000-0000FE990000}"/>
    <cellStyle name="Normal 58 3 2 2 2 4 3 3" xfId="25985" xr:uid="{00000000-0005-0000-0000-0000FF990000}"/>
    <cellStyle name="Normal 58 3 2 2 2 4 3 3 2" xfId="51538" xr:uid="{00000000-0005-0000-0000-0000009A0000}"/>
    <cellStyle name="Normal 58 3 2 2 2 4 3 4" xfId="32468" xr:uid="{00000000-0005-0000-0000-0000019A0000}"/>
    <cellStyle name="Normal 58 3 2 2 2 4 4" xfId="8353" xr:uid="{00000000-0005-0000-0000-0000029A0000}"/>
    <cellStyle name="Normal 58 3 2 2 2 4 4 2" xfId="22435" xr:uid="{00000000-0005-0000-0000-0000039A0000}"/>
    <cellStyle name="Normal 58 3 2 2 2 4 4 2 2" xfId="47988" xr:uid="{00000000-0005-0000-0000-0000049A0000}"/>
    <cellStyle name="Normal 58 3 2 2 2 4 4 3" xfId="33910" xr:uid="{00000000-0005-0000-0000-0000059A0000}"/>
    <cellStyle name="Normal 58 3 2 2 2 4 5" xfId="17428" xr:uid="{00000000-0005-0000-0000-0000069A0000}"/>
    <cellStyle name="Normal 58 3 2 2 2 4 5 2" xfId="42981" xr:uid="{00000000-0005-0000-0000-0000079A0000}"/>
    <cellStyle name="Normal 58 3 2 2 2 4 6" xfId="28918" xr:uid="{00000000-0005-0000-0000-0000089A0000}"/>
    <cellStyle name="Normal 58 3 2 2 2 5" xfId="4408" xr:uid="{00000000-0005-0000-0000-0000099A0000}"/>
    <cellStyle name="Normal 58 3 2 2 2 5 2" xfId="13246" xr:uid="{00000000-0005-0000-0000-00000A9A0000}"/>
    <cellStyle name="Normal 58 3 2 2 2 5 2 2" xfId="23497" xr:uid="{00000000-0005-0000-0000-00000B9A0000}"/>
    <cellStyle name="Normal 58 3 2 2 2 5 2 2 2" xfId="49050" xr:uid="{00000000-0005-0000-0000-00000C9A0000}"/>
    <cellStyle name="Normal 58 3 2 2 2 5 2 3" xfId="38801" xr:uid="{00000000-0005-0000-0000-00000D9A0000}"/>
    <cellStyle name="Normal 58 3 2 2 2 5 3" xfId="9667" xr:uid="{00000000-0005-0000-0000-00000E9A0000}"/>
    <cellStyle name="Normal 58 3 2 2 2 5 3 2" xfId="35224" xr:uid="{00000000-0005-0000-0000-00000F9A0000}"/>
    <cellStyle name="Normal 58 3 2 2 2 5 4" xfId="18490" xr:uid="{00000000-0005-0000-0000-0000109A0000}"/>
    <cellStyle name="Normal 58 3 2 2 2 5 4 2" xfId="44043" xr:uid="{00000000-0005-0000-0000-0000119A0000}"/>
    <cellStyle name="Normal 58 3 2 2 2 5 5" xfId="29980" xr:uid="{00000000-0005-0000-0000-0000129A0000}"/>
    <cellStyle name="Normal 58 3 2 2 2 6" xfId="1680" xr:uid="{00000000-0005-0000-0000-0000139A0000}"/>
    <cellStyle name="Normal 58 3 2 2 2 6 2" xfId="11057" xr:uid="{00000000-0005-0000-0000-0000149A0000}"/>
    <cellStyle name="Normal 58 3 2 2 2 6 2 2" xfId="36612" xr:uid="{00000000-0005-0000-0000-0000159A0000}"/>
    <cellStyle name="Normal 58 3 2 2 2 6 3" xfId="21061" xr:uid="{00000000-0005-0000-0000-0000169A0000}"/>
    <cellStyle name="Normal 58 3 2 2 2 6 3 2" xfId="46614" xr:uid="{00000000-0005-0000-0000-0000179A0000}"/>
    <cellStyle name="Normal 58 3 2 2 2 6 4" xfId="27544" xr:uid="{00000000-0005-0000-0000-0000189A0000}"/>
    <cellStyle name="Normal 58 3 2 2 2 7" xfId="5864" xr:uid="{00000000-0005-0000-0000-0000199A0000}"/>
    <cellStyle name="Normal 58 3 2 2 2 7 2" xfId="14691" xr:uid="{00000000-0005-0000-0000-00001A9A0000}"/>
    <cellStyle name="Normal 58 3 2 2 2 7 2 2" xfId="40246" xr:uid="{00000000-0005-0000-0000-00001B9A0000}"/>
    <cellStyle name="Normal 58 3 2 2 2 7 3" xfId="24942" xr:uid="{00000000-0005-0000-0000-00001C9A0000}"/>
    <cellStyle name="Normal 58 3 2 2 2 7 3 2" xfId="50495" xr:uid="{00000000-0005-0000-0000-00001D9A0000}"/>
    <cellStyle name="Normal 58 3 2 2 2 7 4" xfId="31425" xr:uid="{00000000-0005-0000-0000-00001E9A0000}"/>
    <cellStyle name="Normal 58 3 2 2 2 8" xfId="7308" xr:uid="{00000000-0005-0000-0000-00001F9A0000}"/>
    <cellStyle name="Normal 58 3 2 2 2 8 2" xfId="20034" xr:uid="{00000000-0005-0000-0000-0000209A0000}"/>
    <cellStyle name="Normal 58 3 2 2 2 8 2 2" xfId="45587" xr:uid="{00000000-0005-0000-0000-0000219A0000}"/>
    <cellStyle name="Normal 58 3 2 2 2 8 3" xfId="32865" xr:uid="{00000000-0005-0000-0000-0000229A0000}"/>
    <cellStyle name="Normal 58 3 2 2 2 9" xfId="16054" xr:uid="{00000000-0005-0000-0000-0000239A0000}"/>
    <cellStyle name="Normal 58 3 2 2 2 9 2" xfId="41607" xr:uid="{00000000-0005-0000-0000-0000249A0000}"/>
    <cellStyle name="Normal 58 3 2 2 2_Degree data" xfId="3995" xr:uid="{00000000-0005-0000-0000-0000259A0000}"/>
    <cellStyle name="Normal 58 3 2 2 3" xfId="384" xr:uid="{00000000-0005-0000-0000-0000269A0000}"/>
    <cellStyle name="Normal 58 3 2 2 3 2" xfId="2870" xr:uid="{00000000-0005-0000-0000-0000279A0000}"/>
    <cellStyle name="Normal 58 3 2 2 3 2 2" xfId="12158" xr:uid="{00000000-0005-0000-0000-0000289A0000}"/>
    <cellStyle name="Normal 58 3 2 2 3 2 2 2" xfId="22231" xr:uid="{00000000-0005-0000-0000-0000299A0000}"/>
    <cellStyle name="Normal 58 3 2 2 3 2 2 2 2" xfId="47784" xr:uid="{00000000-0005-0000-0000-00002A9A0000}"/>
    <cellStyle name="Normal 58 3 2 2 3 2 2 3" xfId="37713" xr:uid="{00000000-0005-0000-0000-00002B9A0000}"/>
    <cellStyle name="Normal 58 3 2 2 3 2 3" xfId="8459" xr:uid="{00000000-0005-0000-0000-00002C9A0000}"/>
    <cellStyle name="Normal 58 3 2 2 3 2 3 2" xfId="34016" xr:uid="{00000000-0005-0000-0000-00002D9A0000}"/>
    <cellStyle name="Normal 58 3 2 2 3 2 4" xfId="17224" xr:uid="{00000000-0005-0000-0000-00002E9A0000}"/>
    <cellStyle name="Normal 58 3 2 2 3 2 4 2" xfId="42777" xr:uid="{00000000-0005-0000-0000-00002F9A0000}"/>
    <cellStyle name="Normal 58 3 2 2 3 2 5" xfId="28714" xr:uid="{00000000-0005-0000-0000-0000309A0000}"/>
    <cellStyle name="Normal 58 3 2 2 3 3" xfId="4702" xr:uid="{00000000-0005-0000-0000-0000319A0000}"/>
    <cellStyle name="Normal 58 3 2 2 3 3 2" xfId="13540" xr:uid="{00000000-0005-0000-0000-0000329A0000}"/>
    <cellStyle name="Normal 58 3 2 2 3 3 2 2" xfId="23791" xr:uid="{00000000-0005-0000-0000-0000339A0000}"/>
    <cellStyle name="Normal 58 3 2 2 3 3 2 2 2" xfId="49344" xr:uid="{00000000-0005-0000-0000-0000349A0000}"/>
    <cellStyle name="Normal 58 3 2 2 3 3 2 3" xfId="39095" xr:uid="{00000000-0005-0000-0000-0000359A0000}"/>
    <cellStyle name="Normal 58 3 2 2 3 3 3" xfId="9961" xr:uid="{00000000-0005-0000-0000-0000369A0000}"/>
    <cellStyle name="Normal 58 3 2 2 3 3 3 2" xfId="35518" xr:uid="{00000000-0005-0000-0000-0000379A0000}"/>
    <cellStyle name="Normal 58 3 2 2 3 3 4" xfId="18784" xr:uid="{00000000-0005-0000-0000-0000389A0000}"/>
    <cellStyle name="Normal 58 3 2 2 3 3 4 2" xfId="44337" xr:uid="{00000000-0005-0000-0000-0000399A0000}"/>
    <cellStyle name="Normal 58 3 2 2 3 3 5" xfId="30274" xr:uid="{00000000-0005-0000-0000-00003A9A0000}"/>
    <cellStyle name="Normal 58 3 2 2 3 4" xfId="1979" xr:uid="{00000000-0005-0000-0000-00003B9A0000}"/>
    <cellStyle name="Normal 58 3 2 2 3 4 2" xfId="11344" xr:uid="{00000000-0005-0000-0000-00003C9A0000}"/>
    <cellStyle name="Normal 58 3 2 2 3 4 2 2" xfId="36899" xr:uid="{00000000-0005-0000-0000-00003D9A0000}"/>
    <cellStyle name="Normal 58 3 2 2 3 4 3" xfId="21348" xr:uid="{00000000-0005-0000-0000-00003E9A0000}"/>
    <cellStyle name="Normal 58 3 2 2 3 4 3 2" xfId="46901" xr:uid="{00000000-0005-0000-0000-00003F9A0000}"/>
    <cellStyle name="Normal 58 3 2 2 3 4 4" xfId="27831" xr:uid="{00000000-0005-0000-0000-0000409A0000}"/>
    <cellStyle name="Normal 58 3 2 2 3 5" xfId="6158" xr:uid="{00000000-0005-0000-0000-0000419A0000}"/>
    <cellStyle name="Normal 58 3 2 2 3 5 2" xfId="14985" xr:uid="{00000000-0005-0000-0000-0000429A0000}"/>
    <cellStyle name="Normal 58 3 2 2 3 5 2 2" xfId="40540" xr:uid="{00000000-0005-0000-0000-0000439A0000}"/>
    <cellStyle name="Normal 58 3 2 2 3 5 3" xfId="25236" xr:uid="{00000000-0005-0000-0000-0000449A0000}"/>
    <cellStyle name="Normal 58 3 2 2 3 5 3 2" xfId="50789" xr:uid="{00000000-0005-0000-0000-0000459A0000}"/>
    <cellStyle name="Normal 58 3 2 2 3 5 4" xfId="31719" xr:uid="{00000000-0005-0000-0000-0000469A0000}"/>
    <cellStyle name="Normal 58 3 2 2 3 6" xfId="7603" xr:uid="{00000000-0005-0000-0000-0000479A0000}"/>
    <cellStyle name="Normal 58 3 2 2 3 6 2" xfId="19830" xr:uid="{00000000-0005-0000-0000-0000489A0000}"/>
    <cellStyle name="Normal 58 3 2 2 3 6 2 2" xfId="45383" xr:uid="{00000000-0005-0000-0000-0000499A0000}"/>
    <cellStyle name="Normal 58 3 2 2 3 6 3" xfId="33160" xr:uid="{00000000-0005-0000-0000-00004A9A0000}"/>
    <cellStyle name="Normal 58 3 2 2 3 7" xfId="16341" xr:uid="{00000000-0005-0000-0000-00004B9A0000}"/>
    <cellStyle name="Normal 58 3 2 2 3 7 2" xfId="41894" xr:uid="{00000000-0005-0000-0000-00004C9A0000}"/>
    <cellStyle name="Normal 58 3 2 2 3 8" xfId="26313" xr:uid="{00000000-0005-0000-0000-00004D9A0000}"/>
    <cellStyle name="Normal 58 3 2 2 4" xfId="888" xr:uid="{00000000-0005-0000-0000-00004E9A0000}"/>
    <cellStyle name="Normal 58 3 2 2 4 2" xfId="3373" xr:uid="{00000000-0005-0000-0000-00004F9A0000}"/>
    <cellStyle name="Normal 58 3 2 2 4 2 2" xfId="12515" xr:uid="{00000000-0005-0000-0000-0000509A0000}"/>
    <cellStyle name="Normal 58 3 2 2 4 2 2 2" xfId="22734" xr:uid="{00000000-0005-0000-0000-0000519A0000}"/>
    <cellStyle name="Normal 58 3 2 2 4 2 2 2 2" xfId="48287" xr:uid="{00000000-0005-0000-0000-0000529A0000}"/>
    <cellStyle name="Normal 58 3 2 2 4 2 2 3" xfId="38070" xr:uid="{00000000-0005-0000-0000-0000539A0000}"/>
    <cellStyle name="Normal 58 3 2 2 4 2 3" xfId="8937" xr:uid="{00000000-0005-0000-0000-0000549A0000}"/>
    <cellStyle name="Normal 58 3 2 2 4 2 3 2" xfId="34494" xr:uid="{00000000-0005-0000-0000-0000559A0000}"/>
    <cellStyle name="Normal 58 3 2 2 4 2 4" xfId="17727" xr:uid="{00000000-0005-0000-0000-0000569A0000}"/>
    <cellStyle name="Normal 58 3 2 2 4 2 4 2" xfId="43280" xr:uid="{00000000-0005-0000-0000-0000579A0000}"/>
    <cellStyle name="Normal 58 3 2 2 4 2 5" xfId="29217" xr:uid="{00000000-0005-0000-0000-0000589A0000}"/>
    <cellStyle name="Normal 58 3 2 2 4 3" xfId="5051" xr:uid="{00000000-0005-0000-0000-0000599A0000}"/>
    <cellStyle name="Normal 58 3 2 2 4 3 2" xfId="13888" xr:uid="{00000000-0005-0000-0000-00005A9A0000}"/>
    <cellStyle name="Normal 58 3 2 2 4 3 2 2" xfId="24139" xr:uid="{00000000-0005-0000-0000-00005B9A0000}"/>
    <cellStyle name="Normal 58 3 2 2 4 3 2 2 2" xfId="49692" xr:uid="{00000000-0005-0000-0000-00005C9A0000}"/>
    <cellStyle name="Normal 58 3 2 2 4 3 2 3" xfId="39443" xr:uid="{00000000-0005-0000-0000-00005D9A0000}"/>
    <cellStyle name="Normal 58 3 2 2 4 3 3" xfId="10309" xr:uid="{00000000-0005-0000-0000-00005E9A0000}"/>
    <cellStyle name="Normal 58 3 2 2 4 3 3 2" xfId="35866" xr:uid="{00000000-0005-0000-0000-00005F9A0000}"/>
    <cellStyle name="Normal 58 3 2 2 4 3 4" xfId="19132" xr:uid="{00000000-0005-0000-0000-0000609A0000}"/>
    <cellStyle name="Normal 58 3 2 2 4 3 4 2" xfId="44685" xr:uid="{00000000-0005-0000-0000-0000619A0000}"/>
    <cellStyle name="Normal 58 3 2 2 4 3 5" xfId="30622" xr:uid="{00000000-0005-0000-0000-0000629A0000}"/>
    <cellStyle name="Normal 58 3 2 2 4 4" xfId="2482" xr:uid="{00000000-0005-0000-0000-0000639A0000}"/>
    <cellStyle name="Normal 58 3 2 2 4 4 2" xfId="11847" xr:uid="{00000000-0005-0000-0000-0000649A0000}"/>
    <cellStyle name="Normal 58 3 2 2 4 4 2 2" xfId="37402" xr:uid="{00000000-0005-0000-0000-0000659A0000}"/>
    <cellStyle name="Normal 58 3 2 2 4 4 3" xfId="21851" xr:uid="{00000000-0005-0000-0000-0000669A0000}"/>
    <cellStyle name="Normal 58 3 2 2 4 4 3 2" xfId="47404" xr:uid="{00000000-0005-0000-0000-0000679A0000}"/>
    <cellStyle name="Normal 58 3 2 2 4 4 4" xfId="28334" xr:uid="{00000000-0005-0000-0000-0000689A0000}"/>
    <cellStyle name="Normal 58 3 2 2 4 5" xfId="6506" xr:uid="{00000000-0005-0000-0000-0000699A0000}"/>
    <cellStyle name="Normal 58 3 2 2 4 5 2" xfId="15333" xr:uid="{00000000-0005-0000-0000-00006A9A0000}"/>
    <cellStyle name="Normal 58 3 2 2 4 5 2 2" xfId="40888" xr:uid="{00000000-0005-0000-0000-00006B9A0000}"/>
    <cellStyle name="Normal 58 3 2 2 4 5 3" xfId="25584" xr:uid="{00000000-0005-0000-0000-00006C9A0000}"/>
    <cellStyle name="Normal 58 3 2 2 4 5 3 2" xfId="51137" xr:uid="{00000000-0005-0000-0000-00006D9A0000}"/>
    <cellStyle name="Normal 58 3 2 2 4 5 4" xfId="32067" xr:uid="{00000000-0005-0000-0000-00006E9A0000}"/>
    <cellStyle name="Normal 58 3 2 2 4 6" xfId="7952" xr:uid="{00000000-0005-0000-0000-00006F9A0000}"/>
    <cellStyle name="Normal 58 3 2 2 4 6 2" xfId="20333" xr:uid="{00000000-0005-0000-0000-0000709A0000}"/>
    <cellStyle name="Normal 58 3 2 2 4 6 2 2" xfId="45886" xr:uid="{00000000-0005-0000-0000-0000719A0000}"/>
    <cellStyle name="Normal 58 3 2 2 4 6 3" xfId="33509" xr:uid="{00000000-0005-0000-0000-0000729A0000}"/>
    <cellStyle name="Normal 58 3 2 2 4 7" xfId="16844" xr:uid="{00000000-0005-0000-0000-0000739A0000}"/>
    <cellStyle name="Normal 58 3 2 2 4 7 2" xfId="42397" xr:uid="{00000000-0005-0000-0000-0000749A0000}"/>
    <cellStyle name="Normal 58 3 2 2 4 8" xfId="26816" xr:uid="{00000000-0005-0000-0000-0000759A0000}"/>
    <cellStyle name="Normal 58 3 2 2 5" xfId="1156" xr:uid="{00000000-0005-0000-0000-0000769A0000}"/>
    <cellStyle name="Normal 58 3 2 2 5 2" xfId="3585" xr:uid="{00000000-0005-0000-0000-0000779A0000}"/>
    <cellStyle name="Normal 58 3 2 2 5 2 2" xfId="12721" xr:uid="{00000000-0005-0000-0000-0000789A0000}"/>
    <cellStyle name="Normal 58 3 2 2 5 2 2 2" xfId="22940" xr:uid="{00000000-0005-0000-0000-0000799A0000}"/>
    <cellStyle name="Normal 58 3 2 2 5 2 2 2 2" xfId="48493" xr:uid="{00000000-0005-0000-0000-00007A9A0000}"/>
    <cellStyle name="Normal 58 3 2 2 5 2 2 3" xfId="38276" xr:uid="{00000000-0005-0000-0000-00007B9A0000}"/>
    <cellStyle name="Normal 58 3 2 2 5 2 3" xfId="9142" xr:uid="{00000000-0005-0000-0000-00007C9A0000}"/>
    <cellStyle name="Normal 58 3 2 2 5 2 3 2" xfId="34699" xr:uid="{00000000-0005-0000-0000-00007D9A0000}"/>
    <cellStyle name="Normal 58 3 2 2 5 2 4" xfId="17933" xr:uid="{00000000-0005-0000-0000-00007E9A0000}"/>
    <cellStyle name="Normal 58 3 2 2 5 2 4 2" xfId="43486" xr:uid="{00000000-0005-0000-0000-00007F9A0000}"/>
    <cellStyle name="Normal 58 3 2 2 5 2 5" xfId="29423" xr:uid="{00000000-0005-0000-0000-0000809A0000}"/>
    <cellStyle name="Normal 58 3 2 2 5 3" xfId="5248" xr:uid="{00000000-0005-0000-0000-0000819A0000}"/>
    <cellStyle name="Normal 58 3 2 2 5 3 2" xfId="14085" xr:uid="{00000000-0005-0000-0000-0000829A0000}"/>
    <cellStyle name="Normal 58 3 2 2 5 3 2 2" xfId="24336" xr:uid="{00000000-0005-0000-0000-0000839A0000}"/>
    <cellStyle name="Normal 58 3 2 2 5 3 2 2 2" xfId="49889" xr:uid="{00000000-0005-0000-0000-0000849A0000}"/>
    <cellStyle name="Normal 58 3 2 2 5 3 2 3" xfId="39640" xr:uid="{00000000-0005-0000-0000-0000859A0000}"/>
    <cellStyle name="Normal 58 3 2 2 5 3 3" xfId="10506" xr:uid="{00000000-0005-0000-0000-0000869A0000}"/>
    <cellStyle name="Normal 58 3 2 2 5 3 3 2" xfId="36063" xr:uid="{00000000-0005-0000-0000-0000879A0000}"/>
    <cellStyle name="Normal 58 3 2 2 5 3 4" xfId="19329" xr:uid="{00000000-0005-0000-0000-0000889A0000}"/>
    <cellStyle name="Normal 58 3 2 2 5 3 4 2" xfId="44882" xr:uid="{00000000-0005-0000-0000-0000899A0000}"/>
    <cellStyle name="Normal 58 3 2 2 5 3 5" xfId="30819" xr:uid="{00000000-0005-0000-0000-00008A9A0000}"/>
    <cellStyle name="Normal 58 3 2 2 5 4" xfId="1863" xr:uid="{00000000-0005-0000-0000-00008B9A0000}"/>
    <cellStyle name="Normal 58 3 2 2 5 4 2" xfId="11231" xr:uid="{00000000-0005-0000-0000-00008C9A0000}"/>
    <cellStyle name="Normal 58 3 2 2 5 4 2 2" xfId="36786" xr:uid="{00000000-0005-0000-0000-00008D9A0000}"/>
    <cellStyle name="Normal 58 3 2 2 5 4 3" xfId="21235" xr:uid="{00000000-0005-0000-0000-00008E9A0000}"/>
    <cellStyle name="Normal 58 3 2 2 5 4 3 2" xfId="46788" xr:uid="{00000000-0005-0000-0000-00008F9A0000}"/>
    <cellStyle name="Normal 58 3 2 2 5 4 4" xfId="27718" xr:uid="{00000000-0005-0000-0000-0000909A0000}"/>
    <cellStyle name="Normal 58 3 2 2 5 5" xfId="6703" xr:uid="{00000000-0005-0000-0000-0000919A0000}"/>
    <cellStyle name="Normal 58 3 2 2 5 5 2" xfId="15530" xr:uid="{00000000-0005-0000-0000-0000929A0000}"/>
    <cellStyle name="Normal 58 3 2 2 5 5 2 2" xfId="41085" xr:uid="{00000000-0005-0000-0000-0000939A0000}"/>
    <cellStyle name="Normal 58 3 2 2 5 5 3" xfId="25781" xr:uid="{00000000-0005-0000-0000-0000949A0000}"/>
    <cellStyle name="Normal 58 3 2 2 5 5 3 2" xfId="51334" xr:uid="{00000000-0005-0000-0000-0000959A0000}"/>
    <cellStyle name="Normal 58 3 2 2 5 5 4" xfId="32264" xr:uid="{00000000-0005-0000-0000-0000969A0000}"/>
    <cellStyle name="Normal 58 3 2 2 5 6" xfId="8149" xr:uid="{00000000-0005-0000-0000-0000979A0000}"/>
    <cellStyle name="Normal 58 3 2 2 5 6 2" xfId="20539" xr:uid="{00000000-0005-0000-0000-0000989A0000}"/>
    <cellStyle name="Normal 58 3 2 2 5 6 2 2" xfId="46092" xr:uid="{00000000-0005-0000-0000-0000999A0000}"/>
    <cellStyle name="Normal 58 3 2 2 5 6 3" xfId="33706" xr:uid="{00000000-0005-0000-0000-00009A9A0000}"/>
    <cellStyle name="Normal 58 3 2 2 5 7" xfId="16228" xr:uid="{00000000-0005-0000-0000-00009B9A0000}"/>
    <cellStyle name="Normal 58 3 2 2 5 7 2" xfId="41781" xr:uid="{00000000-0005-0000-0000-00009C9A0000}"/>
    <cellStyle name="Normal 58 3 2 2 5 8" xfId="27022" xr:uid="{00000000-0005-0000-0000-00009D9A0000}"/>
    <cellStyle name="Normal 58 3 2 2 6" xfId="2757" xr:uid="{00000000-0005-0000-0000-00009E9A0000}"/>
    <cellStyle name="Normal 58 3 2 2 6 2" xfId="12074" xr:uid="{00000000-0005-0000-0000-00009F9A0000}"/>
    <cellStyle name="Normal 58 3 2 2 6 2 2" xfId="22118" xr:uid="{00000000-0005-0000-0000-0000A09A0000}"/>
    <cellStyle name="Normal 58 3 2 2 6 2 2 2" xfId="47671" xr:uid="{00000000-0005-0000-0000-0000A19A0000}"/>
    <cellStyle name="Normal 58 3 2 2 6 2 3" xfId="37629" xr:uid="{00000000-0005-0000-0000-0000A29A0000}"/>
    <cellStyle name="Normal 58 3 2 2 6 3" xfId="8539" xr:uid="{00000000-0005-0000-0000-0000A39A0000}"/>
    <cellStyle name="Normal 58 3 2 2 6 3 2" xfId="34096" xr:uid="{00000000-0005-0000-0000-0000A49A0000}"/>
    <cellStyle name="Normal 58 3 2 2 6 4" xfId="17111" xr:uid="{00000000-0005-0000-0000-0000A59A0000}"/>
    <cellStyle name="Normal 58 3 2 2 6 4 2" xfId="42664" xr:uid="{00000000-0005-0000-0000-0000A69A0000}"/>
    <cellStyle name="Normal 58 3 2 2 6 5" xfId="28601" xr:uid="{00000000-0005-0000-0000-0000A79A0000}"/>
    <cellStyle name="Normal 58 3 2 2 7" xfId="4204" xr:uid="{00000000-0005-0000-0000-0000A89A0000}"/>
    <cellStyle name="Normal 58 3 2 2 7 2" xfId="13042" xr:uid="{00000000-0005-0000-0000-0000A99A0000}"/>
    <cellStyle name="Normal 58 3 2 2 7 2 2" xfId="23293" xr:uid="{00000000-0005-0000-0000-0000AA9A0000}"/>
    <cellStyle name="Normal 58 3 2 2 7 2 2 2" xfId="48846" xr:uid="{00000000-0005-0000-0000-0000AB9A0000}"/>
    <cellStyle name="Normal 58 3 2 2 7 2 3" xfId="38597" xr:uid="{00000000-0005-0000-0000-0000AC9A0000}"/>
    <cellStyle name="Normal 58 3 2 2 7 3" xfId="9463" xr:uid="{00000000-0005-0000-0000-0000AD9A0000}"/>
    <cellStyle name="Normal 58 3 2 2 7 3 2" xfId="35020" xr:uid="{00000000-0005-0000-0000-0000AE9A0000}"/>
    <cellStyle name="Normal 58 3 2 2 7 4" xfId="18286" xr:uid="{00000000-0005-0000-0000-0000AF9A0000}"/>
    <cellStyle name="Normal 58 3 2 2 7 4 2" xfId="43839" xr:uid="{00000000-0005-0000-0000-0000B09A0000}"/>
    <cellStyle name="Normal 58 3 2 2 7 5" xfId="29776" xr:uid="{00000000-0005-0000-0000-0000B19A0000}"/>
    <cellStyle name="Normal 58 3 2 2 8" xfId="1476" xr:uid="{00000000-0005-0000-0000-0000B29A0000}"/>
    <cellStyle name="Normal 58 3 2 2 8 2" xfId="10853" xr:uid="{00000000-0005-0000-0000-0000B39A0000}"/>
    <cellStyle name="Normal 58 3 2 2 8 2 2" xfId="36408" xr:uid="{00000000-0005-0000-0000-0000B49A0000}"/>
    <cellStyle name="Normal 58 3 2 2 8 3" xfId="20857" xr:uid="{00000000-0005-0000-0000-0000B59A0000}"/>
    <cellStyle name="Normal 58 3 2 2 8 3 2" xfId="46410" xr:uid="{00000000-0005-0000-0000-0000B69A0000}"/>
    <cellStyle name="Normal 58 3 2 2 8 4" xfId="27340" xr:uid="{00000000-0005-0000-0000-0000B79A0000}"/>
    <cellStyle name="Normal 58 3 2 2 9" xfId="5660" xr:uid="{00000000-0005-0000-0000-0000B89A0000}"/>
    <cellStyle name="Normal 58 3 2 2 9 2" xfId="14487" xr:uid="{00000000-0005-0000-0000-0000B99A0000}"/>
    <cellStyle name="Normal 58 3 2 2 9 2 2" xfId="40042" xr:uid="{00000000-0005-0000-0000-0000BA9A0000}"/>
    <cellStyle name="Normal 58 3 2 2 9 3" xfId="24738" xr:uid="{00000000-0005-0000-0000-0000BB9A0000}"/>
    <cellStyle name="Normal 58 3 2 2 9 3 2" xfId="50291" xr:uid="{00000000-0005-0000-0000-0000BC9A0000}"/>
    <cellStyle name="Normal 58 3 2 2 9 4" xfId="31221" xr:uid="{00000000-0005-0000-0000-0000BD9A0000}"/>
    <cellStyle name="Normal 58 3 2 2_Degree data" xfId="3994" xr:uid="{00000000-0005-0000-0000-0000BE9A0000}"/>
    <cellStyle name="Normal 58 3 2 3" xfId="220" xr:uid="{00000000-0005-0000-0000-0000BF9A0000}"/>
    <cellStyle name="Normal 58 3 2 3 10" xfId="16010" xr:uid="{00000000-0005-0000-0000-0000C09A0000}"/>
    <cellStyle name="Normal 58 3 2 3 10 2" xfId="41563" xr:uid="{00000000-0005-0000-0000-0000C19A0000}"/>
    <cellStyle name="Normal 58 3 2 3 11" xfId="26156" xr:uid="{00000000-0005-0000-0000-0000C29A0000}"/>
    <cellStyle name="Normal 58 3 2 3 2" xfId="544" xr:uid="{00000000-0005-0000-0000-0000C39A0000}"/>
    <cellStyle name="Normal 58 3 2 3 2 2" xfId="3030" xr:uid="{00000000-0005-0000-0000-0000C49A0000}"/>
    <cellStyle name="Normal 58 3 2 3 2 2 2" xfId="12218" xr:uid="{00000000-0005-0000-0000-0000C59A0000}"/>
    <cellStyle name="Normal 58 3 2 3 2 2 2 2" xfId="22391" xr:uid="{00000000-0005-0000-0000-0000C69A0000}"/>
    <cellStyle name="Normal 58 3 2 3 2 2 2 2 2" xfId="47944" xr:uid="{00000000-0005-0000-0000-0000C79A0000}"/>
    <cellStyle name="Normal 58 3 2 3 2 2 2 3" xfId="37773" xr:uid="{00000000-0005-0000-0000-0000C89A0000}"/>
    <cellStyle name="Normal 58 3 2 3 2 2 3" xfId="8443" xr:uid="{00000000-0005-0000-0000-0000C99A0000}"/>
    <cellStyle name="Normal 58 3 2 3 2 2 3 2" xfId="34000" xr:uid="{00000000-0005-0000-0000-0000CA9A0000}"/>
    <cellStyle name="Normal 58 3 2 3 2 2 4" xfId="17384" xr:uid="{00000000-0005-0000-0000-0000CB9A0000}"/>
    <cellStyle name="Normal 58 3 2 3 2 2 4 2" xfId="42937" xr:uid="{00000000-0005-0000-0000-0000CC9A0000}"/>
    <cellStyle name="Normal 58 3 2 3 2 2 5" xfId="28874" xr:uid="{00000000-0005-0000-0000-0000CD9A0000}"/>
    <cellStyle name="Normal 58 3 2 3 2 3" xfId="4704" xr:uid="{00000000-0005-0000-0000-0000CE9A0000}"/>
    <cellStyle name="Normal 58 3 2 3 2 3 2" xfId="13542" xr:uid="{00000000-0005-0000-0000-0000CF9A0000}"/>
    <cellStyle name="Normal 58 3 2 3 2 3 2 2" xfId="23793" xr:uid="{00000000-0005-0000-0000-0000D09A0000}"/>
    <cellStyle name="Normal 58 3 2 3 2 3 2 2 2" xfId="49346" xr:uid="{00000000-0005-0000-0000-0000D19A0000}"/>
    <cellStyle name="Normal 58 3 2 3 2 3 2 3" xfId="39097" xr:uid="{00000000-0005-0000-0000-0000D29A0000}"/>
    <cellStyle name="Normal 58 3 2 3 2 3 3" xfId="9963" xr:uid="{00000000-0005-0000-0000-0000D39A0000}"/>
    <cellStyle name="Normal 58 3 2 3 2 3 3 2" xfId="35520" xr:uid="{00000000-0005-0000-0000-0000D49A0000}"/>
    <cellStyle name="Normal 58 3 2 3 2 3 4" xfId="18786" xr:uid="{00000000-0005-0000-0000-0000D59A0000}"/>
    <cellStyle name="Normal 58 3 2 3 2 3 4 2" xfId="44339" xr:uid="{00000000-0005-0000-0000-0000D69A0000}"/>
    <cellStyle name="Normal 58 3 2 3 2 3 5" xfId="30276" xr:uid="{00000000-0005-0000-0000-0000D79A0000}"/>
    <cellStyle name="Normal 58 3 2 3 2 4" xfId="2139" xr:uid="{00000000-0005-0000-0000-0000D89A0000}"/>
    <cellStyle name="Normal 58 3 2 3 2 4 2" xfId="11504" xr:uid="{00000000-0005-0000-0000-0000D99A0000}"/>
    <cellStyle name="Normal 58 3 2 3 2 4 2 2" xfId="37059" xr:uid="{00000000-0005-0000-0000-0000DA9A0000}"/>
    <cellStyle name="Normal 58 3 2 3 2 4 3" xfId="21508" xr:uid="{00000000-0005-0000-0000-0000DB9A0000}"/>
    <cellStyle name="Normal 58 3 2 3 2 4 3 2" xfId="47061" xr:uid="{00000000-0005-0000-0000-0000DC9A0000}"/>
    <cellStyle name="Normal 58 3 2 3 2 4 4" xfId="27991" xr:uid="{00000000-0005-0000-0000-0000DD9A0000}"/>
    <cellStyle name="Normal 58 3 2 3 2 5" xfId="6160" xr:uid="{00000000-0005-0000-0000-0000DE9A0000}"/>
    <cellStyle name="Normal 58 3 2 3 2 5 2" xfId="14987" xr:uid="{00000000-0005-0000-0000-0000DF9A0000}"/>
    <cellStyle name="Normal 58 3 2 3 2 5 2 2" xfId="40542" xr:uid="{00000000-0005-0000-0000-0000E09A0000}"/>
    <cellStyle name="Normal 58 3 2 3 2 5 3" xfId="25238" xr:uid="{00000000-0005-0000-0000-0000E19A0000}"/>
    <cellStyle name="Normal 58 3 2 3 2 5 3 2" xfId="50791" xr:uid="{00000000-0005-0000-0000-0000E29A0000}"/>
    <cellStyle name="Normal 58 3 2 3 2 5 4" xfId="31721" xr:uid="{00000000-0005-0000-0000-0000E39A0000}"/>
    <cellStyle name="Normal 58 3 2 3 2 6" xfId="7605" xr:uid="{00000000-0005-0000-0000-0000E49A0000}"/>
    <cellStyle name="Normal 58 3 2 3 2 6 2" xfId="19990" xr:uid="{00000000-0005-0000-0000-0000E59A0000}"/>
    <cellStyle name="Normal 58 3 2 3 2 6 2 2" xfId="45543" xr:uid="{00000000-0005-0000-0000-0000E69A0000}"/>
    <cellStyle name="Normal 58 3 2 3 2 6 3" xfId="33162" xr:uid="{00000000-0005-0000-0000-0000E79A0000}"/>
    <cellStyle name="Normal 58 3 2 3 2 7" xfId="16501" xr:uid="{00000000-0005-0000-0000-0000E89A0000}"/>
    <cellStyle name="Normal 58 3 2 3 2 7 2" xfId="42054" xr:uid="{00000000-0005-0000-0000-0000E99A0000}"/>
    <cellStyle name="Normal 58 3 2 3 2 8" xfId="26473" xr:uid="{00000000-0005-0000-0000-0000EA9A0000}"/>
    <cellStyle name="Normal 58 3 2 3 3" xfId="890" xr:uid="{00000000-0005-0000-0000-0000EB9A0000}"/>
    <cellStyle name="Normal 58 3 2 3 3 2" xfId="3375" xr:uid="{00000000-0005-0000-0000-0000EC9A0000}"/>
    <cellStyle name="Normal 58 3 2 3 3 2 2" xfId="12517" xr:uid="{00000000-0005-0000-0000-0000ED9A0000}"/>
    <cellStyle name="Normal 58 3 2 3 3 2 2 2" xfId="22736" xr:uid="{00000000-0005-0000-0000-0000EE9A0000}"/>
    <cellStyle name="Normal 58 3 2 3 3 2 2 2 2" xfId="48289" xr:uid="{00000000-0005-0000-0000-0000EF9A0000}"/>
    <cellStyle name="Normal 58 3 2 3 3 2 2 3" xfId="38072" xr:uid="{00000000-0005-0000-0000-0000F09A0000}"/>
    <cellStyle name="Normal 58 3 2 3 3 2 3" xfId="8939" xr:uid="{00000000-0005-0000-0000-0000F19A0000}"/>
    <cellStyle name="Normal 58 3 2 3 3 2 3 2" xfId="34496" xr:uid="{00000000-0005-0000-0000-0000F29A0000}"/>
    <cellStyle name="Normal 58 3 2 3 3 2 4" xfId="17729" xr:uid="{00000000-0005-0000-0000-0000F39A0000}"/>
    <cellStyle name="Normal 58 3 2 3 3 2 4 2" xfId="43282" xr:uid="{00000000-0005-0000-0000-0000F49A0000}"/>
    <cellStyle name="Normal 58 3 2 3 3 2 5" xfId="29219" xr:uid="{00000000-0005-0000-0000-0000F59A0000}"/>
    <cellStyle name="Normal 58 3 2 3 3 3" xfId="5053" xr:uid="{00000000-0005-0000-0000-0000F69A0000}"/>
    <cellStyle name="Normal 58 3 2 3 3 3 2" xfId="13890" xr:uid="{00000000-0005-0000-0000-0000F79A0000}"/>
    <cellStyle name="Normal 58 3 2 3 3 3 2 2" xfId="24141" xr:uid="{00000000-0005-0000-0000-0000F89A0000}"/>
    <cellStyle name="Normal 58 3 2 3 3 3 2 2 2" xfId="49694" xr:uid="{00000000-0005-0000-0000-0000F99A0000}"/>
    <cellStyle name="Normal 58 3 2 3 3 3 2 3" xfId="39445" xr:uid="{00000000-0005-0000-0000-0000FA9A0000}"/>
    <cellStyle name="Normal 58 3 2 3 3 3 3" xfId="10311" xr:uid="{00000000-0005-0000-0000-0000FB9A0000}"/>
    <cellStyle name="Normal 58 3 2 3 3 3 3 2" xfId="35868" xr:uid="{00000000-0005-0000-0000-0000FC9A0000}"/>
    <cellStyle name="Normal 58 3 2 3 3 3 4" xfId="19134" xr:uid="{00000000-0005-0000-0000-0000FD9A0000}"/>
    <cellStyle name="Normal 58 3 2 3 3 3 4 2" xfId="44687" xr:uid="{00000000-0005-0000-0000-0000FE9A0000}"/>
    <cellStyle name="Normal 58 3 2 3 3 3 5" xfId="30624" xr:uid="{00000000-0005-0000-0000-0000FF9A0000}"/>
    <cellStyle name="Normal 58 3 2 3 3 4" xfId="2484" xr:uid="{00000000-0005-0000-0000-0000009B0000}"/>
    <cellStyle name="Normal 58 3 2 3 3 4 2" xfId="11849" xr:uid="{00000000-0005-0000-0000-0000019B0000}"/>
    <cellStyle name="Normal 58 3 2 3 3 4 2 2" xfId="37404" xr:uid="{00000000-0005-0000-0000-0000029B0000}"/>
    <cellStyle name="Normal 58 3 2 3 3 4 3" xfId="21853" xr:uid="{00000000-0005-0000-0000-0000039B0000}"/>
    <cellStyle name="Normal 58 3 2 3 3 4 3 2" xfId="47406" xr:uid="{00000000-0005-0000-0000-0000049B0000}"/>
    <cellStyle name="Normal 58 3 2 3 3 4 4" xfId="28336" xr:uid="{00000000-0005-0000-0000-0000059B0000}"/>
    <cellStyle name="Normal 58 3 2 3 3 5" xfId="6508" xr:uid="{00000000-0005-0000-0000-0000069B0000}"/>
    <cellStyle name="Normal 58 3 2 3 3 5 2" xfId="15335" xr:uid="{00000000-0005-0000-0000-0000079B0000}"/>
    <cellStyle name="Normal 58 3 2 3 3 5 2 2" xfId="40890" xr:uid="{00000000-0005-0000-0000-0000089B0000}"/>
    <cellStyle name="Normal 58 3 2 3 3 5 3" xfId="25586" xr:uid="{00000000-0005-0000-0000-0000099B0000}"/>
    <cellStyle name="Normal 58 3 2 3 3 5 3 2" xfId="51139" xr:uid="{00000000-0005-0000-0000-00000A9B0000}"/>
    <cellStyle name="Normal 58 3 2 3 3 5 4" xfId="32069" xr:uid="{00000000-0005-0000-0000-00000B9B0000}"/>
    <cellStyle name="Normal 58 3 2 3 3 6" xfId="7954" xr:uid="{00000000-0005-0000-0000-00000C9B0000}"/>
    <cellStyle name="Normal 58 3 2 3 3 6 2" xfId="20335" xr:uid="{00000000-0005-0000-0000-00000D9B0000}"/>
    <cellStyle name="Normal 58 3 2 3 3 6 2 2" xfId="45888" xr:uid="{00000000-0005-0000-0000-00000E9B0000}"/>
    <cellStyle name="Normal 58 3 2 3 3 6 3" xfId="33511" xr:uid="{00000000-0005-0000-0000-00000F9B0000}"/>
    <cellStyle name="Normal 58 3 2 3 3 7" xfId="16846" xr:uid="{00000000-0005-0000-0000-0000109B0000}"/>
    <cellStyle name="Normal 58 3 2 3 3 7 2" xfId="42399" xr:uid="{00000000-0005-0000-0000-0000119B0000}"/>
    <cellStyle name="Normal 58 3 2 3 3 8" xfId="26818" xr:uid="{00000000-0005-0000-0000-0000129B0000}"/>
    <cellStyle name="Normal 58 3 2 3 4" xfId="1316" xr:uid="{00000000-0005-0000-0000-0000139B0000}"/>
    <cellStyle name="Normal 58 3 2 3 4 2" xfId="3745" xr:uid="{00000000-0005-0000-0000-0000149B0000}"/>
    <cellStyle name="Normal 58 3 2 3 4 2 2" xfId="12881" xr:uid="{00000000-0005-0000-0000-0000159B0000}"/>
    <cellStyle name="Normal 58 3 2 3 4 2 2 2" xfId="23100" xr:uid="{00000000-0005-0000-0000-0000169B0000}"/>
    <cellStyle name="Normal 58 3 2 3 4 2 2 2 2" xfId="48653" xr:uid="{00000000-0005-0000-0000-0000179B0000}"/>
    <cellStyle name="Normal 58 3 2 3 4 2 2 3" xfId="38436" xr:uid="{00000000-0005-0000-0000-0000189B0000}"/>
    <cellStyle name="Normal 58 3 2 3 4 2 3" xfId="9302" xr:uid="{00000000-0005-0000-0000-0000199B0000}"/>
    <cellStyle name="Normal 58 3 2 3 4 2 3 2" xfId="34859" xr:uid="{00000000-0005-0000-0000-00001A9B0000}"/>
    <cellStyle name="Normal 58 3 2 3 4 2 4" xfId="18093" xr:uid="{00000000-0005-0000-0000-00001B9B0000}"/>
    <cellStyle name="Normal 58 3 2 3 4 2 4 2" xfId="43646" xr:uid="{00000000-0005-0000-0000-00001C9B0000}"/>
    <cellStyle name="Normal 58 3 2 3 4 2 5" xfId="29583" xr:uid="{00000000-0005-0000-0000-00001D9B0000}"/>
    <cellStyle name="Normal 58 3 2 3 4 3" xfId="5408" xr:uid="{00000000-0005-0000-0000-00001E9B0000}"/>
    <cellStyle name="Normal 58 3 2 3 4 3 2" xfId="14245" xr:uid="{00000000-0005-0000-0000-00001F9B0000}"/>
    <cellStyle name="Normal 58 3 2 3 4 3 2 2" xfId="24496" xr:uid="{00000000-0005-0000-0000-0000209B0000}"/>
    <cellStyle name="Normal 58 3 2 3 4 3 2 2 2" xfId="50049" xr:uid="{00000000-0005-0000-0000-0000219B0000}"/>
    <cellStyle name="Normal 58 3 2 3 4 3 2 3" xfId="39800" xr:uid="{00000000-0005-0000-0000-0000229B0000}"/>
    <cellStyle name="Normal 58 3 2 3 4 3 3" xfId="10666" xr:uid="{00000000-0005-0000-0000-0000239B0000}"/>
    <cellStyle name="Normal 58 3 2 3 4 3 3 2" xfId="36223" xr:uid="{00000000-0005-0000-0000-0000249B0000}"/>
    <cellStyle name="Normal 58 3 2 3 4 3 4" xfId="19489" xr:uid="{00000000-0005-0000-0000-0000259B0000}"/>
    <cellStyle name="Normal 58 3 2 3 4 3 4 2" xfId="45042" xr:uid="{00000000-0005-0000-0000-0000269B0000}"/>
    <cellStyle name="Normal 58 3 2 3 4 3 5" xfId="30979" xr:uid="{00000000-0005-0000-0000-0000279B0000}"/>
    <cellStyle name="Normal 58 3 2 3 4 4" xfId="1819" xr:uid="{00000000-0005-0000-0000-0000289B0000}"/>
    <cellStyle name="Normal 58 3 2 3 4 4 2" xfId="11187" xr:uid="{00000000-0005-0000-0000-0000299B0000}"/>
    <cellStyle name="Normal 58 3 2 3 4 4 2 2" xfId="36742" xr:uid="{00000000-0005-0000-0000-00002A9B0000}"/>
    <cellStyle name="Normal 58 3 2 3 4 4 3" xfId="21191" xr:uid="{00000000-0005-0000-0000-00002B9B0000}"/>
    <cellStyle name="Normal 58 3 2 3 4 4 3 2" xfId="46744" xr:uid="{00000000-0005-0000-0000-00002C9B0000}"/>
    <cellStyle name="Normal 58 3 2 3 4 4 4" xfId="27674" xr:uid="{00000000-0005-0000-0000-00002D9B0000}"/>
    <cellStyle name="Normal 58 3 2 3 4 5" xfId="6863" xr:uid="{00000000-0005-0000-0000-00002E9B0000}"/>
    <cellStyle name="Normal 58 3 2 3 4 5 2" xfId="15690" xr:uid="{00000000-0005-0000-0000-00002F9B0000}"/>
    <cellStyle name="Normal 58 3 2 3 4 5 2 2" xfId="41245" xr:uid="{00000000-0005-0000-0000-0000309B0000}"/>
    <cellStyle name="Normal 58 3 2 3 4 5 3" xfId="25941" xr:uid="{00000000-0005-0000-0000-0000319B0000}"/>
    <cellStyle name="Normal 58 3 2 3 4 5 3 2" xfId="51494" xr:uid="{00000000-0005-0000-0000-0000329B0000}"/>
    <cellStyle name="Normal 58 3 2 3 4 5 4" xfId="32424" xr:uid="{00000000-0005-0000-0000-0000339B0000}"/>
    <cellStyle name="Normal 58 3 2 3 4 6" xfId="8309" xr:uid="{00000000-0005-0000-0000-0000349B0000}"/>
    <cellStyle name="Normal 58 3 2 3 4 6 2" xfId="20699" xr:uid="{00000000-0005-0000-0000-0000359B0000}"/>
    <cellStyle name="Normal 58 3 2 3 4 6 2 2" xfId="46252" xr:uid="{00000000-0005-0000-0000-0000369B0000}"/>
    <cellStyle name="Normal 58 3 2 3 4 6 3" xfId="33866" xr:uid="{00000000-0005-0000-0000-0000379B0000}"/>
    <cellStyle name="Normal 58 3 2 3 4 7" xfId="16184" xr:uid="{00000000-0005-0000-0000-0000389B0000}"/>
    <cellStyle name="Normal 58 3 2 3 4 7 2" xfId="41737" xr:uid="{00000000-0005-0000-0000-0000399B0000}"/>
    <cellStyle name="Normal 58 3 2 3 4 8" xfId="27182" xr:uid="{00000000-0005-0000-0000-00003A9B0000}"/>
    <cellStyle name="Normal 58 3 2 3 5" xfId="2713" xr:uid="{00000000-0005-0000-0000-00003B9B0000}"/>
    <cellStyle name="Normal 58 3 2 3 5 2" xfId="12030" xr:uid="{00000000-0005-0000-0000-00003C9B0000}"/>
    <cellStyle name="Normal 58 3 2 3 5 2 2" xfId="22074" xr:uid="{00000000-0005-0000-0000-00003D9B0000}"/>
    <cellStyle name="Normal 58 3 2 3 5 2 2 2" xfId="47627" xr:uid="{00000000-0005-0000-0000-00003E9B0000}"/>
    <cellStyle name="Normal 58 3 2 3 5 2 3" xfId="37585" xr:uid="{00000000-0005-0000-0000-00003F9B0000}"/>
    <cellStyle name="Normal 58 3 2 3 5 3" xfId="8383" xr:uid="{00000000-0005-0000-0000-0000409B0000}"/>
    <cellStyle name="Normal 58 3 2 3 5 3 2" xfId="33940" xr:uid="{00000000-0005-0000-0000-0000419B0000}"/>
    <cellStyle name="Normal 58 3 2 3 5 4" xfId="17067" xr:uid="{00000000-0005-0000-0000-0000429B0000}"/>
    <cellStyle name="Normal 58 3 2 3 5 4 2" xfId="42620" xr:uid="{00000000-0005-0000-0000-0000439B0000}"/>
    <cellStyle name="Normal 58 3 2 3 5 5" xfId="28557" xr:uid="{00000000-0005-0000-0000-0000449B0000}"/>
    <cellStyle name="Normal 58 3 2 3 6" xfId="4364" xr:uid="{00000000-0005-0000-0000-0000459B0000}"/>
    <cellStyle name="Normal 58 3 2 3 6 2" xfId="13202" xr:uid="{00000000-0005-0000-0000-0000469B0000}"/>
    <cellStyle name="Normal 58 3 2 3 6 2 2" xfId="23453" xr:uid="{00000000-0005-0000-0000-0000479B0000}"/>
    <cellStyle name="Normal 58 3 2 3 6 2 2 2" xfId="49006" xr:uid="{00000000-0005-0000-0000-0000489B0000}"/>
    <cellStyle name="Normal 58 3 2 3 6 2 3" xfId="38757" xr:uid="{00000000-0005-0000-0000-0000499B0000}"/>
    <cellStyle name="Normal 58 3 2 3 6 3" xfId="9623" xr:uid="{00000000-0005-0000-0000-00004A9B0000}"/>
    <cellStyle name="Normal 58 3 2 3 6 3 2" xfId="35180" xr:uid="{00000000-0005-0000-0000-00004B9B0000}"/>
    <cellStyle name="Normal 58 3 2 3 6 4" xfId="18446" xr:uid="{00000000-0005-0000-0000-00004C9B0000}"/>
    <cellStyle name="Normal 58 3 2 3 6 4 2" xfId="43999" xr:uid="{00000000-0005-0000-0000-00004D9B0000}"/>
    <cellStyle name="Normal 58 3 2 3 6 5" xfId="29936" xr:uid="{00000000-0005-0000-0000-00004E9B0000}"/>
    <cellStyle name="Normal 58 3 2 3 7" xfId="1636" xr:uid="{00000000-0005-0000-0000-00004F9B0000}"/>
    <cellStyle name="Normal 58 3 2 3 7 2" xfId="11013" xr:uid="{00000000-0005-0000-0000-0000509B0000}"/>
    <cellStyle name="Normal 58 3 2 3 7 2 2" xfId="36568" xr:uid="{00000000-0005-0000-0000-0000519B0000}"/>
    <cellStyle name="Normal 58 3 2 3 7 3" xfId="21017" xr:uid="{00000000-0005-0000-0000-0000529B0000}"/>
    <cellStyle name="Normal 58 3 2 3 7 3 2" xfId="46570" xr:uid="{00000000-0005-0000-0000-0000539B0000}"/>
    <cellStyle name="Normal 58 3 2 3 7 4" xfId="27500" xr:uid="{00000000-0005-0000-0000-0000549B0000}"/>
    <cellStyle name="Normal 58 3 2 3 8" xfId="5820" xr:uid="{00000000-0005-0000-0000-0000559B0000}"/>
    <cellStyle name="Normal 58 3 2 3 8 2" xfId="14647" xr:uid="{00000000-0005-0000-0000-0000569B0000}"/>
    <cellStyle name="Normal 58 3 2 3 8 2 2" xfId="40202" xr:uid="{00000000-0005-0000-0000-0000579B0000}"/>
    <cellStyle name="Normal 58 3 2 3 8 3" xfId="24898" xr:uid="{00000000-0005-0000-0000-0000589B0000}"/>
    <cellStyle name="Normal 58 3 2 3 8 3 2" xfId="50451" xr:uid="{00000000-0005-0000-0000-0000599B0000}"/>
    <cellStyle name="Normal 58 3 2 3 8 4" xfId="31381" xr:uid="{00000000-0005-0000-0000-00005A9B0000}"/>
    <cellStyle name="Normal 58 3 2 3 9" xfId="7264" xr:uid="{00000000-0005-0000-0000-00005B9B0000}"/>
    <cellStyle name="Normal 58 3 2 3 9 2" xfId="19673" xr:uid="{00000000-0005-0000-0000-00005C9B0000}"/>
    <cellStyle name="Normal 58 3 2 3 9 2 2" xfId="45226" xr:uid="{00000000-0005-0000-0000-00005D9B0000}"/>
    <cellStyle name="Normal 58 3 2 3 9 3" xfId="32821" xr:uid="{00000000-0005-0000-0000-00005E9B0000}"/>
    <cellStyle name="Normal 58 3 2 3_Degree data" xfId="3996" xr:uid="{00000000-0005-0000-0000-00005F9B0000}"/>
    <cellStyle name="Normal 58 3 2 4" xfId="484" xr:uid="{00000000-0005-0000-0000-0000609B0000}"/>
    <cellStyle name="Normal 58 3 2 4 10" xfId="26413" xr:uid="{00000000-0005-0000-0000-0000619B0000}"/>
    <cellStyle name="Normal 58 3 2 4 2" xfId="891" xr:uid="{00000000-0005-0000-0000-0000629B0000}"/>
    <cellStyle name="Normal 58 3 2 4 2 2" xfId="3376" xr:uid="{00000000-0005-0000-0000-0000639B0000}"/>
    <cellStyle name="Normal 58 3 2 4 2 2 2" xfId="12518" xr:uid="{00000000-0005-0000-0000-0000649B0000}"/>
    <cellStyle name="Normal 58 3 2 4 2 2 2 2" xfId="22737" xr:uid="{00000000-0005-0000-0000-0000659B0000}"/>
    <cellStyle name="Normal 58 3 2 4 2 2 2 2 2" xfId="48290" xr:uid="{00000000-0005-0000-0000-0000669B0000}"/>
    <cellStyle name="Normal 58 3 2 4 2 2 2 3" xfId="38073" xr:uid="{00000000-0005-0000-0000-0000679B0000}"/>
    <cellStyle name="Normal 58 3 2 4 2 2 3" xfId="8940" xr:uid="{00000000-0005-0000-0000-0000689B0000}"/>
    <cellStyle name="Normal 58 3 2 4 2 2 3 2" xfId="34497" xr:uid="{00000000-0005-0000-0000-0000699B0000}"/>
    <cellStyle name="Normal 58 3 2 4 2 2 4" xfId="17730" xr:uid="{00000000-0005-0000-0000-00006A9B0000}"/>
    <cellStyle name="Normal 58 3 2 4 2 2 4 2" xfId="43283" xr:uid="{00000000-0005-0000-0000-00006B9B0000}"/>
    <cellStyle name="Normal 58 3 2 4 2 2 5" xfId="29220" xr:uid="{00000000-0005-0000-0000-00006C9B0000}"/>
    <cellStyle name="Normal 58 3 2 4 2 3" xfId="4705" xr:uid="{00000000-0005-0000-0000-00006D9B0000}"/>
    <cellStyle name="Normal 58 3 2 4 2 3 2" xfId="13543" xr:uid="{00000000-0005-0000-0000-00006E9B0000}"/>
    <cellStyle name="Normal 58 3 2 4 2 3 2 2" xfId="23794" xr:uid="{00000000-0005-0000-0000-00006F9B0000}"/>
    <cellStyle name="Normal 58 3 2 4 2 3 2 2 2" xfId="49347" xr:uid="{00000000-0005-0000-0000-0000709B0000}"/>
    <cellStyle name="Normal 58 3 2 4 2 3 2 3" xfId="39098" xr:uid="{00000000-0005-0000-0000-0000719B0000}"/>
    <cellStyle name="Normal 58 3 2 4 2 3 3" xfId="9964" xr:uid="{00000000-0005-0000-0000-0000729B0000}"/>
    <cellStyle name="Normal 58 3 2 4 2 3 3 2" xfId="35521" xr:uid="{00000000-0005-0000-0000-0000739B0000}"/>
    <cellStyle name="Normal 58 3 2 4 2 3 4" xfId="18787" xr:uid="{00000000-0005-0000-0000-0000749B0000}"/>
    <cellStyle name="Normal 58 3 2 4 2 3 4 2" xfId="44340" xr:uid="{00000000-0005-0000-0000-0000759B0000}"/>
    <cellStyle name="Normal 58 3 2 4 2 3 5" xfId="30277" xr:uid="{00000000-0005-0000-0000-0000769B0000}"/>
    <cellStyle name="Normal 58 3 2 4 2 4" xfId="2485" xr:uid="{00000000-0005-0000-0000-0000779B0000}"/>
    <cellStyle name="Normal 58 3 2 4 2 4 2" xfId="11850" xr:uid="{00000000-0005-0000-0000-0000789B0000}"/>
    <cellStyle name="Normal 58 3 2 4 2 4 2 2" xfId="37405" xr:uid="{00000000-0005-0000-0000-0000799B0000}"/>
    <cellStyle name="Normal 58 3 2 4 2 4 3" xfId="21854" xr:uid="{00000000-0005-0000-0000-00007A9B0000}"/>
    <cellStyle name="Normal 58 3 2 4 2 4 3 2" xfId="47407" xr:uid="{00000000-0005-0000-0000-00007B9B0000}"/>
    <cellStyle name="Normal 58 3 2 4 2 4 4" xfId="28337" xr:uid="{00000000-0005-0000-0000-00007C9B0000}"/>
    <cellStyle name="Normal 58 3 2 4 2 5" xfId="6161" xr:uid="{00000000-0005-0000-0000-00007D9B0000}"/>
    <cellStyle name="Normal 58 3 2 4 2 5 2" xfId="14988" xr:uid="{00000000-0005-0000-0000-00007E9B0000}"/>
    <cellStyle name="Normal 58 3 2 4 2 5 2 2" xfId="40543" xr:uid="{00000000-0005-0000-0000-00007F9B0000}"/>
    <cellStyle name="Normal 58 3 2 4 2 5 3" xfId="25239" xr:uid="{00000000-0005-0000-0000-0000809B0000}"/>
    <cellStyle name="Normal 58 3 2 4 2 5 3 2" xfId="50792" xr:uid="{00000000-0005-0000-0000-0000819B0000}"/>
    <cellStyle name="Normal 58 3 2 4 2 5 4" xfId="31722" xr:uid="{00000000-0005-0000-0000-0000829B0000}"/>
    <cellStyle name="Normal 58 3 2 4 2 6" xfId="7606" xr:uid="{00000000-0005-0000-0000-0000839B0000}"/>
    <cellStyle name="Normal 58 3 2 4 2 6 2" xfId="20336" xr:uid="{00000000-0005-0000-0000-0000849B0000}"/>
    <cellStyle name="Normal 58 3 2 4 2 6 2 2" xfId="45889" xr:uid="{00000000-0005-0000-0000-0000859B0000}"/>
    <cellStyle name="Normal 58 3 2 4 2 6 3" xfId="33163" xr:uid="{00000000-0005-0000-0000-0000869B0000}"/>
    <cellStyle name="Normal 58 3 2 4 2 7" xfId="16847" xr:uid="{00000000-0005-0000-0000-0000879B0000}"/>
    <cellStyle name="Normal 58 3 2 4 2 7 2" xfId="42400" xr:uid="{00000000-0005-0000-0000-0000889B0000}"/>
    <cellStyle name="Normal 58 3 2 4 2 8" xfId="26819" xr:uid="{00000000-0005-0000-0000-0000899B0000}"/>
    <cellStyle name="Normal 58 3 2 4 3" xfId="1256" xr:uid="{00000000-0005-0000-0000-00008A9B0000}"/>
    <cellStyle name="Normal 58 3 2 4 3 2" xfId="3685" xr:uid="{00000000-0005-0000-0000-00008B9B0000}"/>
    <cellStyle name="Normal 58 3 2 4 3 2 2" xfId="12821" xr:uid="{00000000-0005-0000-0000-00008C9B0000}"/>
    <cellStyle name="Normal 58 3 2 4 3 2 2 2" xfId="23040" xr:uid="{00000000-0005-0000-0000-00008D9B0000}"/>
    <cellStyle name="Normal 58 3 2 4 3 2 2 2 2" xfId="48593" xr:uid="{00000000-0005-0000-0000-00008E9B0000}"/>
    <cellStyle name="Normal 58 3 2 4 3 2 2 3" xfId="38376" xr:uid="{00000000-0005-0000-0000-00008F9B0000}"/>
    <cellStyle name="Normal 58 3 2 4 3 2 3" xfId="9242" xr:uid="{00000000-0005-0000-0000-0000909B0000}"/>
    <cellStyle name="Normal 58 3 2 4 3 2 3 2" xfId="34799" xr:uid="{00000000-0005-0000-0000-0000919B0000}"/>
    <cellStyle name="Normal 58 3 2 4 3 2 4" xfId="18033" xr:uid="{00000000-0005-0000-0000-0000929B0000}"/>
    <cellStyle name="Normal 58 3 2 4 3 2 4 2" xfId="43586" xr:uid="{00000000-0005-0000-0000-0000939B0000}"/>
    <cellStyle name="Normal 58 3 2 4 3 2 5" xfId="29523" xr:uid="{00000000-0005-0000-0000-0000949B0000}"/>
    <cellStyle name="Normal 58 3 2 4 3 3" xfId="5054" xr:uid="{00000000-0005-0000-0000-0000959B0000}"/>
    <cellStyle name="Normal 58 3 2 4 3 3 2" xfId="13891" xr:uid="{00000000-0005-0000-0000-0000969B0000}"/>
    <cellStyle name="Normal 58 3 2 4 3 3 2 2" xfId="24142" xr:uid="{00000000-0005-0000-0000-0000979B0000}"/>
    <cellStyle name="Normal 58 3 2 4 3 3 2 2 2" xfId="49695" xr:uid="{00000000-0005-0000-0000-0000989B0000}"/>
    <cellStyle name="Normal 58 3 2 4 3 3 2 3" xfId="39446" xr:uid="{00000000-0005-0000-0000-0000999B0000}"/>
    <cellStyle name="Normal 58 3 2 4 3 3 3" xfId="10312" xr:uid="{00000000-0005-0000-0000-00009A9B0000}"/>
    <cellStyle name="Normal 58 3 2 4 3 3 3 2" xfId="35869" xr:uid="{00000000-0005-0000-0000-00009B9B0000}"/>
    <cellStyle name="Normal 58 3 2 4 3 3 4" xfId="19135" xr:uid="{00000000-0005-0000-0000-00009C9B0000}"/>
    <cellStyle name="Normal 58 3 2 4 3 3 4 2" xfId="44688" xr:uid="{00000000-0005-0000-0000-00009D9B0000}"/>
    <cellStyle name="Normal 58 3 2 4 3 3 5" xfId="30625" xr:uid="{00000000-0005-0000-0000-00009E9B0000}"/>
    <cellStyle name="Normal 58 3 2 4 3 4" xfId="2079" xr:uid="{00000000-0005-0000-0000-00009F9B0000}"/>
    <cellStyle name="Normal 58 3 2 4 3 4 2" xfId="11444" xr:uid="{00000000-0005-0000-0000-0000A09B0000}"/>
    <cellStyle name="Normal 58 3 2 4 3 4 2 2" xfId="36999" xr:uid="{00000000-0005-0000-0000-0000A19B0000}"/>
    <cellStyle name="Normal 58 3 2 4 3 4 3" xfId="21448" xr:uid="{00000000-0005-0000-0000-0000A29B0000}"/>
    <cellStyle name="Normal 58 3 2 4 3 4 3 2" xfId="47001" xr:uid="{00000000-0005-0000-0000-0000A39B0000}"/>
    <cellStyle name="Normal 58 3 2 4 3 4 4" xfId="27931" xr:uid="{00000000-0005-0000-0000-0000A49B0000}"/>
    <cellStyle name="Normal 58 3 2 4 3 5" xfId="6509" xr:uid="{00000000-0005-0000-0000-0000A59B0000}"/>
    <cellStyle name="Normal 58 3 2 4 3 5 2" xfId="15336" xr:uid="{00000000-0005-0000-0000-0000A69B0000}"/>
    <cellStyle name="Normal 58 3 2 4 3 5 2 2" xfId="40891" xr:uid="{00000000-0005-0000-0000-0000A79B0000}"/>
    <cellStyle name="Normal 58 3 2 4 3 5 3" xfId="25587" xr:uid="{00000000-0005-0000-0000-0000A89B0000}"/>
    <cellStyle name="Normal 58 3 2 4 3 5 3 2" xfId="51140" xr:uid="{00000000-0005-0000-0000-0000A99B0000}"/>
    <cellStyle name="Normal 58 3 2 4 3 5 4" xfId="32070" xr:uid="{00000000-0005-0000-0000-0000AA9B0000}"/>
    <cellStyle name="Normal 58 3 2 4 3 6" xfId="7955" xr:uid="{00000000-0005-0000-0000-0000AB9B0000}"/>
    <cellStyle name="Normal 58 3 2 4 3 6 2" xfId="20639" xr:uid="{00000000-0005-0000-0000-0000AC9B0000}"/>
    <cellStyle name="Normal 58 3 2 4 3 6 2 2" xfId="46192" xr:uid="{00000000-0005-0000-0000-0000AD9B0000}"/>
    <cellStyle name="Normal 58 3 2 4 3 6 3" xfId="33512" xr:uid="{00000000-0005-0000-0000-0000AE9B0000}"/>
    <cellStyle name="Normal 58 3 2 4 3 7" xfId="16441" xr:uid="{00000000-0005-0000-0000-0000AF9B0000}"/>
    <cellStyle name="Normal 58 3 2 4 3 7 2" xfId="41994" xr:uid="{00000000-0005-0000-0000-0000B09B0000}"/>
    <cellStyle name="Normal 58 3 2 4 3 8" xfId="27122" xr:uid="{00000000-0005-0000-0000-0000B19B0000}"/>
    <cellStyle name="Normal 58 3 2 4 4" xfId="2970" xr:uid="{00000000-0005-0000-0000-0000B29B0000}"/>
    <cellStyle name="Normal 58 3 2 4 4 2" xfId="5348" xr:uid="{00000000-0005-0000-0000-0000B39B0000}"/>
    <cellStyle name="Normal 58 3 2 4 4 2 2" xfId="14185" xr:uid="{00000000-0005-0000-0000-0000B49B0000}"/>
    <cellStyle name="Normal 58 3 2 4 4 2 2 2" xfId="24436" xr:uid="{00000000-0005-0000-0000-0000B59B0000}"/>
    <cellStyle name="Normal 58 3 2 4 4 2 2 2 2" xfId="49989" xr:uid="{00000000-0005-0000-0000-0000B69B0000}"/>
    <cellStyle name="Normal 58 3 2 4 4 2 2 3" xfId="39740" xr:uid="{00000000-0005-0000-0000-0000B79B0000}"/>
    <cellStyle name="Normal 58 3 2 4 4 2 3" xfId="10606" xr:uid="{00000000-0005-0000-0000-0000B89B0000}"/>
    <cellStyle name="Normal 58 3 2 4 4 2 3 2" xfId="36163" xr:uid="{00000000-0005-0000-0000-0000B99B0000}"/>
    <cellStyle name="Normal 58 3 2 4 4 2 4" xfId="19429" xr:uid="{00000000-0005-0000-0000-0000BA9B0000}"/>
    <cellStyle name="Normal 58 3 2 4 4 2 4 2" xfId="44982" xr:uid="{00000000-0005-0000-0000-0000BB9B0000}"/>
    <cellStyle name="Normal 58 3 2 4 4 2 5" xfId="30919" xr:uid="{00000000-0005-0000-0000-0000BC9B0000}"/>
    <cellStyle name="Normal 58 3 2 4 4 3" xfId="6803" xr:uid="{00000000-0005-0000-0000-0000BD9B0000}"/>
    <cellStyle name="Normal 58 3 2 4 4 3 2" xfId="15630" xr:uid="{00000000-0005-0000-0000-0000BE9B0000}"/>
    <cellStyle name="Normal 58 3 2 4 4 3 2 2" xfId="41185" xr:uid="{00000000-0005-0000-0000-0000BF9B0000}"/>
    <cellStyle name="Normal 58 3 2 4 4 3 3" xfId="25881" xr:uid="{00000000-0005-0000-0000-0000C09B0000}"/>
    <cellStyle name="Normal 58 3 2 4 4 3 3 2" xfId="51434" xr:uid="{00000000-0005-0000-0000-0000C19B0000}"/>
    <cellStyle name="Normal 58 3 2 4 4 3 4" xfId="32364" xr:uid="{00000000-0005-0000-0000-0000C29B0000}"/>
    <cellStyle name="Normal 58 3 2 4 4 4" xfId="8249" xr:uid="{00000000-0005-0000-0000-0000C39B0000}"/>
    <cellStyle name="Normal 58 3 2 4 4 4 2" xfId="22331" xr:uid="{00000000-0005-0000-0000-0000C49B0000}"/>
    <cellStyle name="Normal 58 3 2 4 4 4 2 2" xfId="47884" xr:uid="{00000000-0005-0000-0000-0000C59B0000}"/>
    <cellStyle name="Normal 58 3 2 4 4 4 3" xfId="33806" xr:uid="{00000000-0005-0000-0000-0000C69B0000}"/>
    <cellStyle name="Normal 58 3 2 4 4 5" xfId="17324" xr:uid="{00000000-0005-0000-0000-0000C79B0000}"/>
    <cellStyle name="Normal 58 3 2 4 4 5 2" xfId="42877" xr:uid="{00000000-0005-0000-0000-0000C89B0000}"/>
    <cellStyle name="Normal 58 3 2 4 4 6" xfId="28814" xr:uid="{00000000-0005-0000-0000-0000C99B0000}"/>
    <cellStyle name="Normal 58 3 2 4 5" xfId="4304" xr:uid="{00000000-0005-0000-0000-0000CA9B0000}"/>
    <cellStyle name="Normal 58 3 2 4 5 2" xfId="13142" xr:uid="{00000000-0005-0000-0000-0000CB9B0000}"/>
    <cellStyle name="Normal 58 3 2 4 5 2 2" xfId="23393" xr:uid="{00000000-0005-0000-0000-0000CC9B0000}"/>
    <cellStyle name="Normal 58 3 2 4 5 2 2 2" xfId="48946" xr:uid="{00000000-0005-0000-0000-0000CD9B0000}"/>
    <cellStyle name="Normal 58 3 2 4 5 2 3" xfId="38697" xr:uid="{00000000-0005-0000-0000-0000CE9B0000}"/>
    <cellStyle name="Normal 58 3 2 4 5 3" xfId="9563" xr:uid="{00000000-0005-0000-0000-0000CF9B0000}"/>
    <cellStyle name="Normal 58 3 2 4 5 3 2" xfId="35120" xr:uid="{00000000-0005-0000-0000-0000D09B0000}"/>
    <cellStyle name="Normal 58 3 2 4 5 4" xfId="18386" xr:uid="{00000000-0005-0000-0000-0000D19B0000}"/>
    <cellStyle name="Normal 58 3 2 4 5 4 2" xfId="43939" xr:uid="{00000000-0005-0000-0000-0000D29B0000}"/>
    <cellStyle name="Normal 58 3 2 4 5 5" xfId="29876" xr:uid="{00000000-0005-0000-0000-0000D39B0000}"/>
    <cellStyle name="Normal 58 3 2 4 6" xfId="1576" xr:uid="{00000000-0005-0000-0000-0000D49B0000}"/>
    <cellStyle name="Normal 58 3 2 4 6 2" xfId="10953" xr:uid="{00000000-0005-0000-0000-0000D59B0000}"/>
    <cellStyle name="Normal 58 3 2 4 6 2 2" xfId="36508" xr:uid="{00000000-0005-0000-0000-0000D69B0000}"/>
    <cellStyle name="Normal 58 3 2 4 6 3" xfId="20957" xr:uid="{00000000-0005-0000-0000-0000D79B0000}"/>
    <cellStyle name="Normal 58 3 2 4 6 3 2" xfId="46510" xr:uid="{00000000-0005-0000-0000-0000D89B0000}"/>
    <cellStyle name="Normal 58 3 2 4 6 4" xfId="27440" xr:uid="{00000000-0005-0000-0000-0000D99B0000}"/>
    <cellStyle name="Normal 58 3 2 4 7" xfId="5760" xr:uid="{00000000-0005-0000-0000-0000DA9B0000}"/>
    <cellStyle name="Normal 58 3 2 4 7 2" xfId="14587" xr:uid="{00000000-0005-0000-0000-0000DB9B0000}"/>
    <cellStyle name="Normal 58 3 2 4 7 2 2" xfId="40142" xr:uid="{00000000-0005-0000-0000-0000DC9B0000}"/>
    <cellStyle name="Normal 58 3 2 4 7 3" xfId="24838" xr:uid="{00000000-0005-0000-0000-0000DD9B0000}"/>
    <cellStyle name="Normal 58 3 2 4 7 3 2" xfId="50391" xr:uid="{00000000-0005-0000-0000-0000DE9B0000}"/>
    <cellStyle name="Normal 58 3 2 4 7 4" xfId="31321" xr:uid="{00000000-0005-0000-0000-0000DF9B0000}"/>
    <cellStyle name="Normal 58 3 2 4 8" xfId="7204" xr:uid="{00000000-0005-0000-0000-0000E09B0000}"/>
    <cellStyle name="Normal 58 3 2 4 8 2" xfId="19930" xr:uid="{00000000-0005-0000-0000-0000E19B0000}"/>
    <cellStyle name="Normal 58 3 2 4 8 2 2" xfId="45483" xr:uid="{00000000-0005-0000-0000-0000E29B0000}"/>
    <cellStyle name="Normal 58 3 2 4 8 3" xfId="32761" xr:uid="{00000000-0005-0000-0000-0000E39B0000}"/>
    <cellStyle name="Normal 58 3 2 4 9" xfId="15950" xr:uid="{00000000-0005-0000-0000-0000E49B0000}"/>
    <cellStyle name="Normal 58 3 2 4 9 2" xfId="41503" xr:uid="{00000000-0005-0000-0000-0000E59B0000}"/>
    <cellStyle name="Normal 58 3 2 4_Degree data" xfId="3997" xr:uid="{00000000-0005-0000-0000-0000E69B0000}"/>
    <cellStyle name="Normal 58 3 2 5" xfId="327" xr:uid="{00000000-0005-0000-0000-0000E79B0000}"/>
    <cellStyle name="Normal 58 3 2 5 2" xfId="2813" xr:uid="{00000000-0005-0000-0000-0000E89B0000}"/>
    <cellStyle name="Normal 58 3 2 5 2 2" xfId="12112" xr:uid="{00000000-0005-0000-0000-0000E99B0000}"/>
    <cellStyle name="Normal 58 3 2 5 2 2 2" xfId="22174" xr:uid="{00000000-0005-0000-0000-0000EA9B0000}"/>
    <cellStyle name="Normal 58 3 2 5 2 2 2 2" xfId="47727" xr:uid="{00000000-0005-0000-0000-0000EB9B0000}"/>
    <cellStyle name="Normal 58 3 2 5 2 2 3" xfId="37667" xr:uid="{00000000-0005-0000-0000-0000EC9B0000}"/>
    <cellStyle name="Normal 58 3 2 5 2 3" xfId="8530" xr:uid="{00000000-0005-0000-0000-0000ED9B0000}"/>
    <cellStyle name="Normal 58 3 2 5 2 3 2" xfId="34087" xr:uid="{00000000-0005-0000-0000-0000EE9B0000}"/>
    <cellStyle name="Normal 58 3 2 5 2 4" xfId="17167" xr:uid="{00000000-0005-0000-0000-0000EF9B0000}"/>
    <cellStyle name="Normal 58 3 2 5 2 4 2" xfId="42720" xr:uid="{00000000-0005-0000-0000-0000F09B0000}"/>
    <cellStyle name="Normal 58 3 2 5 2 5" xfId="28657" xr:uid="{00000000-0005-0000-0000-0000F19B0000}"/>
    <cellStyle name="Normal 58 3 2 5 3" xfId="4701" xr:uid="{00000000-0005-0000-0000-0000F29B0000}"/>
    <cellStyle name="Normal 58 3 2 5 3 2" xfId="13539" xr:uid="{00000000-0005-0000-0000-0000F39B0000}"/>
    <cellStyle name="Normal 58 3 2 5 3 2 2" xfId="23790" xr:uid="{00000000-0005-0000-0000-0000F49B0000}"/>
    <cellStyle name="Normal 58 3 2 5 3 2 2 2" xfId="49343" xr:uid="{00000000-0005-0000-0000-0000F59B0000}"/>
    <cellStyle name="Normal 58 3 2 5 3 2 3" xfId="39094" xr:uid="{00000000-0005-0000-0000-0000F69B0000}"/>
    <cellStyle name="Normal 58 3 2 5 3 3" xfId="9960" xr:uid="{00000000-0005-0000-0000-0000F79B0000}"/>
    <cellStyle name="Normal 58 3 2 5 3 3 2" xfId="35517" xr:uid="{00000000-0005-0000-0000-0000F89B0000}"/>
    <cellStyle name="Normal 58 3 2 5 3 4" xfId="18783" xr:uid="{00000000-0005-0000-0000-0000F99B0000}"/>
    <cellStyle name="Normal 58 3 2 5 3 4 2" xfId="44336" xr:uid="{00000000-0005-0000-0000-0000FA9B0000}"/>
    <cellStyle name="Normal 58 3 2 5 3 5" xfId="30273" xr:uid="{00000000-0005-0000-0000-0000FB9B0000}"/>
    <cellStyle name="Normal 58 3 2 5 4" xfId="1922" xr:uid="{00000000-0005-0000-0000-0000FC9B0000}"/>
    <cellStyle name="Normal 58 3 2 5 4 2" xfId="11287" xr:uid="{00000000-0005-0000-0000-0000FD9B0000}"/>
    <cellStyle name="Normal 58 3 2 5 4 2 2" xfId="36842" xr:uid="{00000000-0005-0000-0000-0000FE9B0000}"/>
    <cellStyle name="Normal 58 3 2 5 4 3" xfId="21291" xr:uid="{00000000-0005-0000-0000-0000FF9B0000}"/>
    <cellStyle name="Normal 58 3 2 5 4 3 2" xfId="46844" xr:uid="{00000000-0005-0000-0000-0000009C0000}"/>
    <cellStyle name="Normal 58 3 2 5 4 4" xfId="27774" xr:uid="{00000000-0005-0000-0000-0000019C0000}"/>
    <cellStyle name="Normal 58 3 2 5 5" xfId="6157" xr:uid="{00000000-0005-0000-0000-0000029C0000}"/>
    <cellStyle name="Normal 58 3 2 5 5 2" xfId="14984" xr:uid="{00000000-0005-0000-0000-0000039C0000}"/>
    <cellStyle name="Normal 58 3 2 5 5 2 2" xfId="40539" xr:uid="{00000000-0005-0000-0000-0000049C0000}"/>
    <cellStyle name="Normal 58 3 2 5 5 3" xfId="25235" xr:uid="{00000000-0005-0000-0000-0000059C0000}"/>
    <cellStyle name="Normal 58 3 2 5 5 3 2" xfId="50788" xr:uid="{00000000-0005-0000-0000-0000069C0000}"/>
    <cellStyle name="Normal 58 3 2 5 5 4" xfId="31718" xr:uid="{00000000-0005-0000-0000-0000079C0000}"/>
    <cellStyle name="Normal 58 3 2 5 6" xfId="7602" xr:uid="{00000000-0005-0000-0000-0000089C0000}"/>
    <cellStyle name="Normal 58 3 2 5 6 2" xfId="19773" xr:uid="{00000000-0005-0000-0000-0000099C0000}"/>
    <cellStyle name="Normal 58 3 2 5 6 2 2" xfId="45326" xr:uid="{00000000-0005-0000-0000-00000A9C0000}"/>
    <cellStyle name="Normal 58 3 2 5 6 3" xfId="33159" xr:uid="{00000000-0005-0000-0000-00000B9C0000}"/>
    <cellStyle name="Normal 58 3 2 5 7" xfId="16284" xr:uid="{00000000-0005-0000-0000-00000C9C0000}"/>
    <cellStyle name="Normal 58 3 2 5 7 2" xfId="41837" xr:uid="{00000000-0005-0000-0000-00000D9C0000}"/>
    <cellStyle name="Normal 58 3 2 5 8" xfId="26256" xr:uid="{00000000-0005-0000-0000-00000E9C0000}"/>
    <cellStyle name="Normal 58 3 2 6" xfId="887" xr:uid="{00000000-0005-0000-0000-00000F9C0000}"/>
    <cellStyle name="Normal 58 3 2 6 2" xfId="3372" xr:uid="{00000000-0005-0000-0000-0000109C0000}"/>
    <cellStyle name="Normal 58 3 2 6 2 2" xfId="12514" xr:uid="{00000000-0005-0000-0000-0000119C0000}"/>
    <cellStyle name="Normal 58 3 2 6 2 2 2" xfId="22733" xr:uid="{00000000-0005-0000-0000-0000129C0000}"/>
    <cellStyle name="Normal 58 3 2 6 2 2 2 2" xfId="48286" xr:uid="{00000000-0005-0000-0000-0000139C0000}"/>
    <cellStyle name="Normal 58 3 2 6 2 2 3" xfId="38069" xr:uid="{00000000-0005-0000-0000-0000149C0000}"/>
    <cellStyle name="Normal 58 3 2 6 2 3" xfId="8936" xr:uid="{00000000-0005-0000-0000-0000159C0000}"/>
    <cellStyle name="Normal 58 3 2 6 2 3 2" xfId="34493" xr:uid="{00000000-0005-0000-0000-0000169C0000}"/>
    <cellStyle name="Normal 58 3 2 6 2 4" xfId="17726" xr:uid="{00000000-0005-0000-0000-0000179C0000}"/>
    <cellStyle name="Normal 58 3 2 6 2 4 2" xfId="43279" xr:uid="{00000000-0005-0000-0000-0000189C0000}"/>
    <cellStyle name="Normal 58 3 2 6 2 5" xfId="29216" xr:uid="{00000000-0005-0000-0000-0000199C0000}"/>
    <cellStyle name="Normal 58 3 2 6 3" xfId="5050" xr:uid="{00000000-0005-0000-0000-00001A9C0000}"/>
    <cellStyle name="Normal 58 3 2 6 3 2" xfId="13887" xr:uid="{00000000-0005-0000-0000-00001B9C0000}"/>
    <cellStyle name="Normal 58 3 2 6 3 2 2" xfId="24138" xr:uid="{00000000-0005-0000-0000-00001C9C0000}"/>
    <cellStyle name="Normal 58 3 2 6 3 2 2 2" xfId="49691" xr:uid="{00000000-0005-0000-0000-00001D9C0000}"/>
    <cellStyle name="Normal 58 3 2 6 3 2 3" xfId="39442" xr:uid="{00000000-0005-0000-0000-00001E9C0000}"/>
    <cellStyle name="Normal 58 3 2 6 3 3" xfId="10308" xr:uid="{00000000-0005-0000-0000-00001F9C0000}"/>
    <cellStyle name="Normal 58 3 2 6 3 3 2" xfId="35865" xr:uid="{00000000-0005-0000-0000-0000209C0000}"/>
    <cellStyle name="Normal 58 3 2 6 3 4" xfId="19131" xr:uid="{00000000-0005-0000-0000-0000219C0000}"/>
    <cellStyle name="Normal 58 3 2 6 3 4 2" xfId="44684" xr:uid="{00000000-0005-0000-0000-0000229C0000}"/>
    <cellStyle name="Normal 58 3 2 6 3 5" xfId="30621" xr:uid="{00000000-0005-0000-0000-0000239C0000}"/>
    <cellStyle name="Normal 58 3 2 6 4" xfId="2481" xr:uid="{00000000-0005-0000-0000-0000249C0000}"/>
    <cellStyle name="Normal 58 3 2 6 4 2" xfId="11846" xr:uid="{00000000-0005-0000-0000-0000259C0000}"/>
    <cellStyle name="Normal 58 3 2 6 4 2 2" xfId="37401" xr:uid="{00000000-0005-0000-0000-0000269C0000}"/>
    <cellStyle name="Normal 58 3 2 6 4 3" xfId="21850" xr:uid="{00000000-0005-0000-0000-0000279C0000}"/>
    <cellStyle name="Normal 58 3 2 6 4 3 2" xfId="47403" xr:uid="{00000000-0005-0000-0000-0000289C0000}"/>
    <cellStyle name="Normal 58 3 2 6 4 4" xfId="28333" xr:uid="{00000000-0005-0000-0000-0000299C0000}"/>
    <cellStyle name="Normal 58 3 2 6 5" xfId="6505" xr:uid="{00000000-0005-0000-0000-00002A9C0000}"/>
    <cellStyle name="Normal 58 3 2 6 5 2" xfId="15332" xr:uid="{00000000-0005-0000-0000-00002B9C0000}"/>
    <cellStyle name="Normal 58 3 2 6 5 2 2" xfId="40887" xr:uid="{00000000-0005-0000-0000-00002C9C0000}"/>
    <cellStyle name="Normal 58 3 2 6 5 3" xfId="25583" xr:uid="{00000000-0005-0000-0000-00002D9C0000}"/>
    <cellStyle name="Normal 58 3 2 6 5 3 2" xfId="51136" xr:uid="{00000000-0005-0000-0000-00002E9C0000}"/>
    <cellStyle name="Normal 58 3 2 6 5 4" xfId="32066" xr:uid="{00000000-0005-0000-0000-00002F9C0000}"/>
    <cellStyle name="Normal 58 3 2 6 6" xfId="7951" xr:uid="{00000000-0005-0000-0000-0000309C0000}"/>
    <cellStyle name="Normal 58 3 2 6 6 2" xfId="20332" xr:uid="{00000000-0005-0000-0000-0000319C0000}"/>
    <cellStyle name="Normal 58 3 2 6 6 2 2" xfId="45885" xr:uid="{00000000-0005-0000-0000-0000329C0000}"/>
    <cellStyle name="Normal 58 3 2 6 6 3" xfId="33508" xr:uid="{00000000-0005-0000-0000-0000339C0000}"/>
    <cellStyle name="Normal 58 3 2 6 7" xfId="16843" xr:uid="{00000000-0005-0000-0000-0000349C0000}"/>
    <cellStyle name="Normal 58 3 2 6 7 2" xfId="42396" xr:uid="{00000000-0005-0000-0000-0000359C0000}"/>
    <cellStyle name="Normal 58 3 2 6 8" xfId="26815" xr:uid="{00000000-0005-0000-0000-0000369C0000}"/>
    <cellStyle name="Normal 58 3 2 7" xfId="1099" xr:uid="{00000000-0005-0000-0000-0000379C0000}"/>
    <cellStyle name="Normal 58 3 2 7 2" xfId="3528" xr:uid="{00000000-0005-0000-0000-0000389C0000}"/>
    <cellStyle name="Normal 58 3 2 7 2 2" xfId="12664" xr:uid="{00000000-0005-0000-0000-0000399C0000}"/>
    <cellStyle name="Normal 58 3 2 7 2 2 2" xfId="22883" xr:uid="{00000000-0005-0000-0000-00003A9C0000}"/>
    <cellStyle name="Normal 58 3 2 7 2 2 2 2" xfId="48436" xr:uid="{00000000-0005-0000-0000-00003B9C0000}"/>
    <cellStyle name="Normal 58 3 2 7 2 2 3" xfId="38219" xr:uid="{00000000-0005-0000-0000-00003C9C0000}"/>
    <cellStyle name="Normal 58 3 2 7 2 3" xfId="9085" xr:uid="{00000000-0005-0000-0000-00003D9C0000}"/>
    <cellStyle name="Normal 58 3 2 7 2 3 2" xfId="34642" xr:uid="{00000000-0005-0000-0000-00003E9C0000}"/>
    <cellStyle name="Normal 58 3 2 7 2 4" xfId="17876" xr:uid="{00000000-0005-0000-0000-00003F9C0000}"/>
    <cellStyle name="Normal 58 3 2 7 2 4 2" xfId="43429" xr:uid="{00000000-0005-0000-0000-0000409C0000}"/>
    <cellStyle name="Normal 58 3 2 7 2 5" xfId="29366" xr:uid="{00000000-0005-0000-0000-0000419C0000}"/>
    <cellStyle name="Normal 58 3 2 7 3" xfId="5191" xr:uid="{00000000-0005-0000-0000-0000429C0000}"/>
    <cellStyle name="Normal 58 3 2 7 3 2" xfId="14028" xr:uid="{00000000-0005-0000-0000-0000439C0000}"/>
    <cellStyle name="Normal 58 3 2 7 3 2 2" xfId="24279" xr:uid="{00000000-0005-0000-0000-0000449C0000}"/>
    <cellStyle name="Normal 58 3 2 7 3 2 2 2" xfId="49832" xr:uid="{00000000-0005-0000-0000-0000459C0000}"/>
    <cellStyle name="Normal 58 3 2 7 3 2 3" xfId="39583" xr:uid="{00000000-0005-0000-0000-0000469C0000}"/>
    <cellStyle name="Normal 58 3 2 7 3 3" xfId="10449" xr:uid="{00000000-0005-0000-0000-0000479C0000}"/>
    <cellStyle name="Normal 58 3 2 7 3 3 2" xfId="36006" xr:uid="{00000000-0005-0000-0000-0000489C0000}"/>
    <cellStyle name="Normal 58 3 2 7 3 4" xfId="19272" xr:uid="{00000000-0005-0000-0000-0000499C0000}"/>
    <cellStyle name="Normal 58 3 2 7 3 4 2" xfId="44825" xr:uid="{00000000-0005-0000-0000-00004A9C0000}"/>
    <cellStyle name="Normal 58 3 2 7 3 5" xfId="30762" xr:uid="{00000000-0005-0000-0000-00004B9C0000}"/>
    <cellStyle name="Normal 58 3 2 7 4" xfId="1756" xr:uid="{00000000-0005-0000-0000-00004C9C0000}"/>
    <cellStyle name="Normal 58 3 2 7 4 2" xfId="11127" xr:uid="{00000000-0005-0000-0000-00004D9C0000}"/>
    <cellStyle name="Normal 58 3 2 7 4 2 2" xfId="36682" xr:uid="{00000000-0005-0000-0000-00004E9C0000}"/>
    <cellStyle name="Normal 58 3 2 7 4 3" xfId="21131" xr:uid="{00000000-0005-0000-0000-00004F9C0000}"/>
    <cellStyle name="Normal 58 3 2 7 4 3 2" xfId="46684" xr:uid="{00000000-0005-0000-0000-0000509C0000}"/>
    <cellStyle name="Normal 58 3 2 7 4 4" xfId="27614" xr:uid="{00000000-0005-0000-0000-0000519C0000}"/>
    <cellStyle name="Normal 58 3 2 7 5" xfId="6646" xr:uid="{00000000-0005-0000-0000-0000529C0000}"/>
    <cellStyle name="Normal 58 3 2 7 5 2" xfId="15473" xr:uid="{00000000-0005-0000-0000-0000539C0000}"/>
    <cellStyle name="Normal 58 3 2 7 5 2 2" xfId="41028" xr:uid="{00000000-0005-0000-0000-0000549C0000}"/>
    <cellStyle name="Normal 58 3 2 7 5 3" xfId="25724" xr:uid="{00000000-0005-0000-0000-0000559C0000}"/>
    <cellStyle name="Normal 58 3 2 7 5 3 2" xfId="51277" xr:uid="{00000000-0005-0000-0000-0000569C0000}"/>
    <cellStyle name="Normal 58 3 2 7 5 4" xfId="32207" xr:uid="{00000000-0005-0000-0000-0000579C0000}"/>
    <cellStyle name="Normal 58 3 2 7 6" xfId="8092" xr:uid="{00000000-0005-0000-0000-0000589C0000}"/>
    <cellStyle name="Normal 58 3 2 7 6 2" xfId="20482" xr:uid="{00000000-0005-0000-0000-0000599C0000}"/>
    <cellStyle name="Normal 58 3 2 7 6 2 2" xfId="46035" xr:uid="{00000000-0005-0000-0000-00005A9C0000}"/>
    <cellStyle name="Normal 58 3 2 7 6 3" xfId="33649" xr:uid="{00000000-0005-0000-0000-00005B9C0000}"/>
    <cellStyle name="Normal 58 3 2 7 7" xfId="16124" xr:uid="{00000000-0005-0000-0000-00005C9C0000}"/>
    <cellStyle name="Normal 58 3 2 7 7 2" xfId="41677" xr:uid="{00000000-0005-0000-0000-00005D9C0000}"/>
    <cellStyle name="Normal 58 3 2 7 8" xfId="26965" xr:uid="{00000000-0005-0000-0000-00005E9C0000}"/>
    <cellStyle name="Normal 58 3 2 8" xfId="2653" xr:uid="{00000000-0005-0000-0000-00005F9C0000}"/>
    <cellStyle name="Normal 58 3 2 8 2" xfId="11973" xr:uid="{00000000-0005-0000-0000-0000609C0000}"/>
    <cellStyle name="Normal 58 3 2 8 2 2" xfId="22014" xr:uid="{00000000-0005-0000-0000-0000619C0000}"/>
    <cellStyle name="Normal 58 3 2 8 2 2 2" xfId="47567" xr:uid="{00000000-0005-0000-0000-0000629C0000}"/>
    <cellStyle name="Normal 58 3 2 8 2 3" xfId="37528" xr:uid="{00000000-0005-0000-0000-0000639C0000}"/>
    <cellStyle name="Normal 58 3 2 8 3" xfId="8591" xr:uid="{00000000-0005-0000-0000-0000649C0000}"/>
    <cellStyle name="Normal 58 3 2 8 3 2" xfId="34148" xr:uid="{00000000-0005-0000-0000-0000659C0000}"/>
    <cellStyle name="Normal 58 3 2 8 4" xfId="17007" xr:uid="{00000000-0005-0000-0000-0000669C0000}"/>
    <cellStyle name="Normal 58 3 2 8 4 2" xfId="42560" xr:uid="{00000000-0005-0000-0000-0000679C0000}"/>
    <cellStyle name="Normal 58 3 2 8 5" xfId="28497" xr:uid="{00000000-0005-0000-0000-0000689C0000}"/>
    <cellStyle name="Normal 58 3 2 9" xfId="4145" xr:uid="{00000000-0005-0000-0000-0000699C0000}"/>
    <cellStyle name="Normal 58 3 2 9 2" xfId="12983" xr:uid="{00000000-0005-0000-0000-00006A9C0000}"/>
    <cellStyle name="Normal 58 3 2 9 2 2" xfId="23234" xr:uid="{00000000-0005-0000-0000-00006B9C0000}"/>
    <cellStyle name="Normal 58 3 2 9 2 2 2" xfId="48787" xr:uid="{00000000-0005-0000-0000-00006C9C0000}"/>
    <cellStyle name="Normal 58 3 2 9 2 3" xfId="38538" xr:uid="{00000000-0005-0000-0000-00006D9C0000}"/>
    <cellStyle name="Normal 58 3 2 9 3" xfId="9404" xr:uid="{00000000-0005-0000-0000-00006E9C0000}"/>
    <cellStyle name="Normal 58 3 2 9 3 2" xfId="34961" xr:uid="{00000000-0005-0000-0000-00006F9C0000}"/>
    <cellStyle name="Normal 58 3 2 9 4" xfId="18227" xr:uid="{00000000-0005-0000-0000-0000709C0000}"/>
    <cellStyle name="Normal 58 3 2 9 4 2" xfId="43780" xr:uid="{00000000-0005-0000-0000-0000719C0000}"/>
    <cellStyle name="Normal 58 3 2 9 5" xfId="29717" xr:uid="{00000000-0005-0000-0000-0000729C0000}"/>
    <cellStyle name="Normal 58 3 2_Degree data" xfId="3993" xr:uid="{00000000-0005-0000-0000-0000739C0000}"/>
    <cellStyle name="Normal 58 3 3" xfId="201" xr:uid="{00000000-0005-0000-0000-0000749C0000}"/>
    <cellStyle name="Normal 58 3 3 10" xfId="7147" xr:uid="{00000000-0005-0000-0000-0000759C0000}"/>
    <cellStyle name="Normal 58 3 3 10 2" xfId="19656" xr:uid="{00000000-0005-0000-0000-0000769C0000}"/>
    <cellStyle name="Normal 58 3 3 10 2 2" xfId="45209" xr:uid="{00000000-0005-0000-0000-0000779C0000}"/>
    <cellStyle name="Normal 58 3 3 10 3" xfId="32704" xr:uid="{00000000-0005-0000-0000-0000789C0000}"/>
    <cellStyle name="Normal 58 3 3 11" xfId="15893" xr:uid="{00000000-0005-0000-0000-0000799C0000}"/>
    <cellStyle name="Normal 58 3 3 11 2" xfId="41446" xr:uid="{00000000-0005-0000-0000-00007A9C0000}"/>
    <cellStyle name="Normal 58 3 3 12" xfId="26139" xr:uid="{00000000-0005-0000-0000-00007B9C0000}"/>
    <cellStyle name="Normal 58 3 3 2" xfId="527" xr:uid="{00000000-0005-0000-0000-00007C9C0000}"/>
    <cellStyle name="Normal 58 3 3 2 10" xfId="26456" xr:uid="{00000000-0005-0000-0000-00007D9C0000}"/>
    <cellStyle name="Normal 58 3 3 2 2" xfId="893" xr:uid="{00000000-0005-0000-0000-00007E9C0000}"/>
    <cellStyle name="Normal 58 3 3 2 2 2" xfId="3378" xr:uid="{00000000-0005-0000-0000-00007F9C0000}"/>
    <cellStyle name="Normal 58 3 3 2 2 2 2" xfId="12520" xr:uid="{00000000-0005-0000-0000-0000809C0000}"/>
    <cellStyle name="Normal 58 3 3 2 2 2 2 2" xfId="22739" xr:uid="{00000000-0005-0000-0000-0000819C0000}"/>
    <cellStyle name="Normal 58 3 3 2 2 2 2 2 2" xfId="48292" xr:uid="{00000000-0005-0000-0000-0000829C0000}"/>
    <cellStyle name="Normal 58 3 3 2 2 2 2 3" xfId="38075" xr:uid="{00000000-0005-0000-0000-0000839C0000}"/>
    <cellStyle name="Normal 58 3 3 2 2 2 3" xfId="8942" xr:uid="{00000000-0005-0000-0000-0000849C0000}"/>
    <cellStyle name="Normal 58 3 3 2 2 2 3 2" xfId="34499" xr:uid="{00000000-0005-0000-0000-0000859C0000}"/>
    <cellStyle name="Normal 58 3 3 2 2 2 4" xfId="17732" xr:uid="{00000000-0005-0000-0000-0000869C0000}"/>
    <cellStyle name="Normal 58 3 3 2 2 2 4 2" xfId="43285" xr:uid="{00000000-0005-0000-0000-0000879C0000}"/>
    <cellStyle name="Normal 58 3 3 2 2 2 5" xfId="29222" xr:uid="{00000000-0005-0000-0000-0000889C0000}"/>
    <cellStyle name="Normal 58 3 3 2 2 3" xfId="4707" xr:uid="{00000000-0005-0000-0000-0000899C0000}"/>
    <cellStyle name="Normal 58 3 3 2 2 3 2" xfId="13545" xr:uid="{00000000-0005-0000-0000-00008A9C0000}"/>
    <cellStyle name="Normal 58 3 3 2 2 3 2 2" xfId="23796" xr:uid="{00000000-0005-0000-0000-00008B9C0000}"/>
    <cellStyle name="Normal 58 3 3 2 2 3 2 2 2" xfId="49349" xr:uid="{00000000-0005-0000-0000-00008C9C0000}"/>
    <cellStyle name="Normal 58 3 3 2 2 3 2 3" xfId="39100" xr:uid="{00000000-0005-0000-0000-00008D9C0000}"/>
    <cellStyle name="Normal 58 3 3 2 2 3 3" xfId="9966" xr:uid="{00000000-0005-0000-0000-00008E9C0000}"/>
    <cellStyle name="Normal 58 3 3 2 2 3 3 2" xfId="35523" xr:uid="{00000000-0005-0000-0000-00008F9C0000}"/>
    <cellStyle name="Normal 58 3 3 2 2 3 4" xfId="18789" xr:uid="{00000000-0005-0000-0000-0000909C0000}"/>
    <cellStyle name="Normal 58 3 3 2 2 3 4 2" xfId="44342" xr:uid="{00000000-0005-0000-0000-0000919C0000}"/>
    <cellStyle name="Normal 58 3 3 2 2 3 5" xfId="30279" xr:uid="{00000000-0005-0000-0000-0000929C0000}"/>
    <cellStyle name="Normal 58 3 3 2 2 4" xfId="2487" xr:uid="{00000000-0005-0000-0000-0000939C0000}"/>
    <cellStyle name="Normal 58 3 3 2 2 4 2" xfId="11852" xr:uid="{00000000-0005-0000-0000-0000949C0000}"/>
    <cellStyle name="Normal 58 3 3 2 2 4 2 2" xfId="37407" xr:uid="{00000000-0005-0000-0000-0000959C0000}"/>
    <cellStyle name="Normal 58 3 3 2 2 4 3" xfId="21856" xr:uid="{00000000-0005-0000-0000-0000969C0000}"/>
    <cellStyle name="Normal 58 3 3 2 2 4 3 2" xfId="47409" xr:uid="{00000000-0005-0000-0000-0000979C0000}"/>
    <cellStyle name="Normal 58 3 3 2 2 4 4" xfId="28339" xr:uid="{00000000-0005-0000-0000-0000989C0000}"/>
    <cellStyle name="Normal 58 3 3 2 2 5" xfId="6163" xr:uid="{00000000-0005-0000-0000-0000999C0000}"/>
    <cellStyle name="Normal 58 3 3 2 2 5 2" xfId="14990" xr:uid="{00000000-0005-0000-0000-00009A9C0000}"/>
    <cellStyle name="Normal 58 3 3 2 2 5 2 2" xfId="40545" xr:uid="{00000000-0005-0000-0000-00009B9C0000}"/>
    <cellStyle name="Normal 58 3 3 2 2 5 3" xfId="25241" xr:uid="{00000000-0005-0000-0000-00009C9C0000}"/>
    <cellStyle name="Normal 58 3 3 2 2 5 3 2" xfId="50794" xr:uid="{00000000-0005-0000-0000-00009D9C0000}"/>
    <cellStyle name="Normal 58 3 3 2 2 5 4" xfId="31724" xr:uid="{00000000-0005-0000-0000-00009E9C0000}"/>
    <cellStyle name="Normal 58 3 3 2 2 6" xfId="7608" xr:uid="{00000000-0005-0000-0000-00009F9C0000}"/>
    <cellStyle name="Normal 58 3 3 2 2 6 2" xfId="20338" xr:uid="{00000000-0005-0000-0000-0000A09C0000}"/>
    <cellStyle name="Normal 58 3 3 2 2 6 2 2" xfId="45891" xr:uid="{00000000-0005-0000-0000-0000A19C0000}"/>
    <cellStyle name="Normal 58 3 3 2 2 6 3" xfId="33165" xr:uid="{00000000-0005-0000-0000-0000A29C0000}"/>
    <cellStyle name="Normal 58 3 3 2 2 7" xfId="16849" xr:uid="{00000000-0005-0000-0000-0000A39C0000}"/>
    <cellStyle name="Normal 58 3 3 2 2 7 2" xfId="42402" xr:uid="{00000000-0005-0000-0000-0000A49C0000}"/>
    <cellStyle name="Normal 58 3 3 2 2 8" xfId="26821" xr:uid="{00000000-0005-0000-0000-0000A59C0000}"/>
    <cellStyle name="Normal 58 3 3 2 3" xfId="1299" xr:uid="{00000000-0005-0000-0000-0000A69C0000}"/>
    <cellStyle name="Normal 58 3 3 2 3 2" xfId="3728" xr:uid="{00000000-0005-0000-0000-0000A79C0000}"/>
    <cellStyle name="Normal 58 3 3 2 3 2 2" xfId="12864" xr:uid="{00000000-0005-0000-0000-0000A89C0000}"/>
    <cellStyle name="Normal 58 3 3 2 3 2 2 2" xfId="23083" xr:uid="{00000000-0005-0000-0000-0000A99C0000}"/>
    <cellStyle name="Normal 58 3 3 2 3 2 2 2 2" xfId="48636" xr:uid="{00000000-0005-0000-0000-0000AA9C0000}"/>
    <cellStyle name="Normal 58 3 3 2 3 2 2 3" xfId="38419" xr:uid="{00000000-0005-0000-0000-0000AB9C0000}"/>
    <cellStyle name="Normal 58 3 3 2 3 2 3" xfId="9285" xr:uid="{00000000-0005-0000-0000-0000AC9C0000}"/>
    <cellStyle name="Normal 58 3 3 2 3 2 3 2" xfId="34842" xr:uid="{00000000-0005-0000-0000-0000AD9C0000}"/>
    <cellStyle name="Normal 58 3 3 2 3 2 4" xfId="18076" xr:uid="{00000000-0005-0000-0000-0000AE9C0000}"/>
    <cellStyle name="Normal 58 3 3 2 3 2 4 2" xfId="43629" xr:uid="{00000000-0005-0000-0000-0000AF9C0000}"/>
    <cellStyle name="Normal 58 3 3 2 3 2 5" xfId="29566" xr:uid="{00000000-0005-0000-0000-0000B09C0000}"/>
    <cellStyle name="Normal 58 3 3 2 3 3" xfId="5056" xr:uid="{00000000-0005-0000-0000-0000B19C0000}"/>
    <cellStyle name="Normal 58 3 3 2 3 3 2" xfId="13893" xr:uid="{00000000-0005-0000-0000-0000B29C0000}"/>
    <cellStyle name="Normal 58 3 3 2 3 3 2 2" xfId="24144" xr:uid="{00000000-0005-0000-0000-0000B39C0000}"/>
    <cellStyle name="Normal 58 3 3 2 3 3 2 2 2" xfId="49697" xr:uid="{00000000-0005-0000-0000-0000B49C0000}"/>
    <cellStyle name="Normal 58 3 3 2 3 3 2 3" xfId="39448" xr:uid="{00000000-0005-0000-0000-0000B59C0000}"/>
    <cellStyle name="Normal 58 3 3 2 3 3 3" xfId="10314" xr:uid="{00000000-0005-0000-0000-0000B69C0000}"/>
    <cellStyle name="Normal 58 3 3 2 3 3 3 2" xfId="35871" xr:uid="{00000000-0005-0000-0000-0000B79C0000}"/>
    <cellStyle name="Normal 58 3 3 2 3 3 4" xfId="19137" xr:uid="{00000000-0005-0000-0000-0000B89C0000}"/>
    <cellStyle name="Normal 58 3 3 2 3 3 4 2" xfId="44690" xr:uid="{00000000-0005-0000-0000-0000B99C0000}"/>
    <cellStyle name="Normal 58 3 3 2 3 3 5" xfId="30627" xr:uid="{00000000-0005-0000-0000-0000BA9C0000}"/>
    <cellStyle name="Normal 58 3 3 2 3 4" xfId="2122" xr:uid="{00000000-0005-0000-0000-0000BB9C0000}"/>
    <cellStyle name="Normal 58 3 3 2 3 4 2" xfId="11487" xr:uid="{00000000-0005-0000-0000-0000BC9C0000}"/>
    <cellStyle name="Normal 58 3 3 2 3 4 2 2" xfId="37042" xr:uid="{00000000-0005-0000-0000-0000BD9C0000}"/>
    <cellStyle name="Normal 58 3 3 2 3 4 3" xfId="21491" xr:uid="{00000000-0005-0000-0000-0000BE9C0000}"/>
    <cellStyle name="Normal 58 3 3 2 3 4 3 2" xfId="47044" xr:uid="{00000000-0005-0000-0000-0000BF9C0000}"/>
    <cellStyle name="Normal 58 3 3 2 3 4 4" xfId="27974" xr:uid="{00000000-0005-0000-0000-0000C09C0000}"/>
    <cellStyle name="Normal 58 3 3 2 3 5" xfId="6511" xr:uid="{00000000-0005-0000-0000-0000C19C0000}"/>
    <cellStyle name="Normal 58 3 3 2 3 5 2" xfId="15338" xr:uid="{00000000-0005-0000-0000-0000C29C0000}"/>
    <cellStyle name="Normal 58 3 3 2 3 5 2 2" xfId="40893" xr:uid="{00000000-0005-0000-0000-0000C39C0000}"/>
    <cellStyle name="Normal 58 3 3 2 3 5 3" xfId="25589" xr:uid="{00000000-0005-0000-0000-0000C49C0000}"/>
    <cellStyle name="Normal 58 3 3 2 3 5 3 2" xfId="51142" xr:uid="{00000000-0005-0000-0000-0000C59C0000}"/>
    <cellStyle name="Normal 58 3 3 2 3 5 4" xfId="32072" xr:uid="{00000000-0005-0000-0000-0000C69C0000}"/>
    <cellStyle name="Normal 58 3 3 2 3 6" xfId="7957" xr:uid="{00000000-0005-0000-0000-0000C79C0000}"/>
    <cellStyle name="Normal 58 3 3 2 3 6 2" xfId="20682" xr:uid="{00000000-0005-0000-0000-0000C89C0000}"/>
    <cellStyle name="Normal 58 3 3 2 3 6 2 2" xfId="46235" xr:uid="{00000000-0005-0000-0000-0000C99C0000}"/>
    <cellStyle name="Normal 58 3 3 2 3 6 3" xfId="33514" xr:uid="{00000000-0005-0000-0000-0000CA9C0000}"/>
    <cellStyle name="Normal 58 3 3 2 3 7" xfId="16484" xr:uid="{00000000-0005-0000-0000-0000CB9C0000}"/>
    <cellStyle name="Normal 58 3 3 2 3 7 2" xfId="42037" xr:uid="{00000000-0005-0000-0000-0000CC9C0000}"/>
    <cellStyle name="Normal 58 3 3 2 3 8" xfId="27165" xr:uid="{00000000-0005-0000-0000-0000CD9C0000}"/>
    <cellStyle name="Normal 58 3 3 2 4" xfId="3013" xr:uid="{00000000-0005-0000-0000-0000CE9C0000}"/>
    <cellStyle name="Normal 58 3 3 2 4 2" xfId="5391" xr:uid="{00000000-0005-0000-0000-0000CF9C0000}"/>
    <cellStyle name="Normal 58 3 3 2 4 2 2" xfId="14228" xr:uid="{00000000-0005-0000-0000-0000D09C0000}"/>
    <cellStyle name="Normal 58 3 3 2 4 2 2 2" xfId="24479" xr:uid="{00000000-0005-0000-0000-0000D19C0000}"/>
    <cellStyle name="Normal 58 3 3 2 4 2 2 2 2" xfId="50032" xr:uid="{00000000-0005-0000-0000-0000D29C0000}"/>
    <cellStyle name="Normal 58 3 3 2 4 2 2 3" xfId="39783" xr:uid="{00000000-0005-0000-0000-0000D39C0000}"/>
    <cellStyle name="Normal 58 3 3 2 4 2 3" xfId="10649" xr:uid="{00000000-0005-0000-0000-0000D49C0000}"/>
    <cellStyle name="Normal 58 3 3 2 4 2 3 2" xfId="36206" xr:uid="{00000000-0005-0000-0000-0000D59C0000}"/>
    <cellStyle name="Normal 58 3 3 2 4 2 4" xfId="19472" xr:uid="{00000000-0005-0000-0000-0000D69C0000}"/>
    <cellStyle name="Normal 58 3 3 2 4 2 4 2" xfId="45025" xr:uid="{00000000-0005-0000-0000-0000D79C0000}"/>
    <cellStyle name="Normal 58 3 3 2 4 2 5" xfId="30962" xr:uid="{00000000-0005-0000-0000-0000D89C0000}"/>
    <cellStyle name="Normal 58 3 3 2 4 3" xfId="6846" xr:uid="{00000000-0005-0000-0000-0000D99C0000}"/>
    <cellStyle name="Normal 58 3 3 2 4 3 2" xfId="15673" xr:uid="{00000000-0005-0000-0000-0000DA9C0000}"/>
    <cellStyle name="Normal 58 3 3 2 4 3 2 2" xfId="41228" xr:uid="{00000000-0005-0000-0000-0000DB9C0000}"/>
    <cellStyle name="Normal 58 3 3 2 4 3 3" xfId="25924" xr:uid="{00000000-0005-0000-0000-0000DC9C0000}"/>
    <cellStyle name="Normal 58 3 3 2 4 3 3 2" xfId="51477" xr:uid="{00000000-0005-0000-0000-0000DD9C0000}"/>
    <cellStyle name="Normal 58 3 3 2 4 3 4" xfId="32407" xr:uid="{00000000-0005-0000-0000-0000DE9C0000}"/>
    <cellStyle name="Normal 58 3 3 2 4 4" xfId="8292" xr:uid="{00000000-0005-0000-0000-0000DF9C0000}"/>
    <cellStyle name="Normal 58 3 3 2 4 4 2" xfId="22374" xr:uid="{00000000-0005-0000-0000-0000E09C0000}"/>
    <cellStyle name="Normal 58 3 3 2 4 4 2 2" xfId="47927" xr:uid="{00000000-0005-0000-0000-0000E19C0000}"/>
    <cellStyle name="Normal 58 3 3 2 4 4 3" xfId="33849" xr:uid="{00000000-0005-0000-0000-0000E29C0000}"/>
    <cellStyle name="Normal 58 3 3 2 4 5" xfId="17367" xr:uid="{00000000-0005-0000-0000-0000E39C0000}"/>
    <cellStyle name="Normal 58 3 3 2 4 5 2" xfId="42920" xr:uid="{00000000-0005-0000-0000-0000E49C0000}"/>
    <cellStyle name="Normal 58 3 3 2 4 6" xfId="28857" xr:uid="{00000000-0005-0000-0000-0000E59C0000}"/>
    <cellStyle name="Normal 58 3 3 2 5" xfId="4347" xr:uid="{00000000-0005-0000-0000-0000E69C0000}"/>
    <cellStyle name="Normal 58 3 3 2 5 2" xfId="13185" xr:uid="{00000000-0005-0000-0000-0000E79C0000}"/>
    <cellStyle name="Normal 58 3 3 2 5 2 2" xfId="23436" xr:uid="{00000000-0005-0000-0000-0000E89C0000}"/>
    <cellStyle name="Normal 58 3 3 2 5 2 2 2" xfId="48989" xr:uid="{00000000-0005-0000-0000-0000E99C0000}"/>
    <cellStyle name="Normal 58 3 3 2 5 2 3" xfId="38740" xr:uid="{00000000-0005-0000-0000-0000EA9C0000}"/>
    <cellStyle name="Normal 58 3 3 2 5 3" xfId="9606" xr:uid="{00000000-0005-0000-0000-0000EB9C0000}"/>
    <cellStyle name="Normal 58 3 3 2 5 3 2" xfId="35163" xr:uid="{00000000-0005-0000-0000-0000EC9C0000}"/>
    <cellStyle name="Normal 58 3 3 2 5 4" xfId="18429" xr:uid="{00000000-0005-0000-0000-0000ED9C0000}"/>
    <cellStyle name="Normal 58 3 3 2 5 4 2" xfId="43982" xr:uid="{00000000-0005-0000-0000-0000EE9C0000}"/>
    <cellStyle name="Normal 58 3 3 2 5 5" xfId="29919" xr:uid="{00000000-0005-0000-0000-0000EF9C0000}"/>
    <cellStyle name="Normal 58 3 3 2 6" xfId="1619" xr:uid="{00000000-0005-0000-0000-0000F09C0000}"/>
    <cellStyle name="Normal 58 3 3 2 6 2" xfId="10996" xr:uid="{00000000-0005-0000-0000-0000F19C0000}"/>
    <cellStyle name="Normal 58 3 3 2 6 2 2" xfId="36551" xr:uid="{00000000-0005-0000-0000-0000F29C0000}"/>
    <cellStyle name="Normal 58 3 3 2 6 3" xfId="21000" xr:uid="{00000000-0005-0000-0000-0000F39C0000}"/>
    <cellStyle name="Normal 58 3 3 2 6 3 2" xfId="46553" xr:uid="{00000000-0005-0000-0000-0000F49C0000}"/>
    <cellStyle name="Normal 58 3 3 2 6 4" xfId="27483" xr:uid="{00000000-0005-0000-0000-0000F59C0000}"/>
    <cellStyle name="Normal 58 3 3 2 7" xfId="5803" xr:uid="{00000000-0005-0000-0000-0000F69C0000}"/>
    <cellStyle name="Normal 58 3 3 2 7 2" xfId="14630" xr:uid="{00000000-0005-0000-0000-0000F79C0000}"/>
    <cellStyle name="Normal 58 3 3 2 7 2 2" xfId="40185" xr:uid="{00000000-0005-0000-0000-0000F89C0000}"/>
    <cellStyle name="Normal 58 3 3 2 7 3" xfId="24881" xr:uid="{00000000-0005-0000-0000-0000F99C0000}"/>
    <cellStyle name="Normal 58 3 3 2 7 3 2" xfId="50434" xr:uid="{00000000-0005-0000-0000-0000FA9C0000}"/>
    <cellStyle name="Normal 58 3 3 2 7 4" xfId="31364" xr:uid="{00000000-0005-0000-0000-0000FB9C0000}"/>
    <cellStyle name="Normal 58 3 3 2 8" xfId="7247" xr:uid="{00000000-0005-0000-0000-0000FC9C0000}"/>
    <cellStyle name="Normal 58 3 3 2 8 2" xfId="19973" xr:uid="{00000000-0005-0000-0000-0000FD9C0000}"/>
    <cellStyle name="Normal 58 3 3 2 8 2 2" xfId="45526" xr:uid="{00000000-0005-0000-0000-0000FE9C0000}"/>
    <cellStyle name="Normal 58 3 3 2 8 3" xfId="32804" xr:uid="{00000000-0005-0000-0000-0000FF9C0000}"/>
    <cellStyle name="Normal 58 3 3 2 9" xfId="15993" xr:uid="{00000000-0005-0000-0000-0000009D0000}"/>
    <cellStyle name="Normal 58 3 3 2 9 2" xfId="41546" xr:uid="{00000000-0005-0000-0000-0000019D0000}"/>
    <cellStyle name="Normal 58 3 3 2_Degree data" xfId="3999" xr:uid="{00000000-0005-0000-0000-0000029D0000}"/>
    <cellStyle name="Normal 58 3 3 3" xfId="427" xr:uid="{00000000-0005-0000-0000-0000039D0000}"/>
    <cellStyle name="Normal 58 3 3 3 2" xfId="2913" xr:uid="{00000000-0005-0000-0000-0000049D0000}"/>
    <cellStyle name="Normal 58 3 3 3 2 2" xfId="12201" xr:uid="{00000000-0005-0000-0000-0000059D0000}"/>
    <cellStyle name="Normal 58 3 3 3 2 2 2" xfId="22274" xr:uid="{00000000-0005-0000-0000-0000069D0000}"/>
    <cellStyle name="Normal 58 3 3 3 2 2 2 2" xfId="47827" xr:uid="{00000000-0005-0000-0000-0000079D0000}"/>
    <cellStyle name="Normal 58 3 3 3 2 2 3" xfId="37756" xr:uid="{00000000-0005-0000-0000-0000089D0000}"/>
    <cellStyle name="Normal 58 3 3 3 2 3" xfId="8421" xr:uid="{00000000-0005-0000-0000-0000099D0000}"/>
    <cellStyle name="Normal 58 3 3 3 2 3 2" xfId="33978" xr:uid="{00000000-0005-0000-0000-00000A9D0000}"/>
    <cellStyle name="Normal 58 3 3 3 2 4" xfId="17267" xr:uid="{00000000-0005-0000-0000-00000B9D0000}"/>
    <cellStyle name="Normal 58 3 3 3 2 4 2" xfId="42820" xr:uid="{00000000-0005-0000-0000-00000C9D0000}"/>
    <cellStyle name="Normal 58 3 3 3 2 5" xfId="28757" xr:uid="{00000000-0005-0000-0000-00000D9D0000}"/>
    <cellStyle name="Normal 58 3 3 3 3" xfId="4706" xr:uid="{00000000-0005-0000-0000-00000E9D0000}"/>
    <cellStyle name="Normal 58 3 3 3 3 2" xfId="13544" xr:uid="{00000000-0005-0000-0000-00000F9D0000}"/>
    <cellStyle name="Normal 58 3 3 3 3 2 2" xfId="23795" xr:uid="{00000000-0005-0000-0000-0000109D0000}"/>
    <cellStyle name="Normal 58 3 3 3 3 2 2 2" xfId="49348" xr:uid="{00000000-0005-0000-0000-0000119D0000}"/>
    <cellStyle name="Normal 58 3 3 3 3 2 3" xfId="39099" xr:uid="{00000000-0005-0000-0000-0000129D0000}"/>
    <cellStyle name="Normal 58 3 3 3 3 3" xfId="9965" xr:uid="{00000000-0005-0000-0000-0000139D0000}"/>
    <cellStyle name="Normal 58 3 3 3 3 3 2" xfId="35522" xr:uid="{00000000-0005-0000-0000-0000149D0000}"/>
    <cellStyle name="Normal 58 3 3 3 3 4" xfId="18788" xr:uid="{00000000-0005-0000-0000-0000159D0000}"/>
    <cellStyle name="Normal 58 3 3 3 3 4 2" xfId="44341" xr:uid="{00000000-0005-0000-0000-0000169D0000}"/>
    <cellStyle name="Normal 58 3 3 3 3 5" xfId="30278" xr:uid="{00000000-0005-0000-0000-0000179D0000}"/>
    <cellStyle name="Normal 58 3 3 3 4" xfId="2022" xr:uid="{00000000-0005-0000-0000-0000189D0000}"/>
    <cellStyle name="Normal 58 3 3 3 4 2" xfId="11387" xr:uid="{00000000-0005-0000-0000-0000199D0000}"/>
    <cellStyle name="Normal 58 3 3 3 4 2 2" xfId="36942" xr:uid="{00000000-0005-0000-0000-00001A9D0000}"/>
    <cellStyle name="Normal 58 3 3 3 4 3" xfId="21391" xr:uid="{00000000-0005-0000-0000-00001B9D0000}"/>
    <cellStyle name="Normal 58 3 3 3 4 3 2" xfId="46944" xr:uid="{00000000-0005-0000-0000-00001C9D0000}"/>
    <cellStyle name="Normal 58 3 3 3 4 4" xfId="27874" xr:uid="{00000000-0005-0000-0000-00001D9D0000}"/>
    <cellStyle name="Normal 58 3 3 3 5" xfId="6162" xr:uid="{00000000-0005-0000-0000-00001E9D0000}"/>
    <cellStyle name="Normal 58 3 3 3 5 2" xfId="14989" xr:uid="{00000000-0005-0000-0000-00001F9D0000}"/>
    <cellStyle name="Normal 58 3 3 3 5 2 2" xfId="40544" xr:uid="{00000000-0005-0000-0000-0000209D0000}"/>
    <cellStyle name="Normal 58 3 3 3 5 3" xfId="25240" xr:uid="{00000000-0005-0000-0000-0000219D0000}"/>
    <cellStyle name="Normal 58 3 3 3 5 3 2" xfId="50793" xr:uid="{00000000-0005-0000-0000-0000229D0000}"/>
    <cellStyle name="Normal 58 3 3 3 5 4" xfId="31723" xr:uid="{00000000-0005-0000-0000-0000239D0000}"/>
    <cellStyle name="Normal 58 3 3 3 6" xfId="7607" xr:uid="{00000000-0005-0000-0000-0000249D0000}"/>
    <cellStyle name="Normal 58 3 3 3 6 2" xfId="19873" xr:uid="{00000000-0005-0000-0000-0000259D0000}"/>
    <cellStyle name="Normal 58 3 3 3 6 2 2" xfId="45426" xr:uid="{00000000-0005-0000-0000-0000269D0000}"/>
    <cellStyle name="Normal 58 3 3 3 6 3" xfId="33164" xr:uid="{00000000-0005-0000-0000-0000279D0000}"/>
    <cellStyle name="Normal 58 3 3 3 7" xfId="16384" xr:uid="{00000000-0005-0000-0000-0000289D0000}"/>
    <cellStyle name="Normal 58 3 3 3 7 2" xfId="41937" xr:uid="{00000000-0005-0000-0000-0000299D0000}"/>
    <cellStyle name="Normal 58 3 3 3 8" xfId="26356" xr:uid="{00000000-0005-0000-0000-00002A9D0000}"/>
    <cellStyle name="Normal 58 3 3 4" xfId="892" xr:uid="{00000000-0005-0000-0000-00002B9D0000}"/>
    <cellStyle name="Normal 58 3 3 4 2" xfId="3377" xr:uid="{00000000-0005-0000-0000-00002C9D0000}"/>
    <cellStyle name="Normal 58 3 3 4 2 2" xfId="12519" xr:uid="{00000000-0005-0000-0000-00002D9D0000}"/>
    <cellStyle name="Normal 58 3 3 4 2 2 2" xfId="22738" xr:uid="{00000000-0005-0000-0000-00002E9D0000}"/>
    <cellStyle name="Normal 58 3 3 4 2 2 2 2" xfId="48291" xr:uid="{00000000-0005-0000-0000-00002F9D0000}"/>
    <cellStyle name="Normal 58 3 3 4 2 2 3" xfId="38074" xr:uid="{00000000-0005-0000-0000-0000309D0000}"/>
    <cellStyle name="Normal 58 3 3 4 2 3" xfId="8941" xr:uid="{00000000-0005-0000-0000-0000319D0000}"/>
    <cellStyle name="Normal 58 3 3 4 2 3 2" xfId="34498" xr:uid="{00000000-0005-0000-0000-0000329D0000}"/>
    <cellStyle name="Normal 58 3 3 4 2 4" xfId="17731" xr:uid="{00000000-0005-0000-0000-0000339D0000}"/>
    <cellStyle name="Normal 58 3 3 4 2 4 2" xfId="43284" xr:uid="{00000000-0005-0000-0000-0000349D0000}"/>
    <cellStyle name="Normal 58 3 3 4 2 5" xfId="29221" xr:uid="{00000000-0005-0000-0000-0000359D0000}"/>
    <cellStyle name="Normal 58 3 3 4 3" xfId="5055" xr:uid="{00000000-0005-0000-0000-0000369D0000}"/>
    <cellStyle name="Normal 58 3 3 4 3 2" xfId="13892" xr:uid="{00000000-0005-0000-0000-0000379D0000}"/>
    <cellStyle name="Normal 58 3 3 4 3 2 2" xfId="24143" xr:uid="{00000000-0005-0000-0000-0000389D0000}"/>
    <cellStyle name="Normal 58 3 3 4 3 2 2 2" xfId="49696" xr:uid="{00000000-0005-0000-0000-0000399D0000}"/>
    <cellStyle name="Normal 58 3 3 4 3 2 3" xfId="39447" xr:uid="{00000000-0005-0000-0000-00003A9D0000}"/>
    <cellStyle name="Normal 58 3 3 4 3 3" xfId="10313" xr:uid="{00000000-0005-0000-0000-00003B9D0000}"/>
    <cellStyle name="Normal 58 3 3 4 3 3 2" xfId="35870" xr:uid="{00000000-0005-0000-0000-00003C9D0000}"/>
    <cellStyle name="Normal 58 3 3 4 3 4" xfId="19136" xr:uid="{00000000-0005-0000-0000-00003D9D0000}"/>
    <cellStyle name="Normal 58 3 3 4 3 4 2" xfId="44689" xr:uid="{00000000-0005-0000-0000-00003E9D0000}"/>
    <cellStyle name="Normal 58 3 3 4 3 5" xfId="30626" xr:uid="{00000000-0005-0000-0000-00003F9D0000}"/>
    <cellStyle name="Normal 58 3 3 4 4" xfId="2486" xr:uid="{00000000-0005-0000-0000-0000409D0000}"/>
    <cellStyle name="Normal 58 3 3 4 4 2" xfId="11851" xr:uid="{00000000-0005-0000-0000-0000419D0000}"/>
    <cellStyle name="Normal 58 3 3 4 4 2 2" xfId="37406" xr:uid="{00000000-0005-0000-0000-0000429D0000}"/>
    <cellStyle name="Normal 58 3 3 4 4 3" xfId="21855" xr:uid="{00000000-0005-0000-0000-0000439D0000}"/>
    <cellStyle name="Normal 58 3 3 4 4 3 2" xfId="47408" xr:uid="{00000000-0005-0000-0000-0000449D0000}"/>
    <cellStyle name="Normal 58 3 3 4 4 4" xfId="28338" xr:uid="{00000000-0005-0000-0000-0000459D0000}"/>
    <cellStyle name="Normal 58 3 3 4 5" xfId="6510" xr:uid="{00000000-0005-0000-0000-0000469D0000}"/>
    <cellStyle name="Normal 58 3 3 4 5 2" xfId="15337" xr:uid="{00000000-0005-0000-0000-0000479D0000}"/>
    <cellStyle name="Normal 58 3 3 4 5 2 2" xfId="40892" xr:uid="{00000000-0005-0000-0000-0000489D0000}"/>
    <cellStyle name="Normal 58 3 3 4 5 3" xfId="25588" xr:uid="{00000000-0005-0000-0000-0000499D0000}"/>
    <cellStyle name="Normal 58 3 3 4 5 3 2" xfId="51141" xr:uid="{00000000-0005-0000-0000-00004A9D0000}"/>
    <cellStyle name="Normal 58 3 3 4 5 4" xfId="32071" xr:uid="{00000000-0005-0000-0000-00004B9D0000}"/>
    <cellStyle name="Normal 58 3 3 4 6" xfId="7956" xr:uid="{00000000-0005-0000-0000-00004C9D0000}"/>
    <cellStyle name="Normal 58 3 3 4 6 2" xfId="20337" xr:uid="{00000000-0005-0000-0000-00004D9D0000}"/>
    <cellStyle name="Normal 58 3 3 4 6 2 2" xfId="45890" xr:uid="{00000000-0005-0000-0000-00004E9D0000}"/>
    <cellStyle name="Normal 58 3 3 4 6 3" xfId="33513" xr:uid="{00000000-0005-0000-0000-00004F9D0000}"/>
    <cellStyle name="Normal 58 3 3 4 7" xfId="16848" xr:uid="{00000000-0005-0000-0000-0000509D0000}"/>
    <cellStyle name="Normal 58 3 3 4 7 2" xfId="42401" xr:uid="{00000000-0005-0000-0000-0000519D0000}"/>
    <cellStyle name="Normal 58 3 3 4 8" xfId="26820" xr:uid="{00000000-0005-0000-0000-0000529D0000}"/>
    <cellStyle name="Normal 58 3 3 5" xfId="1199" xr:uid="{00000000-0005-0000-0000-0000539D0000}"/>
    <cellStyle name="Normal 58 3 3 5 2" xfId="3628" xr:uid="{00000000-0005-0000-0000-0000549D0000}"/>
    <cellStyle name="Normal 58 3 3 5 2 2" xfId="12764" xr:uid="{00000000-0005-0000-0000-0000559D0000}"/>
    <cellStyle name="Normal 58 3 3 5 2 2 2" xfId="22983" xr:uid="{00000000-0005-0000-0000-0000569D0000}"/>
    <cellStyle name="Normal 58 3 3 5 2 2 2 2" xfId="48536" xr:uid="{00000000-0005-0000-0000-0000579D0000}"/>
    <cellStyle name="Normal 58 3 3 5 2 2 3" xfId="38319" xr:uid="{00000000-0005-0000-0000-0000589D0000}"/>
    <cellStyle name="Normal 58 3 3 5 2 3" xfId="9185" xr:uid="{00000000-0005-0000-0000-0000599D0000}"/>
    <cellStyle name="Normal 58 3 3 5 2 3 2" xfId="34742" xr:uid="{00000000-0005-0000-0000-00005A9D0000}"/>
    <cellStyle name="Normal 58 3 3 5 2 4" xfId="17976" xr:uid="{00000000-0005-0000-0000-00005B9D0000}"/>
    <cellStyle name="Normal 58 3 3 5 2 4 2" xfId="43529" xr:uid="{00000000-0005-0000-0000-00005C9D0000}"/>
    <cellStyle name="Normal 58 3 3 5 2 5" xfId="29466" xr:uid="{00000000-0005-0000-0000-00005D9D0000}"/>
    <cellStyle name="Normal 58 3 3 5 3" xfId="5291" xr:uid="{00000000-0005-0000-0000-00005E9D0000}"/>
    <cellStyle name="Normal 58 3 3 5 3 2" xfId="14128" xr:uid="{00000000-0005-0000-0000-00005F9D0000}"/>
    <cellStyle name="Normal 58 3 3 5 3 2 2" xfId="24379" xr:uid="{00000000-0005-0000-0000-0000609D0000}"/>
    <cellStyle name="Normal 58 3 3 5 3 2 2 2" xfId="49932" xr:uid="{00000000-0005-0000-0000-0000619D0000}"/>
    <cellStyle name="Normal 58 3 3 5 3 2 3" xfId="39683" xr:uid="{00000000-0005-0000-0000-0000629D0000}"/>
    <cellStyle name="Normal 58 3 3 5 3 3" xfId="10549" xr:uid="{00000000-0005-0000-0000-0000639D0000}"/>
    <cellStyle name="Normal 58 3 3 5 3 3 2" xfId="36106" xr:uid="{00000000-0005-0000-0000-0000649D0000}"/>
    <cellStyle name="Normal 58 3 3 5 3 4" xfId="19372" xr:uid="{00000000-0005-0000-0000-0000659D0000}"/>
    <cellStyle name="Normal 58 3 3 5 3 4 2" xfId="44925" xr:uid="{00000000-0005-0000-0000-0000669D0000}"/>
    <cellStyle name="Normal 58 3 3 5 3 5" xfId="30862" xr:uid="{00000000-0005-0000-0000-0000679D0000}"/>
    <cellStyle name="Normal 58 3 3 5 4" xfId="1802" xr:uid="{00000000-0005-0000-0000-0000689D0000}"/>
    <cellStyle name="Normal 58 3 3 5 4 2" xfId="11170" xr:uid="{00000000-0005-0000-0000-0000699D0000}"/>
    <cellStyle name="Normal 58 3 3 5 4 2 2" xfId="36725" xr:uid="{00000000-0005-0000-0000-00006A9D0000}"/>
    <cellStyle name="Normal 58 3 3 5 4 3" xfId="21174" xr:uid="{00000000-0005-0000-0000-00006B9D0000}"/>
    <cellStyle name="Normal 58 3 3 5 4 3 2" xfId="46727" xr:uid="{00000000-0005-0000-0000-00006C9D0000}"/>
    <cellStyle name="Normal 58 3 3 5 4 4" xfId="27657" xr:uid="{00000000-0005-0000-0000-00006D9D0000}"/>
    <cellStyle name="Normal 58 3 3 5 5" xfId="6746" xr:uid="{00000000-0005-0000-0000-00006E9D0000}"/>
    <cellStyle name="Normal 58 3 3 5 5 2" xfId="15573" xr:uid="{00000000-0005-0000-0000-00006F9D0000}"/>
    <cellStyle name="Normal 58 3 3 5 5 2 2" xfId="41128" xr:uid="{00000000-0005-0000-0000-0000709D0000}"/>
    <cellStyle name="Normal 58 3 3 5 5 3" xfId="25824" xr:uid="{00000000-0005-0000-0000-0000719D0000}"/>
    <cellStyle name="Normal 58 3 3 5 5 3 2" xfId="51377" xr:uid="{00000000-0005-0000-0000-0000729D0000}"/>
    <cellStyle name="Normal 58 3 3 5 5 4" xfId="32307" xr:uid="{00000000-0005-0000-0000-0000739D0000}"/>
    <cellStyle name="Normal 58 3 3 5 6" xfId="8192" xr:uid="{00000000-0005-0000-0000-0000749D0000}"/>
    <cellStyle name="Normal 58 3 3 5 6 2" xfId="20582" xr:uid="{00000000-0005-0000-0000-0000759D0000}"/>
    <cellStyle name="Normal 58 3 3 5 6 2 2" xfId="46135" xr:uid="{00000000-0005-0000-0000-0000769D0000}"/>
    <cellStyle name="Normal 58 3 3 5 6 3" xfId="33749" xr:uid="{00000000-0005-0000-0000-0000779D0000}"/>
    <cellStyle name="Normal 58 3 3 5 7" xfId="16167" xr:uid="{00000000-0005-0000-0000-0000789D0000}"/>
    <cellStyle name="Normal 58 3 3 5 7 2" xfId="41720" xr:uid="{00000000-0005-0000-0000-0000799D0000}"/>
    <cellStyle name="Normal 58 3 3 5 8" xfId="27065" xr:uid="{00000000-0005-0000-0000-00007A9D0000}"/>
    <cellStyle name="Normal 58 3 3 6" xfId="2696" xr:uid="{00000000-0005-0000-0000-00007B9D0000}"/>
    <cellStyle name="Normal 58 3 3 6 2" xfId="12013" xr:uid="{00000000-0005-0000-0000-00007C9D0000}"/>
    <cellStyle name="Normal 58 3 3 6 2 2" xfId="22057" xr:uid="{00000000-0005-0000-0000-00007D9D0000}"/>
    <cellStyle name="Normal 58 3 3 6 2 2 2" xfId="47610" xr:uid="{00000000-0005-0000-0000-00007E9D0000}"/>
    <cellStyle name="Normal 58 3 3 6 2 3" xfId="37568" xr:uid="{00000000-0005-0000-0000-00007F9D0000}"/>
    <cellStyle name="Normal 58 3 3 6 3" xfId="8573" xr:uid="{00000000-0005-0000-0000-0000809D0000}"/>
    <cellStyle name="Normal 58 3 3 6 3 2" xfId="34130" xr:uid="{00000000-0005-0000-0000-0000819D0000}"/>
    <cellStyle name="Normal 58 3 3 6 4" xfId="17050" xr:uid="{00000000-0005-0000-0000-0000829D0000}"/>
    <cellStyle name="Normal 58 3 3 6 4 2" xfId="42603" xr:uid="{00000000-0005-0000-0000-0000839D0000}"/>
    <cellStyle name="Normal 58 3 3 6 5" xfId="28540" xr:uid="{00000000-0005-0000-0000-0000849D0000}"/>
    <cellStyle name="Normal 58 3 3 7" xfId="4247" xr:uid="{00000000-0005-0000-0000-0000859D0000}"/>
    <cellStyle name="Normal 58 3 3 7 2" xfId="13085" xr:uid="{00000000-0005-0000-0000-0000869D0000}"/>
    <cellStyle name="Normal 58 3 3 7 2 2" xfId="23336" xr:uid="{00000000-0005-0000-0000-0000879D0000}"/>
    <cellStyle name="Normal 58 3 3 7 2 2 2" xfId="48889" xr:uid="{00000000-0005-0000-0000-0000889D0000}"/>
    <cellStyle name="Normal 58 3 3 7 2 3" xfId="38640" xr:uid="{00000000-0005-0000-0000-0000899D0000}"/>
    <cellStyle name="Normal 58 3 3 7 3" xfId="9506" xr:uid="{00000000-0005-0000-0000-00008A9D0000}"/>
    <cellStyle name="Normal 58 3 3 7 3 2" xfId="35063" xr:uid="{00000000-0005-0000-0000-00008B9D0000}"/>
    <cellStyle name="Normal 58 3 3 7 4" xfId="18329" xr:uid="{00000000-0005-0000-0000-00008C9D0000}"/>
    <cellStyle name="Normal 58 3 3 7 4 2" xfId="43882" xr:uid="{00000000-0005-0000-0000-00008D9D0000}"/>
    <cellStyle name="Normal 58 3 3 7 5" xfId="29819" xr:uid="{00000000-0005-0000-0000-00008E9D0000}"/>
    <cellStyle name="Normal 58 3 3 8" xfId="1519" xr:uid="{00000000-0005-0000-0000-00008F9D0000}"/>
    <cellStyle name="Normal 58 3 3 8 2" xfId="10896" xr:uid="{00000000-0005-0000-0000-0000909D0000}"/>
    <cellStyle name="Normal 58 3 3 8 2 2" xfId="36451" xr:uid="{00000000-0005-0000-0000-0000919D0000}"/>
    <cellStyle name="Normal 58 3 3 8 3" xfId="20900" xr:uid="{00000000-0005-0000-0000-0000929D0000}"/>
    <cellStyle name="Normal 58 3 3 8 3 2" xfId="46453" xr:uid="{00000000-0005-0000-0000-0000939D0000}"/>
    <cellStyle name="Normal 58 3 3 8 4" xfId="27383" xr:uid="{00000000-0005-0000-0000-0000949D0000}"/>
    <cellStyle name="Normal 58 3 3 9" xfId="5703" xr:uid="{00000000-0005-0000-0000-0000959D0000}"/>
    <cellStyle name="Normal 58 3 3 9 2" xfId="14530" xr:uid="{00000000-0005-0000-0000-0000969D0000}"/>
    <cellStyle name="Normal 58 3 3 9 2 2" xfId="40085" xr:uid="{00000000-0005-0000-0000-0000979D0000}"/>
    <cellStyle name="Normal 58 3 3 9 3" xfId="24781" xr:uid="{00000000-0005-0000-0000-0000989D0000}"/>
    <cellStyle name="Normal 58 3 3 9 3 2" xfId="50334" xr:uid="{00000000-0005-0000-0000-0000999D0000}"/>
    <cellStyle name="Normal 58 3 3 9 4" xfId="31264" xr:uid="{00000000-0005-0000-0000-00009A9D0000}"/>
    <cellStyle name="Normal 58 3 3_Degree data" xfId="3998" xr:uid="{00000000-0005-0000-0000-00009B9D0000}"/>
    <cellStyle name="Normal 58 3 4" xfId="236" xr:uid="{00000000-0005-0000-0000-00009C9D0000}"/>
    <cellStyle name="Normal 58 3 4 10" xfId="7074" xr:uid="{00000000-0005-0000-0000-00009D9D0000}"/>
    <cellStyle name="Normal 58 3 4 10 2" xfId="19688" xr:uid="{00000000-0005-0000-0000-00009E9D0000}"/>
    <cellStyle name="Normal 58 3 4 10 2 2" xfId="45241" xr:uid="{00000000-0005-0000-0000-00009F9D0000}"/>
    <cellStyle name="Normal 58 3 4 10 3" xfId="32631" xr:uid="{00000000-0005-0000-0000-0000A09D0000}"/>
    <cellStyle name="Normal 58 3 4 11" xfId="15820" xr:uid="{00000000-0005-0000-0000-0000A19D0000}"/>
    <cellStyle name="Normal 58 3 4 11 2" xfId="41373" xr:uid="{00000000-0005-0000-0000-0000A29D0000}"/>
    <cellStyle name="Normal 58 3 4 12" xfId="26171" xr:uid="{00000000-0005-0000-0000-0000A39D0000}"/>
    <cellStyle name="Normal 58 3 4 2" xfId="559" xr:uid="{00000000-0005-0000-0000-0000A49D0000}"/>
    <cellStyle name="Normal 58 3 4 2 10" xfId="26488" xr:uid="{00000000-0005-0000-0000-0000A59D0000}"/>
    <cellStyle name="Normal 58 3 4 2 2" xfId="895" xr:uid="{00000000-0005-0000-0000-0000A69D0000}"/>
    <cellStyle name="Normal 58 3 4 2 2 2" xfId="3380" xr:uid="{00000000-0005-0000-0000-0000A79D0000}"/>
    <cellStyle name="Normal 58 3 4 2 2 2 2" xfId="12522" xr:uid="{00000000-0005-0000-0000-0000A89D0000}"/>
    <cellStyle name="Normal 58 3 4 2 2 2 2 2" xfId="22741" xr:uid="{00000000-0005-0000-0000-0000A99D0000}"/>
    <cellStyle name="Normal 58 3 4 2 2 2 2 2 2" xfId="48294" xr:uid="{00000000-0005-0000-0000-0000AA9D0000}"/>
    <cellStyle name="Normal 58 3 4 2 2 2 2 3" xfId="38077" xr:uid="{00000000-0005-0000-0000-0000AB9D0000}"/>
    <cellStyle name="Normal 58 3 4 2 2 2 3" xfId="8944" xr:uid="{00000000-0005-0000-0000-0000AC9D0000}"/>
    <cellStyle name="Normal 58 3 4 2 2 2 3 2" xfId="34501" xr:uid="{00000000-0005-0000-0000-0000AD9D0000}"/>
    <cellStyle name="Normal 58 3 4 2 2 2 4" xfId="17734" xr:uid="{00000000-0005-0000-0000-0000AE9D0000}"/>
    <cellStyle name="Normal 58 3 4 2 2 2 4 2" xfId="43287" xr:uid="{00000000-0005-0000-0000-0000AF9D0000}"/>
    <cellStyle name="Normal 58 3 4 2 2 2 5" xfId="29224" xr:uid="{00000000-0005-0000-0000-0000B09D0000}"/>
    <cellStyle name="Normal 58 3 4 2 2 3" xfId="4709" xr:uid="{00000000-0005-0000-0000-0000B19D0000}"/>
    <cellStyle name="Normal 58 3 4 2 2 3 2" xfId="13547" xr:uid="{00000000-0005-0000-0000-0000B29D0000}"/>
    <cellStyle name="Normal 58 3 4 2 2 3 2 2" xfId="23798" xr:uid="{00000000-0005-0000-0000-0000B39D0000}"/>
    <cellStyle name="Normal 58 3 4 2 2 3 2 2 2" xfId="49351" xr:uid="{00000000-0005-0000-0000-0000B49D0000}"/>
    <cellStyle name="Normal 58 3 4 2 2 3 2 3" xfId="39102" xr:uid="{00000000-0005-0000-0000-0000B59D0000}"/>
    <cellStyle name="Normal 58 3 4 2 2 3 3" xfId="9968" xr:uid="{00000000-0005-0000-0000-0000B69D0000}"/>
    <cellStyle name="Normal 58 3 4 2 2 3 3 2" xfId="35525" xr:uid="{00000000-0005-0000-0000-0000B79D0000}"/>
    <cellStyle name="Normal 58 3 4 2 2 3 4" xfId="18791" xr:uid="{00000000-0005-0000-0000-0000B89D0000}"/>
    <cellStyle name="Normal 58 3 4 2 2 3 4 2" xfId="44344" xr:uid="{00000000-0005-0000-0000-0000B99D0000}"/>
    <cellStyle name="Normal 58 3 4 2 2 3 5" xfId="30281" xr:uid="{00000000-0005-0000-0000-0000BA9D0000}"/>
    <cellStyle name="Normal 58 3 4 2 2 4" xfId="2489" xr:uid="{00000000-0005-0000-0000-0000BB9D0000}"/>
    <cellStyle name="Normal 58 3 4 2 2 4 2" xfId="11854" xr:uid="{00000000-0005-0000-0000-0000BC9D0000}"/>
    <cellStyle name="Normal 58 3 4 2 2 4 2 2" xfId="37409" xr:uid="{00000000-0005-0000-0000-0000BD9D0000}"/>
    <cellStyle name="Normal 58 3 4 2 2 4 3" xfId="21858" xr:uid="{00000000-0005-0000-0000-0000BE9D0000}"/>
    <cellStyle name="Normal 58 3 4 2 2 4 3 2" xfId="47411" xr:uid="{00000000-0005-0000-0000-0000BF9D0000}"/>
    <cellStyle name="Normal 58 3 4 2 2 4 4" xfId="28341" xr:uid="{00000000-0005-0000-0000-0000C09D0000}"/>
    <cellStyle name="Normal 58 3 4 2 2 5" xfId="6165" xr:uid="{00000000-0005-0000-0000-0000C19D0000}"/>
    <cellStyle name="Normal 58 3 4 2 2 5 2" xfId="14992" xr:uid="{00000000-0005-0000-0000-0000C29D0000}"/>
    <cellStyle name="Normal 58 3 4 2 2 5 2 2" xfId="40547" xr:uid="{00000000-0005-0000-0000-0000C39D0000}"/>
    <cellStyle name="Normal 58 3 4 2 2 5 3" xfId="25243" xr:uid="{00000000-0005-0000-0000-0000C49D0000}"/>
    <cellStyle name="Normal 58 3 4 2 2 5 3 2" xfId="50796" xr:uid="{00000000-0005-0000-0000-0000C59D0000}"/>
    <cellStyle name="Normal 58 3 4 2 2 5 4" xfId="31726" xr:uid="{00000000-0005-0000-0000-0000C69D0000}"/>
    <cellStyle name="Normal 58 3 4 2 2 6" xfId="7610" xr:uid="{00000000-0005-0000-0000-0000C79D0000}"/>
    <cellStyle name="Normal 58 3 4 2 2 6 2" xfId="20340" xr:uid="{00000000-0005-0000-0000-0000C89D0000}"/>
    <cellStyle name="Normal 58 3 4 2 2 6 2 2" xfId="45893" xr:uid="{00000000-0005-0000-0000-0000C99D0000}"/>
    <cellStyle name="Normal 58 3 4 2 2 6 3" xfId="33167" xr:uid="{00000000-0005-0000-0000-0000CA9D0000}"/>
    <cellStyle name="Normal 58 3 4 2 2 7" xfId="16851" xr:uid="{00000000-0005-0000-0000-0000CB9D0000}"/>
    <cellStyle name="Normal 58 3 4 2 2 7 2" xfId="42404" xr:uid="{00000000-0005-0000-0000-0000CC9D0000}"/>
    <cellStyle name="Normal 58 3 4 2 2 8" xfId="26823" xr:uid="{00000000-0005-0000-0000-0000CD9D0000}"/>
    <cellStyle name="Normal 58 3 4 2 3" xfId="1331" xr:uid="{00000000-0005-0000-0000-0000CE9D0000}"/>
    <cellStyle name="Normal 58 3 4 2 3 2" xfId="3760" xr:uid="{00000000-0005-0000-0000-0000CF9D0000}"/>
    <cellStyle name="Normal 58 3 4 2 3 2 2" xfId="12896" xr:uid="{00000000-0005-0000-0000-0000D09D0000}"/>
    <cellStyle name="Normal 58 3 4 2 3 2 2 2" xfId="23115" xr:uid="{00000000-0005-0000-0000-0000D19D0000}"/>
    <cellStyle name="Normal 58 3 4 2 3 2 2 2 2" xfId="48668" xr:uid="{00000000-0005-0000-0000-0000D29D0000}"/>
    <cellStyle name="Normal 58 3 4 2 3 2 2 3" xfId="38451" xr:uid="{00000000-0005-0000-0000-0000D39D0000}"/>
    <cellStyle name="Normal 58 3 4 2 3 2 3" xfId="9317" xr:uid="{00000000-0005-0000-0000-0000D49D0000}"/>
    <cellStyle name="Normal 58 3 4 2 3 2 3 2" xfId="34874" xr:uid="{00000000-0005-0000-0000-0000D59D0000}"/>
    <cellStyle name="Normal 58 3 4 2 3 2 4" xfId="18108" xr:uid="{00000000-0005-0000-0000-0000D69D0000}"/>
    <cellStyle name="Normal 58 3 4 2 3 2 4 2" xfId="43661" xr:uid="{00000000-0005-0000-0000-0000D79D0000}"/>
    <cellStyle name="Normal 58 3 4 2 3 2 5" xfId="29598" xr:uid="{00000000-0005-0000-0000-0000D89D0000}"/>
    <cellStyle name="Normal 58 3 4 2 3 3" xfId="5058" xr:uid="{00000000-0005-0000-0000-0000D99D0000}"/>
    <cellStyle name="Normal 58 3 4 2 3 3 2" xfId="13895" xr:uid="{00000000-0005-0000-0000-0000DA9D0000}"/>
    <cellStyle name="Normal 58 3 4 2 3 3 2 2" xfId="24146" xr:uid="{00000000-0005-0000-0000-0000DB9D0000}"/>
    <cellStyle name="Normal 58 3 4 2 3 3 2 2 2" xfId="49699" xr:uid="{00000000-0005-0000-0000-0000DC9D0000}"/>
    <cellStyle name="Normal 58 3 4 2 3 3 2 3" xfId="39450" xr:uid="{00000000-0005-0000-0000-0000DD9D0000}"/>
    <cellStyle name="Normal 58 3 4 2 3 3 3" xfId="10316" xr:uid="{00000000-0005-0000-0000-0000DE9D0000}"/>
    <cellStyle name="Normal 58 3 4 2 3 3 3 2" xfId="35873" xr:uid="{00000000-0005-0000-0000-0000DF9D0000}"/>
    <cellStyle name="Normal 58 3 4 2 3 3 4" xfId="19139" xr:uid="{00000000-0005-0000-0000-0000E09D0000}"/>
    <cellStyle name="Normal 58 3 4 2 3 3 4 2" xfId="44692" xr:uid="{00000000-0005-0000-0000-0000E19D0000}"/>
    <cellStyle name="Normal 58 3 4 2 3 3 5" xfId="30629" xr:uid="{00000000-0005-0000-0000-0000E29D0000}"/>
    <cellStyle name="Normal 58 3 4 2 3 4" xfId="2154" xr:uid="{00000000-0005-0000-0000-0000E39D0000}"/>
    <cellStyle name="Normal 58 3 4 2 3 4 2" xfId="11519" xr:uid="{00000000-0005-0000-0000-0000E49D0000}"/>
    <cellStyle name="Normal 58 3 4 2 3 4 2 2" xfId="37074" xr:uid="{00000000-0005-0000-0000-0000E59D0000}"/>
    <cellStyle name="Normal 58 3 4 2 3 4 3" xfId="21523" xr:uid="{00000000-0005-0000-0000-0000E69D0000}"/>
    <cellStyle name="Normal 58 3 4 2 3 4 3 2" xfId="47076" xr:uid="{00000000-0005-0000-0000-0000E79D0000}"/>
    <cellStyle name="Normal 58 3 4 2 3 4 4" xfId="28006" xr:uid="{00000000-0005-0000-0000-0000E89D0000}"/>
    <cellStyle name="Normal 58 3 4 2 3 5" xfId="6513" xr:uid="{00000000-0005-0000-0000-0000E99D0000}"/>
    <cellStyle name="Normal 58 3 4 2 3 5 2" xfId="15340" xr:uid="{00000000-0005-0000-0000-0000EA9D0000}"/>
    <cellStyle name="Normal 58 3 4 2 3 5 2 2" xfId="40895" xr:uid="{00000000-0005-0000-0000-0000EB9D0000}"/>
    <cellStyle name="Normal 58 3 4 2 3 5 3" xfId="25591" xr:uid="{00000000-0005-0000-0000-0000EC9D0000}"/>
    <cellStyle name="Normal 58 3 4 2 3 5 3 2" xfId="51144" xr:uid="{00000000-0005-0000-0000-0000ED9D0000}"/>
    <cellStyle name="Normal 58 3 4 2 3 5 4" xfId="32074" xr:uid="{00000000-0005-0000-0000-0000EE9D0000}"/>
    <cellStyle name="Normal 58 3 4 2 3 6" xfId="7959" xr:uid="{00000000-0005-0000-0000-0000EF9D0000}"/>
    <cellStyle name="Normal 58 3 4 2 3 6 2" xfId="20714" xr:uid="{00000000-0005-0000-0000-0000F09D0000}"/>
    <cellStyle name="Normal 58 3 4 2 3 6 2 2" xfId="46267" xr:uid="{00000000-0005-0000-0000-0000F19D0000}"/>
    <cellStyle name="Normal 58 3 4 2 3 6 3" xfId="33516" xr:uid="{00000000-0005-0000-0000-0000F29D0000}"/>
    <cellStyle name="Normal 58 3 4 2 3 7" xfId="16516" xr:uid="{00000000-0005-0000-0000-0000F39D0000}"/>
    <cellStyle name="Normal 58 3 4 2 3 7 2" xfId="42069" xr:uid="{00000000-0005-0000-0000-0000F49D0000}"/>
    <cellStyle name="Normal 58 3 4 2 3 8" xfId="27197" xr:uid="{00000000-0005-0000-0000-0000F59D0000}"/>
    <cellStyle name="Normal 58 3 4 2 4" xfId="3045" xr:uid="{00000000-0005-0000-0000-0000F69D0000}"/>
    <cellStyle name="Normal 58 3 4 2 4 2" xfId="5423" xr:uid="{00000000-0005-0000-0000-0000F79D0000}"/>
    <cellStyle name="Normal 58 3 4 2 4 2 2" xfId="14260" xr:uid="{00000000-0005-0000-0000-0000F89D0000}"/>
    <cellStyle name="Normal 58 3 4 2 4 2 2 2" xfId="24511" xr:uid="{00000000-0005-0000-0000-0000F99D0000}"/>
    <cellStyle name="Normal 58 3 4 2 4 2 2 2 2" xfId="50064" xr:uid="{00000000-0005-0000-0000-0000FA9D0000}"/>
    <cellStyle name="Normal 58 3 4 2 4 2 2 3" xfId="39815" xr:uid="{00000000-0005-0000-0000-0000FB9D0000}"/>
    <cellStyle name="Normal 58 3 4 2 4 2 3" xfId="10681" xr:uid="{00000000-0005-0000-0000-0000FC9D0000}"/>
    <cellStyle name="Normal 58 3 4 2 4 2 3 2" xfId="36238" xr:uid="{00000000-0005-0000-0000-0000FD9D0000}"/>
    <cellStyle name="Normal 58 3 4 2 4 2 4" xfId="19504" xr:uid="{00000000-0005-0000-0000-0000FE9D0000}"/>
    <cellStyle name="Normal 58 3 4 2 4 2 4 2" xfId="45057" xr:uid="{00000000-0005-0000-0000-0000FF9D0000}"/>
    <cellStyle name="Normal 58 3 4 2 4 2 5" xfId="30994" xr:uid="{00000000-0005-0000-0000-0000009E0000}"/>
    <cellStyle name="Normal 58 3 4 2 4 3" xfId="6878" xr:uid="{00000000-0005-0000-0000-0000019E0000}"/>
    <cellStyle name="Normal 58 3 4 2 4 3 2" xfId="15705" xr:uid="{00000000-0005-0000-0000-0000029E0000}"/>
    <cellStyle name="Normal 58 3 4 2 4 3 2 2" xfId="41260" xr:uid="{00000000-0005-0000-0000-0000039E0000}"/>
    <cellStyle name="Normal 58 3 4 2 4 3 3" xfId="25956" xr:uid="{00000000-0005-0000-0000-0000049E0000}"/>
    <cellStyle name="Normal 58 3 4 2 4 3 3 2" xfId="51509" xr:uid="{00000000-0005-0000-0000-0000059E0000}"/>
    <cellStyle name="Normal 58 3 4 2 4 3 4" xfId="32439" xr:uid="{00000000-0005-0000-0000-0000069E0000}"/>
    <cellStyle name="Normal 58 3 4 2 4 4" xfId="8324" xr:uid="{00000000-0005-0000-0000-0000079E0000}"/>
    <cellStyle name="Normal 58 3 4 2 4 4 2" xfId="22406" xr:uid="{00000000-0005-0000-0000-0000089E0000}"/>
    <cellStyle name="Normal 58 3 4 2 4 4 2 2" xfId="47959" xr:uid="{00000000-0005-0000-0000-0000099E0000}"/>
    <cellStyle name="Normal 58 3 4 2 4 4 3" xfId="33881" xr:uid="{00000000-0005-0000-0000-00000A9E0000}"/>
    <cellStyle name="Normal 58 3 4 2 4 5" xfId="17399" xr:uid="{00000000-0005-0000-0000-00000B9E0000}"/>
    <cellStyle name="Normal 58 3 4 2 4 5 2" xfId="42952" xr:uid="{00000000-0005-0000-0000-00000C9E0000}"/>
    <cellStyle name="Normal 58 3 4 2 4 6" xfId="28889" xr:uid="{00000000-0005-0000-0000-00000D9E0000}"/>
    <cellStyle name="Normal 58 3 4 2 5" xfId="4379" xr:uid="{00000000-0005-0000-0000-00000E9E0000}"/>
    <cellStyle name="Normal 58 3 4 2 5 2" xfId="13217" xr:uid="{00000000-0005-0000-0000-00000F9E0000}"/>
    <cellStyle name="Normal 58 3 4 2 5 2 2" xfId="23468" xr:uid="{00000000-0005-0000-0000-0000109E0000}"/>
    <cellStyle name="Normal 58 3 4 2 5 2 2 2" xfId="49021" xr:uid="{00000000-0005-0000-0000-0000119E0000}"/>
    <cellStyle name="Normal 58 3 4 2 5 2 3" xfId="38772" xr:uid="{00000000-0005-0000-0000-0000129E0000}"/>
    <cellStyle name="Normal 58 3 4 2 5 3" xfId="9638" xr:uid="{00000000-0005-0000-0000-0000139E0000}"/>
    <cellStyle name="Normal 58 3 4 2 5 3 2" xfId="35195" xr:uid="{00000000-0005-0000-0000-0000149E0000}"/>
    <cellStyle name="Normal 58 3 4 2 5 4" xfId="18461" xr:uid="{00000000-0005-0000-0000-0000159E0000}"/>
    <cellStyle name="Normal 58 3 4 2 5 4 2" xfId="44014" xr:uid="{00000000-0005-0000-0000-0000169E0000}"/>
    <cellStyle name="Normal 58 3 4 2 5 5" xfId="29951" xr:uid="{00000000-0005-0000-0000-0000179E0000}"/>
    <cellStyle name="Normal 58 3 4 2 6" xfId="1651" xr:uid="{00000000-0005-0000-0000-0000189E0000}"/>
    <cellStyle name="Normal 58 3 4 2 6 2" xfId="11028" xr:uid="{00000000-0005-0000-0000-0000199E0000}"/>
    <cellStyle name="Normal 58 3 4 2 6 2 2" xfId="36583" xr:uid="{00000000-0005-0000-0000-00001A9E0000}"/>
    <cellStyle name="Normal 58 3 4 2 6 3" xfId="21032" xr:uid="{00000000-0005-0000-0000-00001B9E0000}"/>
    <cellStyle name="Normal 58 3 4 2 6 3 2" xfId="46585" xr:uid="{00000000-0005-0000-0000-00001C9E0000}"/>
    <cellStyle name="Normal 58 3 4 2 6 4" xfId="27515" xr:uid="{00000000-0005-0000-0000-00001D9E0000}"/>
    <cellStyle name="Normal 58 3 4 2 7" xfId="5835" xr:uid="{00000000-0005-0000-0000-00001E9E0000}"/>
    <cellStyle name="Normal 58 3 4 2 7 2" xfId="14662" xr:uid="{00000000-0005-0000-0000-00001F9E0000}"/>
    <cellStyle name="Normal 58 3 4 2 7 2 2" xfId="40217" xr:uid="{00000000-0005-0000-0000-0000209E0000}"/>
    <cellStyle name="Normal 58 3 4 2 7 3" xfId="24913" xr:uid="{00000000-0005-0000-0000-0000219E0000}"/>
    <cellStyle name="Normal 58 3 4 2 7 3 2" xfId="50466" xr:uid="{00000000-0005-0000-0000-0000229E0000}"/>
    <cellStyle name="Normal 58 3 4 2 7 4" xfId="31396" xr:uid="{00000000-0005-0000-0000-0000239E0000}"/>
    <cellStyle name="Normal 58 3 4 2 8" xfId="7279" xr:uid="{00000000-0005-0000-0000-0000249E0000}"/>
    <cellStyle name="Normal 58 3 4 2 8 2" xfId="20005" xr:uid="{00000000-0005-0000-0000-0000259E0000}"/>
    <cellStyle name="Normal 58 3 4 2 8 2 2" xfId="45558" xr:uid="{00000000-0005-0000-0000-0000269E0000}"/>
    <cellStyle name="Normal 58 3 4 2 8 3" xfId="32836" xr:uid="{00000000-0005-0000-0000-0000279E0000}"/>
    <cellStyle name="Normal 58 3 4 2 9" xfId="16025" xr:uid="{00000000-0005-0000-0000-0000289E0000}"/>
    <cellStyle name="Normal 58 3 4 2 9 2" xfId="41578" xr:uid="{00000000-0005-0000-0000-0000299E0000}"/>
    <cellStyle name="Normal 58 3 4 2_Degree data" xfId="4001" xr:uid="{00000000-0005-0000-0000-00002A9E0000}"/>
    <cellStyle name="Normal 58 3 4 3" xfId="354" xr:uid="{00000000-0005-0000-0000-00002B9E0000}"/>
    <cellStyle name="Normal 58 3 4 3 2" xfId="2840" xr:uid="{00000000-0005-0000-0000-00002C9E0000}"/>
    <cellStyle name="Normal 58 3 4 3 2 2" xfId="12128" xr:uid="{00000000-0005-0000-0000-00002D9E0000}"/>
    <cellStyle name="Normal 58 3 4 3 2 2 2" xfId="22201" xr:uid="{00000000-0005-0000-0000-00002E9E0000}"/>
    <cellStyle name="Normal 58 3 4 3 2 2 2 2" xfId="47754" xr:uid="{00000000-0005-0000-0000-00002F9E0000}"/>
    <cellStyle name="Normal 58 3 4 3 2 2 3" xfId="37683" xr:uid="{00000000-0005-0000-0000-0000309E0000}"/>
    <cellStyle name="Normal 58 3 4 3 2 3" xfId="8527" xr:uid="{00000000-0005-0000-0000-0000319E0000}"/>
    <cellStyle name="Normal 58 3 4 3 2 3 2" xfId="34084" xr:uid="{00000000-0005-0000-0000-0000329E0000}"/>
    <cellStyle name="Normal 58 3 4 3 2 4" xfId="17194" xr:uid="{00000000-0005-0000-0000-0000339E0000}"/>
    <cellStyle name="Normal 58 3 4 3 2 4 2" xfId="42747" xr:uid="{00000000-0005-0000-0000-0000349E0000}"/>
    <cellStyle name="Normal 58 3 4 3 2 5" xfId="28684" xr:uid="{00000000-0005-0000-0000-0000359E0000}"/>
    <cellStyle name="Normal 58 3 4 3 3" xfId="4708" xr:uid="{00000000-0005-0000-0000-0000369E0000}"/>
    <cellStyle name="Normal 58 3 4 3 3 2" xfId="13546" xr:uid="{00000000-0005-0000-0000-0000379E0000}"/>
    <cellStyle name="Normal 58 3 4 3 3 2 2" xfId="23797" xr:uid="{00000000-0005-0000-0000-0000389E0000}"/>
    <cellStyle name="Normal 58 3 4 3 3 2 2 2" xfId="49350" xr:uid="{00000000-0005-0000-0000-0000399E0000}"/>
    <cellStyle name="Normal 58 3 4 3 3 2 3" xfId="39101" xr:uid="{00000000-0005-0000-0000-00003A9E0000}"/>
    <cellStyle name="Normal 58 3 4 3 3 3" xfId="9967" xr:uid="{00000000-0005-0000-0000-00003B9E0000}"/>
    <cellStyle name="Normal 58 3 4 3 3 3 2" xfId="35524" xr:uid="{00000000-0005-0000-0000-00003C9E0000}"/>
    <cellStyle name="Normal 58 3 4 3 3 4" xfId="18790" xr:uid="{00000000-0005-0000-0000-00003D9E0000}"/>
    <cellStyle name="Normal 58 3 4 3 3 4 2" xfId="44343" xr:uid="{00000000-0005-0000-0000-00003E9E0000}"/>
    <cellStyle name="Normal 58 3 4 3 3 5" xfId="30280" xr:uid="{00000000-0005-0000-0000-00003F9E0000}"/>
    <cellStyle name="Normal 58 3 4 3 4" xfId="1949" xr:uid="{00000000-0005-0000-0000-0000409E0000}"/>
    <cellStyle name="Normal 58 3 4 3 4 2" xfId="11314" xr:uid="{00000000-0005-0000-0000-0000419E0000}"/>
    <cellStyle name="Normal 58 3 4 3 4 2 2" xfId="36869" xr:uid="{00000000-0005-0000-0000-0000429E0000}"/>
    <cellStyle name="Normal 58 3 4 3 4 3" xfId="21318" xr:uid="{00000000-0005-0000-0000-0000439E0000}"/>
    <cellStyle name="Normal 58 3 4 3 4 3 2" xfId="46871" xr:uid="{00000000-0005-0000-0000-0000449E0000}"/>
    <cellStyle name="Normal 58 3 4 3 4 4" xfId="27801" xr:uid="{00000000-0005-0000-0000-0000459E0000}"/>
    <cellStyle name="Normal 58 3 4 3 5" xfId="6164" xr:uid="{00000000-0005-0000-0000-0000469E0000}"/>
    <cellStyle name="Normal 58 3 4 3 5 2" xfId="14991" xr:uid="{00000000-0005-0000-0000-0000479E0000}"/>
    <cellStyle name="Normal 58 3 4 3 5 2 2" xfId="40546" xr:uid="{00000000-0005-0000-0000-0000489E0000}"/>
    <cellStyle name="Normal 58 3 4 3 5 3" xfId="25242" xr:uid="{00000000-0005-0000-0000-0000499E0000}"/>
    <cellStyle name="Normal 58 3 4 3 5 3 2" xfId="50795" xr:uid="{00000000-0005-0000-0000-00004A9E0000}"/>
    <cellStyle name="Normal 58 3 4 3 5 4" xfId="31725" xr:uid="{00000000-0005-0000-0000-00004B9E0000}"/>
    <cellStyle name="Normal 58 3 4 3 6" xfId="7609" xr:uid="{00000000-0005-0000-0000-00004C9E0000}"/>
    <cellStyle name="Normal 58 3 4 3 6 2" xfId="19800" xr:uid="{00000000-0005-0000-0000-00004D9E0000}"/>
    <cellStyle name="Normal 58 3 4 3 6 2 2" xfId="45353" xr:uid="{00000000-0005-0000-0000-00004E9E0000}"/>
    <cellStyle name="Normal 58 3 4 3 6 3" xfId="33166" xr:uid="{00000000-0005-0000-0000-00004F9E0000}"/>
    <cellStyle name="Normal 58 3 4 3 7" xfId="16311" xr:uid="{00000000-0005-0000-0000-0000509E0000}"/>
    <cellStyle name="Normal 58 3 4 3 7 2" xfId="41864" xr:uid="{00000000-0005-0000-0000-0000519E0000}"/>
    <cellStyle name="Normal 58 3 4 3 8" xfId="26283" xr:uid="{00000000-0005-0000-0000-0000529E0000}"/>
    <cellStyle name="Normal 58 3 4 4" xfId="894" xr:uid="{00000000-0005-0000-0000-0000539E0000}"/>
    <cellStyle name="Normal 58 3 4 4 2" xfId="3379" xr:uid="{00000000-0005-0000-0000-0000549E0000}"/>
    <cellStyle name="Normal 58 3 4 4 2 2" xfId="12521" xr:uid="{00000000-0005-0000-0000-0000559E0000}"/>
    <cellStyle name="Normal 58 3 4 4 2 2 2" xfId="22740" xr:uid="{00000000-0005-0000-0000-0000569E0000}"/>
    <cellStyle name="Normal 58 3 4 4 2 2 2 2" xfId="48293" xr:uid="{00000000-0005-0000-0000-0000579E0000}"/>
    <cellStyle name="Normal 58 3 4 4 2 2 3" xfId="38076" xr:uid="{00000000-0005-0000-0000-0000589E0000}"/>
    <cellStyle name="Normal 58 3 4 4 2 3" xfId="8943" xr:uid="{00000000-0005-0000-0000-0000599E0000}"/>
    <cellStyle name="Normal 58 3 4 4 2 3 2" xfId="34500" xr:uid="{00000000-0005-0000-0000-00005A9E0000}"/>
    <cellStyle name="Normal 58 3 4 4 2 4" xfId="17733" xr:uid="{00000000-0005-0000-0000-00005B9E0000}"/>
    <cellStyle name="Normal 58 3 4 4 2 4 2" xfId="43286" xr:uid="{00000000-0005-0000-0000-00005C9E0000}"/>
    <cellStyle name="Normal 58 3 4 4 2 5" xfId="29223" xr:uid="{00000000-0005-0000-0000-00005D9E0000}"/>
    <cellStyle name="Normal 58 3 4 4 3" xfId="5057" xr:uid="{00000000-0005-0000-0000-00005E9E0000}"/>
    <cellStyle name="Normal 58 3 4 4 3 2" xfId="13894" xr:uid="{00000000-0005-0000-0000-00005F9E0000}"/>
    <cellStyle name="Normal 58 3 4 4 3 2 2" xfId="24145" xr:uid="{00000000-0005-0000-0000-0000609E0000}"/>
    <cellStyle name="Normal 58 3 4 4 3 2 2 2" xfId="49698" xr:uid="{00000000-0005-0000-0000-0000619E0000}"/>
    <cellStyle name="Normal 58 3 4 4 3 2 3" xfId="39449" xr:uid="{00000000-0005-0000-0000-0000629E0000}"/>
    <cellStyle name="Normal 58 3 4 4 3 3" xfId="10315" xr:uid="{00000000-0005-0000-0000-0000639E0000}"/>
    <cellStyle name="Normal 58 3 4 4 3 3 2" xfId="35872" xr:uid="{00000000-0005-0000-0000-0000649E0000}"/>
    <cellStyle name="Normal 58 3 4 4 3 4" xfId="19138" xr:uid="{00000000-0005-0000-0000-0000659E0000}"/>
    <cellStyle name="Normal 58 3 4 4 3 4 2" xfId="44691" xr:uid="{00000000-0005-0000-0000-0000669E0000}"/>
    <cellStyle name="Normal 58 3 4 4 3 5" xfId="30628" xr:uid="{00000000-0005-0000-0000-0000679E0000}"/>
    <cellStyle name="Normal 58 3 4 4 4" xfId="2488" xr:uid="{00000000-0005-0000-0000-0000689E0000}"/>
    <cellStyle name="Normal 58 3 4 4 4 2" xfId="11853" xr:uid="{00000000-0005-0000-0000-0000699E0000}"/>
    <cellStyle name="Normal 58 3 4 4 4 2 2" xfId="37408" xr:uid="{00000000-0005-0000-0000-00006A9E0000}"/>
    <cellStyle name="Normal 58 3 4 4 4 3" xfId="21857" xr:uid="{00000000-0005-0000-0000-00006B9E0000}"/>
    <cellStyle name="Normal 58 3 4 4 4 3 2" xfId="47410" xr:uid="{00000000-0005-0000-0000-00006C9E0000}"/>
    <cellStyle name="Normal 58 3 4 4 4 4" xfId="28340" xr:uid="{00000000-0005-0000-0000-00006D9E0000}"/>
    <cellStyle name="Normal 58 3 4 4 5" xfId="6512" xr:uid="{00000000-0005-0000-0000-00006E9E0000}"/>
    <cellStyle name="Normal 58 3 4 4 5 2" xfId="15339" xr:uid="{00000000-0005-0000-0000-00006F9E0000}"/>
    <cellStyle name="Normal 58 3 4 4 5 2 2" xfId="40894" xr:uid="{00000000-0005-0000-0000-0000709E0000}"/>
    <cellStyle name="Normal 58 3 4 4 5 3" xfId="25590" xr:uid="{00000000-0005-0000-0000-0000719E0000}"/>
    <cellStyle name="Normal 58 3 4 4 5 3 2" xfId="51143" xr:uid="{00000000-0005-0000-0000-0000729E0000}"/>
    <cellStyle name="Normal 58 3 4 4 5 4" xfId="32073" xr:uid="{00000000-0005-0000-0000-0000739E0000}"/>
    <cellStyle name="Normal 58 3 4 4 6" xfId="7958" xr:uid="{00000000-0005-0000-0000-0000749E0000}"/>
    <cellStyle name="Normal 58 3 4 4 6 2" xfId="20339" xr:uid="{00000000-0005-0000-0000-0000759E0000}"/>
    <cellStyle name="Normal 58 3 4 4 6 2 2" xfId="45892" xr:uid="{00000000-0005-0000-0000-0000769E0000}"/>
    <cellStyle name="Normal 58 3 4 4 6 3" xfId="33515" xr:uid="{00000000-0005-0000-0000-0000779E0000}"/>
    <cellStyle name="Normal 58 3 4 4 7" xfId="16850" xr:uid="{00000000-0005-0000-0000-0000789E0000}"/>
    <cellStyle name="Normal 58 3 4 4 7 2" xfId="42403" xr:uid="{00000000-0005-0000-0000-0000799E0000}"/>
    <cellStyle name="Normal 58 3 4 4 8" xfId="26822" xr:uid="{00000000-0005-0000-0000-00007A9E0000}"/>
    <cellStyle name="Normal 58 3 4 5" xfId="1126" xr:uid="{00000000-0005-0000-0000-00007B9E0000}"/>
    <cellStyle name="Normal 58 3 4 5 2" xfId="3555" xr:uid="{00000000-0005-0000-0000-00007C9E0000}"/>
    <cellStyle name="Normal 58 3 4 5 2 2" xfId="12691" xr:uid="{00000000-0005-0000-0000-00007D9E0000}"/>
    <cellStyle name="Normal 58 3 4 5 2 2 2" xfId="22910" xr:uid="{00000000-0005-0000-0000-00007E9E0000}"/>
    <cellStyle name="Normal 58 3 4 5 2 2 2 2" xfId="48463" xr:uid="{00000000-0005-0000-0000-00007F9E0000}"/>
    <cellStyle name="Normal 58 3 4 5 2 2 3" xfId="38246" xr:uid="{00000000-0005-0000-0000-0000809E0000}"/>
    <cellStyle name="Normal 58 3 4 5 2 3" xfId="9112" xr:uid="{00000000-0005-0000-0000-0000819E0000}"/>
    <cellStyle name="Normal 58 3 4 5 2 3 2" xfId="34669" xr:uid="{00000000-0005-0000-0000-0000829E0000}"/>
    <cellStyle name="Normal 58 3 4 5 2 4" xfId="17903" xr:uid="{00000000-0005-0000-0000-0000839E0000}"/>
    <cellStyle name="Normal 58 3 4 5 2 4 2" xfId="43456" xr:uid="{00000000-0005-0000-0000-0000849E0000}"/>
    <cellStyle name="Normal 58 3 4 5 2 5" xfId="29393" xr:uid="{00000000-0005-0000-0000-0000859E0000}"/>
    <cellStyle name="Normal 58 3 4 5 3" xfId="5218" xr:uid="{00000000-0005-0000-0000-0000869E0000}"/>
    <cellStyle name="Normal 58 3 4 5 3 2" xfId="14055" xr:uid="{00000000-0005-0000-0000-0000879E0000}"/>
    <cellStyle name="Normal 58 3 4 5 3 2 2" xfId="24306" xr:uid="{00000000-0005-0000-0000-0000889E0000}"/>
    <cellStyle name="Normal 58 3 4 5 3 2 2 2" xfId="49859" xr:uid="{00000000-0005-0000-0000-0000899E0000}"/>
    <cellStyle name="Normal 58 3 4 5 3 2 3" xfId="39610" xr:uid="{00000000-0005-0000-0000-00008A9E0000}"/>
    <cellStyle name="Normal 58 3 4 5 3 3" xfId="10476" xr:uid="{00000000-0005-0000-0000-00008B9E0000}"/>
    <cellStyle name="Normal 58 3 4 5 3 3 2" xfId="36033" xr:uid="{00000000-0005-0000-0000-00008C9E0000}"/>
    <cellStyle name="Normal 58 3 4 5 3 4" xfId="19299" xr:uid="{00000000-0005-0000-0000-00008D9E0000}"/>
    <cellStyle name="Normal 58 3 4 5 3 4 2" xfId="44852" xr:uid="{00000000-0005-0000-0000-00008E9E0000}"/>
    <cellStyle name="Normal 58 3 4 5 3 5" xfId="30789" xr:uid="{00000000-0005-0000-0000-00008F9E0000}"/>
    <cellStyle name="Normal 58 3 4 5 4" xfId="1834" xr:uid="{00000000-0005-0000-0000-0000909E0000}"/>
    <cellStyle name="Normal 58 3 4 5 4 2" xfId="11202" xr:uid="{00000000-0005-0000-0000-0000919E0000}"/>
    <cellStyle name="Normal 58 3 4 5 4 2 2" xfId="36757" xr:uid="{00000000-0005-0000-0000-0000929E0000}"/>
    <cellStyle name="Normal 58 3 4 5 4 3" xfId="21206" xr:uid="{00000000-0005-0000-0000-0000939E0000}"/>
    <cellStyle name="Normal 58 3 4 5 4 3 2" xfId="46759" xr:uid="{00000000-0005-0000-0000-0000949E0000}"/>
    <cellStyle name="Normal 58 3 4 5 4 4" xfId="27689" xr:uid="{00000000-0005-0000-0000-0000959E0000}"/>
    <cellStyle name="Normal 58 3 4 5 5" xfId="6673" xr:uid="{00000000-0005-0000-0000-0000969E0000}"/>
    <cellStyle name="Normal 58 3 4 5 5 2" xfId="15500" xr:uid="{00000000-0005-0000-0000-0000979E0000}"/>
    <cellStyle name="Normal 58 3 4 5 5 2 2" xfId="41055" xr:uid="{00000000-0005-0000-0000-0000989E0000}"/>
    <cellStyle name="Normal 58 3 4 5 5 3" xfId="25751" xr:uid="{00000000-0005-0000-0000-0000999E0000}"/>
    <cellStyle name="Normal 58 3 4 5 5 3 2" xfId="51304" xr:uid="{00000000-0005-0000-0000-00009A9E0000}"/>
    <cellStyle name="Normal 58 3 4 5 5 4" xfId="32234" xr:uid="{00000000-0005-0000-0000-00009B9E0000}"/>
    <cellStyle name="Normal 58 3 4 5 6" xfId="8119" xr:uid="{00000000-0005-0000-0000-00009C9E0000}"/>
    <cellStyle name="Normal 58 3 4 5 6 2" xfId="20509" xr:uid="{00000000-0005-0000-0000-00009D9E0000}"/>
    <cellStyle name="Normal 58 3 4 5 6 2 2" xfId="46062" xr:uid="{00000000-0005-0000-0000-00009E9E0000}"/>
    <cellStyle name="Normal 58 3 4 5 6 3" xfId="33676" xr:uid="{00000000-0005-0000-0000-00009F9E0000}"/>
    <cellStyle name="Normal 58 3 4 5 7" xfId="16199" xr:uid="{00000000-0005-0000-0000-0000A09E0000}"/>
    <cellStyle name="Normal 58 3 4 5 7 2" xfId="41752" xr:uid="{00000000-0005-0000-0000-0000A19E0000}"/>
    <cellStyle name="Normal 58 3 4 5 8" xfId="26992" xr:uid="{00000000-0005-0000-0000-0000A29E0000}"/>
    <cellStyle name="Normal 58 3 4 6" xfId="2728" xr:uid="{00000000-0005-0000-0000-0000A39E0000}"/>
    <cellStyle name="Normal 58 3 4 6 2" xfId="12045" xr:uid="{00000000-0005-0000-0000-0000A49E0000}"/>
    <cellStyle name="Normal 58 3 4 6 2 2" xfId="22089" xr:uid="{00000000-0005-0000-0000-0000A59E0000}"/>
    <cellStyle name="Normal 58 3 4 6 2 2 2" xfId="47642" xr:uid="{00000000-0005-0000-0000-0000A69E0000}"/>
    <cellStyle name="Normal 58 3 4 6 2 3" xfId="37600" xr:uid="{00000000-0005-0000-0000-0000A79E0000}"/>
    <cellStyle name="Normal 58 3 4 6 3" xfId="8485" xr:uid="{00000000-0005-0000-0000-0000A89E0000}"/>
    <cellStyle name="Normal 58 3 4 6 3 2" xfId="34042" xr:uid="{00000000-0005-0000-0000-0000A99E0000}"/>
    <cellStyle name="Normal 58 3 4 6 4" xfId="17082" xr:uid="{00000000-0005-0000-0000-0000AA9E0000}"/>
    <cellStyle name="Normal 58 3 4 6 4 2" xfId="42635" xr:uid="{00000000-0005-0000-0000-0000AB9E0000}"/>
    <cellStyle name="Normal 58 3 4 6 5" xfId="28572" xr:uid="{00000000-0005-0000-0000-0000AC9E0000}"/>
    <cellStyle name="Normal 58 3 4 7" xfId="4174" xr:uid="{00000000-0005-0000-0000-0000AD9E0000}"/>
    <cellStyle name="Normal 58 3 4 7 2" xfId="13012" xr:uid="{00000000-0005-0000-0000-0000AE9E0000}"/>
    <cellStyle name="Normal 58 3 4 7 2 2" xfId="23263" xr:uid="{00000000-0005-0000-0000-0000AF9E0000}"/>
    <cellStyle name="Normal 58 3 4 7 2 2 2" xfId="48816" xr:uid="{00000000-0005-0000-0000-0000B09E0000}"/>
    <cellStyle name="Normal 58 3 4 7 2 3" xfId="38567" xr:uid="{00000000-0005-0000-0000-0000B19E0000}"/>
    <cellStyle name="Normal 58 3 4 7 3" xfId="9433" xr:uid="{00000000-0005-0000-0000-0000B29E0000}"/>
    <cellStyle name="Normal 58 3 4 7 3 2" xfId="34990" xr:uid="{00000000-0005-0000-0000-0000B39E0000}"/>
    <cellStyle name="Normal 58 3 4 7 4" xfId="18256" xr:uid="{00000000-0005-0000-0000-0000B49E0000}"/>
    <cellStyle name="Normal 58 3 4 7 4 2" xfId="43809" xr:uid="{00000000-0005-0000-0000-0000B59E0000}"/>
    <cellStyle name="Normal 58 3 4 7 5" xfId="29746" xr:uid="{00000000-0005-0000-0000-0000B69E0000}"/>
    <cellStyle name="Normal 58 3 4 8" xfId="1446" xr:uid="{00000000-0005-0000-0000-0000B79E0000}"/>
    <cellStyle name="Normal 58 3 4 8 2" xfId="10823" xr:uid="{00000000-0005-0000-0000-0000B89E0000}"/>
    <cellStyle name="Normal 58 3 4 8 2 2" xfId="36378" xr:uid="{00000000-0005-0000-0000-0000B99E0000}"/>
    <cellStyle name="Normal 58 3 4 8 3" xfId="20827" xr:uid="{00000000-0005-0000-0000-0000BA9E0000}"/>
    <cellStyle name="Normal 58 3 4 8 3 2" xfId="46380" xr:uid="{00000000-0005-0000-0000-0000BB9E0000}"/>
    <cellStyle name="Normal 58 3 4 8 4" xfId="27310" xr:uid="{00000000-0005-0000-0000-0000BC9E0000}"/>
    <cellStyle name="Normal 58 3 4 9" xfId="5630" xr:uid="{00000000-0005-0000-0000-0000BD9E0000}"/>
    <cellStyle name="Normal 58 3 4 9 2" xfId="14457" xr:uid="{00000000-0005-0000-0000-0000BE9E0000}"/>
    <cellStyle name="Normal 58 3 4 9 2 2" xfId="40012" xr:uid="{00000000-0005-0000-0000-0000BF9E0000}"/>
    <cellStyle name="Normal 58 3 4 9 3" xfId="24708" xr:uid="{00000000-0005-0000-0000-0000C09E0000}"/>
    <cellStyle name="Normal 58 3 4 9 3 2" xfId="50261" xr:uid="{00000000-0005-0000-0000-0000C19E0000}"/>
    <cellStyle name="Normal 58 3 4 9 4" xfId="31191" xr:uid="{00000000-0005-0000-0000-0000C29E0000}"/>
    <cellStyle name="Normal 58 3 4_Degree data" xfId="4000" xr:uid="{00000000-0005-0000-0000-0000C39E0000}"/>
    <cellStyle name="Normal 58 3 5" xfId="454" xr:uid="{00000000-0005-0000-0000-0000C49E0000}"/>
    <cellStyle name="Normal 58 3 5 10" xfId="26383" xr:uid="{00000000-0005-0000-0000-0000C59E0000}"/>
    <cellStyle name="Normal 58 3 5 2" xfId="896" xr:uid="{00000000-0005-0000-0000-0000C69E0000}"/>
    <cellStyle name="Normal 58 3 5 2 2" xfId="3381" xr:uid="{00000000-0005-0000-0000-0000C79E0000}"/>
    <cellStyle name="Normal 58 3 5 2 2 2" xfId="12523" xr:uid="{00000000-0005-0000-0000-0000C89E0000}"/>
    <cellStyle name="Normal 58 3 5 2 2 2 2" xfId="22742" xr:uid="{00000000-0005-0000-0000-0000C99E0000}"/>
    <cellStyle name="Normal 58 3 5 2 2 2 2 2" xfId="48295" xr:uid="{00000000-0005-0000-0000-0000CA9E0000}"/>
    <cellStyle name="Normal 58 3 5 2 2 2 3" xfId="38078" xr:uid="{00000000-0005-0000-0000-0000CB9E0000}"/>
    <cellStyle name="Normal 58 3 5 2 2 3" xfId="8945" xr:uid="{00000000-0005-0000-0000-0000CC9E0000}"/>
    <cellStyle name="Normal 58 3 5 2 2 3 2" xfId="34502" xr:uid="{00000000-0005-0000-0000-0000CD9E0000}"/>
    <cellStyle name="Normal 58 3 5 2 2 4" xfId="17735" xr:uid="{00000000-0005-0000-0000-0000CE9E0000}"/>
    <cellStyle name="Normal 58 3 5 2 2 4 2" xfId="43288" xr:uid="{00000000-0005-0000-0000-0000CF9E0000}"/>
    <cellStyle name="Normal 58 3 5 2 2 5" xfId="29225" xr:uid="{00000000-0005-0000-0000-0000D09E0000}"/>
    <cellStyle name="Normal 58 3 5 2 3" xfId="4710" xr:uid="{00000000-0005-0000-0000-0000D19E0000}"/>
    <cellStyle name="Normal 58 3 5 2 3 2" xfId="13548" xr:uid="{00000000-0005-0000-0000-0000D29E0000}"/>
    <cellStyle name="Normal 58 3 5 2 3 2 2" xfId="23799" xr:uid="{00000000-0005-0000-0000-0000D39E0000}"/>
    <cellStyle name="Normal 58 3 5 2 3 2 2 2" xfId="49352" xr:uid="{00000000-0005-0000-0000-0000D49E0000}"/>
    <cellStyle name="Normal 58 3 5 2 3 2 3" xfId="39103" xr:uid="{00000000-0005-0000-0000-0000D59E0000}"/>
    <cellStyle name="Normal 58 3 5 2 3 3" xfId="9969" xr:uid="{00000000-0005-0000-0000-0000D69E0000}"/>
    <cellStyle name="Normal 58 3 5 2 3 3 2" xfId="35526" xr:uid="{00000000-0005-0000-0000-0000D79E0000}"/>
    <cellStyle name="Normal 58 3 5 2 3 4" xfId="18792" xr:uid="{00000000-0005-0000-0000-0000D89E0000}"/>
    <cellStyle name="Normal 58 3 5 2 3 4 2" xfId="44345" xr:uid="{00000000-0005-0000-0000-0000D99E0000}"/>
    <cellStyle name="Normal 58 3 5 2 3 5" xfId="30282" xr:uid="{00000000-0005-0000-0000-0000DA9E0000}"/>
    <cellStyle name="Normal 58 3 5 2 4" xfId="2490" xr:uid="{00000000-0005-0000-0000-0000DB9E0000}"/>
    <cellStyle name="Normal 58 3 5 2 4 2" xfId="11855" xr:uid="{00000000-0005-0000-0000-0000DC9E0000}"/>
    <cellStyle name="Normal 58 3 5 2 4 2 2" xfId="37410" xr:uid="{00000000-0005-0000-0000-0000DD9E0000}"/>
    <cellStyle name="Normal 58 3 5 2 4 3" xfId="21859" xr:uid="{00000000-0005-0000-0000-0000DE9E0000}"/>
    <cellStyle name="Normal 58 3 5 2 4 3 2" xfId="47412" xr:uid="{00000000-0005-0000-0000-0000DF9E0000}"/>
    <cellStyle name="Normal 58 3 5 2 4 4" xfId="28342" xr:uid="{00000000-0005-0000-0000-0000E09E0000}"/>
    <cellStyle name="Normal 58 3 5 2 5" xfId="6166" xr:uid="{00000000-0005-0000-0000-0000E19E0000}"/>
    <cellStyle name="Normal 58 3 5 2 5 2" xfId="14993" xr:uid="{00000000-0005-0000-0000-0000E29E0000}"/>
    <cellStyle name="Normal 58 3 5 2 5 2 2" xfId="40548" xr:uid="{00000000-0005-0000-0000-0000E39E0000}"/>
    <cellStyle name="Normal 58 3 5 2 5 3" xfId="25244" xr:uid="{00000000-0005-0000-0000-0000E49E0000}"/>
    <cellStyle name="Normal 58 3 5 2 5 3 2" xfId="50797" xr:uid="{00000000-0005-0000-0000-0000E59E0000}"/>
    <cellStyle name="Normal 58 3 5 2 5 4" xfId="31727" xr:uid="{00000000-0005-0000-0000-0000E69E0000}"/>
    <cellStyle name="Normal 58 3 5 2 6" xfId="7611" xr:uid="{00000000-0005-0000-0000-0000E79E0000}"/>
    <cellStyle name="Normal 58 3 5 2 6 2" xfId="20341" xr:uid="{00000000-0005-0000-0000-0000E89E0000}"/>
    <cellStyle name="Normal 58 3 5 2 6 2 2" xfId="45894" xr:uid="{00000000-0005-0000-0000-0000E99E0000}"/>
    <cellStyle name="Normal 58 3 5 2 6 3" xfId="33168" xr:uid="{00000000-0005-0000-0000-0000EA9E0000}"/>
    <cellStyle name="Normal 58 3 5 2 7" xfId="16852" xr:uid="{00000000-0005-0000-0000-0000EB9E0000}"/>
    <cellStyle name="Normal 58 3 5 2 7 2" xfId="42405" xr:uid="{00000000-0005-0000-0000-0000EC9E0000}"/>
    <cellStyle name="Normal 58 3 5 2 8" xfId="26824" xr:uid="{00000000-0005-0000-0000-0000ED9E0000}"/>
    <cellStyle name="Normal 58 3 5 3" xfId="1226" xr:uid="{00000000-0005-0000-0000-0000EE9E0000}"/>
    <cellStyle name="Normal 58 3 5 3 2" xfId="3655" xr:uid="{00000000-0005-0000-0000-0000EF9E0000}"/>
    <cellStyle name="Normal 58 3 5 3 2 2" xfId="12791" xr:uid="{00000000-0005-0000-0000-0000F09E0000}"/>
    <cellStyle name="Normal 58 3 5 3 2 2 2" xfId="23010" xr:uid="{00000000-0005-0000-0000-0000F19E0000}"/>
    <cellStyle name="Normal 58 3 5 3 2 2 2 2" xfId="48563" xr:uid="{00000000-0005-0000-0000-0000F29E0000}"/>
    <cellStyle name="Normal 58 3 5 3 2 2 3" xfId="38346" xr:uid="{00000000-0005-0000-0000-0000F39E0000}"/>
    <cellStyle name="Normal 58 3 5 3 2 3" xfId="9212" xr:uid="{00000000-0005-0000-0000-0000F49E0000}"/>
    <cellStyle name="Normal 58 3 5 3 2 3 2" xfId="34769" xr:uid="{00000000-0005-0000-0000-0000F59E0000}"/>
    <cellStyle name="Normal 58 3 5 3 2 4" xfId="18003" xr:uid="{00000000-0005-0000-0000-0000F69E0000}"/>
    <cellStyle name="Normal 58 3 5 3 2 4 2" xfId="43556" xr:uid="{00000000-0005-0000-0000-0000F79E0000}"/>
    <cellStyle name="Normal 58 3 5 3 2 5" xfId="29493" xr:uid="{00000000-0005-0000-0000-0000F89E0000}"/>
    <cellStyle name="Normal 58 3 5 3 3" xfId="5059" xr:uid="{00000000-0005-0000-0000-0000F99E0000}"/>
    <cellStyle name="Normal 58 3 5 3 3 2" xfId="13896" xr:uid="{00000000-0005-0000-0000-0000FA9E0000}"/>
    <cellStyle name="Normal 58 3 5 3 3 2 2" xfId="24147" xr:uid="{00000000-0005-0000-0000-0000FB9E0000}"/>
    <cellStyle name="Normal 58 3 5 3 3 2 2 2" xfId="49700" xr:uid="{00000000-0005-0000-0000-0000FC9E0000}"/>
    <cellStyle name="Normal 58 3 5 3 3 2 3" xfId="39451" xr:uid="{00000000-0005-0000-0000-0000FD9E0000}"/>
    <cellStyle name="Normal 58 3 5 3 3 3" xfId="10317" xr:uid="{00000000-0005-0000-0000-0000FE9E0000}"/>
    <cellStyle name="Normal 58 3 5 3 3 3 2" xfId="35874" xr:uid="{00000000-0005-0000-0000-0000FF9E0000}"/>
    <cellStyle name="Normal 58 3 5 3 3 4" xfId="19140" xr:uid="{00000000-0005-0000-0000-0000009F0000}"/>
    <cellStyle name="Normal 58 3 5 3 3 4 2" xfId="44693" xr:uid="{00000000-0005-0000-0000-0000019F0000}"/>
    <cellStyle name="Normal 58 3 5 3 3 5" xfId="30630" xr:uid="{00000000-0005-0000-0000-0000029F0000}"/>
    <cellStyle name="Normal 58 3 5 3 4" xfId="2049" xr:uid="{00000000-0005-0000-0000-0000039F0000}"/>
    <cellStyle name="Normal 58 3 5 3 4 2" xfId="11414" xr:uid="{00000000-0005-0000-0000-0000049F0000}"/>
    <cellStyle name="Normal 58 3 5 3 4 2 2" xfId="36969" xr:uid="{00000000-0005-0000-0000-0000059F0000}"/>
    <cellStyle name="Normal 58 3 5 3 4 3" xfId="21418" xr:uid="{00000000-0005-0000-0000-0000069F0000}"/>
    <cellStyle name="Normal 58 3 5 3 4 3 2" xfId="46971" xr:uid="{00000000-0005-0000-0000-0000079F0000}"/>
    <cellStyle name="Normal 58 3 5 3 4 4" xfId="27901" xr:uid="{00000000-0005-0000-0000-0000089F0000}"/>
    <cellStyle name="Normal 58 3 5 3 5" xfId="6514" xr:uid="{00000000-0005-0000-0000-0000099F0000}"/>
    <cellStyle name="Normal 58 3 5 3 5 2" xfId="15341" xr:uid="{00000000-0005-0000-0000-00000A9F0000}"/>
    <cellStyle name="Normal 58 3 5 3 5 2 2" xfId="40896" xr:uid="{00000000-0005-0000-0000-00000B9F0000}"/>
    <cellStyle name="Normal 58 3 5 3 5 3" xfId="25592" xr:uid="{00000000-0005-0000-0000-00000C9F0000}"/>
    <cellStyle name="Normal 58 3 5 3 5 3 2" xfId="51145" xr:uid="{00000000-0005-0000-0000-00000D9F0000}"/>
    <cellStyle name="Normal 58 3 5 3 5 4" xfId="32075" xr:uid="{00000000-0005-0000-0000-00000E9F0000}"/>
    <cellStyle name="Normal 58 3 5 3 6" xfId="7960" xr:uid="{00000000-0005-0000-0000-00000F9F0000}"/>
    <cellStyle name="Normal 58 3 5 3 6 2" xfId="20609" xr:uid="{00000000-0005-0000-0000-0000109F0000}"/>
    <cellStyle name="Normal 58 3 5 3 6 2 2" xfId="46162" xr:uid="{00000000-0005-0000-0000-0000119F0000}"/>
    <cellStyle name="Normal 58 3 5 3 6 3" xfId="33517" xr:uid="{00000000-0005-0000-0000-0000129F0000}"/>
    <cellStyle name="Normal 58 3 5 3 7" xfId="16411" xr:uid="{00000000-0005-0000-0000-0000139F0000}"/>
    <cellStyle name="Normal 58 3 5 3 7 2" xfId="41964" xr:uid="{00000000-0005-0000-0000-0000149F0000}"/>
    <cellStyle name="Normal 58 3 5 3 8" xfId="27092" xr:uid="{00000000-0005-0000-0000-0000159F0000}"/>
    <cellStyle name="Normal 58 3 5 4" xfId="2940" xr:uid="{00000000-0005-0000-0000-0000169F0000}"/>
    <cellStyle name="Normal 58 3 5 4 2" xfId="5318" xr:uid="{00000000-0005-0000-0000-0000179F0000}"/>
    <cellStyle name="Normal 58 3 5 4 2 2" xfId="14155" xr:uid="{00000000-0005-0000-0000-0000189F0000}"/>
    <cellStyle name="Normal 58 3 5 4 2 2 2" xfId="24406" xr:uid="{00000000-0005-0000-0000-0000199F0000}"/>
    <cellStyle name="Normal 58 3 5 4 2 2 2 2" xfId="49959" xr:uid="{00000000-0005-0000-0000-00001A9F0000}"/>
    <cellStyle name="Normal 58 3 5 4 2 2 3" xfId="39710" xr:uid="{00000000-0005-0000-0000-00001B9F0000}"/>
    <cellStyle name="Normal 58 3 5 4 2 3" xfId="10576" xr:uid="{00000000-0005-0000-0000-00001C9F0000}"/>
    <cellStyle name="Normal 58 3 5 4 2 3 2" xfId="36133" xr:uid="{00000000-0005-0000-0000-00001D9F0000}"/>
    <cellStyle name="Normal 58 3 5 4 2 4" xfId="19399" xr:uid="{00000000-0005-0000-0000-00001E9F0000}"/>
    <cellStyle name="Normal 58 3 5 4 2 4 2" xfId="44952" xr:uid="{00000000-0005-0000-0000-00001F9F0000}"/>
    <cellStyle name="Normal 58 3 5 4 2 5" xfId="30889" xr:uid="{00000000-0005-0000-0000-0000209F0000}"/>
    <cellStyle name="Normal 58 3 5 4 3" xfId="6773" xr:uid="{00000000-0005-0000-0000-0000219F0000}"/>
    <cellStyle name="Normal 58 3 5 4 3 2" xfId="15600" xr:uid="{00000000-0005-0000-0000-0000229F0000}"/>
    <cellStyle name="Normal 58 3 5 4 3 2 2" xfId="41155" xr:uid="{00000000-0005-0000-0000-0000239F0000}"/>
    <cellStyle name="Normal 58 3 5 4 3 3" xfId="25851" xr:uid="{00000000-0005-0000-0000-0000249F0000}"/>
    <cellStyle name="Normal 58 3 5 4 3 3 2" xfId="51404" xr:uid="{00000000-0005-0000-0000-0000259F0000}"/>
    <cellStyle name="Normal 58 3 5 4 3 4" xfId="32334" xr:uid="{00000000-0005-0000-0000-0000269F0000}"/>
    <cellStyle name="Normal 58 3 5 4 4" xfId="8219" xr:uid="{00000000-0005-0000-0000-0000279F0000}"/>
    <cellStyle name="Normal 58 3 5 4 4 2" xfId="22301" xr:uid="{00000000-0005-0000-0000-0000289F0000}"/>
    <cellStyle name="Normal 58 3 5 4 4 2 2" xfId="47854" xr:uid="{00000000-0005-0000-0000-0000299F0000}"/>
    <cellStyle name="Normal 58 3 5 4 4 3" xfId="33776" xr:uid="{00000000-0005-0000-0000-00002A9F0000}"/>
    <cellStyle name="Normal 58 3 5 4 5" xfId="17294" xr:uid="{00000000-0005-0000-0000-00002B9F0000}"/>
    <cellStyle name="Normal 58 3 5 4 5 2" xfId="42847" xr:uid="{00000000-0005-0000-0000-00002C9F0000}"/>
    <cellStyle name="Normal 58 3 5 4 6" xfId="28784" xr:uid="{00000000-0005-0000-0000-00002D9F0000}"/>
    <cellStyle name="Normal 58 3 5 5" xfId="4274" xr:uid="{00000000-0005-0000-0000-00002E9F0000}"/>
    <cellStyle name="Normal 58 3 5 5 2" xfId="13112" xr:uid="{00000000-0005-0000-0000-00002F9F0000}"/>
    <cellStyle name="Normal 58 3 5 5 2 2" xfId="23363" xr:uid="{00000000-0005-0000-0000-0000309F0000}"/>
    <cellStyle name="Normal 58 3 5 5 2 2 2" xfId="48916" xr:uid="{00000000-0005-0000-0000-0000319F0000}"/>
    <cellStyle name="Normal 58 3 5 5 2 3" xfId="38667" xr:uid="{00000000-0005-0000-0000-0000329F0000}"/>
    <cellStyle name="Normal 58 3 5 5 3" xfId="9533" xr:uid="{00000000-0005-0000-0000-0000339F0000}"/>
    <cellStyle name="Normal 58 3 5 5 3 2" xfId="35090" xr:uid="{00000000-0005-0000-0000-0000349F0000}"/>
    <cellStyle name="Normal 58 3 5 5 4" xfId="18356" xr:uid="{00000000-0005-0000-0000-0000359F0000}"/>
    <cellStyle name="Normal 58 3 5 5 4 2" xfId="43909" xr:uid="{00000000-0005-0000-0000-0000369F0000}"/>
    <cellStyle name="Normal 58 3 5 5 5" xfId="29846" xr:uid="{00000000-0005-0000-0000-0000379F0000}"/>
    <cellStyle name="Normal 58 3 5 6" xfId="1546" xr:uid="{00000000-0005-0000-0000-0000389F0000}"/>
    <cellStyle name="Normal 58 3 5 6 2" xfId="10923" xr:uid="{00000000-0005-0000-0000-0000399F0000}"/>
    <cellStyle name="Normal 58 3 5 6 2 2" xfId="36478" xr:uid="{00000000-0005-0000-0000-00003A9F0000}"/>
    <cellStyle name="Normal 58 3 5 6 3" xfId="20927" xr:uid="{00000000-0005-0000-0000-00003B9F0000}"/>
    <cellStyle name="Normal 58 3 5 6 3 2" xfId="46480" xr:uid="{00000000-0005-0000-0000-00003C9F0000}"/>
    <cellStyle name="Normal 58 3 5 6 4" xfId="27410" xr:uid="{00000000-0005-0000-0000-00003D9F0000}"/>
    <cellStyle name="Normal 58 3 5 7" xfId="5730" xr:uid="{00000000-0005-0000-0000-00003E9F0000}"/>
    <cellStyle name="Normal 58 3 5 7 2" xfId="14557" xr:uid="{00000000-0005-0000-0000-00003F9F0000}"/>
    <cellStyle name="Normal 58 3 5 7 2 2" xfId="40112" xr:uid="{00000000-0005-0000-0000-0000409F0000}"/>
    <cellStyle name="Normal 58 3 5 7 3" xfId="24808" xr:uid="{00000000-0005-0000-0000-0000419F0000}"/>
    <cellStyle name="Normal 58 3 5 7 3 2" xfId="50361" xr:uid="{00000000-0005-0000-0000-0000429F0000}"/>
    <cellStyle name="Normal 58 3 5 7 4" xfId="31291" xr:uid="{00000000-0005-0000-0000-0000439F0000}"/>
    <cellStyle name="Normal 58 3 5 8" xfId="7174" xr:uid="{00000000-0005-0000-0000-0000449F0000}"/>
    <cellStyle name="Normal 58 3 5 8 2" xfId="19900" xr:uid="{00000000-0005-0000-0000-0000459F0000}"/>
    <cellStyle name="Normal 58 3 5 8 2 2" xfId="45453" xr:uid="{00000000-0005-0000-0000-0000469F0000}"/>
    <cellStyle name="Normal 58 3 5 8 3" xfId="32731" xr:uid="{00000000-0005-0000-0000-0000479F0000}"/>
    <cellStyle name="Normal 58 3 5 9" xfId="15920" xr:uid="{00000000-0005-0000-0000-0000489F0000}"/>
    <cellStyle name="Normal 58 3 5 9 2" xfId="41473" xr:uid="{00000000-0005-0000-0000-0000499F0000}"/>
    <cellStyle name="Normal 58 3 5_Degree data" xfId="4002" xr:uid="{00000000-0005-0000-0000-00004A9F0000}"/>
    <cellStyle name="Normal 58 3 6" xfId="302" xr:uid="{00000000-0005-0000-0000-00004B9F0000}"/>
    <cellStyle name="Normal 58 3 6 10" xfId="26231" xr:uid="{00000000-0005-0000-0000-00004C9F0000}"/>
    <cellStyle name="Normal 58 3 6 2" xfId="897" xr:uid="{00000000-0005-0000-0000-00004D9F0000}"/>
    <cellStyle name="Normal 58 3 6 2 2" xfId="3382" xr:uid="{00000000-0005-0000-0000-00004E9F0000}"/>
    <cellStyle name="Normal 58 3 6 2 2 2" xfId="12524" xr:uid="{00000000-0005-0000-0000-00004F9F0000}"/>
    <cellStyle name="Normal 58 3 6 2 2 2 2" xfId="22743" xr:uid="{00000000-0005-0000-0000-0000509F0000}"/>
    <cellStyle name="Normal 58 3 6 2 2 2 2 2" xfId="48296" xr:uid="{00000000-0005-0000-0000-0000519F0000}"/>
    <cellStyle name="Normal 58 3 6 2 2 2 3" xfId="38079" xr:uid="{00000000-0005-0000-0000-0000529F0000}"/>
    <cellStyle name="Normal 58 3 6 2 2 3" xfId="8946" xr:uid="{00000000-0005-0000-0000-0000539F0000}"/>
    <cellStyle name="Normal 58 3 6 2 2 3 2" xfId="34503" xr:uid="{00000000-0005-0000-0000-0000549F0000}"/>
    <cellStyle name="Normal 58 3 6 2 2 4" xfId="17736" xr:uid="{00000000-0005-0000-0000-0000559F0000}"/>
    <cellStyle name="Normal 58 3 6 2 2 4 2" xfId="43289" xr:uid="{00000000-0005-0000-0000-0000569F0000}"/>
    <cellStyle name="Normal 58 3 6 2 2 5" xfId="29226" xr:uid="{00000000-0005-0000-0000-0000579F0000}"/>
    <cellStyle name="Normal 58 3 6 2 3" xfId="4711" xr:uid="{00000000-0005-0000-0000-0000589F0000}"/>
    <cellStyle name="Normal 58 3 6 2 3 2" xfId="13549" xr:uid="{00000000-0005-0000-0000-0000599F0000}"/>
    <cellStyle name="Normal 58 3 6 2 3 2 2" xfId="23800" xr:uid="{00000000-0005-0000-0000-00005A9F0000}"/>
    <cellStyle name="Normal 58 3 6 2 3 2 2 2" xfId="49353" xr:uid="{00000000-0005-0000-0000-00005B9F0000}"/>
    <cellStyle name="Normal 58 3 6 2 3 2 3" xfId="39104" xr:uid="{00000000-0005-0000-0000-00005C9F0000}"/>
    <cellStyle name="Normal 58 3 6 2 3 3" xfId="9970" xr:uid="{00000000-0005-0000-0000-00005D9F0000}"/>
    <cellStyle name="Normal 58 3 6 2 3 3 2" xfId="35527" xr:uid="{00000000-0005-0000-0000-00005E9F0000}"/>
    <cellStyle name="Normal 58 3 6 2 3 4" xfId="18793" xr:uid="{00000000-0005-0000-0000-00005F9F0000}"/>
    <cellStyle name="Normal 58 3 6 2 3 4 2" xfId="44346" xr:uid="{00000000-0005-0000-0000-0000609F0000}"/>
    <cellStyle name="Normal 58 3 6 2 3 5" xfId="30283" xr:uid="{00000000-0005-0000-0000-0000619F0000}"/>
    <cellStyle name="Normal 58 3 6 2 4" xfId="2491" xr:uid="{00000000-0005-0000-0000-0000629F0000}"/>
    <cellStyle name="Normal 58 3 6 2 4 2" xfId="11856" xr:uid="{00000000-0005-0000-0000-0000639F0000}"/>
    <cellStyle name="Normal 58 3 6 2 4 2 2" xfId="37411" xr:uid="{00000000-0005-0000-0000-0000649F0000}"/>
    <cellStyle name="Normal 58 3 6 2 4 3" xfId="21860" xr:uid="{00000000-0005-0000-0000-0000659F0000}"/>
    <cellStyle name="Normal 58 3 6 2 4 3 2" xfId="47413" xr:uid="{00000000-0005-0000-0000-0000669F0000}"/>
    <cellStyle name="Normal 58 3 6 2 4 4" xfId="28343" xr:uid="{00000000-0005-0000-0000-0000679F0000}"/>
    <cellStyle name="Normal 58 3 6 2 5" xfId="6167" xr:uid="{00000000-0005-0000-0000-0000689F0000}"/>
    <cellStyle name="Normal 58 3 6 2 5 2" xfId="14994" xr:uid="{00000000-0005-0000-0000-0000699F0000}"/>
    <cellStyle name="Normal 58 3 6 2 5 2 2" xfId="40549" xr:uid="{00000000-0005-0000-0000-00006A9F0000}"/>
    <cellStyle name="Normal 58 3 6 2 5 3" xfId="25245" xr:uid="{00000000-0005-0000-0000-00006B9F0000}"/>
    <cellStyle name="Normal 58 3 6 2 5 3 2" xfId="50798" xr:uid="{00000000-0005-0000-0000-00006C9F0000}"/>
    <cellStyle name="Normal 58 3 6 2 5 4" xfId="31728" xr:uid="{00000000-0005-0000-0000-00006D9F0000}"/>
    <cellStyle name="Normal 58 3 6 2 6" xfId="7612" xr:uid="{00000000-0005-0000-0000-00006E9F0000}"/>
    <cellStyle name="Normal 58 3 6 2 6 2" xfId="20342" xr:uid="{00000000-0005-0000-0000-00006F9F0000}"/>
    <cellStyle name="Normal 58 3 6 2 6 2 2" xfId="45895" xr:uid="{00000000-0005-0000-0000-0000709F0000}"/>
    <cellStyle name="Normal 58 3 6 2 6 3" xfId="33169" xr:uid="{00000000-0005-0000-0000-0000719F0000}"/>
    <cellStyle name="Normal 58 3 6 2 7" xfId="16853" xr:uid="{00000000-0005-0000-0000-0000729F0000}"/>
    <cellStyle name="Normal 58 3 6 2 7 2" xfId="42406" xr:uid="{00000000-0005-0000-0000-0000739F0000}"/>
    <cellStyle name="Normal 58 3 6 2 8" xfId="26825" xr:uid="{00000000-0005-0000-0000-0000749F0000}"/>
    <cellStyle name="Normal 58 3 6 3" xfId="1074" xr:uid="{00000000-0005-0000-0000-0000759F0000}"/>
    <cellStyle name="Normal 58 3 6 3 2" xfId="3503" xr:uid="{00000000-0005-0000-0000-0000769F0000}"/>
    <cellStyle name="Normal 58 3 6 3 2 2" xfId="12639" xr:uid="{00000000-0005-0000-0000-0000779F0000}"/>
    <cellStyle name="Normal 58 3 6 3 2 2 2" xfId="22858" xr:uid="{00000000-0005-0000-0000-0000789F0000}"/>
    <cellStyle name="Normal 58 3 6 3 2 2 2 2" xfId="48411" xr:uid="{00000000-0005-0000-0000-0000799F0000}"/>
    <cellStyle name="Normal 58 3 6 3 2 2 3" xfId="38194" xr:uid="{00000000-0005-0000-0000-00007A9F0000}"/>
    <cellStyle name="Normal 58 3 6 3 2 3" xfId="9061" xr:uid="{00000000-0005-0000-0000-00007B9F0000}"/>
    <cellStyle name="Normal 58 3 6 3 2 3 2" xfId="34618" xr:uid="{00000000-0005-0000-0000-00007C9F0000}"/>
    <cellStyle name="Normal 58 3 6 3 2 4" xfId="17851" xr:uid="{00000000-0005-0000-0000-00007D9F0000}"/>
    <cellStyle name="Normal 58 3 6 3 2 4 2" xfId="43404" xr:uid="{00000000-0005-0000-0000-00007E9F0000}"/>
    <cellStyle name="Normal 58 3 6 3 2 5" xfId="29341" xr:uid="{00000000-0005-0000-0000-00007F9F0000}"/>
    <cellStyle name="Normal 58 3 6 3 3" xfId="5060" xr:uid="{00000000-0005-0000-0000-0000809F0000}"/>
    <cellStyle name="Normal 58 3 6 3 3 2" xfId="13897" xr:uid="{00000000-0005-0000-0000-0000819F0000}"/>
    <cellStyle name="Normal 58 3 6 3 3 2 2" xfId="24148" xr:uid="{00000000-0005-0000-0000-0000829F0000}"/>
    <cellStyle name="Normal 58 3 6 3 3 2 2 2" xfId="49701" xr:uid="{00000000-0005-0000-0000-0000839F0000}"/>
    <cellStyle name="Normal 58 3 6 3 3 2 3" xfId="39452" xr:uid="{00000000-0005-0000-0000-0000849F0000}"/>
    <cellStyle name="Normal 58 3 6 3 3 3" xfId="10318" xr:uid="{00000000-0005-0000-0000-0000859F0000}"/>
    <cellStyle name="Normal 58 3 6 3 3 3 2" xfId="35875" xr:uid="{00000000-0005-0000-0000-0000869F0000}"/>
    <cellStyle name="Normal 58 3 6 3 3 4" xfId="19141" xr:uid="{00000000-0005-0000-0000-0000879F0000}"/>
    <cellStyle name="Normal 58 3 6 3 3 4 2" xfId="44694" xr:uid="{00000000-0005-0000-0000-0000889F0000}"/>
    <cellStyle name="Normal 58 3 6 3 3 5" xfId="30631" xr:uid="{00000000-0005-0000-0000-0000899F0000}"/>
    <cellStyle name="Normal 58 3 6 3 4" xfId="2595" xr:uid="{00000000-0005-0000-0000-00008A9F0000}"/>
    <cellStyle name="Normal 58 3 6 3 4 2" xfId="11959" xr:uid="{00000000-0005-0000-0000-00008B9F0000}"/>
    <cellStyle name="Normal 58 3 6 3 4 2 2" xfId="37514" xr:uid="{00000000-0005-0000-0000-00008C9F0000}"/>
    <cellStyle name="Normal 58 3 6 3 4 3" xfId="21963" xr:uid="{00000000-0005-0000-0000-00008D9F0000}"/>
    <cellStyle name="Normal 58 3 6 3 4 3 2" xfId="47516" xr:uid="{00000000-0005-0000-0000-00008E9F0000}"/>
    <cellStyle name="Normal 58 3 6 3 4 4" xfId="28446" xr:uid="{00000000-0005-0000-0000-00008F9F0000}"/>
    <cellStyle name="Normal 58 3 6 3 5" xfId="6515" xr:uid="{00000000-0005-0000-0000-0000909F0000}"/>
    <cellStyle name="Normal 58 3 6 3 5 2" xfId="15342" xr:uid="{00000000-0005-0000-0000-0000919F0000}"/>
    <cellStyle name="Normal 58 3 6 3 5 2 2" xfId="40897" xr:uid="{00000000-0005-0000-0000-0000929F0000}"/>
    <cellStyle name="Normal 58 3 6 3 5 3" xfId="25593" xr:uid="{00000000-0005-0000-0000-0000939F0000}"/>
    <cellStyle name="Normal 58 3 6 3 5 3 2" xfId="51146" xr:uid="{00000000-0005-0000-0000-0000949F0000}"/>
    <cellStyle name="Normal 58 3 6 3 5 4" xfId="32076" xr:uid="{00000000-0005-0000-0000-0000959F0000}"/>
    <cellStyle name="Normal 58 3 6 3 6" xfId="7961" xr:uid="{00000000-0005-0000-0000-0000969F0000}"/>
    <cellStyle name="Normal 58 3 6 3 6 2" xfId="20457" xr:uid="{00000000-0005-0000-0000-0000979F0000}"/>
    <cellStyle name="Normal 58 3 6 3 6 2 2" xfId="46010" xr:uid="{00000000-0005-0000-0000-0000989F0000}"/>
    <cellStyle name="Normal 58 3 6 3 6 3" xfId="33518" xr:uid="{00000000-0005-0000-0000-0000999F0000}"/>
    <cellStyle name="Normal 58 3 6 3 7" xfId="16956" xr:uid="{00000000-0005-0000-0000-00009A9F0000}"/>
    <cellStyle name="Normal 58 3 6 3 7 2" xfId="42509" xr:uid="{00000000-0005-0000-0000-00009B9F0000}"/>
    <cellStyle name="Normal 58 3 6 3 8" xfId="26940" xr:uid="{00000000-0005-0000-0000-00009C9F0000}"/>
    <cellStyle name="Normal 58 3 6 4" xfId="2788" xr:uid="{00000000-0005-0000-0000-00009D9F0000}"/>
    <cellStyle name="Normal 58 3 6 4 2" xfId="5166" xr:uid="{00000000-0005-0000-0000-00009E9F0000}"/>
    <cellStyle name="Normal 58 3 6 4 2 2" xfId="14003" xr:uid="{00000000-0005-0000-0000-00009F9F0000}"/>
    <cellStyle name="Normal 58 3 6 4 2 2 2" xfId="24254" xr:uid="{00000000-0005-0000-0000-0000A09F0000}"/>
    <cellStyle name="Normal 58 3 6 4 2 2 2 2" xfId="49807" xr:uid="{00000000-0005-0000-0000-0000A19F0000}"/>
    <cellStyle name="Normal 58 3 6 4 2 2 3" xfId="39558" xr:uid="{00000000-0005-0000-0000-0000A29F0000}"/>
    <cellStyle name="Normal 58 3 6 4 2 3" xfId="10424" xr:uid="{00000000-0005-0000-0000-0000A39F0000}"/>
    <cellStyle name="Normal 58 3 6 4 2 3 2" xfId="35981" xr:uid="{00000000-0005-0000-0000-0000A49F0000}"/>
    <cellStyle name="Normal 58 3 6 4 2 4" xfId="19247" xr:uid="{00000000-0005-0000-0000-0000A59F0000}"/>
    <cellStyle name="Normal 58 3 6 4 2 4 2" xfId="44800" xr:uid="{00000000-0005-0000-0000-0000A69F0000}"/>
    <cellStyle name="Normal 58 3 6 4 2 5" xfId="30737" xr:uid="{00000000-0005-0000-0000-0000A79F0000}"/>
    <cellStyle name="Normal 58 3 6 4 3" xfId="6621" xr:uid="{00000000-0005-0000-0000-0000A89F0000}"/>
    <cellStyle name="Normal 58 3 6 4 3 2" xfId="15448" xr:uid="{00000000-0005-0000-0000-0000A99F0000}"/>
    <cellStyle name="Normal 58 3 6 4 3 2 2" xfId="41003" xr:uid="{00000000-0005-0000-0000-0000AA9F0000}"/>
    <cellStyle name="Normal 58 3 6 4 3 3" xfId="25699" xr:uid="{00000000-0005-0000-0000-0000AB9F0000}"/>
    <cellStyle name="Normal 58 3 6 4 3 3 2" xfId="51252" xr:uid="{00000000-0005-0000-0000-0000AC9F0000}"/>
    <cellStyle name="Normal 58 3 6 4 3 4" xfId="32182" xr:uid="{00000000-0005-0000-0000-0000AD9F0000}"/>
    <cellStyle name="Normal 58 3 6 4 4" xfId="8067" xr:uid="{00000000-0005-0000-0000-0000AE9F0000}"/>
    <cellStyle name="Normal 58 3 6 4 4 2" xfId="22149" xr:uid="{00000000-0005-0000-0000-0000AF9F0000}"/>
    <cellStyle name="Normal 58 3 6 4 4 2 2" xfId="47702" xr:uid="{00000000-0005-0000-0000-0000B09F0000}"/>
    <cellStyle name="Normal 58 3 6 4 4 3" xfId="33624" xr:uid="{00000000-0005-0000-0000-0000B19F0000}"/>
    <cellStyle name="Normal 58 3 6 4 5" xfId="17142" xr:uid="{00000000-0005-0000-0000-0000B29F0000}"/>
    <cellStyle name="Normal 58 3 6 4 5 2" xfId="42695" xr:uid="{00000000-0005-0000-0000-0000B39F0000}"/>
    <cellStyle name="Normal 58 3 6 4 6" xfId="28632" xr:uid="{00000000-0005-0000-0000-0000B49F0000}"/>
    <cellStyle name="Normal 58 3 6 5" xfId="4120" xr:uid="{00000000-0005-0000-0000-0000B59F0000}"/>
    <cellStyle name="Normal 58 3 6 5 2" xfId="12958" xr:uid="{00000000-0005-0000-0000-0000B69F0000}"/>
    <cellStyle name="Normal 58 3 6 5 2 2" xfId="23209" xr:uid="{00000000-0005-0000-0000-0000B79F0000}"/>
    <cellStyle name="Normal 58 3 6 5 2 2 2" xfId="48762" xr:uid="{00000000-0005-0000-0000-0000B89F0000}"/>
    <cellStyle name="Normal 58 3 6 5 2 3" xfId="38513" xr:uid="{00000000-0005-0000-0000-0000B99F0000}"/>
    <cellStyle name="Normal 58 3 6 5 3" xfId="9379" xr:uid="{00000000-0005-0000-0000-0000BA9F0000}"/>
    <cellStyle name="Normal 58 3 6 5 3 2" xfId="34936" xr:uid="{00000000-0005-0000-0000-0000BB9F0000}"/>
    <cellStyle name="Normal 58 3 6 5 4" xfId="18202" xr:uid="{00000000-0005-0000-0000-0000BC9F0000}"/>
    <cellStyle name="Normal 58 3 6 5 4 2" xfId="43755" xr:uid="{00000000-0005-0000-0000-0000BD9F0000}"/>
    <cellStyle name="Normal 58 3 6 5 5" xfId="29692" xr:uid="{00000000-0005-0000-0000-0000BE9F0000}"/>
    <cellStyle name="Normal 58 3 6 6" xfId="1897" xr:uid="{00000000-0005-0000-0000-0000BF9F0000}"/>
    <cellStyle name="Normal 58 3 6 6 2" xfId="11262" xr:uid="{00000000-0005-0000-0000-0000C09F0000}"/>
    <cellStyle name="Normal 58 3 6 6 2 2" xfId="36817" xr:uid="{00000000-0005-0000-0000-0000C19F0000}"/>
    <cellStyle name="Normal 58 3 6 6 3" xfId="21266" xr:uid="{00000000-0005-0000-0000-0000C29F0000}"/>
    <cellStyle name="Normal 58 3 6 6 3 2" xfId="46819" xr:uid="{00000000-0005-0000-0000-0000C39F0000}"/>
    <cellStyle name="Normal 58 3 6 6 4" xfId="27749" xr:uid="{00000000-0005-0000-0000-0000C49F0000}"/>
    <cellStyle name="Normal 58 3 6 7" xfId="5578" xr:uid="{00000000-0005-0000-0000-0000C59F0000}"/>
    <cellStyle name="Normal 58 3 6 7 2" xfId="14405" xr:uid="{00000000-0005-0000-0000-0000C69F0000}"/>
    <cellStyle name="Normal 58 3 6 7 2 2" xfId="39960" xr:uid="{00000000-0005-0000-0000-0000C79F0000}"/>
    <cellStyle name="Normal 58 3 6 7 3" xfId="24656" xr:uid="{00000000-0005-0000-0000-0000C89F0000}"/>
    <cellStyle name="Normal 58 3 6 7 3 2" xfId="50209" xr:uid="{00000000-0005-0000-0000-0000C99F0000}"/>
    <cellStyle name="Normal 58 3 6 7 4" xfId="31139" xr:uid="{00000000-0005-0000-0000-0000CA9F0000}"/>
    <cellStyle name="Normal 58 3 6 8" xfId="7022" xr:uid="{00000000-0005-0000-0000-0000CB9F0000}"/>
    <cellStyle name="Normal 58 3 6 8 2" xfId="19748" xr:uid="{00000000-0005-0000-0000-0000CC9F0000}"/>
    <cellStyle name="Normal 58 3 6 8 2 2" xfId="45301" xr:uid="{00000000-0005-0000-0000-0000CD9F0000}"/>
    <cellStyle name="Normal 58 3 6 8 3" xfId="32579" xr:uid="{00000000-0005-0000-0000-0000CE9F0000}"/>
    <cellStyle name="Normal 58 3 6 9" xfId="16259" xr:uid="{00000000-0005-0000-0000-0000CF9F0000}"/>
    <cellStyle name="Normal 58 3 6 9 2" xfId="41812" xr:uid="{00000000-0005-0000-0000-0000D09F0000}"/>
    <cellStyle name="Normal 58 3 6_Degree data" xfId="4003" xr:uid="{00000000-0005-0000-0000-0000D19F0000}"/>
    <cellStyle name="Normal 58 3 7" xfId="886" xr:uid="{00000000-0005-0000-0000-0000D29F0000}"/>
    <cellStyle name="Normal 58 3 7 2" xfId="3371" xr:uid="{00000000-0005-0000-0000-0000D39F0000}"/>
    <cellStyle name="Normal 58 3 7 2 2" xfId="12513" xr:uid="{00000000-0005-0000-0000-0000D49F0000}"/>
    <cellStyle name="Normal 58 3 7 2 2 2" xfId="22732" xr:uid="{00000000-0005-0000-0000-0000D59F0000}"/>
    <cellStyle name="Normal 58 3 7 2 2 2 2" xfId="48285" xr:uid="{00000000-0005-0000-0000-0000D69F0000}"/>
    <cellStyle name="Normal 58 3 7 2 2 3" xfId="38068" xr:uid="{00000000-0005-0000-0000-0000D79F0000}"/>
    <cellStyle name="Normal 58 3 7 2 3" xfId="8935" xr:uid="{00000000-0005-0000-0000-0000D89F0000}"/>
    <cellStyle name="Normal 58 3 7 2 3 2" xfId="34492" xr:uid="{00000000-0005-0000-0000-0000D99F0000}"/>
    <cellStyle name="Normal 58 3 7 2 4" xfId="17725" xr:uid="{00000000-0005-0000-0000-0000DA9F0000}"/>
    <cellStyle name="Normal 58 3 7 2 4 2" xfId="43278" xr:uid="{00000000-0005-0000-0000-0000DB9F0000}"/>
    <cellStyle name="Normal 58 3 7 2 5" xfId="29215" xr:uid="{00000000-0005-0000-0000-0000DC9F0000}"/>
    <cellStyle name="Normal 58 3 7 3" xfId="4700" xr:uid="{00000000-0005-0000-0000-0000DD9F0000}"/>
    <cellStyle name="Normal 58 3 7 3 2" xfId="13538" xr:uid="{00000000-0005-0000-0000-0000DE9F0000}"/>
    <cellStyle name="Normal 58 3 7 3 2 2" xfId="23789" xr:uid="{00000000-0005-0000-0000-0000DF9F0000}"/>
    <cellStyle name="Normal 58 3 7 3 2 2 2" xfId="49342" xr:uid="{00000000-0005-0000-0000-0000E09F0000}"/>
    <cellStyle name="Normal 58 3 7 3 2 3" xfId="39093" xr:uid="{00000000-0005-0000-0000-0000E19F0000}"/>
    <cellStyle name="Normal 58 3 7 3 3" xfId="9959" xr:uid="{00000000-0005-0000-0000-0000E29F0000}"/>
    <cellStyle name="Normal 58 3 7 3 3 2" xfId="35516" xr:uid="{00000000-0005-0000-0000-0000E39F0000}"/>
    <cellStyle name="Normal 58 3 7 3 4" xfId="18782" xr:uid="{00000000-0005-0000-0000-0000E49F0000}"/>
    <cellStyle name="Normal 58 3 7 3 4 2" xfId="44335" xr:uid="{00000000-0005-0000-0000-0000E59F0000}"/>
    <cellStyle name="Normal 58 3 7 3 5" xfId="30272" xr:uid="{00000000-0005-0000-0000-0000E69F0000}"/>
    <cellStyle name="Normal 58 3 7 4" xfId="2480" xr:uid="{00000000-0005-0000-0000-0000E79F0000}"/>
    <cellStyle name="Normal 58 3 7 4 2" xfId="11845" xr:uid="{00000000-0005-0000-0000-0000E89F0000}"/>
    <cellStyle name="Normal 58 3 7 4 2 2" xfId="37400" xr:uid="{00000000-0005-0000-0000-0000E99F0000}"/>
    <cellStyle name="Normal 58 3 7 4 3" xfId="21849" xr:uid="{00000000-0005-0000-0000-0000EA9F0000}"/>
    <cellStyle name="Normal 58 3 7 4 3 2" xfId="47402" xr:uid="{00000000-0005-0000-0000-0000EB9F0000}"/>
    <cellStyle name="Normal 58 3 7 4 4" xfId="28332" xr:uid="{00000000-0005-0000-0000-0000EC9F0000}"/>
    <cellStyle name="Normal 58 3 7 5" xfId="6156" xr:uid="{00000000-0005-0000-0000-0000ED9F0000}"/>
    <cellStyle name="Normal 58 3 7 5 2" xfId="14983" xr:uid="{00000000-0005-0000-0000-0000EE9F0000}"/>
    <cellStyle name="Normal 58 3 7 5 2 2" xfId="40538" xr:uid="{00000000-0005-0000-0000-0000EF9F0000}"/>
    <cellStyle name="Normal 58 3 7 5 3" xfId="25234" xr:uid="{00000000-0005-0000-0000-0000F09F0000}"/>
    <cellStyle name="Normal 58 3 7 5 3 2" xfId="50787" xr:uid="{00000000-0005-0000-0000-0000F19F0000}"/>
    <cellStyle name="Normal 58 3 7 5 4" xfId="31717" xr:uid="{00000000-0005-0000-0000-0000F29F0000}"/>
    <cellStyle name="Normal 58 3 7 6" xfId="7601" xr:uid="{00000000-0005-0000-0000-0000F39F0000}"/>
    <cellStyle name="Normal 58 3 7 6 2" xfId="20331" xr:uid="{00000000-0005-0000-0000-0000F49F0000}"/>
    <cellStyle name="Normal 58 3 7 6 2 2" xfId="45884" xr:uid="{00000000-0005-0000-0000-0000F59F0000}"/>
    <cellStyle name="Normal 58 3 7 6 3" xfId="33158" xr:uid="{00000000-0005-0000-0000-0000F69F0000}"/>
    <cellStyle name="Normal 58 3 7 7" xfId="16842" xr:uid="{00000000-0005-0000-0000-0000F79F0000}"/>
    <cellStyle name="Normal 58 3 7 7 2" xfId="42395" xr:uid="{00000000-0005-0000-0000-0000F89F0000}"/>
    <cellStyle name="Normal 58 3 7 8" xfId="26814" xr:uid="{00000000-0005-0000-0000-0000F99F0000}"/>
    <cellStyle name="Normal 58 3 8" xfId="1054" xr:uid="{00000000-0005-0000-0000-0000FA9F0000}"/>
    <cellStyle name="Normal 58 3 8 2" xfId="3483" xr:uid="{00000000-0005-0000-0000-0000FB9F0000}"/>
    <cellStyle name="Normal 58 3 8 2 2" xfId="12619" xr:uid="{00000000-0005-0000-0000-0000FC9F0000}"/>
    <cellStyle name="Normal 58 3 8 2 2 2" xfId="22838" xr:uid="{00000000-0005-0000-0000-0000FD9F0000}"/>
    <cellStyle name="Normal 58 3 8 2 2 2 2" xfId="48391" xr:uid="{00000000-0005-0000-0000-0000FE9F0000}"/>
    <cellStyle name="Normal 58 3 8 2 2 3" xfId="38174" xr:uid="{00000000-0005-0000-0000-0000FF9F0000}"/>
    <cellStyle name="Normal 58 3 8 2 3" xfId="9041" xr:uid="{00000000-0005-0000-0000-000000A00000}"/>
    <cellStyle name="Normal 58 3 8 2 3 2" xfId="34598" xr:uid="{00000000-0005-0000-0000-000001A00000}"/>
    <cellStyle name="Normal 58 3 8 2 4" xfId="17831" xr:uid="{00000000-0005-0000-0000-000002A00000}"/>
    <cellStyle name="Normal 58 3 8 2 4 2" xfId="43384" xr:uid="{00000000-0005-0000-0000-000003A00000}"/>
    <cellStyle name="Normal 58 3 8 2 5" xfId="29321" xr:uid="{00000000-0005-0000-0000-000004A00000}"/>
    <cellStyle name="Normal 58 3 8 3" xfId="5049" xr:uid="{00000000-0005-0000-0000-000005A00000}"/>
    <cellStyle name="Normal 58 3 8 3 2" xfId="13886" xr:uid="{00000000-0005-0000-0000-000006A00000}"/>
    <cellStyle name="Normal 58 3 8 3 2 2" xfId="24137" xr:uid="{00000000-0005-0000-0000-000007A00000}"/>
    <cellStyle name="Normal 58 3 8 3 2 2 2" xfId="49690" xr:uid="{00000000-0005-0000-0000-000008A00000}"/>
    <cellStyle name="Normal 58 3 8 3 2 3" xfId="39441" xr:uid="{00000000-0005-0000-0000-000009A00000}"/>
    <cellStyle name="Normal 58 3 8 3 3" xfId="10307" xr:uid="{00000000-0005-0000-0000-00000AA00000}"/>
    <cellStyle name="Normal 58 3 8 3 3 2" xfId="35864" xr:uid="{00000000-0005-0000-0000-00000BA00000}"/>
    <cellStyle name="Normal 58 3 8 3 4" xfId="19130" xr:uid="{00000000-0005-0000-0000-00000CA00000}"/>
    <cellStyle name="Normal 58 3 8 3 4 2" xfId="44683" xr:uid="{00000000-0005-0000-0000-00000DA00000}"/>
    <cellStyle name="Normal 58 3 8 3 5" xfId="30620" xr:uid="{00000000-0005-0000-0000-00000EA00000}"/>
    <cellStyle name="Normal 58 3 8 4" xfId="1722" xr:uid="{00000000-0005-0000-0000-00000FA00000}"/>
    <cellStyle name="Normal 58 3 8 4 2" xfId="11096" xr:uid="{00000000-0005-0000-0000-000010A00000}"/>
    <cellStyle name="Normal 58 3 8 4 2 2" xfId="36651" xr:uid="{00000000-0005-0000-0000-000011A00000}"/>
    <cellStyle name="Normal 58 3 8 4 3" xfId="21100" xr:uid="{00000000-0005-0000-0000-000012A00000}"/>
    <cellStyle name="Normal 58 3 8 4 3 2" xfId="46653" xr:uid="{00000000-0005-0000-0000-000013A00000}"/>
    <cellStyle name="Normal 58 3 8 4 4" xfId="27583" xr:uid="{00000000-0005-0000-0000-000014A00000}"/>
    <cellStyle name="Normal 58 3 8 5" xfId="6504" xr:uid="{00000000-0005-0000-0000-000015A00000}"/>
    <cellStyle name="Normal 58 3 8 5 2" xfId="15331" xr:uid="{00000000-0005-0000-0000-000016A00000}"/>
    <cellStyle name="Normal 58 3 8 5 2 2" xfId="40886" xr:uid="{00000000-0005-0000-0000-000017A00000}"/>
    <cellStyle name="Normal 58 3 8 5 3" xfId="25582" xr:uid="{00000000-0005-0000-0000-000018A00000}"/>
    <cellStyle name="Normal 58 3 8 5 3 2" xfId="51135" xr:uid="{00000000-0005-0000-0000-000019A00000}"/>
    <cellStyle name="Normal 58 3 8 5 4" xfId="32065" xr:uid="{00000000-0005-0000-0000-00001AA00000}"/>
    <cellStyle name="Normal 58 3 8 6" xfId="7950" xr:uid="{00000000-0005-0000-0000-00001BA00000}"/>
    <cellStyle name="Normal 58 3 8 6 2" xfId="20437" xr:uid="{00000000-0005-0000-0000-00001CA00000}"/>
    <cellStyle name="Normal 58 3 8 6 2 2" xfId="45990" xr:uid="{00000000-0005-0000-0000-00001DA00000}"/>
    <cellStyle name="Normal 58 3 8 6 3" xfId="33507" xr:uid="{00000000-0005-0000-0000-00001EA00000}"/>
    <cellStyle name="Normal 58 3 8 7" xfId="16093" xr:uid="{00000000-0005-0000-0000-00001FA00000}"/>
    <cellStyle name="Normal 58 3 8 7 2" xfId="41646" xr:uid="{00000000-0005-0000-0000-000020A00000}"/>
    <cellStyle name="Normal 58 3 8 8" xfId="26920" xr:uid="{00000000-0005-0000-0000-000021A00000}"/>
    <cellStyle name="Normal 58 3 9" xfId="2620" xr:uid="{00000000-0005-0000-0000-000022A00000}"/>
    <cellStyle name="Normal 58 3 9 2" xfId="5146" xr:uid="{00000000-0005-0000-0000-000023A00000}"/>
    <cellStyle name="Normal 58 3 9 2 2" xfId="13983" xr:uid="{00000000-0005-0000-0000-000024A00000}"/>
    <cellStyle name="Normal 58 3 9 2 2 2" xfId="24234" xr:uid="{00000000-0005-0000-0000-000025A00000}"/>
    <cellStyle name="Normal 58 3 9 2 2 2 2" xfId="49787" xr:uid="{00000000-0005-0000-0000-000026A00000}"/>
    <cellStyle name="Normal 58 3 9 2 2 3" xfId="39538" xr:uid="{00000000-0005-0000-0000-000027A00000}"/>
    <cellStyle name="Normal 58 3 9 2 3" xfId="10404" xr:uid="{00000000-0005-0000-0000-000028A00000}"/>
    <cellStyle name="Normal 58 3 9 2 3 2" xfId="35961" xr:uid="{00000000-0005-0000-0000-000029A00000}"/>
    <cellStyle name="Normal 58 3 9 2 4" xfId="19227" xr:uid="{00000000-0005-0000-0000-00002AA00000}"/>
    <cellStyle name="Normal 58 3 9 2 4 2" xfId="44780" xr:uid="{00000000-0005-0000-0000-00002BA00000}"/>
    <cellStyle name="Normal 58 3 9 2 5" xfId="30717" xr:uid="{00000000-0005-0000-0000-00002CA00000}"/>
    <cellStyle name="Normal 58 3 9 3" xfId="6601" xr:uid="{00000000-0005-0000-0000-00002DA00000}"/>
    <cellStyle name="Normal 58 3 9 3 2" xfId="15428" xr:uid="{00000000-0005-0000-0000-00002EA00000}"/>
    <cellStyle name="Normal 58 3 9 3 2 2" xfId="40983" xr:uid="{00000000-0005-0000-0000-00002FA00000}"/>
    <cellStyle name="Normal 58 3 9 3 3" xfId="25679" xr:uid="{00000000-0005-0000-0000-000030A00000}"/>
    <cellStyle name="Normal 58 3 9 3 3 2" xfId="51232" xr:uid="{00000000-0005-0000-0000-000031A00000}"/>
    <cellStyle name="Normal 58 3 9 3 4" xfId="32162" xr:uid="{00000000-0005-0000-0000-000032A00000}"/>
    <cellStyle name="Normal 58 3 9 4" xfId="8047" xr:uid="{00000000-0005-0000-0000-000033A00000}"/>
    <cellStyle name="Normal 58 3 9 4 2" xfId="21983" xr:uid="{00000000-0005-0000-0000-000034A00000}"/>
    <cellStyle name="Normal 58 3 9 4 2 2" xfId="47536" xr:uid="{00000000-0005-0000-0000-000035A00000}"/>
    <cellStyle name="Normal 58 3 9 4 3" xfId="33604" xr:uid="{00000000-0005-0000-0000-000036A00000}"/>
    <cellStyle name="Normal 58 3 9 5" xfId="16976" xr:uid="{00000000-0005-0000-0000-000037A00000}"/>
    <cellStyle name="Normal 58 3 9 5 2" xfId="42529" xr:uid="{00000000-0005-0000-0000-000038A00000}"/>
    <cellStyle name="Normal 58 3 9 6" xfId="28466" xr:uid="{00000000-0005-0000-0000-000039A00000}"/>
    <cellStyle name="Normal 58 3_Degree data" xfId="3992" xr:uid="{00000000-0005-0000-0000-00003AA00000}"/>
    <cellStyle name="Normal 58 4" xfId="127" xr:uid="{00000000-0005-0000-0000-00003BA00000}"/>
    <cellStyle name="Normal 58 4 10" xfId="4095" xr:uid="{00000000-0005-0000-0000-00003CA00000}"/>
    <cellStyle name="Normal 58 4 10 2" xfId="5553" xr:uid="{00000000-0005-0000-0000-00003DA00000}"/>
    <cellStyle name="Normal 58 4 10 2 2" xfId="14380" xr:uid="{00000000-0005-0000-0000-00003EA00000}"/>
    <cellStyle name="Normal 58 4 10 2 2 2" xfId="39935" xr:uid="{00000000-0005-0000-0000-00003FA00000}"/>
    <cellStyle name="Normal 58 4 10 2 3" xfId="24631" xr:uid="{00000000-0005-0000-0000-000040A00000}"/>
    <cellStyle name="Normal 58 4 10 2 3 2" xfId="50184" xr:uid="{00000000-0005-0000-0000-000041A00000}"/>
    <cellStyle name="Normal 58 4 10 2 4" xfId="31114" xr:uid="{00000000-0005-0000-0000-000042A00000}"/>
    <cellStyle name="Normal 58 4 10 3" xfId="6997" xr:uid="{00000000-0005-0000-0000-000043A00000}"/>
    <cellStyle name="Normal 58 4 10 3 2" xfId="23184" xr:uid="{00000000-0005-0000-0000-000044A00000}"/>
    <cellStyle name="Normal 58 4 10 3 2 2" xfId="48737" xr:uid="{00000000-0005-0000-0000-000045A00000}"/>
    <cellStyle name="Normal 58 4 10 3 3" xfId="32554" xr:uid="{00000000-0005-0000-0000-000046A00000}"/>
    <cellStyle name="Normal 58 4 10 4" xfId="18177" xr:uid="{00000000-0005-0000-0000-000047A00000}"/>
    <cellStyle name="Normal 58 4 10 4 2" xfId="43730" xr:uid="{00000000-0005-0000-0000-000048A00000}"/>
    <cellStyle name="Normal 58 4 10 5" xfId="29667" xr:uid="{00000000-0005-0000-0000-000049A00000}"/>
    <cellStyle name="Normal 58 4 11" xfId="1412" xr:uid="{00000000-0005-0000-0000-00004AA00000}"/>
    <cellStyle name="Normal 58 4 11 2" xfId="10789" xr:uid="{00000000-0005-0000-0000-00004BA00000}"/>
    <cellStyle name="Normal 58 4 11 2 2" xfId="36344" xr:uid="{00000000-0005-0000-0000-00004CA00000}"/>
    <cellStyle name="Normal 58 4 11 3" xfId="20793" xr:uid="{00000000-0005-0000-0000-00004DA00000}"/>
    <cellStyle name="Normal 58 4 11 3 2" xfId="46346" xr:uid="{00000000-0005-0000-0000-00004EA00000}"/>
    <cellStyle name="Normal 58 4 11 4" xfId="27276" xr:uid="{00000000-0005-0000-0000-00004FA00000}"/>
    <cellStyle name="Normal 58 4 12" xfId="5523" xr:uid="{00000000-0005-0000-0000-000050A00000}"/>
    <cellStyle name="Normal 58 4 12 2" xfId="14350" xr:uid="{00000000-0005-0000-0000-000051A00000}"/>
    <cellStyle name="Normal 58 4 12 2 2" xfId="39905" xr:uid="{00000000-0005-0000-0000-000052A00000}"/>
    <cellStyle name="Normal 58 4 12 3" xfId="24601" xr:uid="{00000000-0005-0000-0000-000053A00000}"/>
    <cellStyle name="Normal 58 4 12 3 2" xfId="50154" xr:uid="{00000000-0005-0000-0000-000054A00000}"/>
    <cellStyle name="Normal 58 4 12 4" xfId="31084" xr:uid="{00000000-0005-0000-0000-000055A00000}"/>
    <cellStyle name="Normal 58 4 13" xfId="6964" xr:uid="{00000000-0005-0000-0000-000056A00000}"/>
    <cellStyle name="Normal 58 4 13 2" xfId="19594" xr:uid="{00000000-0005-0000-0000-000057A00000}"/>
    <cellStyle name="Normal 58 4 13 2 2" xfId="45147" xr:uid="{00000000-0005-0000-0000-000058A00000}"/>
    <cellStyle name="Normal 58 4 13 3" xfId="32522" xr:uid="{00000000-0005-0000-0000-000059A00000}"/>
    <cellStyle name="Normal 58 4 14" xfId="15786" xr:uid="{00000000-0005-0000-0000-00005AA00000}"/>
    <cellStyle name="Normal 58 4 14 2" xfId="41339" xr:uid="{00000000-0005-0000-0000-00005BA00000}"/>
    <cellStyle name="Normal 58 4 15" xfId="26077" xr:uid="{00000000-0005-0000-0000-00005CA00000}"/>
    <cellStyle name="Normal 58 4 2" xfId="144" xr:uid="{00000000-0005-0000-0000-00005DA00000}"/>
    <cellStyle name="Normal 58 4 2 10" xfId="5655" xr:uid="{00000000-0005-0000-0000-00005EA00000}"/>
    <cellStyle name="Normal 58 4 2 10 2" xfId="14482" xr:uid="{00000000-0005-0000-0000-00005FA00000}"/>
    <cellStyle name="Normal 58 4 2 10 2 2" xfId="40037" xr:uid="{00000000-0005-0000-0000-000060A00000}"/>
    <cellStyle name="Normal 58 4 2 10 3" xfId="24733" xr:uid="{00000000-0005-0000-0000-000061A00000}"/>
    <cellStyle name="Normal 58 4 2 10 3 2" xfId="50286" xr:uid="{00000000-0005-0000-0000-000062A00000}"/>
    <cellStyle name="Normal 58 4 2 10 4" xfId="31216" xr:uid="{00000000-0005-0000-0000-000063A00000}"/>
    <cellStyle name="Normal 58 4 2 11" xfId="7099" xr:uid="{00000000-0005-0000-0000-000064A00000}"/>
    <cellStyle name="Normal 58 4 2 11 2" xfId="19608" xr:uid="{00000000-0005-0000-0000-000065A00000}"/>
    <cellStyle name="Normal 58 4 2 11 2 2" xfId="45161" xr:uid="{00000000-0005-0000-0000-000066A00000}"/>
    <cellStyle name="Normal 58 4 2 11 3" xfId="32656" xr:uid="{00000000-0005-0000-0000-000067A00000}"/>
    <cellStyle name="Normal 58 4 2 12" xfId="15845" xr:uid="{00000000-0005-0000-0000-000068A00000}"/>
    <cellStyle name="Normal 58 4 2 12 2" xfId="41398" xr:uid="{00000000-0005-0000-0000-000069A00000}"/>
    <cellStyle name="Normal 58 4 2 13" xfId="26091" xr:uid="{00000000-0005-0000-0000-00006AA00000}"/>
    <cellStyle name="Normal 58 4 2 2" xfId="260" xr:uid="{00000000-0005-0000-0000-00006BA00000}"/>
    <cellStyle name="Normal 58 4 2 2 10" xfId="16049" xr:uid="{00000000-0005-0000-0000-00006CA00000}"/>
    <cellStyle name="Normal 58 4 2 2 10 2" xfId="41602" xr:uid="{00000000-0005-0000-0000-00006DA00000}"/>
    <cellStyle name="Normal 58 4 2 2 11" xfId="26195" xr:uid="{00000000-0005-0000-0000-00006EA00000}"/>
    <cellStyle name="Normal 58 4 2 2 2" xfId="583" xr:uid="{00000000-0005-0000-0000-00006FA00000}"/>
    <cellStyle name="Normal 58 4 2 2 2 2" xfId="3069" xr:uid="{00000000-0005-0000-0000-000070A00000}"/>
    <cellStyle name="Normal 58 4 2 2 2 2 2" xfId="12220" xr:uid="{00000000-0005-0000-0000-000071A00000}"/>
    <cellStyle name="Normal 58 4 2 2 2 2 2 2" xfId="22430" xr:uid="{00000000-0005-0000-0000-000072A00000}"/>
    <cellStyle name="Normal 58 4 2 2 2 2 2 2 2" xfId="47983" xr:uid="{00000000-0005-0000-0000-000073A00000}"/>
    <cellStyle name="Normal 58 4 2 2 2 2 2 3" xfId="37775" xr:uid="{00000000-0005-0000-0000-000074A00000}"/>
    <cellStyle name="Normal 58 4 2 2 2 2 3" xfId="8642" xr:uid="{00000000-0005-0000-0000-000075A00000}"/>
    <cellStyle name="Normal 58 4 2 2 2 2 3 2" xfId="34199" xr:uid="{00000000-0005-0000-0000-000076A00000}"/>
    <cellStyle name="Normal 58 4 2 2 2 2 4" xfId="17423" xr:uid="{00000000-0005-0000-0000-000077A00000}"/>
    <cellStyle name="Normal 58 4 2 2 2 2 4 2" xfId="42976" xr:uid="{00000000-0005-0000-0000-000078A00000}"/>
    <cellStyle name="Normal 58 4 2 2 2 2 5" xfId="28913" xr:uid="{00000000-0005-0000-0000-000079A00000}"/>
    <cellStyle name="Normal 58 4 2 2 2 3" xfId="4714" xr:uid="{00000000-0005-0000-0000-00007AA00000}"/>
    <cellStyle name="Normal 58 4 2 2 2 3 2" xfId="13552" xr:uid="{00000000-0005-0000-0000-00007BA00000}"/>
    <cellStyle name="Normal 58 4 2 2 2 3 2 2" xfId="23803" xr:uid="{00000000-0005-0000-0000-00007CA00000}"/>
    <cellStyle name="Normal 58 4 2 2 2 3 2 2 2" xfId="49356" xr:uid="{00000000-0005-0000-0000-00007DA00000}"/>
    <cellStyle name="Normal 58 4 2 2 2 3 2 3" xfId="39107" xr:uid="{00000000-0005-0000-0000-00007EA00000}"/>
    <cellStyle name="Normal 58 4 2 2 2 3 3" xfId="9973" xr:uid="{00000000-0005-0000-0000-00007FA00000}"/>
    <cellStyle name="Normal 58 4 2 2 2 3 3 2" xfId="35530" xr:uid="{00000000-0005-0000-0000-000080A00000}"/>
    <cellStyle name="Normal 58 4 2 2 2 3 4" xfId="18796" xr:uid="{00000000-0005-0000-0000-000081A00000}"/>
    <cellStyle name="Normal 58 4 2 2 2 3 4 2" xfId="44349" xr:uid="{00000000-0005-0000-0000-000082A00000}"/>
    <cellStyle name="Normal 58 4 2 2 2 3 5" xfId="30286" xr:uid="{00000000-0005-0000-0000-000083A00000}"/>
    <cellStyle name="Normal 58 4 2 2 2 4" xfId="2178" xr:uid="{00000000-0005-0000-0000-000084A00000}"/>
    <cellStyle name="Normal 58 4 2 2 2 4 2" xfId="11543" xr:uid="{00000000-0005-0000-0000-000085A00000}"/>
    <cellStyle name="Normal 58 4 2 2 2 4 2 2" xfId="37098" xr:uid="{00000000-0005-0000-0000-000086A00000}"/>
    <cellStyle name="Normal 58 4 2 2 2 4 3" xfId="21547" xr:uid="{00000000-0005-0000-0000-000087A00000}"/>
    <cellStyle name="Normal 58 4 2 2 2 4 3 2" xfId="47100" xr:uid="{00000000-0005-0000-0000-000088A00000}"/>
    <cellStyle name="Normal 58 4 2 2 2 4 4" xfId="28030" xr:uid="{00000000-0005-0000-0000-000089A00000}"/>
    <cellStyle name="Normal 58 4 2 2 2 5" xfId="6170" xr:uid="{00000000-0005-0000-0000-00008AA00000}"/>
    <cellStyle name="Normal 58 4 2 2 2 5 2" xfId="14997" xr:uid="{00000000-0005-0000-0000-00008BA00000}"/>
    <cellStyle name="Normal 58 4 2 2 2 5 2 2" xfId="40552" xr:uid="{00000000-0005-0000-0000-00008CA00000}"/>
    <cellStyle name="Normal 58 4 2 2 2 5 3" xfId="25248" xr:uid="{00000000-0005-0000-0000-00008DA00000}"/>
    <cellStyle name="Normal 58 4 2 2 2 5 3 2" xfId="50801" xr:uid="{00000000-0005-0000-0000-00008EA00000}"/>
    <cellStyle name="Normal 58 4 2 2 2 5 4" xfId="31731" xr:uid="{00000000-0005-0000-0000-00008FA00000}"/>
    <cellStyle name="Normal 58 4 2 2 2 6" xfId="7615" xr:uid="{00000000-0005-0000-0000-000090A00000}"/>
    <cellStyle name="Normal 58 4 2 2 2 6 2" xfId="20029" xr:uid="{00000000-0005-0000-0000-000091A00000}"/>
    <cellStyle name="Normal 58 4 2 2 2 6 2 2" xfId="45582" xr:uid="{00000000-0005-0000-0000-000092A00000}"/>
    <cellStyle name="Normal 58 4 2 2 2 6 3" xfId="33172" xr:uid="{00000000-0005-0000-0000-000093A00000}"/>
    <cellStyle name="Normal 58 4 2 2 2 7" xfId="16540" xr:uid="{00000000-0005-0000-0000-000094A00000}"/>
    <cellStyle name="Normal 58 4 2 2 2 7 2" xfId="42093" xr:uid="{00000000-0005-0000-0000-000095A00000}"/>
    <cellStyle name="Normal 58 4 2 2 2 8" xfId="26512" xr:uid="{00000000-0005-0000-0000-000096A00000}"/>
    <cellStyle name="Normal 58 4 2 2 3" xfId="900" xr:uid="{00000000-0005-0000-0000-000097A00000}"/>
    <cellStyle name="Normal 58 4 2 2 3 2" xfId="3385" xr:uid="{00000000-0005-0000-0000-000098A00000}"/>
    <cellStyle name="Normal 58 4 2 2 3 2 2" xfId="12527" xr:uid="{00000000-0005-0000-0000-000099A00000}"/>
    <cellStyle name="Normal 58 4 2 2 3 2 2 2" xfId="22746" xr:uid="{00000000-0005-0000-0000-00009AA00000}"/>
    <cellStyle name="Normal 58 4 2 2 3 2 2 2 2" xfId="48299" xr:uid="{00000000-0005-0000-0000-00009BA00000}"/>
    <cellStyle name="Normal 58 4 2 2 3 2 2 3" xfId="38082" xr:uid="{00000000-0005-0000-0000-00009CA00000}"/>
    <cellStyle name="Normal 58 4 2 2 3 2 3" xfId="8949" xr:uid="{00000000-0005-0000-0000-00009DA00000}"/>
    <cellStyle name="Normal 58 4 2 2 3 2 3 2" xfId="34506" xr:uid="{00000000-0005-0000-0000-00009EA00000}"/>
    <cellStyle name="Normal 58 4 2 2 3 2 4" xfId="17739" xr:uid="{00000000-0005-0000-0000-00009FA00000}"/>
    <cellStyle name="Normal 58 4 2 2 3 2 4 2" xfId="43292" xr:uid="{00000000-0005-0000-0000-0000A0A00000}"/>
    <cellStyle name="Normal 58 4 2 2 3 2 5" xfId="29229" xr:uid="{00000000-0005-0000-0000-0000A1A00000}"/>
    <cellStyle name="Normal 58 4 2 2 3 3" xfId="5063" xr:uid="{00000000-0005-0000-0000-0000A2A00000}"/>
    <cellStyle name="Normal 58 4 2 2 3 3 2" xfId="13900" xr:uid="{00000000-0005-0000-0000-0000A3A00000}"/>
    <cellStyle name="Normal 58 4 2 2 3 3 2 2" xfId="24151" xr:uid="{00000000-0005-0000-0000-0000A4A00000}"/>
    <cellStyle name="Normal 58 4 2 2 3 3 2 2 2" xfId="49704" xr:uid="{00000000-0005-0000-0000-0000A5A00000}"/>
    <cellStyle name="Normal 58 4 2 2 3 3 2 3" xfId="39455" xr:uid="{00000000-0005-0000-0000-0000A6A00000}"/>
    <cellStyle name="Normal 58 4 2 2 3 3 3" xfId="10321" xr:uid="{00000000-0005-0000-0000-0000A7A00000}"/>
    <cellStyle name="Normal 58 4 2 2 3 3 3 2" xfId="35878" xr:uid="{00000000-0005-0000-0000-0000A8A00000}"/>
    <cellStyle name="Normal 58 4 2 2 3 3 4" xfId="19144" xr:uid="{00000000-0005-0000-0000-0000A9A00000}"/>
    <cellStyle name="Normal 58 4 2 2 3 3 4 2" xfId="44697" xr:uid="{00000000-0005-0000-0000-0000AAA00000}"/>
    <cellStyle name="Normal 58 4 2 2 3 3 5" xfId="30634" xr:uid="{00000000-0005-0000-0000-0000ABA00000}"/>
    <cellStyle name="Normal 58 4 2 2 3 4" xfId="2494" xr:uid="{00000000-0005-0000-0000-0000ACA00000}"/>
    <cellStyle name="Normal 58 4 2 2 3 4 2" xfId="11859" xr:uid="{00000000-0005-0000-0000-0000ADA00000}"/>
    <cellStyle name="Normal 58 4 2 2 3 4 2 2" xfId="37414" xr:uid="{00000000-0005-0000-0000-0000AEA00000}"/>
    <cellStyle name="Normal 58 4 2 2 3 4 3" xfId="21863" xr:uid="{00000000-0005-0000-0000-0000AFA00000}"/>
    <cellStyle name="Normal 58 4 2 2 3 4 3 2" xfId="47416" xr:uid="{00000000-0005-0000-0000-0000B0A00000}"/>
    <cellStyle name="Normal 58 4 2 2 3 4 4" xfId="28346" xr:uid="{00000000-0005-0000-0000-0000B1A00000}"/>
    <cellStyle name="Normal 58 4 2 2 3 5" xfId="6518" xr:uid="{00000000-0005-0000-0000-0000B2A00000}"/>
    <cellStyle name="Normal 58 4 2 2 3 5 2" xfId="15345" xr:uid="{00000000-0005-0000-0000-0000B3A00000}"/>
    <cellStyle name="Normal 58 4 2 2 3 5 2 2" xfId="40900" xr:uid="{00000000-0005-0000-0000-0000B4A00000}"/>
    <cellStyle name="Normal 58 4 2 2 3 5 3" xfId="25596" xr:uid="{00000000-0005-0000-0000-0000B5A00000}"/>
    <cellStyle name="Normal 58 4 2 2 3 5 3 2" xfId="51149" xr:uid="{00000000-0005-0000-0000-0000B6A00000}"/>
    <cellStyle name="Normal 58 4 2 2 3 5 4" xfId="32079" xr:uid="{00000000-0005-0000-0000-0000B7A00000}"/>
    <cellStyle name="Normal 58 4 2 2 3 6" xfId="7964" xr:uid="{00000000-0005-0000-0000-0000B8A00000}"/>
    <cellStyle name="Normal 58 4 2 2 3 6 2" xfId="20345" xr:uid="{00000000-0005-0000-0000-0000B9A00000}"/>
    <cellStyle name="Normal 58 4 2 2 3 6 2 2" xfId="45898" xr:uid="{00000000-0005-0000-0000-0000BAA00000}"/>
    <cellStyle name="Normal 58 4 2 2 3 6 3" xfId="33521" xr:uid="{00000000-0005-0000-0000-0000BBA00000}"/>
    <cellStyle name="Normal 58 4 2 2 3 7" xfId="16856" xr:uid="{00000000-0005-0000-0000-0000BCA00000}"/>
    <cellStyle name="Normal 58 4 2 2 3 7 2" xfId="42409" xr:uid="{00000000-0005-0000-0000-0000BDA00000}"/>
    <cellStyle name="Normal 58 4 2 2 3 8" xfId="26828" xr:uid="{00000000-0005-0000-0000-0000BEA00000}"/>
    <cellStyle name="Normal 58 4 2 2 4" xfId="1355" xr:uid="{00000000-0005-0000-0000-0000BFA00000}"/>
    <cellStyle name="Normal 58 4 2 2 4 2" xfId="3784" xr:uid="{00000000-0005-0000-0000-0000C0A00000}"/>
    <cellStyle name="Normal 58 4 2 2 4 2 2" xfId="12920" xr:uid="{00000000-0005-0000-0000-0000C1A00000}"/>
    <cellStyle name="Normal 58 4 2 2 4 2 2 2" xfId="23139" xr:uid="{00000000-0005-0000-0000-0000C2A00000}"/>
    <cellStyle name="Normal 58 4 2 2 4 2 2 2 2" xfId="48692" xr:uid="{00000000-0005-0000-0000-0000C3A00000}"/>
    <cellStyle name="Normal 58 4 2 2 4 2 2 3" xfId="38475" xr:uid="{00000000-0005-0000-0000-0000C4A00000}"/>
    <cellStyle name="Normal 58 4 2 2 4 2 3" xfId="9341" xr:uid="{00000000-0005-0000-0000-0000C5A00000}"/>
    <cellStyle name="Normal 58 4 2 2 4 2 3 2" xfId="34898" xr:uid="{00000000-0005-0000-0000-0000C6A00000}"/>
    <cellStyle name="Normal 58 4 2 2 4 2 4" xfId="18132" xr:uid="{00000000-0005-0000-0000-0000C7A00000}"/>
    <cellStyle name="Normal 58 4 2 2 4 2 4 2" xfId="43685" xr:uid="{00000000-0005-0000-0000-0000C8A00000}"/>
    <cellStyle name="Normal 58 4 2 2 4 2 5" xfId="29622" xr:uid="{00000000-0005-0000-0000-0000C9A00000}"/>
    <cellStyle name="Normal 58 4 2 2 4 3" xfId="5447" xr:uid="{00000000-0005-0000-0000-0000CAA00000}"/>
    <cellStyle name="Normal 58 4 2 2 4 3 2" xfId="14284" xr:uid="{00000000-0005-0000-0000-0000CBA00000}"/>
    <cellStyle name="Normal 58 4 2 2 4 3 2 2" xfId="24535" xr:uid="{00000000-0005-0000-0000-0000CCA00000}"/>
    <cellStyle name="Normal 58 4 2 2 4 3 2 2 2" xfId="50088" xr:uid="{00000000-0005-0000-0000-0000CDA00000}"/>
    <cellStyle name="Normal 58 4 2 2 4 3 2 3" xfId="39839" xr:uid="{00000000-0005-0000-0000-0000CEA00000}"/>
    <cellStyle name="Normal 58 4 2 2 4 3 3" xfId="10705" xr:uid="{00000000-0005-0000-0000-0000CFA00000}"/>
    <cellStyle name="Normal 58 4 2 2 4 3 3 2" xfId="36262" xr:uid="{00000000-0005-0000-0000-0000D0A00000}"/>
    <cellStyle name="Normal 58 4 2 2 4 3 4" xfId="19528" xr:uid="{00000000-0005-0000-0000-0000D1A00000}"/>
    <cellStyle name="Normal 58 4 2 2 4 3 4 2" xfId="45081" xr:uid="{00000000-0005-0000-0000-0000D2A00000}"/>
    <cellStyle name="Normal 58 4 2 2 4 3 5" xfId="31018" xr:uid="{00000000-0005-0000-0000-0000D3A00000}"/>
    <cellStyle name="Normal 58 4 2 2 4 4" xfId="1858" xr:uid="{00000000-0005-0000-0000-0000D4A00000}"/>
    <cellStyle name="Normal 58 4 2 2 4 4 2" xfId="11226" xr:uid="{00000000-0005-0000-0000-0000D5A00000}"/>
    <cellStyle name="Normal 58 4 2 2 4 4 2 2" xfId="36781" xr:uid="{00000000-0005-0000-0000-0000D6A00000}"/>
    <cellStyle name="Normal 58 4 2 2 4 4 3" xfId="21230" xr:uid="{00000000-0005-0000-0000-0000D7A00000}"/>
    <cellStyle name="Normal 58 4 2 2 4 4 3 2" xfId="46783" xr:uid="{00000000-0005-0000-0000-0000D8A00000}"/>
    <cellStyle name="Normal 58 4 2 2 4 4 4" xfId="27713" xr:uid="{00000000-0005-0000-0000-0000D9A00000}"/>
    <cellStyle name="Normal 58 4 2 2 4 5" xfId="6902" xr:uid="{00000000-0005-0000-0000-0000DAA00000}"/>
    <cellStyle name="Normal 58 4 2 2 4 5 2" xfId="15729" xr:uid="{00000000-0005-0000-0000-0000DBA00000}"/>
    <cellStyle name="Normal 58 4 2 2 4 5 2 2" xfId="41284" xr:uid="{00000000-0005-0000-0000-0000DCA00000}"/>
    <cellStyle name="Normal 58 4 2 2 4 5 3" xfId="25980" xr:uid="{00000000-0005-0000-0000-0000DDA00000}"/>
    <cellStyle name="Normal 58 4 2 2 4 5 3 2" xfId="51533" xr:uid="{00000000-0005-0000-0000-0000DEA00000}"/>
    <cellStyle name="Normal 58 4 2 2 4 5 4" xfId="32463" xr:uid="{00000000-0005-0000-0000-0000DFA00000}"/>
    <cellStyle name="Normal 58 4 2 2 4 6" xfId="8348" xr:uid="{00000000-0005-0000-0000-0000E0A00000}"/>
    <cellStyle name="Normal 58 4 2 2 4 6 2" xfId="20738" xr:uid="{00000000-0005-0000-0000-0000E1A00000}"/>
    <cellStyle name="Normal 58 4 2 2 4 6 2 2" xfId="46291" xr:uid="{00000000-0005-0000-0000-0000E2A00000}"/>
    <cellStyle name="Normal 58 4 2 2 4 6 3" xfId="33905" xr:uid="{00000000-0005-0000-0000-0000E3A00000}"/>
    <cellStyle name="Normal 58 4 2 2 4 7" xfId="16223" xr:uid="{00000000-0005-0000-0000-0000E4A00000}"/>
    <cellStyle name="Normal 58 4 2 2 4 7 2" xfId="41776" xr:uid="{00000000-0005-0000-0000-0000E5A00000}"/>
    <cellStyle name="Normal 58 4 2 2 4 8" xfId="27221" xr:uid="{00000000-0005-0000-0000-0000E6A00000}"/>
    <cellStyle name="Normal 58 4 2 2 5" xfId="2752" xr:uid="{00000000-0005-0000-0000-0000E7A00000}"/>
    <cellStyle name="Normal 58 4 2 2 5 2" xfId="12069" xr:uid="{00000000-0005-0000-0000-0000E8A00000}"/>
    <cellStyle name="Normal 58 4 2 2 5 2 2" xfId="22113" xr:uid="{00000000-0005-0000-0000-0000E9A00000}"/>
    <cellStyle name="Normal 58 4 2 2 5 2 2 2" xfId="47666" xr:uid="{00000000-0005-0000-0000-0000EAA00000}"/>
    <cellStyle name="Normal 58 4 2 2 5 2 3" xfId="37624" xr:uid="{00000000-0005-0000-0000-0000EBA00000}"/>
    <cellStyle name="Normal 58 4 2 2 5 3" xfId="8397" xr:uid="{00000000-0005-0000-0000-0000ECA00000}"/>
    <cellStyle name="Normal 58 4 2 2 5 3 2" xfId="33954" xr:uid="{00000000-0005-0000-0000-0000EDA00000}"/>
    <cellStyle name="Normal 58 4 2 2 5 4" xfId="17106" xr:uid="{00000000-0005-0000-0000-0000EEA00000}"/>
    <cellStyle name="Normal 58 4 2 2 5 4 2" xfId="42659" xr:uid="{00000000-0005-0000-0000-0000EFA00000}"/>
    <cellStyle name="Normal 58 4 2 2 5 5" xfId="28596" xr:uid="{00000000-0005-0000-0000-0000F0A00000}"/>
    <cellStyle name="Normal 58 4 2 2 6" xfId="4403" xr:uid="{00000000-0005-0000-0000-0000F1A00000}"/>
    <cellStyle name="Normal 58 4 2 2 6 2" xfId="13241" xr:uid="{00000000-0005-0000-0000-0000F2A00000}"/>
    <cellStyle name="Normal 58 4 2 2 6 2 2" xfId="23492" xr:uid="{00000000-0005-0000-0000-0000F3A00000}"/>
    <cellStyle name="Normal 58 4 2 2 6 2 2 2" xfId="49045" xr:uid="{00000000-0005-0000-0000-0000F4A00000}"/>
    <cellStyle name="Normal 58 4 2 2 6 2 3" xfId="38796" xr:uid="{00000000-0005-0000-0000-0000F5A00000}"/>
    <cellStyle name="Normal 58 4 2 2 6 3" xfId="9662" xr:uid="{00000000-0005-0000-0000-0000F6A00000}"/>
    <cellStyle name="Normal 58 4 2 2 6 3 2" xfId="35219" xr:uid="{00000000-0005-0000-0000-0000F7A00000}"/>
    <cellStyle name="Normal 58 4 2 2 6 4" xfId="18485" xr:uid="{00000000-0005-0000-0000-0000F8A00000}"/>
    <cellStyle name="Normal 58 4 2 2 6 4 2" xfId="44038" xr:uid="{00000000-0005-0000-0000-0000F9A00000}"/>
    <cellStyle name="Normal 58 4 2 2 6 5" xfId="29975" xr:uid="{00000000-0005-0000-0000-0000FAA00000}"/>
    <cellStyle name="Normal 58 4 2 2 7" xfId="1675" xr:uid="{00000000-0005-0000-0000-0000FBA00000}"/>
    <cellStyle name="Normal 58 4 2 2 7 2" xfId="11052" xr:uid="{00000000-0005-0000-0000-0000FCA00000}"/>
    <cellStyle name="Normal 58 4 2 2 7 2 2" xfId="36607" xr:uid="{00000000-0005-0000-0000-0000FDA00000}"/>
    <cellStyle name="Normal 58 4 2 2 7 3" xfId="21056" xr:uid="{00000000-0005-0000-0000-0000FEA00000}"/>
    <cellStyle name="Normal 58 4 2 2 7 3 2" xfId="46609" xr:uid="{00000000-0005-0000-0000-0000FFA00000}"/>
    <cellStyle name="Normal 58 4 2 2 7 4" xfId="27539" xr:uid="{00000000-0005-0000-0000-000000A10000}"/>
    <cellStyle name="Normal 58 4 2 2 8" xfId="5859" xr:uid="{00000000-0005-0000-0000-000001A10000}"/>
    <cellStyle name="Normal 58 4 2 2 8 2" xfId="14686" xr:uid="{00000000-0005-0000-0000-000002A10000}"/>
    <cellStyle name="Normal 58 4 2 2 8 2 2" xfId="40241" xr:uid="{00000000-0005-0000-0000-000003A10000}"/>
    <cellStyle name="Normal 58 4 2 2 8 3" xfId="24937" xr:uid="{00000000-0005-0000-0000-000004A10000}"/>
    <cellStyle name="Normal 58 4 2 2 8 3 2" xfId="50490" xr:uid="{00000000-0005-0000-0000-000005A10000}"/>
    <cellStyle name="Normal 58 4 2 2 8 4" xfId="31420" xr:uid="{00000000-0005-0000-0000-000006A10000}"/>
    <cellStyle name="Normal 58 4 2 2 9" xfId="7303" xr:uid="{00000000-0005-0000-0000-000007A10000}"/>
    <cellStyle name="Normal 58 4 2 2 9 2" xfId="19712" xr:uid="{00000000-0005-0000-0000-000008A10000}"/>
    <cellStyle name="Normal 58 4 2 2 9 2 2" xfId="45265" xr:uid="{00000000-0005-0000-0000-000009A10000}"/>
    <cellStyle name="Normal 58 4 2 2 9 3" xfId="32860" xr:uid="{00000000-0005-0000-0000-00000AA10000}"/>
    <cellStyle name="Normal 58 4 2 2_Degree data" xfId="4006" xr:uid="{00000000-0005-0000-0000-00000BA10000}"/>
    <cellStyle name="Normal 58 4 2 3" xfId="479" xr:uid="{00000000-0005-0000-0000-00000CA10000}"/>
    <cellStyle name="Normal 58 4 2 3 10" xfId="26408" xr:uid="{00000000-0005-0000-0000-00000DA10000}"/>
    <cellStyle name="Normal 58 4 2 3 2" xfId="901" xr:uid="{00000000-0005-0000-0000-00000EA10000}"/>
    <cellStyle name="Normal 58 4 2 3 2 2" xfId="3386" xr:uid="{00000000-0005-0000-0000-00000FA10000}"/>
    <cellStyle name="Normal 58 4 2 3 2 2 2" xfId="12528" xr:uid="{00000000-0005-0000-0000-000010A10000}"/>
    <cellStyle name="Normal 58 4 2 3 2 2 2 2" xfId="22747" xr:uid="{00000000-0005-0000-0000-000011A10000}"/>
    <cellStyle name="Normal 58 4 2 3 2 2 2 2 2" xfId="48300" xr:uid="{00000000-0005-0000-0000-000012A10000}"/>
    <cellStyle name="Normal 58 4 2 3 2 2 2 3" xfId="38083" xr:uid="{00000000-0005-0000-0000-000013A10000}"/>
    <cellStyle name="Normal 58 4 2 3 2 2 3" xfId="8950" xr:uid="{00000000-0005-0000-0000-000014A10000}"/>
    <cellStyle name="Normal 58 4 2 3 2 2 3 2" xfId="34507" xr:uid="{00000000-0005-0000-0000-000015A10000}"/>
    <cellStyle name="Normal 58 4 2 3 2 2 4" xfId="17740" xr:uid="{00000000-0005-0000-0000-000016A10000}"/>
    <cellStyle name="Normal 58 4 2 3 2 2 4 2" xfId="43293" xr:uid="{00000000-0005-0000-0000-000017A10000}"/>
    <cellStyle name="Normal 58 4 2 3 2 2 5" xfId="29230" xr:uid="{00000000-0005-0000-0000-000018A10000}"/>
    <cellStyle name="Normal 58 4 2 3 2 3" xfId="4715" xr:uid="{00000000-0005-0000-0000-000019A10000}"/>
    <cellStyle name="Normal 58 4 2 3 2 3 2" xfId="13553" xr:uid="{00000000-0005-0000-0000-00001AA10000}"/>
    <cellStyle name="Normal 58 4 2 3 2 3 2 2" xfId="23804" xr:uid="{00000000-0005-0000-0000-00001BA10000}"/>
    <cellStyle name="Normal 58 4 2 3 2 3 2 2 2" xfId="49357" xr:uid="{00000000-0005-0000-0000-00001CA10000}"/>
    <cellStyle name="Normal 58 4 2 3 2 3 2 3" xfId="39108" xr:uid="{00000000-0005-0000-0000-00001DA10000}"/>
    <cellStyle name="Normal 58 4 2 3 2 3 3" xfId="9974" xr:uid="{00000000-0005-0000-0000-00001EA10000}"/>
    <cellStyle name="Normal 58 4 2 3 2 3 3 2" xfId="35531" xr:uid="{00000000-0005-0000-0000-00001FA10000}"/>
    <cellStyle name="Normal 58 4 2 3 2 3 4" xfId="18797" xr:uid="{00000000-0005-0000-0000-000020A10000}"/>
    <cellStyle name="Normal 58 4 2 3 2 3 4 2" xfId="44350" xr:uid="{00000000-0005-0000-0000-000021A10000}"/>
    <cellStyle name="Normal 58 4 2 3 2 3 5" xfId="30287" xr:uid="{00000000-0005-0000-0000-000022A10000}"/>
    <cellStyle name="Normal 58 4 2 3 2 4" xfId="2495" xr:uid="{00000000-0005-0000-0000-000023A10000}"/>
    <cellStyle name="Normal 58 4 2 3 2 4 2" xfId="11860" xr:uid="{00000000-0005-0000-0000-000024A10000}"/>
    <cellStyle name="Normal 58 4 2 3 2 4 2 2" xfId="37415" xr:uid="{00000000-0005-0000-0000-000025A10000}"/>
    <cellStyle name="Normal 58 4 2 3 2 4 3" xfId="21864" xr:uid="{00000000-0005-0000-0000-000026A10000}"/>
    <cellStyle name="Normal 58 4 2 3 2 4 3 2" xfId="47417" xr:uid="{00000000-0005-0000-0000-000027A10000}"/>
    <cellStyle name="Normal 58 4 2 3 2 4 4" xfId="28347" xr:uid="{00000000-0005-0000-0000-000028A10000}"/>
    <cellStyle name="Normal 58 4 2 3 2 5" xfId="6171" xr:uid="{00000000-0005-0000-0000-000029A10000}"/>
    <cellStyle name="Normal 58 4 2 3 2 5 2" xfId="14998" xr:uid="{00000000-0005-0000-0000-00002AA10000}"/>
    <cellStyle name="Normal 58 4 2 3 2 5 2 2" xfId="40553" xr:uid="{00000000-0005-0000-0000-00002BA10000}"/>
    <cellStyle name="Normal 58 4 2 3 2 5 3" xfId="25249" xr:uid="{00000000-0005-0000-0000-00002CA10000}"/>
    <cellStyle name="Normal 58 4 2 3 2 5 3 2" xfId="50802" xr:uid="{00000000-0005-0000-0000-00002DA10000}"/>
    <cellStyle name="Normal 58 4 2 3 2 5 4" xfId="31732" xr:uid="{00000000-0005-0000-0000-00002EA10000}"/>
    <cellStyle name="Normal 58 4 2 3 2 6" xfId="7616" xr:uid="{00000000-0005-0000-0000-00002FA10000}"/>
    <cellStyle name="Normal 58 4 2 3 2 6 2" xfId="20346" xr:uid="{00000000-0005-0000-0000-000030A10000}"/>
    <cellStyle name="Normal 58 4 2 3 2 6 2 2" xfId="45899" xr:uid="{00000000-0005-0000-0000-000031A10000}"/>
    <cellStyle name="Normal 58 4 2 3 2 6 3" xfId="33173" xr:uid="{00000000-0005-0000-0000-000032A10000}"/>
    <cellStyle name="Normal 58 4 2 3 2 7" xfId="16857" xr:uid="{00000000-0005-0000-0000-000033A10000}"/>
    <cellStyle name="Normal 58 4 2 3 2 7 2" xfId="42410" xr:uid="{00000000-0005-0000-0000-000034A10000}"/>
    <cellStyle name="Normal 58 4 2 3 2 8" xfId="26829" xr:uid="{00000000-0005-0000-0000-000035A10000}"/>
    <cellStyle name="Normal 58 4 2 3 3" xfId="1251" xr:uid="{00000000-0005-0000-0000-000036A10000}"/>
    <cellStyle name="Normal 58 4 2 3 3 2" xfId="3680" xr:uid="{00000000-0005-0000-0000-000037A10000}"/>
    <cellStyle name="Normal 58 4 2 3 3 2 2" xfId="12816" xr:uid="{00000000-0005-0000-0000-000038A10000}"/>
    <cellStyle name="Normal 58 4 2 3 3 2 2 2" xfId="23035" xr:uid="{00000000-0005-0000-0000-000039A10000}"/>
    <cellStyle name="Normal 58 4 2 3 3 2 2 2 2" xfId="48588" xr:uid="{00000000-0005-0000-0000-00003AA10000}"/>
    <cellStyle name="Normal 58 4 2 3 3 2 2 3" xfId="38371" xr:uid="{00000000-0005-0000-0000-00003BA10000}"/>
    <cellStyle name="Normal 58 4 2 3 3 2 3" xfId="9237" xr:uid="{00000000-0005-0000-0000-00003CA10000}"/>
    <cellStyle name="Normal 58 4 2 3 3 2 3 2" xfId="34794" xr:uid="{00000000-0005-0000-0000-00003DA10000}"/>
    <cellStyle name="Normal 58 4 2 3 3 2 4" xfId="18028" xr:uid="{00000000-0005-0000-0000-00003EA10000}"/>
    <cellStyle name="Normal 58 4 2 3 3 2 4 2" xfId="43581" xr:uid="{00000000-0005-0000-0000-00003FA10000}"/>
    <cellStyle name="Normal 58 4 2 3 3 2 5" xfId="29518" xr:uid="{00000000-0005-0000-0000-000040A10000}"/>
    <cellStyle name="Normal 58 4 2 3 3 3" xfId="5064" xr:uid="{00000000-0005-0000-0000-000041A10000}"/>
    <cellStyle name="Normal 58 4 2 3 3 3 2" xfId="13901" xr:uid="{00000000-0005-0000-0000-000042A10000}"/>
    <cellStyle name="Normal 58 4 2 3 3 3 2 2" xfId="24152" xr:uid="{00000000-0005-0000-0000-000043A10000}"/>
    <cellStyle name="Normal 58 4 2 3 3 3 2 2 2" xfId="49705" xr:uid="{00000000-0005-0000-0000-000044A10000}"/>
    <cellStyle name="Normal 58 4 2 3 3 3 2 3" xfId="39456" xr:uid="{00000000-0005-0000-0000-000045A10000}"/>
    <cellStyle name="Normal 58 4 2 3 3 3 3" xfId="10322" xr:uid="{00000000-0005-0000-0000-000046A10000}"/>
    <cellStyle name="Normal 58 4 2 3 3 3 3 2" xfId="35879" xr:uid="{00000000-0005-0000-0000-000047A10000}"/>
    <cellStyle name="Normal 58 4 2 3 3 3 4" xfId="19145" xr:uid="{00000000-0005-0000-0000-000048A10000}"/>
    <cellStyle name="Normal 58 4 2 3 3 3 4 2" xfId="44698" xr:uid="{00000000-0005-0000-0000-000049A10000}"/>
    <cellStyle name="Normal 58 4 2 3 3 3 5" xfId="30635" xr:uid="{00000000-0005-0000-0000-00004AA10000}"/>
    <cellStyle name="Normal 58 4 2 3 3 4" xfId="2074" xr:uid="{00000000-0005-0000-0000-00004BA10000}"/>
    <cellStyle name="Normal 58 4 2 3 3 4 2" xfId="11439" xr:uid="{00000000-0005-0000-0000-00004CA10000}"/>
    <cellStyle name="Normal 58 4 2 3 3 4 2 2" xfId="36994" xr:uid="{00000000-0005-0000-0000-00004DA10000}"/>
    <cellStyle name="Normal 58 4 2 3 3 4 3" xfId="21443" xr:uid="{00000000-0005-0000-0000-00004EA10000}"/>
    <cellStyle name="Normal 58 4 2 3 3 4 3 2" xfId="46996" xr:uid="{00000000-0005-0000-0000-00004FA10000}"/>
    <cellStyle name="Normal 58 4 2 3 3 4 4" xfId="27926" xr:uid="{00000000-0005-0000-0000-000050A10000}"/>
    <cellStyle name="Normal 58 4 2 3 3 5" xfId="6519" xr:uid="{00000000-0005-0000-0000-000051A10000}"/>
    <cellStyle name="Normal 58 4 2 3 3 5 2" xfId="15346" xr:uid="{00000000-0005-0000-0000-000052A10000}"/>
    <cellStyle name="Normal 58 4 2 3 3 5 2 2" xfId="40901" xr:uid="{00000000-0005-0000-0000-000053A10000}"/>
    <cellStyle name="Normal 58 4 2 3 3 5 3" xfId="25597" xr:uid="{00000000-0005-0000-0000-000054A10000}"/>
    <cellStyle name="Normal 58 4 2 3 3 5 3 2" xfId="51150" xr:uid="{00000000-0005-0000-0000-000055A10000}"/>
    <cellStyle name="Normal 58 4 2 3 3 5 4" xfId="32080" xr:uid="{00000000-0005-0000-0000-000056A10000}"/>
    <cellStyle name="Normal 58 4 2 3 3 6" xfId="7965" xr:uid="{00000000-0005-0000-0000-000057A10000}"/>
    <cellStyle name="Normal 58 4 2 3 3 6 2" xfId="20634" xr:uid="{00000000-0005-0000-0000-000058A10000}"/>
    <cellStyle name="Normal 58 4 2 3 3 6 2 2" xfId="46187" xr:uid="{00000000-0005-0000-0000-000059A10000}"/>
    <cellStyle name="Normal 58 4 2 3 3 6 3" xfId="33522" xr:uid="{00000000-0005-0000-0000-00005AA10000}"/>
    <cellStyle name="Normal 58 4 2 3 3 7" xfId="16436" xr:uid="{00000000-0005-0000-0000-00005BA10000}"/>
    <cellStyle name="Normal 58 4 2 3 3 7 2" xfId="41989" xr:uid="{00000000-0005-0000-0000-00005CA10000}"/>
    <cellStyle name="Normal 58 4 2 3 3 8" xfId="27117" xr:uid="{00000000-0005-0000-0000-00005DA10000}"/>
    <cellStyle name="Normal 58 4 2 3 4" xfId="2965" xr:uid="{00000000-0005-0000-0000-00005EA10000}"/>
    <cellStyle name="Normal 58 4 2 3 4 2" xfId="5343" xr:uid="{00000000-0005-0000-0000-00005FA10000}"/>
    <cellStyle name="Normal 58 4 2 3 4 2 2" xfId="14180" xr:uid="{00000000-0005-0000-0000-000060A10000}"/>
    <cellStyle name="Normal 58 4 2 3 4 2 2 2" xfId="24431" xr:uid="{00000000-0005-0000-0000-000061A10000}"/>
    <cellStyle name="Normal 58 4 2 3 4 2 2 2 2" xfId="49984" xr:uid="{00000000-0005-0000-0000-000062A10000}"/>
    <cellStyle name="Normal 58 4 2 3 4 2 2 3" xfId="39735" xr:uid="{00000000-0005-0000-0000-000063A10000}"/>
    <cellStyle name="Normal 58 4 2 3 4 2 3" xfId="10601" xr:uid="{00000000-0005-0000-0000-000064A10000}"/>
    <cellStyle name="Normal 58 4 2 3 4 2 3 2" xfId="36158" xr:uid="{00000000-0005-0000-0000-000065A10000}"/>
    <cellStyle name="Normal 58 4 2 3 4 2 4" xfId="19424" xr:uid="{00000000-0005-0000-0000-000066A10000}"/>
    <cellStyle name="Normal 58 4 2 3 4 2 4 2" xfId="44977" xr:uid="{00000000-0005-0000-0000-000067A10000}"/>
    <cellStyle name="Normal 58 4 2 3 4 2 5" xfId="30914" xr:uid="{00000000-0005-0000-0000-000068A10000}"/>
    <cellStyle name="Normal 58 4 2 3 4 3" xfId="6798" xr:uid="{00000000-0005-0000-0000-000069A10000}"/>
    <cellStyle name="Normal 58 4 2 3 4 3 2" xfId="15625" xr:uid="{00000000-0005-0000-0000-00006AA10000}"/>
    <cellStyle name="Normal 58 4 2 3 4 3 2 2" xfId="41180" xr:uid="{00000000-0005-0000-0000-00006BA10000}"/>
    <cellStyle name="Normal 58 4 2 3 4 3 3" xfId="25876" xr:uid="{00000000-0005-0000-0000-00006CA10000}"/>
    <cellStyle name="Normal 58 4 2 3 4 3 3 2" xfId="51429" xr:uid="{00000000-0005-0000-0000-00006DA10000}"/>
    <cellStyle name="Normal 58 4 2 3 4 3 4" xfId="32359" xr:uid="{00000000-0005-0000-0000-00006EA10000}"/>
    <cellStyle name="Normal 58 4 2 3 4 4" xfId="8244" xr:uid="{00000000-0005-0000-0000-00006FA10000}"/>
    <cellStyle name="Normal 58 4 2 3 4 4 2" xfId="22326" xr:uid="{00000000-0005-0000-0000-000070A10000}"/>
    <cellStyle name="Normal 58 4 2 3 4 4 2 2" xfId="47879" xr:uid="{00000000-0005-0000-0000-000071A10000}"/>
    <cellStyle name="Normal 58 4 2 3 4 4 3" xfId="33801" xr:uid="{00000000-0005-0000-0000-000072A10000}"/>
    <cellStyle name="Normal 58 4 2 3 4 5" xfId="17319" xr:uid="{00000000-0005-0000-0000-000073A10000}"/>
    <cellStyle name="Normal 58 4 2 3 4 5 2" xfId="42872" xr:uid="{00000000-0005-0000-0000-000074A10000}"/>
    <cellStyle name="Normal 58 4 2 3 4 6" xfId="28809" xr:uid="{00000000-0005-0000-0000-000075A10000}"/>
    <cellStyle name="Normal 58 4 2 3 5" xfId="4299" xr:uid="{00000000-0005-0000-0000-000076A10000}"/>
    <cellStyle name="Normal 58 4 2 3 5 2" xfId="13137" xr:uid="{00000000-0005-0000-0000-000077A10000}"/>
    <cellStyle name="Normal 58 4 2 3 5 2 2" xfId="23388" xr:uid="{00000000-0005-0000-0000-000078A10000}"/>
    <cellStyle name="Normal 58 4 2 3 5 2 2 2" xfId="48941" xr:uid="{00000000-0005-0000-0000-000079A10000}"/>
    <cellStyle name="Normal 58 4 2 3 5 2 3" xfId="38692" xr:uid="{00000000-0005-0000-0000-00007AA10000}"/>
    <cellStyle name="Normal 58 4 2 3 5 3" xfId="9558" xr:uid="{00000000-0005-0000-0000-00007BA10000}"/>
    <cellStyle name="Normal 58 4 2 3 5 3 2" xfId="35115" xr:uid="{00000000-0005-0000-0000-00007CA10000}"/>
    <cellStyle name="Normal 58 4 2 3 5 4" xfId="18381" xr:uid="{00000000-0005-0000-0000-00007DA10000}"/>
    <cellStyle name="Normal 58 4 2 3 5 4 2" xfId="43934" xr:uid="{00000000-0005-0000-0000-00007EA10000}"/>
    <cellStyle name="Normal 58 4 2 3 5 5" xfId="29871" xr:uid="{00000000-0005-0000-0000-00007FA10000}"/>
    <cellStyle name="Normal 58 4 2 3 6" xfId="1571" xr:uid="{00000000-0005-0000-0000-000080A10000}"/>
    <cellStyle name="Normal 58 4 2 3 6 2" xfId="10948" xr:uid="{00000000-0005-0000-0000-000081A10000}"/>
    <cellStyle name="Normal 58 4 2 3 6 2 2" xfId="36503" xr:uid="{00000000-0005-0000-0000-000082A10000}"/>
    <cellStyle name="Normal 58 4 2 3 6 3" xfId="20952" xr:uid="{00000000-0005-0000-0000-000083A10000}"/>
    <cellStyle name="Normal 58 4 2 3 6 3 2" xfId="46505" xr:uid="{00000000-0005-0000-0000-000084A10000}"/>
    <cellStyle name="Normal 58 4 2 3 6 4" xfId="27435" xr:uid="{00000000-0005-0000-0000-000085A10000}"/>
    <cellStyle name="Normal 58 4 2 3 7" xfId="5755" xr:uid="{00000000-0005-0000-0000-000086A10000}"/>
    <cellStyle name="Normal 58 4 2 3 7 2" xfId="14582" xr:uid="{00000000-0005-0000-0000-000087A10000}"/>
    <cellStyle name="Normal 58 4 2 3 7 2 2" xfId="40137" xr:uid="{00000000-0005-0000-0000-000088A10000}"/>
    <cellStyle name="Normal 58 4 2 3 7 3" xfId="24833" xr:uid="{00000000-0005-0000-0000-000089A10000}"/>
    <cellStyle name="Normal 58 4 2 3 7 3 2" xfId="50386" xr:uid="{00000000-0005-0000-0000-00008AA10000}"/>
    <cellStyle name="Normal 58 4 2 3 7 4" xfId="31316" xr:uid="{00000000-0005-0000-0000-00008BA10000}"/>
    <cellStyle name="Normal 58 4 2 3 8" xfId="7199" xr:uid="{00000000-0005-0000-0000-00008CA10000}"/>
    <cellStyle name="Normal 58 4 2 3 8 2" xfId="19925" xr:uid="{00000000-0005-0000-0000-00008DA10000}"/>
    <cellStyle name="Normal 58 4 2 3 8 2 2" xfId="45478" xr:uid="{00000000-0005-0000-0000-00008EA10000}"/>
    <cellStyle name="Normal 58 4 2 3 8 3" xfId="32756" xr:uid="{00000000-0005-0000-0000-00008FA10000}"/>
    <cellStyle name="Normal 58 4 2 3 9" xfId="15945" xr:uid="{00000000-0005-0000-0000-000090A10000}"/>
    <cellStyle name="Normal 58 4 2 3 9 2" xfId="41498" xr:uid="{00000000-0005-0000-0000-000091A10000}"/>
    <cellStyle name="Normal 58 4 2 3_Degree data" xfId="4007" xr:uid="{00000000-0005-0000-0000-000092A10000}"/>
    <cellStyle name="Normal 58 4 2 4" xfId="379" xr:uid="{00000000-0005-0000-0000-000093A10000}"/>
    <cellStyle name="Normal 58 4 2 4 2" xfId="2865" xr:uid="{00000000-0005-0000-0000-000094A10000}"/>
    <cellStyle name="Normal 58 4 2 4 2 2" xfId="12153" xr:uid="{00000000-0005-0000-0000-000095A10000}"/>
    <cellStyle name="Normal 58 4 2 4 2 2 2" xfId="22226" xr:uid="{00000000-0005-0000-0000-000096A10000}"/>
    <cellStyle name="Normal 58 4 2 4 2 2 2 2" xfId="47779" xr:uid="{00000000-0005-0000-0000-000097A10000}"/>
    <cellStyle name="Normal 58 4 2 4 2 2 3" xfId="37708" xr:uid="{00000000-0005-0000-0000-000098A10000}"/>
    <cellStyle name="Normal 58 4 2 4 2 3" xfId="8606" xr:uid="{00000000-0005-0000-0000-000099A10000}"/>
    <cellStyle name="Normal 58 4 2 4 2 3 2" xfId="34163" xr:uid="{00000000-0005-0000-0000-00009AA10000}"/>
    <cellStyle name="Normal 58 4 2 4 2 4" xfId="17219" xr:uid="{00000000-0005-0000-0000-00009BA10000}"/>
    <cellStyle name="Normal 58 4 2 4 2 4 2" xfId="42772" xr:uid="{00000000-0005-0000-0000-00009CA10000}"/>
    <cellStyle name="Normal 58 4 2 4 2 5" xfId="28709" xr:uid="{00000000-0005-0000-0000-00009DA10000}"/>
    <cellStyle name="Normal 58 4 2 4 3" xfId="4713" xr:uid="{00000000-0005-0000-0000-00009EA10000}"/>
    <cellStyle name="Normal 58 4 2 4 3 2" xfId="13551" xr:uid="{00000000-0005-0000-0000-00009FA10000}"/>
    <cellStyle name="Normal 58 4 2 4 3 2 2" xfId="23802" xr:uid="{00000000-0005-0000-0000-0000A0A10000}"/>
    <cellStyle name="Normal 58 4 2 4 3 2 2 2" xfId="49355" xr:uid="{00000000-0005-0000-0000-0000A1A10000}"/>
    <cellStyle name="Normal 58 4 2 4 3 2 3" xfId="39106" xr:uid="{00000000-0005-0000-0000-0000A2A10000}"/>
    <cellStyle name="Normal 58 4 2 4 3 3" xfId="9972" xr:uid="{00000000-0005-0000-0000-0000A3A10000}"/>
    <cellStyle name="Normal 58 4 2 4 3 3 2" xfId="35529" xr:uid="{00000000-0005-0000-0000-0000A4A10000}"/>
    <cellStyle name="Normal 58 4 2 4 3 4" xfId="18795" xr:uid="{00000000-0005-0000-0000-0000A5A10000}"/>
    <cellStyle name="Normal 58 4 2 4 3 4 2" xfId="44348" xr:uid="{00000000-0005-0000-0000-0000A6A10000}"/>
    <cellStyle name="Normal 58 4 2 4 3 5" xfId="30285" xr:uid="{00000000-0005-0000-0000-0000A7A10000}"/>
    <cellStyle name="Normal 58 4 2 4 4" xfId="1974" xr:uid="{00000000-0005-0000-0000-0000A8A10000}"/>
    <cellStyle name="Normal 58 4 2 4 4 2" xfId="11339" xr:uid="{00000000-0005-0000-0000-0000A9A10000}"/>
    <cellStyle name="Normal 58 4 2 4 4 2 2" xfId="36894" xr:uid="{00000000-0005-0000-0000-0000AAA10000}"/>
    <cellStyle name="Normal 58 4 2 4 4 3" xfId="21343" xr:uid="{00000000-0005-0000-0000-0000ABA10000}"/>
    <cellStyle name="Normal 58 4 2 4 4 3 2" xfId="46896" xr:uid="{00000000-0005-0000-0000-0000ACA10000}"/>
    <cellStyle name="Normal 58 4 2 4 4 4" xfId="27826" xr:uid="{00000000-0005-0000-0000-0000ADA10000}"/>
    <cellStyle name="Normal 58 4 2 4 5" xfId="6169" xr:uid="{00000000-0005-0000-0000-0000AEA10000}"/>
    <cellStyle name="Normal 58 4 2 4 5 2" xfId="14996" xr:uid="{00000000-0005-0000-0000-0000AFA10000}"/>
    <cellStyle name="Normal 58 4 2 4 5 2 2" xfId="40551" xr:uid="{00000000-0005-0000-0000-0000B0A10000}"/>
    <cellStyle name="Normal 58 4 2 4 5 3" xfId="25247" xr:uid="{00000000-0005-0000-0000-0000B1A10000}"/>
    <cellStyle name="Normal 58 4 2 4 5 3 2" xfId="50800" xr:uid="{00000000-0005-0000-0000-0000B2A10000}"/>
    <cellStyle name="Normal 58 4 2 4 5 4" xfId="31730" xr:uid="{00000000-0005-0000-0000-0000B3A10000}"/>
    <cellStyle name="Normal 58 4 2 4 6" xfId="7614" xr:uid="{00000000-0005-0000-0000-0000B4A10000}"/>
    <cellStyle name="Normal 58 4 2 4 6 2" xfId="19825" xr:uid="{00000000-0005-0000-0000-0000B5A10000}"/>
    <cellStyle name="Normal 58 4 2 4 6 2 2" xfId="45378" xr:uid="{00000000-0005-0000-0000-0000B6A10000}"/>
    <cellStyle name="Normal 58 4 2 4 6 3" xfId="33171" xr:uid="{00000000-0005-0000-0000-0000B7A10000}"/>
    <cellStyle name="Normal 58 4 2 4 7" xfId="16336" xr:uid="{00000000-0005-0000-0000-0000B8A10000}"/>
    <cellStyle name="Normal 58 4 2 4 7 2" xfId="41889" xr:uid="{00000000-0005-0000-0000-0000B9A10000}"/>
    <cellStyle name="Normal 58 4 2 4 8" xfId="26308" xr:uid="{00000000-0005-0000-0000-0000BAA10000}"/>
    <cellStyle name="Normal 58 4 2 5" xfId="899" xr:uid="{00000000-0005-0000-0000-0000BBA10000}"/>
    <cellStyle name="Normal 58 4 2 5 2" xfId="3384" xr:uid="{00000000-0005-0000-0000-0000BCA10000}"/>
    <cellStyle name="Normal 58 4 2 5 2 2" xfId="12526" xr:uid="{00000000-0005-0000-0000-0000BDA10000}"/>
    <cellStyle name="Normal 58 4 2 5 2 2 2" xfId="22745" xr:uid="{00000000-0005-0000-0000-0000BEA10000}"/>
    <cellStyle name="Normal 58 4 2 5 2 2 2 2" xfId="48298" xr:uid="{00000000-0005-0000-0000-0000BFA10000}"/>
    <cellStyle name="Normal 58 4 2 5 2 2 3" xfId="38081" xr:uid="{00000000-0005-0000-0000-0000C0A10000}"/>
    <cellStyle name="Normal 58 4 2 5 2 3" xfId="8948" xr:uid="{00000000-0005-0000-0000-0000C1A10000}"/>
    <cellStyle name="Normal 58 4 2 5 2 3 2" xfId="34505" xr:uid="{00000000-0005-0000-0000-0000C2A10000}"/>
    <cellStyle name="Normal 58 4 2 5 2 4" xfId="17738" xr:uid="{00000000-0005-0000-0000-0000C3A10000}"/>
    <cellStyle name="Normal 58 4 2 5 2 4 2" xfId="43291" xr:uid="{00000000-0005-0000-0000-0000C4A10000}"/>
    <cellStyle name="Normal 58 4 2 5 2 5" xfId="29228" xr:uid="{00000000-0005-0000-0000-0000C5A10000}"/>
    <cellStyle name="Normal 58 4 2 5 3" xfId="5062" xr:uid="{00000000-0005-0000-0000-0000C6A10000}"/>
    <cellStyle name="Normal 58 4 2 5 3 2" xfId="13899" xr:uid="{00000000-0005-0000-0000-0000C7A10000}"/>
    <cellStyle name="Normal 58 4 2 5 3 2 2" xfId="24150" xr:uid="{00000000-0005-0000-0000-0000C8A10000}"/>
    <cellStyle name="Normal 58 4 2 5 3 2 2 2" xfId="49703" xr:uid="{00000000-0005-0000-0000-0000C9A10000}"/>
    <cellStyle name="Normal 58 4 2 5 3 2 3" xfId="39454" xr:uid="{00000000-0005-0000-0000-0000CAA10000}"/>
    <cellStyle name="Normal 58 4 2 5 3 3" xfId="10320" xr:uid="{00000000-0005-0000-0000-0000CBA10000}"/>
    <cellStyle name="Normal 58 4 2 5 3 3 2" xfId="35877" xr:uid="{00000000-0005-0000-0000-0000CCA10000}"/>
    <cellStyle name="Normal 58 4 2 5 3 4" xfId="19143" xr:uid="{00000000-0005-0000-0000-0000CDA10000}"/>
    <cellStyle name="Normal 58 4 2 5 3 4 2" xfId="44696" xr:uid="{00000000-0005-0000-0000-0000CEA10000}"/>
    <cellStyle name="Normal 58 4 2 5 3 5" xfId="30633" xr:uid="{00000000-0005-0000-0000-0000CFA10000}"/>
    <cellStyle name="Normal 58 4 2 5 4" xfId="2493" xr:uid="{00000000-0005-0000-0000-0000D0A10000}"/>
    <cellStyle name="Normal 58 4 2 5 4 2" xfId="11858" xr:uid="{00000000-0005-0000-0000-0000D1A10000}"/>
    <cellStyle name="Normal 58 4 2 5 4 2 2" xfId="37413" xr:uid="{00000000-0005-0000-0000-0000D2A10000}"/>
    <cellStyle name="Normal 58 4 2 5 4 3" xfId="21862" xr:uid="{00000000-0005-0000-0000-0000D3A10000}"/>
    <cellStyle name="Normal 58 4 2 5 4 3 2" xfId="47415" xr:uid="{00000000-0005-0000-0000-0000D4A10000}"/>
    <cellStyle name="Normal 58 4 2 5 4 4" xfId="28345" xr:uid="{00000000-0005-0000-0000-0000D5A10000}"/>
    <cellStyle name="Normal 58 4 2 5 5" xfId="6517" xr:uid="{00000000-0005-0000-0000-0000D6A10000}"/>
    <cellStyle name="Normal 58 4 2 5 5 2" xfId="15344" xr:uid="{00000000-0005-0000-0000-0000D7A10000}"/>
    <cellStyle name="Normal 58 4 2 5 5 2 2" xfId="40899" xr:uid="{00000000-0005-0000-0000-0000D8A10000}"/>
    <cellStyle name="Normal 58 4 2 5 5 3" xfId="25595" xr:uid="{00000000-0005-0000-0000-0000D9A10000}"/>
    <cellStyle name="Normal 58 4 2 5 5 3 2" xfId="51148" xr:uid="{00000000-0005-0000-0000-0000DAA10000}"/>
    <cellStyle name="Normal 58 4 2 5 5 4" xfId="32078" xr:uid="{00000000-0005-0000-0000-0000DBA10000}"/>
    <cellStyle name="Normal 58 4 2 5 6" xfId="7963" xr:uid="{00000000-0005-0000-0000-0000DCA10000}"/>
    <cellStyle name="Normal 58 4 2 5 6 2" xfId="20344" xr:uid="{00000000-0005-0000-0000-0000DDA10000}"/>
    <cellStyle name="Normal 58 4 2 5 6 2 2" xfId="45897" xr:uid="{00000000-0005-0000-0000-0000DEA10000}"/>
    <cellStyle name="Normal 58 4 2 5 6 3" xfId="33520" xr:uid="{00000000-0005-0000-0000-0000DFA10000}"/>
    <cellStyle name="Normal 58 4 2 5 7" xfId="16855" xr:uid="{00000000-0005-0000-0000-0000E0A10000}"/>
    <cellStyle name="Normal 58 4 2 5 7 2" xfId="42408" xr:uid="{00000000-0005-0000-0000-0000E1A10000}"/>
    <cellStyle name="Normal 58 4 2 5 8" xfId="26827" xr:uid="{00000000-0005-0000-0000-0000E2A10000}"/>
    <cellStyle name="Normal 58 4 2 6" xfId="1151" xr:uid="{00000000-0005-0000-0000-0000E3A10000}"/>
    <cellStyle name="Normal 58 4 2 6 2" xfId="3580" xr:uid="{00000000-0005-0000-0000-0000E4A10000}"/>
    <cellStyle name="Normal 58 4 2 6 2 2" xfId="12716" xr:uid="{00000000-0005-0000-0000-0000E5A10000}"/>
    <cellStyle name="Normal 58 4 2 6 2 2 2" xfId="22935" xr:uid="{00000000-0005-0000-0000-0000E6A10000}"/>
    <cellStyle name="Normal 58 4 2 6 2 2 2 2" xfId="48488" xr:uid="{00000000-0005-0000-0000-0000E7A10000}"/>
    <cellStyle name="Normal 58 4 2 6 2 2 3" xfId="38271" xr:uid="{00000000-0005-0000-0000-0000E8A10000}"/>
    <cellStyle name="Normal 58 4 2 6 2 3" xfId="9137" xr:uid="{00000000-0005-0000-0000-0000E9A10000}"/>
    <cellStyle name="Normal 58 4 2 6 2 3 2" xfId="34694" xr:uid="{00000000-0005-0000-0000-0000EAA10000}"/>
    <cellStyle name="Normal 58 4 2 6 2 4" xfId="17928" xr:uid="{00000000-0005-0000-0000-0000EBA10000}"/>
    <cellStyle name="Normal 58 4 2 6 2 4 2" xfId="43481" xr:uid="{00000000-0005-0000-0000-0000ECA10000}"/>
    <cellStyle name="Normal 58 4 2 6 2 5" xfId="29418" xr:uid="{00000000-0005-0000-0000-0000EDA10000}"/>
    <cellStyle name="Normal 58 4 2 6 3" xfId="5243" xr:uid="{00000000-0005-0000-0000-0000EEA10000}"/>
    <cellStyle name="Normal 58 4 2 6 3 2" xfId="14080" xr:uid="{00000000-0005-0000-0000-0000EFA10000}"/>
    <cellStyle name="Normal 58 4 2 6 3 2 2" xfId="24331" xr:uid="{00000000-0005-0000-0000-0000F0A10000}"/>
    <cellStyle name="Normal 58 4 2 6 3 2 2 2" xfId="49884" xr:uid="{00000000-0005-0000-0000-0000F1A10000}"/>
    <cellStyle name="Normal 58 4 2 6 3 2 3" xfId="39635" xr:uid="{00000000-0005-0000-0000-0000F2A10000}"/>
    <cellStyle name="Normal 58 4 2 6 3 3" xfId="10501" xr:uid="{00000000-0005-0000-0000-0000F3A10000}"/>
    <cellStyle name="Normal 58 4 2 6 3 3 2" xfId="36058" xr:uid="{00000000-0005-0000-0000-0000F4A10000}"/>
    <cellStyle name="Normal 58 4 2 6 3 4" xfId="19324" xr:uid="{00000000-0005-0000-0000-0000F5A10000}"/>
    <cellStyle name="Normal 58 4 2 6 3 4 2" xfId="44877" xr:uid="{00000000-0005-0000-0000-0000F6A10000}"/>
    <cellStyle name="Normal 58 4 2 6 3 5" xfId="30814" xr:uid="{00000000-0005-0000-0000-0000F7A10000}"/>
    <cellStyle name="Normal 58 4 2 6 4" xfId="1750" xr:uid="{00000000-0005-0000-0000-0000F8A10000}"/>
    <cellStyle name="Normal 58 4 2 6 4 2" xfId="11121" xr:uid="{00000000-0005-0000-0000-0000F9A10000}"/>
    <cellStyle name="Normal 58 4 2 6 4 2 2" xfId="36676" xr:uid="{00000000-0005-0000-0000-0000FAA10000}"/>
    <cellStyle name="Normal 58 4 2 6 4 3" xfId="21125" xr:uid="{00000000-0005-0000-0000-0000FBA10000}"/>
    <cellStyle name="Normal 58 4 2 6 4 3 2" xfId="46678" xr:uid="{00000000-0005-0000-0000-0000FCA10000}"/>
    <cellStyle name="Normal 58 4 2 6 4 4" xfId="27608" xr:uid="{00000000-0005-0000-0000-0000FDA10000}"/>
    <cellStyle name="Normal 58 4 2 6 5" xfId="6698" xr:uid="{00000000-0005-0000-0000-0000FEA10000}"/>
    <cellStyle name="Normal 58 4 2 6 5 2" xfId="15525" xr:uid="{00000000-0005-0000-0000-0000FFA10000}"/>
    <cellStyle name="Normal 58 4 2 6 5 2 2" xfId="41080" xr:uid="{00000000-0005-0000-0000-000000A20000}"/>
    <cellStyle name="Normal 58 4 2 6 5 3" xfId="25776" xr:uid="{00000000-0005-0000-0000-000001A20000}"/>
    <cellStyle name="Normal 58 4 2 6 5 3 2" xfId="51329" xr:uid="{00000000-0005-0000-0000-000002A20000}"/>
    <cellStyle name="Normal 58 4 2 6 5 4" xfId="32259" xr:uid="{00000000-0005-0000-0000-000003A20000}"/>
    <cellStyle name="Normal 58 4 2 6 6" xfId="8144" xr:uid="{00000000-0005-0000-0000-000004A20000}"/>
    <cellStyle name="Normal 58 4 2 6 6 2" xfId="20534" xr:uid="{00000000-0005-0000-0000-000005A20000}"/>
    <cellStyle name="Normal 58 4 2 6 6 2 2" xfId="46087" xr:uid="{00000000-0005-0000-0000-000006A20000}"/>
    <cellStyle name="Normal 58 4 2 6 6 3" xfId="33701" xr:uid="{00000000-0005-0000-0000-000007A20000}"/>
    <cellStyle name="Normal 58 4 2 6 7" xfId="16118" xr:uid="{00000000-0005-0000-0000-000008A20000}"/>
    <cellStyle name="Normal 58 4 2 6 7 2" xfId="41671" xr:uid="{00000000-0005-0000-0000-000009A20000}"/>
    <cellStyle name="Normal 58 4 2 6 8" xfId="27017" xr:uid="{00000000-0005-0000-0000-00000AA20000}"/>
    <cellStyle name="Normal 58 4 2 7" xfId="2648" xr:uid="{00000000-0005-0000-0000-00000BA20000}"/>
    <cellStyle name="Normal 58 4 2 7 2" xfId="11970" xr:uid="{00000000-0005-0000-0000-00000CA20000}"/>
    <cellStyle name="Normal 58 4 2 7 2 2" xfId="22009" xr:uid="{00000000-0005-0000-0000-00000DA20000}"/>
    <cellStyle name="Normal 58 4 2 7 2 2 2" xfId="47562" xr:uid="{00000000-0005-0000-0000-00000EA20000}"/>
    <cellStyle name="Normal 58 4 2 7 2 3" xfId="37525" xr:uid="{00000000-0005-0000-0000-00000FA20000}"/>
    <cellStyle name="Normal 58 4 2 7 3" xfId="8611" xr:uid="{00000000-0005-0000-0000-000010A20000}"/>
    <cellStyle name="Normal 58 4 2 7 3 2" xfId="34168" xr:uid="{00000000-0005-0000-0000-000011A20000}"/>
    <cellStyle name="Normal 58 4 2 7 4" xfId="17002" xr:uid="{00000000-0005-0000-0000-000012A20000}"/>
    <cellStyle name="Normal 58 4 2 7 4 2" xfId="42555" xr:uid="{00000000-0005-0000-0000-000013A20000}"/>
    <cellStyle name="Normal 58 4 2 7 5" xfId="28492" xr:uid="{00000000-0005-0000-0000-000014A20000}"/>
    <cellStyle name="Normal 58 4 2 8" xfId="4199" xr:uid="{00000000-0005-0000-0000-000015A20000}"/>
    <cellStyle name="Normal 58 4 2 8 2" xfId="13037" xr:uid="{00000000-0005-0000-0000-000016A20000}"/>
    <cellStyle name="Normal 58 4 2 8 2 2" xfId="23288" xr:uid="{00000000-0005-0000-0000-000017A20000}"/>
    <cellStyle name="Normal 58 4 2 8 2 2 2" xfId="48841" xr:uid="{00000000-0005-0000-0000-000018A20000}"/>
    <cellStyle name="Normal 58 4 2 8 2 3" xfId="38592" xr:uid="{00000000-0005-0000-0000-000019A20000}"/>
    <cellStyle name="Normal 58 4 2 8 3" xfId="9458" xr:uid="{00000000-0005-0000-0000-00001AA20000}"/>
    <cellStyle name="Normal 58 4 2 8 3 2" xfId="35015" xr:uid="{00000000-0005-0000-0000-00001BA20000}"/>
    <cellStyle name="Normal 58 4 2 8 4" xfId="18281" xr:uid="{00000000-0005-0000-0000-00001CA20000}"/>
    <cellStyle name="Normal 58 4 2 8 4 2" xfId="43834" xr:uid="{00000000-0005-0000-0000-00001DA20000}"/>
    <cellStyle name="Normal 58 4 2 8 5" xfId="29771" xr:uid="{00000000-0005-0000-0000-00001EA20000}"/>
    <cellStyle name="Normal 58 4 2 9" xfId="1471" xr:uid="{00000000-0005-0000-0000-00001FA20000}"/>
    <cellStyle name="Normal 58 4 2 9 2" xfId="10848" xr:uid="{00000000-0005-0000-0000-000020A20000}"/>
    <cellStyle name="Normal 58 4 2 9 2 2" xfId="36403" xr:uid="{00000000-0005-0000-0000-000021A20000}"/>
    <cellStyle name="Normal 58 4 2 9 3" xfId="20852" xr:uid="{00000000-0005-0000-0000-000022A20000}"/>
    <cellStyle name="Normal 58 4 2 9 3 2" xfId="46405" xr:uid="{00000000-0005-0000-0000-000023A20000}"/>
    <cellStyle name="Normal 58 4 2 9 4" xfId="27335" xr:uid="{00000000-0005-0000-0000-000024A20000}"/>
    <cellStyle name="Normal 58 4 2_Degree data" xfId="4005" xr:uid="{00000000-0005-0000-0000-000025A20000}"/>
    <cellStyle name="Normal 58 4 3" xfId="194" xr:uid="{00000000-0005-0000-0000-000026A20000}"/>
    <cellStyle name="Normal 58 4 3 10" xfId="7142" xr:uid="{00000000-0005-0000-0000-000027A20000}"/>
    <cellStyle name="Normal 58 4 3 10 2" xfId="19651" xr:uid="{00000000-0005-0000-0000-000028A20000}"/>
    <cellStyle name="Normal 58 4 3 10 2 2" xfId="45204" xr:uid="{00000000-0005-0000-0000-000029A20000}"/>
    <cellStyle name="Normal 58 4 3 10 3" xfId="32699" xr:uid="{00000000-0005-0000-0000-00002AA20000}"/>
    <cellStyle name="Normal 58 4 3 11" xfId="15888" xr:uid="{00000000-0005-0000-0000-00002BA20000}"/>
    <cellStyle name="Normal 58 4 3 11 2" xfId="41441" xr:uid="{00000000-0005-0000-0000-00002CA20000}"/>
    <cellStyle name="Normal 58 4 3 12" xfId="26134" xr:uid="{00000000-0005-0000-0000-00002DA20000}"/>
    <cellStyle name="Normal 58 4 3 2" xfId="522" xr:uid="{00000000-0005-0000-0000-00002EA20000}"/>
    <cellStyle name="Normal 58 4 3 2 10" xfId="26451" xr:uid="{00000000-0005-0000-0000-00002FA20000}"/>
    <cellStyle name="Normal 58 4 3 2 2" xfId="903" xr:uid="{00000000-0005-0000-0000-000030A20000}"/>
    <cellStyle name="Normal 58 4 3 2 2 2" xfId="3388" xr:uid="{00000000-0005-0000-0000-000031A20000}"/>
    <cellStyle name="Normal 58 4 3 2 2 2 2" xfId="12530" xr:uid="{00000000-0005-0000-0000-000032A20000}"/>
    <cellStyle name="Normal 58 4 3 2 2 2 2 2" xfId="22749" xr:uid="{00000000-0005-0000-0000-000033A20000}"/>
    <cellStyle name="Normal 58 4 3 2 2 2 2 2 2" xfId="48302" xr:uid="{00000000-0005-0000-0000-000034A20000}"/>
    <cellStyle name="Normal 58 4 3 2 2 2 2 3" xfId="38085" xr:uid="{00000000-0005-0000-0000-000035A20000}"/>
    <cellStyle name="Normal 58 4 3 2 2 2 3" xfId="8952" xr:uid="{00000000-0005-0000-0000-000036A20000}"/>
    <cellStyle name="Normal 58 4 3 2 2 2 3 2" xfId="34509" xr:uid="{00000000-0005-0000-0000-000037A20000}"/>
    <cellStyle name="Normal 58 4 3 2 2 2 4" xfId="17742" xr:uid="{00000000-0005-0000-0000-000038A20000}"/>
    <cellStyle name="Normal 58 4 3 2 2 2 4 2" xfId="43295" xr:uid="{00000000-0005-0000-0000-000039A20000}"/>
    <cellStyle name="Normal 58 4 3 2 2 2 5" xfId="29232" xr:uid="{00000000-0005-0000-0000-00003AA20000}"/>
    <cellStyle name="Normal 58 4 3 2 2 3" xfId="4717" xr:uid="{00000000-0005-0000-0000-00003BA20000}"/>
    <cellStyle name="Normal 58 4 3 2 2 3 2" xfId="13555" xr:uid="{00000000-0005-0000-0000-00003CA20000}"/>
    <cellStyle name="Normal 58 4 3 2 2 3 2 2" xfId="23806" xr:uid="{00000000-0005-0000-0000-00003DA20000}"/>
    <cellStyle name="Normal 58 4 3 2 2 3 2 2 2" xfId="49359" xr:uid="{00000000-0005-0000-0000-00003EA20000}"/>
    <cellStyle name="Normal 58 4 3 2 2 3 2 3" xfId="39110" xr:uid="{00000000-0005-0000-0000-00003FA20000}"/>
    <cellStyle name="Normal 58 4 3 2 2 3 3" xfId="9976" xr:uid="{00000000-0005-0000-0000-000040A20000}"/>
    <cellStyle name="Normal 58 4 3 2 2 3 3 2" xfId="35533" xr:uid="{00000000-0005-0000-0000-000041A20000}"/>
    <cellStyle name="Normal 58 4 3 2 2 3 4" xfId="18799" xr:uid="{00000000-0005-0000-0000-000042A20000}"/>
    <cellStyle name="Normal 58 4 3 2 2 3 4 2" xfId="44352" xr:uid="{00000000-0005-0000-0000-000043A20000}"/>
    <cellStyle name="Normal 58 4 3 2 2 3 5" xfId="30289" xr:uid="{00000000-0005-0000-0000-000044A20000}"/>
    <cellStyle name="Normal 58 4 3 2 2 4" xfId="2497" xr:uid="{00000000-0005-0000-0000-000045A20000}"/>
    <cellStyle name="Normal 58 4 3 2 2 4 2" xfId="11862" xr:uid="{00000000-0005-0000-0000-000046A20000}"/>
    <cellStyle name="Normal 58 4 3 2 2 4 2 2" xfId="37417" xr:uid="{00000000-0005-0000-0000-000047A20000}"/>
    <cellStyle name="Normal 58 4 3 2 2 4 3" xfId="21866" xr:uid="{00000000-0005-0000-0000-000048A20000}"/>
    <cellStyle name="Normal 58 4 3 2 2 4 3 2" xfId="47419" xr:uid="{00000000-0005-0000-0000-000049A20000}"/>
    <cellStyle name="Normal 58 4 3 2 2 4 4" xfId="28349" xr:uid="{00000000-0005-0000-0000-00004AA20000}"/>
    <cellStyle name="Normal 58 4 3 2 2 5" xfId="6173" xr:uid="{00000000-0005-0000-0000-00004BA20000}"/>
    <cellStyle name="Normal 58 4 3 2 2 5 2" xfId="15000" xr:uid="{00000000-0005-0000-0000-00004CA20000}"/>
    <cellStyle name="Normal 58 4 3 2 2 5 2 2" xfId="40555" xr:uid="{00000000-0005-0000-0000-00004DA20000}"/>
    <cellStyle name="Normal 58 4 3 2 2 5 3" xfId="25251" xr:uid="{00000000-0005-0000-0000-00004EA20000}"/>
    <cellStyle name="Normal 58 4 3 2 2 5 3 2" xfId="50804" xr:uid="{00000000-0005-0000-0000-00004FA20000}"/>
    <cellStyle name="Normal 58 4 3 2 2 5 4" xfId="31734" xr:uid="{00000000-0005-0000-0000-000050A20000}"/>
    <cellStyle name="Normal 58 4 3 2 2 6" xfId="7618" xr:uid="{00000000-0005-0000-0000-000051A20000}"/>
    <cellStyle name="Normal 58 4 3 2 2 6 2" xfId="20348" xr:uid="{00000000-0005-0000-0000-000052A20000}"/>
    <cellStyle name="Normal 58 4 3 2 2 6 2 2" xfId="45901" xr:uid="{00000000-0005-0000-0000-000053A20000}"/>
    <cellStyle name="Normal 58 4 3 2 2 6 3" xfId="33175" xr:uid="{00000000-0005-0000-0000-000054A20000}"/>
    <cellStyle name="Normal 58 4 3 2 2 7" xfId="16859" xr:uid="{00000000-0005-0000-0000-000055A20000}"/>
    <cellStyle name="Normal 58 4 3 2 2 7 2" xfId="42412" xr:uid="{00000000-0005-0000-0000-000056A20000}"/>
    <cellStyle name="Normal 58 4 3 2 2 8" xfId="26831" xr:uid="{00000000-0005-0000-0000-000057A20000}"/>
    <cellStyle name="Normal 58 4 3 2 3" xfId="1294" xr:uid="{00000000-0005-0000-0000-000058A20000}"/>
    <cellStyle name="Normal 58 4 3 2 3 2" xfId="3723" xr:uid="{00000000-0005-0000-0000-000059A20000}"/>
    <cellStyle name="Normal 58 4 3 2 3 2 2" xfId="12859" xr:uid="{00000000-0005-0000-0000-00005AA20000}"/>
    <cellStyle name="Normal 58 4 3 2 3 2 2 2" xfId="23078" xr:uid="{00000000-0005-0000-0000-00005BA20000}"/>
    <cellStyle name="Normal 58 4 3 2 3 2 2 2 2" xfId="48631" xr:uid="{00000000-0005-0000-0000-00005CA20000}"/>
    <cellStyle name="Normal 58 4 3 2 3 2 2 3" xfId="38414" xr:uid="{00000000-0005-0000-0000-00005DA20000}"/>
    <cellStyle name="Normal 58 4 3 2 3 2 3" xfId="9280" xr:uid="{00000000-0005-0000-0000-00005EA20000}"/>
    <cellStyle name="Normal 58 4 3 2 3 2 3 2" xfId="34837" xr:uid="{00000000-0005-0000-0000-00005FA20000}"/>
    <cellStyle name="Normal 58 4 3 2 3 2 4" xfId="18071" xr:uid="{00000000-0005-0000-0000-000060A20000}"/>
    <cellStyle name="Normal 58 4 3 2 3 2 4 2" xfId="43624" xr:uid="{00000000-0005-0000-0000-000061A20000}"/>
    <cellStyle name="Normal 58 4 3 2 3 2 5" xfId="29561" xr:uid="{00000000-0005-0000-0000-000062A20000}"/>
    <cellStyle name="Normal 58 4 3 2 3 3" xfId="5066" xr:uid="{00000000-0005-0000-0000-000063A20000}"/>
    <cellStyle name="Normal 58 4 3 2 3 3 2" xfId="13903" xr:uid="{00000000-0005-0000-0000-000064A20000}"/>
    <cellStyle name="Normal 58 4 3 2 3 3 2 2" xfId="24154" xr:uid="{00000000-0005-0000-0000-000065A20000}"/>
    <cellStyle name="Normal 58 4 3 2 3 3 2 2 2" xfId="49707" xr:uid="{00000000-0005-0000-0000-000066A20000}"/>
    <cellStyle name="Normal 58 4 3 2 3 3 2 3" xfId="39458" xr:uid="{00000000-0005-0000-0000-000067A20000}"/>
    <cellStyle name="Normal 58 4 3 2 3 3 3" xfId="10324" xr:uid="{00000000-0005-0000-0000-000068A20000}"/>
    <cellStyle name="Normal 58 4 3 2 3 3 3 2" xfId="35881" xr:uid="{00000000-0005-0000-0000-000069A20000}"/>
    <cellStyle name="Normal 58 4 3 2 3 3 4" xfId="19147" xr:uid="{00000000-0005-0000-0000-00006AA20000}"/>
    <cellStyle name="Normal 58 4 3 2 3 3 4 2" xfId="44700" xr:uid="{00000000-0005-0000-0000-00006BA20000}"/>
    <cellStyle name="Normal 58 4 3 2 3 3 5" xfId="30637" xr:uid="{00000000-0005-0000-0000-00006CA20000}"/>
    <cellStyle name="Normal 58 4 3 2 3 4" xfId="2117" xr:uid="{00000000-0005-0000-0000-00006DA20000}"/>
    <cellStyle name="Normal 58 4 3 2 3 4 2" xfId="11482" xr:uid="{00000000-0005-0000-0000-00006EA20000}"/>
    <cellStyle name="Normal 58 4 3 2 3 4 2 2" xfId="37037" xr:uid="{00000000-0005-0000-0000-00006FA20000}"/>
    <cellStyle name="Normal 58 4 3 2 3 4 3" xfId="21486" xr:uid="{00000000-0005-0000-0000-000070A20000}"/>
    <cellStyle name="Normal 58 4 3 2 3 4 3 2" xfId="47039" xr:uid="{00000000-0005-0000-0000-000071A20000}"/>
    <cellStyle name="Normal 58 4 3 2 3 4 4" xfId="27969" xr:uid="{00000000-0005-0000-0000-000072A20000}"/>
    <cellStyle name="Normal 58 4 3 2 3 5" xfId="6521" xr:uid="{00000000-0005-0000-0000-000073A20000}"/>
    <cellStyle name="Normal 58 4 3 2 3 5 2" xfId="15348" xr:uid="{00000000-0005-0000-0000-000074A20000}"/>
    <cellStyle name="Normal 58 4 3 2 3 5 2 2" xfId="40903" xr:uid="{00000000-0005-0000-0000-000075A20000}"/>
    <cellStyle name="Normal 58 4 3 2 3 5 3" xfId="25599" xr:uid="{00000000-0005-0000-0000-000076A20000}"/>
    <cellStyle name="Normal 58 4 3 2 3 5 3 2" xfId="51152" xr:uid="{00000000-0005-0000-0000-000077A20000}"/>
    <cellStyle name="Normal 58 4 3 2 3 5 4" xfId="32082" xr:uid="{00000000-0005-0000-0000-000078A20000}"/>
    <cellStyle name="Normal 58 4 3 2 3 6" xfId="7967" xr:uid="{00000000-0005-0000-0000-000079A20000}"/>
    <cellStyle name="Normal 58 4 3 2 3 6 2" xfId="20677" xr:uid="{00000000-0005-0000-0000-00007AA20000}"/>
    <cellStyle name="Normal 58 4 3 2 3 6 2 2" xfId="46230" xr:uid="{00000000-0005-0000-0000-00007BA20000}"/>
    <cellStyle name="Normal 58 4 3 2 3 6 3" xfId="33524" xr:uid="{00000000-0005-0000-0000-00007CA20000}"/>
    <cellStyle name="Normal 58 4 3 2 3 7" xfId="16479" xr:uid="{00000000-0005-0000-0000-00007DA20000}"/>
    <cellStyle name="Normal 58 4 3 2 3 7 2" xfId="42032" xr:uid="{00000000-0005-0000-0000-00007EA20000}"/>
    <cellStyle name="Normal 58 4 3 2 3 8" xfId="27160" xr:uid="{00000000-0005-0000-0000-00007FA20000}"/>
    <cellStyle name="Normal 58 4 3 2 4" xfId="3008" xr:uid="{00000000-0005-0000-0000-000080A20000}"/>
    <cellStyle name="Normal 58 4 3 2 4 2" xfId="5386" xr:uid="{00000000-0005-0000-0000-000081A20000}"/>
    <cellStyle name="Normal 58 4 3 2 4 2 2" xfId="14223" xr:uid="{00000000-0005-0000-0000-000082A20000}"/>
    <cellStyle name="Normal 58 4 3 2 4 2 2 2" xfId="24474" xr:uid="{00000000-0005-0000-0000-000083A20000}"/>
    <cellStyle name="Normal 58 4 3 2 4 2 2 2 2" xfId="50027" xr:uid="{00000000-0005-0000-0000-000084A20000}"/>
    <cellStyle name="Normal 58 4 3 2 4 2 2 3" xfId="39778" xr:uid="{00000000-0005-0000-0000-000085A20000}"/>
    <cellStyle name="Normal 58 4 3 2 4 2 3" xfId="10644" xr:uid="{00000000-0005-0000-0000-000086A20000}"/>
    <cellStyle name="Normal 58 4 3 2 4 2 3 2" xfId="36201" xr:uid="{00000000-0005-0000-0000-000087A20000}"/>
    <cellStyle name="Normal 58 4 3 2 4 2 4" xfId="19467" xr:uid="{00000000-0005-0000-0000-000088A20000}"/>
    <cellStyle name="Normal 58 4 3 2 4 2 4 2" xfId="45020" xr:uid="{00000000-0005-0000-0000-000089A20000}"/>
    <cellStyle name="Normal 58 4 3 2 4 2 5" xfId="30957" xr:uid="{00000000-0005-0000-0000-00008AA20000}"/>
    <cellStyle name="Normal 58 4 3 2 4 3" xfId="6841" xr:uid="{00000000-0005-0000-0000-00008BA20000}"/>
    <cellStyle name="Normal 58 4 3 2 4 3 2" xfId="15668" xr:uid="{00000000-0005-0000-0000-00008CA20000}"/>
    <cellStyle name="Normal 58 4 3 2 4 3 2 2" xfId="41223" xr:uid="{00000000-0005-0000-0000-00008DA20000}"/>
    <cellStyle name="Normal 58 4 3 2 4 3 3" xfId="25919" xr:uid="{00000000-0005-0000-0000-00008EA20000}"/>
    <cellStyle name="Normal 58 4 3 2 4 3 3 2" xfId="51472" xr:uid="{00000000-0005-0000-0000-00008FA20000}"/>
    <cellStyle name="Normal 58 4 3 2 4 3 4" xfId="32402" xr:uid="{00000000-0005-0000-0000-000090A20000}"/>
    <cellStyle name="Normal 58 4 3 2 4 4" xfId="8287" xr:uid="{00000000-0005-0000-0000-000091A20000}"/>
    <cellStyle name="Normal 58 4 3 2 4 4 2" xfId="22369" xr:uid="{00000000-0005-0000-0000-000092A20000}"/>
    <cellStyle name="Normal 58 4 3 2 4 4 2 2" xfId="47922" xr:uid="{00000000-0005-0000-0000-000093A20000}"/>
    <cellStyle name="Normal 58 4 3 2 4 4 3" xfId="33844" xr:uid="{00000000-0005-0000-0000-000094A20000}"/>
    <cellStyle name="Normal 58 4 3 2 4 5" xfId="17362" xr:uid="{00000000-0005-0000-0000-000095A20000}"/>
    <cellStyle name="Normal 58 4 3 2 4 5 2" xfId="42915" xr:uid="{00000000-0005-0000-0000-000096A20000}"/>
    <cellStyle name="Normal 58 4 3 2 4 6" xfId="28852" xr:uid="{00000000-0005-0000-0000-000097A20000}"/>
    <cellStyle name="Normal 58 4 3 2 5" xfId="4342" xr:uid="{00000000-0005-0000-0000-000098A20000}"/>
    <cellStyle name="Normal 58 4 3 2 5 2" xfId="13180" xr:uid="{00000000-0005-0000-0000-000099A20000}"/>
    <cellStyle name="Normal 58 4 3 2 5 2 2" xfId="23431" xr:uid="{00000000-0005-0000-0000-00009AA20000}"/>
    <cellStyle name="Normal 58 4 3 2 5 2 2 2" xfId="48984" xr:uid="{00000000-0005-0000-0000-00009BA20000}"/>
    <cellStyle name="Normal 58 4 3 2 5 2 3" xfId="38735" xr:uid="{00000000-0005-0000-0000-00009CA20000}"/>
    <cellStyle name="Normal 58 4 3 2 5 3" xfId="9601" xr:uid="{00000000-0005-0000-0000-00009DA20000}"/>
    <cellStyle name="Normal 58 4 3 2 5 3 2" xfId="35158" xr:uid="{00000000-0005-0000-0000-00009EA20000}"/>
    <cellStyle name="Normal 58 4 3 2 5 4" xfId="18424" xr:uid="{00000000-0005-0000-0000-00009FA20000}"/>
    <cellStyle name="Normal 58 4 3 2 5 4 2" xfId="43977" xr:uid="{00000000-0005-0000-0000-0000A0A20000}"/>
    <cellStyle name="Normal 58 4 3 2 5 5" xfId="29914" xr:uid="{00000000-0005-0000-0000-0000A1A20000}"/>
    <cellStyle name="Normal 58 4 3 2 6" xfId="1614" xr:uid="{00000000-0005-0000-0000-0000A2A20000}"/>
    <cellStyle name="Normal 58 4 3 2 6 2" xfId="10991" xr:uid="{00000000-0005-0000-0000-0000A3A20000}"/>
    <cellStyle name="Normal 58 4 3 2 6 2 2" xfId="36546" xr:uid="{00000000-0005-0000-0000-0000A4A20000}"/>
    <cellStyle name="Normal 58 4 3 2 6 3" xfId="20995" xr:uid="{00000000-0005-0000-0000-0000A5A20000}"/>
    <cellStyle name="Normal 58 4 3 2 6 3 2" xfId="46548" xr:uid="{00000000-0005-0000-0000-0000A6A20000}"/>
    <cellStyle name="Normal 58 4 3 2 6 4" xfId="27478" xr:uid="{00000000-0005-0000-0000-0000A7A20000}"/>
    <cellStyle name="Normal 58 4 3 2 7" xfId="5798" xr:uid="{00000000-0005-0000-0000-0000A8A20000}"/>
    <cellStyle name="Normal 58 4 3 2 7 2" xfId="14625" xr:uid="{00000000-0005-0000-0000-0000A9A20000}"/>
    <cellStyle name="Normal 58 4 3 2 7 2 2" xfId="40180" xr:uid="{00000000-0005-0000-0000-0000AAA20000}"/>
    <cellStyle name="Normal 58 4 3 2 7 3" xfId="24876" xr:uid="{00000000-0005-0000-0000-0000ABA20000}"/>
    <cellStyle name="Normal 58 4 3 2 7 3 2" xfId="50429" xr:uid="{00000000-0005-0000-0000-0000ACA20000}"/>
    <cellStyle name="Normal 58 4 3 2 7 4" xfId="31359" xr:uid="{00000000-0005-0000-0000-0000ADA20000}"/>
    <cellStyle name="Normal 58 4 3 2 8" xfId="7242" xr:uid="{00000000-0005-0000-0000-0000AEA20000}"/>
    <cellStyle name="Normal 58 4 3 2 8 2" xfId="19968" xr:uid="{00000000-0005-0000-0000-0000AFA20000}"/>
    <cellStyle name="Normal 58 4 3 2 8 2 2" xfId="45521" xr:uid="{00000000-0005-0000-0000-0000B0A20000}"/>
    <cellStyle name="Normal 58 4 3 2 8 3" xfId="32799" xr:uid="{00000000-0005-0000-0000-0000B1A20000}"/>
    <cellStyle name="Normal 58 4 3 2 9" xfId="15988" xr:uid="{00000000-0005-0000-0000-0000B2A20000}"/>
    <cellStyle name="Normal 58 4 3 2 9 2" xfId="41541" xr:uid="{00000000-0005-0000-0000-0000B3A20000}"/>
    <cellStyle name="Normal 58 4 3 2_Degree data" xfId="4009" xr:uid="{00000000-0005-0000-0000-0000B4A20000}"/>
    <cellStyle name="Normal 58 4 3 3" xfId="422" xr:uid="{00000000-0005-0000-0000-0000B5A20000}"/>
    <cellStyle name="Normal 58 4 3 3 2" xfId="2908" xr:uid="{00000000-0005-0000-0000-0000B6A20000}"/>
    <cellStyle name="Normal 58 4 3 3 2 2" xfId="12196" xr:uid="{00000000-0005-0000-0000-0000B7A20000}"/>
    <cellStyle name="Normal 58 4 3 3 2 2 2" xfId="22269" xr:uid="{00000000-0005-0000-0000-0000B8A20000}"/>
    <cellStyle name="Normal 58 4 3 3 2 2 2 2" xfId="47822" xr:uid="{00000000-0005-0000-0000-0000B9A20000}"/>
    <cellStyle name="Normal 58 4 3 3 2 2 3" xfId="37751" xr:uid="{00000000-0005-0000-0000-0000BAA20000}"/>
    <cellStyle name="Normal 58 4 3 3 2 3" xfId="8509" xr:uid="{00000000-0005-0000-0000-0000BBA20000}"/>
    <cellStyle name="Normal 58 4 3 3 2 3 2" xfId="34066" xr:uid="{00000000-0005-0000-0000-0000BCA20000}"/>
    <cellStyle name="Normal 58 4 3 3 2 4" xfId="17262" xr:uid="{00000000-0005-0000-0000-0000BDA20000}"/>
    <cellStyle name="Normal 58 4 3 3 2 4 2" xfId="42815" xr:uid="{00000000-0005-0000-0000-0000BEA20000}"/>
    <cellStyle name="Normal 58 4 3 3 2 5" xfId="28752" xr:uid="{00000000-0005-0000-0000-0000BFA20000}"/>
    <cellStyle name="Normal 58 4 3 3 3" xfId="4716" xr:uid="{00000000-0005-0000-0000-0000C0A20000}"/>
    <cellStyle name="Normal 58 4 3 3 3 2" xfId="13554" xr:uid="{00000000-0005-0000-0000-0000C1A20000}"/>
    <cellStyle name="Normal 58 4 3 3 3 2 2" xfId="23805" xr:uid="{00000000-0005-0000-0000-0000C2A20000}"/>
    <cellStyle name="Normal 58 4 3 3 3 2 2 2" xfId="49358" xr:uid="{00000000-0005-0000-0000-0000C3A20000}"/>
    <cellStyle name="Normal 58 4 3 3 3 2 3" xfId="39109" xr:uid="{00000000-0005-0000-0000-0000C4A20000}"/>
    <cellStyle name="Normal 58 4 3 3 3 3" xfId="9975" xr:uid="{00000000-0005-0000-0000-0000C5A20000}"/>
    <cellStyle name="Normal 58 4 3 3 3 3 2" xfId="35532" xr:uid="{00000000-0005-0000-0000-0000C6A20000}"/>
    <cellStyle name="Normal 58 4 3 3 3 4" xfId="18798" xr:uid="{00000000-0005-0000-0000-0000C7A20000}"/>
    <cellStyle name="Normal 58 4 3 3 3 4 2" xfId="44351" xr:uid="{00000000-0005-0000-0000-0000C8A20000}"/>
    <cellStyle name="Normal 58 4 3 3 3 5" xfId="30288" xr:uid="{00000000-0005-0000-0000-0000C9A20000}"/>
    <cellStyle name="Normal 58 4 3 3 4" xfId="2017" xr:uid="{00000000-0005-0000-0000-0000CAA20000}"/>
    <cellStyle name="Normal 58 4 3 3 4 2" xfId="11382" xr:uid="{00000000-0005-0000-0000-0000CBA20000}"/>
    <cellStyle name="Normal 58 4 3 3 4 2 2" xfId="36937" xr:uid="{00000000-0005-0000-0000-0000CCA20000}"/>
    <cellStyle name="Normal 58 4 3 3 4 3" xfId="21386" xr:uid="{00000000-0005-0000-0000-0000CDA20000}"/>
    <cellStyle name="Normal 58 4 3 3 4 3 2" xfId="46939" xr:uid="{00000000-0005-0000-0000-0000CEA20000}"/>
    <cellStyle name="Normal 58 4 3 3 4 4" xfId="27869" xr:uid="{00000000-0005-0000-0000-0000CFA20000}"/>
    <cellStyle name="Normal 58 4 3 3 5" xfId="6172" xr:uid="{00000000-0005-0000-0000-0000D0A20000}"/>
    <cellStyle name="Normal 58 4 3 3 5 2" xfId="14999" xr:uid="{00000000-0005-0000-0000-0000D1A20000}"/>
    <cellStyle name="Normal 58 4 3 3 5 2 2" xfId="40554" xr:uid="{00000000-0005-0000-0000-0000D2A20000}"/>
    <cellStyle name="Normal 58 4 3 3 5 3" xfId="25250" xr:uid="{00000000-0005-0000-0000-0000D3A20000}"/>
    <cellStyle name="Normal 58 4 3 3 5 3 2" xfId="50803" xr:uid="{00000000-0005-0000-0000-0000D4A20000}"/>
    <cellStyle name="Normal 58 4 3 3 5 4" xfId="31733" xr:uid="{00000000-0005-0000-0000-0000D5A20000}"/>
    <cellStyle name="Normal 58 4 3 3 6" xfId="7617" xr:uid="{00000000-0005-0000-0000-0000D6A20000}"/>
    <cellStyle name="Normal 58 4 3 3 6 2" xfId="19868" xr:uid="{00000000-0005-0000-0000-0000D7A20000}"/>
    <cellStyle name="Normal 58 4 3 3 6 2 2" xfId="45421" xr:uid="{00000000-0005-0000-0000-0000D8A20000}"/>
    <cellStyle name="Normal 58 4 3 3 6 3" xfId="33174" xr:uid="{00000000-0005-0000-0000-0000D9A20000}"/>
    <cellStyle name="Normal 58 4 3 3 7" xfId="16379" xr:uid="{00000000-0005-0000-0000-0000DAA20000}"/>
    <cellStyle name="Normal 58 4 3 3 7 2" xfId="41932" xr:uid="{00000000-0005-0000-0000-0000DBA20000}"/>
    <cellStyle name="Normal 58 4 3 3 8" xfId="26351" xr:uid="{00000000-0005-0000-0000-0000DCA20000}"/>
    <cellStyle name="Normal 58 4 3 4" xfId="902" xr:uid="{00000000-0005-0000-0000-0000DDA20000}"/>
    <cellStyle name="Normal 58 4 3 4 2" xfId="3387" xr:uid="{00000000-0005-0000-0000-0000DEA20000}"/>
    <cellStyle name="Normal 58 4 3 4 2 2" xfId="12529" xr:uid="{00000000-0005-0000-0000-0000DFA20000}"/>
    <cellStyle name="Normal 58 4 3 4 2 2 2" xfId="22748" xr:uid="{00000000-0005-0000-0000-0000E0A20000}"/>
    <cellStyle name="Normal 58 4 3 4 2 2 2 2" xfId="48301" xr:uid="{00000000-0005-0000-0000-0000E1A20000}"/>
    <cellStyle name="Normal 58 4 3 4 2 2 3" xfId="38084" xr:uid="{00000000-0005-0000-0000-0000E2A20000}"/>
    <cellStyle name="Normal 58 4 3 4 2 3" xfId="8951" xr:uid="{00000000-0005-0000-0000-0000E3A20000}"/>
    <cellStyle name="Normal 58 4 3 4 2 3 2" xfId="34508" xr:uid="{00000000-0005-0000-0000-0000E4A20000}"/>
    <cellStyle name="Normal 58 4 3 4 2 4" xfId="17741" xr:uid="{00000000-0005-0000-0000-0000E5A20000}"/>
    <cellStyle name="Normal 58 4 3 4 2 4 2" xfId="43294" xr:uid="{00000000-0005-0000-0000-0000E6A20000}"/>
    <cellStyle name="Normal 58 4 3 4 2 5" xfId="29231" xr:uid="{00000000-0005-0000-0000-0000E7A20000}"/>
    <cellStyle name="Normal 58 4 3 4 3" xfId="5065" xr:uid="{00000000-0005-0000-0000-0000E8A20000}"/>
    <cellStyle name="Normal 58 4 3 4 3 2" xfId="13902" xr:uid="{00000000-0005-0000-0000-0000E9A20000}"/>
    <cellStyle name="Normal 58 4 3 4 3 2 2" xfId="24153" xr:uid="{00000000-0005-0000-0000-0000EAA20000}"/>
    <cellStyle name="Normal 58 4 3 4 3 2 2 2" xfId="49706" xr:uid="{00000000-0005-0000-0000-0000EBA20000}"/>
    <cellStyle name="Normal 58 4 3 4 3 2 3" xfId="39457" xr:uid="{00000000-0005-0000-0000-0000ECA20000}"/>
    <cellStyle name="Normal 58 4 3 4 3 3" xfId="10323" xr:uid="{00000000-0005-0000-0000-0000EDA20000}"/>
    <cellStyle name="Normal 58 4 3 4 3 3 2" xfId="35880" xr:uid="{00000000-0005-0000-0000-0000EEA20000}"/>
    <cellStyle name="Normal 58 4 3 4 3 4" xfId="19146" xr:uid="{00000000-0005-0000-0000-0000EFA20000}"/>
    <cellStyle name="Normal 58 4 3 4 3 4 2" xfId="44699" xr:uid="{00000000-0005-0000-0000-0000F0A20000}"/>
    <cellStyle name="Normal 58 4 3 4 3 5" xfId="30636" xr:uid="{00000000-0005-0000-0000-0000F1A20000}"/>
    <cellStyle name="Normal 58 4 3 4 4" xfId="2496" xr:uid="{00000000-0005-0000-0000-0000F2A20000}"/>
    <cellStyle name="Normal 58 4 3 4 4 2" xfId="11861" xr:uid="{00000000-0005-0000-0000-0000F3A20000}"/>
    <cellStyle name="Normal 58 4 3 4 4 2 2" xfId="37416" xr:uid="{00000000-0005-0000-0000-0000F4A20000}"/>
    <cellStyle name="Normal 58 4 3 4 4 3" xfId="21865" xr:uid="{00000000-0005-0000-0000-0000F5A20000}"/>
    <cellStyle name="Normal 58 4 3 4 4 3 2" xfId="47418" xr:uid="{00000000-0005-0000-0000-0000F6A20000}"/>
    <cellStyle name="Normal 58 4 3 4 4 4" xfId="28348" xr:uid="{00000000-0005-0000-0000-0000F7A20000}"/>
    <cellStyle name="Normal 58 4 3 4 5" xfId="6520" xr:uid="{00000000-0005-0000-0000-0000F8A20000}"/>
    <cellStyle name="Normal 58 4 3 4 5 2" xfId="15347" xr:uid="{00000000-0005-0000-0000-0000F9A20000}"/>
    <cellStyle name="Normal 58 4 3 4 5 2 2" xfId="40902" xr:uid="{00000000-0005-0000-0000-0000FAA20000}"/>
    <cellStyle name="Normal 58 4 3 4 5 3" xfId="25598" xr:uid="{00000000-0005-0000-0000-0000FBA20000}"/>
    <cellStyle name="Normal 58 4 3 4 5 3 2" xfId="51151" xr:uid="{00000000-0005-0000-0000-0000FCA20000}"/>
    <cellStyle name="Normal 58 4 3 4 5 4" xfId="32081" xr:uid="{00000000-0005-0000-0000-0000FDA20000}"/>
    <cellStyle name="Normal 58 4 3 4 6" xfId="7966" xr:uid="{00000000-0005-0000-0000-0000FEA20000}"/>
    <cellStyle name="Normal 58 4 3 4 6 2" xfId="20347" xr:uid="{00000000-0005-0000-0000-0000FFA20000}"/>
    <cellStyle name="Normal 58 4 3 4 6 2 2" xfId="45900" xr:uid="{00000000-0005-0000-0000-000000A30000}"/>
    <cellStyle name="Normal 58 4 3 4 6 3" xfId="33523" xr:uid="{00000000-0005-0000-0000-000001A30000}"/>
    <cellStyle name="Normal 58 4 3 4 7" xfId="16858" xr:uid="{00000000-0005-0000-0000-000002A30000}"/>
    <cellStyle name="Normal 58 4 3 4 7 2" xfId="42411" xr:uid="{00000000-0005-0000-0000-000003A30000}"/>
    <cellStyle name="Normal 58 4 3 4 8" xfId="26830" xr:uid="{00000000-0005-0000-0000-000004A30000}"/>
    <cellStyle name="Normal 58 4 3 5" xfId="1194" xr:uid="{00000000-0005-0000-0000-000005A30000}"/>
    <cellStyle name="Normal 58 4 3 5 2" xfId="3623" xr:uid="{00000000-0005-0000-0000-000006A30000}"/>
    <cellStyle name="Normal 58 4 3 5 2 2" xfId="12759" xr:uid="{00000000-0005-0000-0000-000007A30000}"/>
    <cellStyle name="Normal 58 4 3 5 2 2 2" xfId="22978" xr:uid="{00000000-0005-0000-0000-000008A30000}"/>
    <cellStyle name="Normal 58 4 3 5 2 2 2 2" xfId="48531" xr:uid="{00000000-0005-0000-0000-000009A30000}"/>
    <cellStyle name="Normal 58 4 3 5 2 2 3" xfId="38314" xr:uid="{00000000-0005-0000-0000-00000AA30000}"/>
    <cellStyle name="Normal 58 4 3 5 2 3" xfId="9180" xr:uid="{00000000-0005-0000-0000-00000BA30000}"/>
    <cellStyle name="Normal 58 4 3 5 2 3 2" xfId="34737" xr:uid="{00000000-0005-0000-0000-00000CA30000}"/>
    <cellStyle name="Normal 58 4 3 5 2 4" xfId="17971" xr:uid="{00000000-0005-0000-0000-00000DA30000}"/>
    <cellStyle name="Normal 58 4 3 5 2 4 2" xfId="43524" xr:uid="{00000000-0005-0000-0000-00000EA30000}"/>
    <cellStyle name="Normal 58 4 3 5 2 5" xfId="29461" xr:uid="{00000000-0005-0000-0000-00000FA30000}"/>
    <cellStyle name="Normal 58 4 3 5 3" xfId="5286" xr:uid="{00000000-0005-0000-0000-000010A30000}"/>
    <cellStyle name="Normal 58 4 3 5 3 2" xfId="14123" xr:uid="{00000000-0005-0000-0000-000011A30000}"/>
    <cellStyle name="Normal 58 4 3 5 3 2 2" xfId="24374" xr:uid="{00000000-0005-0000-0000-000012A30000}"/>
    <cellStyle name="Normal 58 4 3 5 3 2 2 2" xfId="49927" xr:uid="{00000000-0005-0000-0000-000013A30000}"/>
    <cellStyle name="Normal 58 4 3 5 3 2 3" xfId="39678" xr:uid="{00000000-0005-0000-0000-000014A30000}"/>
    <cellStyle name="Normal 58 4 3 5 3 3" xfId="10544" xr:uid="{00000000-0005-0000-0000-000015A30000}"/>
    <cellStyle name="Normal 58 4 3 5 3 3 2" xfId="36101" xr:uid="{00000000-0005-0000-0000-000016A30000}"/>
    <cellStyle name="Normal 58 4 3 5 3 4" xfId="19367" xr:uid="{00000000-0005-0000-0000-000017A30000}"/>
    <cellStyle name="Normal 58 4 3 5 3 4 2" xfId="44920" xr:uid="{00000000-0005-0000-0000-000018A30000}"/>
    <cellStyle name="Normal 58 4 3 5 3 5" xfId="30857" xr:uid="{00000000-0005-0000-0000-000019A30000}"/>
    <cellStyle name="Normal 58 4 3 5 4" xfId="1796" xr:uid="{00000000-0005-0000-0000-00001AA30000}"/>
    <cellStyle name="Normal 58 4 3 5 4 2" xfId="11165" xr:uid="{00000000-0005-0000-0000-00001BA30000}"/>
    <cellStyle name="Normal 58 4 3 5 4 2 2" xfId="36720" xr:uid="{00000000-0005-0000-0000-00001CA30000}"/>
    <cellStyle name="Normal 58 4 3 5 4 3" xfId="21169" xr:uid="{00000000-0005-0000-0000-00001DA30000}"/>
    <cellStyle name="Normal 58 4 3 5 4 3 2" xfId="46722" xr:uid="{00000000-0005-0000-0000-00001EA30000}"/>
    <cellStyle name="Normal 58 4 3 5 4 4" xfId="27652" xr:uid="{00000000-0005-0000-0000-00001FA30000}"/>
    <cellStyle name="Normal 58 4 3 5 5" xfId="6741" xr:uid="{00000000-0005-0000-0000-000020A30000}"/>
    <cellStyle name="Normal 58 4 3 5 5 2" xfId="15568" xr:uid="{00000000-0005-0000-0000-000021A30000}"/>
    <cellStyle name="Normal 58 4 3 5 5 2 2" xfId="41123" xr:uid="{00000000-0005-0000-0000-000022A30000}"/>
    <cellStyle name="Normal 58 4 3 5 5 3" xfId="25819" xr:uid="{00000000-0005-0000-0000-000023A30000}"/>
    <cellStyle name="Normal 58 4 3 5 5 3 2" xfId="51372" xr:uid="{00000000-0005-0000-0000-000024A30000}"/>
    <cellStyle name="Normal 58 4 3 5 5 4" xfId="32302" xr:uid="{00000000-0005-0000-0000-000025A30000}"/>
    <cellStyle name="Normal 58 4 3 5 6" xfId="8187" xr:uid="{00000000-0005-0000-0000-000026A30000}"/>
    <cellStyle name="Normal 58 4 3 5 6 2" xfId="20577" xr:uid="{00000000-0005-0000-0000-000027A30000}"/>
    <cellStyle name="Normal 58 4 3 5 6 2 2" xfId="46130" xr:uid="{00000000-0005-0000-0000-000028A30000}"/>
    <cellStyle name="Normal 58 4 3 5 6 3" xfId="33744" xr:uid="{00000000-0005-0000-0000-000029A30000}"/>
    <cellStyle name="Normal 58 4 3 5 7" xfId="16162" xr:uid="{00000000-0005-0000-0000-00002AA30000}"/>
    <cellStyle name="Normal 58 4 3 5 7 2" xfId="41715" xr:uid="{00000000-0005-0000-0000-00002BA30000}"/>
    <cellStyle name="Normal 58 4 3 5 8" xfId="27060" xr:uid="{00000000-0005-0000-0000-00002CA30000}"/>
    <cellStyle name="Normal 58 4 3 6" xfId="2691" xr:uid="{00000000-0005-0000-0000-00002DA30000}"/>
    <cellStyle name="Normal 58 4 3 6 2" xfId="12008" xr:uid="{00000000-0005-0000-0000-00002EA30000}"/>
    <cellStyle name="Normal 58 4 3 6 2 2" xfId="22052" xr:uid="{00000000-0005-0000-0000-00002FA30000}"/>
    <cellStyle name="Normal 58 4 3 6 2 2 2" xfId="47605" xr:uid="{00000000-0005-0000-0000-000030A30000}"/>
    <cellStyle name="Normal 58 4 3 6 2 3" xfId="37563" xr:uid="{00000000-0005-0000-0000-000031A30000}"/>
    <cellStyle name="Normal 58 4 3 6 3" xfId="8400" xr:uid="{00000000-0005-0000-0000-000032A30000}"/>
    <cellStyle name="Normal 58 4 3 6 3 2" xfId="33957" xr:uid="{00000000-0005-0000-0000-000033A30000}"/>
    <cellStyle name="Normal 58 4 3 6 4" xfId="17045" xr:uid="{00000000-0005-0000-0000-000034A30000}"/>
    <cellStyle name="Normal 58 4 3 6 4 2" xfId="42598" xr:uid="{00000000-0005-0000-0000-000035A30000}"/>
    <cellStyle name="Normal 58 4 3 6 5" xfId="28535" xr:uid="{00000000-0005-0000-0000-000036A30000}"/>
    <cellStyle name="Normal 58 4 3 7" xfId="4242" xr:uid="{00000000-0005-0000-0000-000037A30000}"/>
    <cellStyle name="Normal 58 4 3 7 2" xfId="13080" xr:uid="{00000000-0005-0000-0000-000038A30000}"/>
    <cellStyle name="Normal 58 4 3 7 2 2" xfId="23331" xr:uid="{00000000-0005-0000-0000-000039A30000}"/>
    <cellStyle name="Normal 58 4 3 7 2 2 2" xfId="48884" xr:uid="{00000000-0005-0000-0000-00003AA30000}"/>
    <cellStyle name="Normal 58 4 3 7 2 3" xfId="38635" xr:uid="{00000000-0005-0000-0000-00003BA30000}"/>
    <cellStyle name="Normal 58 4 3 7 3" xfId="9501" xr:uid="{00000000-0005-0000-0000-00003CA30000}"/>
    <cellStyle name="Normal 58 4 3 7 3 2" xfId="35058" xr:uid="{00000000-0005-0000-0000-00003DA30000}"/>
    <cellStyle name="Normal 58 4 3 7 4" xfId="18324" xr:uid="{00000000-0005-0000-0000-00003EA30000}"/>
    <cellStyle name="Normal 58 4 3 7 4 2" xfId="43877" xr:uid="{00000000-0005-0000-0000-00003FA30000}"/>
    <cellStyle name="Normal 58 4 3 7 5" xfId="29814" xr:uid="{00000000-0005-0000-0000-000040A30000}"/>
    <cellStyle name="Normal 58 4 3 8" xfId="1514" xr:uid="{00000000-0005-0000-0000-000041A30000}"/>
    <cellStyle name="Normal 58 4 3 8 2" xfId="10891" xr:uid="{00000000-0005-0000-0000-000042A30000}"/>
    <cellStyle name="Normal 58 4 3 8 2 2" xfId="36446" xr:uid="{00000000-0005-0000-0000-000043A30000}"/>
    <cellStyle name="Normal 58 4 3 8 3" xfId="20895" xr:uid="{00000000-0005-0000-0000-000044A30000}"/>
    <cellStyle name="Normal 58 4 3 8 3 2" xfId="46448" xr:uid="{00000000-0005-0000-0000-000045A30000}"/>
    <cellStyle name="Normal 58 4 3 8 4" xfId="27378" xr:uid="{00000000-0005-0000-0000-000046A30000}"/>
    <cellStyle name="Normal 58 4 3 9" xfId="5698" xr:uid="{00000000-0005-0000-0000-000047A30000}"/>
    <cellStyle name="Normal 58 4 3 9 2" xfId="14525" xr:uid="{00000000-0005-0000-0000-000048A30000}"/>
    <cellStyle name="Normal 58 4 3 9 2 2" xfId="40080" xr:uid="{00000000-0005-0000-0000-000049A30000}"/>
    <cellStyle name="Normal 58 4 3 9 3" xfId="24776" xr:uid="{00000000-0005-0000-0000-00004AA30000}"/>
    <cellStyle name="Normal 58 4 3 9 3 2" xfId="50329" xr:uid="{00000000-0005-0000-0000-00004BA30000}"/>
    <cellStyle name="Normal 58 4 3 9 4" xfId="31259" xr:uid="{00000000-0005-0000-0000-00004CA30000}"/>
    <cellStyle name="Normal 58 4 3_Degree data" xfId="4008" xr:uid="{00000000-0005-0000-0000-00004DA30000}"/>
    <cellStyle name="Normal 58 4 4" xfId="247" xr:uid="{00000000-0005-0000-0000-00004EA30000}"/>
    <cellStyle name="Normal 58 4 4 10" xfId="7085" xr:uid="{00000000-0005-0000-0000-00004FA30000}"/>
    <cellStyle name="Normal 58 4 4 10 2" xfId="19699" xr:uid="{00000000-0005-0000-0000-000050A30000}"/>
    <cellStyle name="Normal 58 4 4 10 2 2" xfId="45252" xr:uid="{00000000-0005-0000-0000-000051A30000}"/>
    <cellStyle name="Normal 58 4 4 10 3" xfId="32642" xr:uid="{00000000-0005-0000-0000-000052A30000}"/>
    <cellStyle name="Normal 58 4 4 11" xfId="15831" xr:uid="{00000000-0005-0000-0000-000053A30000}"/>
    <cellStyle name="Normal 58 4 4 11 2" xfId="41384" xr:uid="{00000000-0005-0000-0000-000054A30000}"/>
    <cellStyle name="Normal 58 4 4 12" xfId="26182" xr:uid="{00000000-0005-0000-0000-000055A30000}"/>
    <cellStyle name="Normal 58 4 4 2" xfId="570" xr:uid="{00000000-0005-0000-0000-000056A30000}"/>
    <cellStyle name="Normal 58 4 4 2 10" xfId="26499" xr:uid="{00000000-0005-0000-0000-000057A30000}"/>
    <cellStyle name="Normal 58 4 4 2 2" xfId="905" xr:uid="{00000000-0005-0000-0000-000058A30000}"/>
    <cellStyle name="Normal 58 4 4 2 2 2" xfId="3390" xr:uid="{00000000-0005-0000-0000-000059A30000}"/>
    <cellStyle name="Normal 58 4 4 2 2 2 2" xfId="12532" xr:uid="{00000000-0005-0000-0000-00005AA30000}"/>
    <cellStyle name="Normal 58 4 4 2 2 2 2 2" xfId="22751" xr:uid="{00000000-0005-0000-0000-00005BA30000}"/>
    <cellStyle name="Normal 58 4 4 2 2 2 2 2 2" xfId="48304" xr:uid="{00000000-0005-0000-0000-00005CA30000}"/>
    <cellStyle name="Normal 58 4 4 2 2 2 2 3" xfId="38087" xr:uid="{00000000-0005-0000-0000-00005DA30000}"/>
    <cellStyle name="Normal 58 4 4 2 2 2 3" xfId="8954" xr:uid="{00000000-0005-0000-0000-00005EA30000}"/>
    <cellStyle name="Normal 58 4 4 2 2 2 3 2" xfId="34511" xr:uid="{00000000-0005-0000-0000-00005FA30000}"/>
    <cellStyle name="Normal 58 4 4 2 2 2 4" xfId="17744" xr:uid="{00000000-0005-0000-0000-000060A30000}"/>
    <cellStyle name="Normal 58 4 4 2 2 2 4 2" xfId="43297" xr:uid="{00000000-0005-0000-0000-000061A30000}"/>
    <cellStyle name="Normal 58 4 4 2 2 2 5" xfId="29234" xr:uid="{00000000-0005-0000-0000-000062A30000}"/>
    <cellStyle name="Normal 58 4 4 2 2 3" xfId="4719" xr:uid="{00000000-0005-0000-0000-000063A30000}"/>
    <cellStyle name="Normal 58 4 4 2 2 3 2" xfId="13557" xr:uid="{00000000-0005-0000-0000-000064A30000}"/>
    <cellStyle name="Normal 58 4 4 2 2 3 2 2" xfId="23808" xr:uid="{00000000-0005-0000-0000-000065A30000}"/>
    <cellStyle name="Normal 58 4 4 2 2 3 2 2 2" xfId="49361" xr:uid="{00000000-0005-0000-0000-000066A30000}"/>
    <cellStyle name="Normal 58 4 4 2 2 3 2 3" xfId="39112" xr:uid="{00000000-0005-0000-0000-000067A30000}"/>
    <cellStyle name="Normal 58 4 4 2 2 3 3" xfId="9978" xr:uid="{00000000-0005-0000-0000-000068A30000}"/>
    <cellStyle name="Normal 58 4 4 2 2 3 3 2" xfId="35535" xr:uid="{00000000-0005-0000-0000-000069A30000}"/>
    <cellStyle name="Normal 58 4 4 2 2 3 4" xfId="18801" xr:uid="{00000000-0005-0000-0000-00006AA30000}"/>
    <cellStyle name="Normal 58 4 4 2 2 3 4 2" xfId="44354" xr:uid="{00000000-0005-0000-0000-00006BA30000}"/>
    <cellStyle name="Normal 58 4 4 2 2 3 5" xfId="30291" xr:uid="{00000000-0005-0000-0000-00006CA30000}"/>
    <cellStyle name="Normal 58 4 4 2 2 4" xfId="2499" xr:uid="{00000000-0005-0000-0000-00006DA30000}"/>
    <cellStyle name="Normal 58 4 4 2 2 4 2" xfId="11864" xr:uid="{00000000-0005-0000-0000-00006EA30000}"/>
    <cellStyle name="Normal 58 4 4 2 2 4 2 2" xfId="37419" xr:uid="{00000000-0005-0000-0000-00006FA30000}"/>
    <cellStyle name="Normal 58 4 4 2 2 4 3" xfId="21868" xr:uid="{00000000-0005-0000-0000-000070A30000}"/>
    <cellStyle name="Normal 58 4 4 2 2 4 3 2" xfId="47421" xr:uid="{00000000-0005-0000-0000-000071A30000}"/>
    <cellStyle name="Normal 58 4 4 2 2 4 4" xfId="28351" xr:uid="{00000000-0005-0000-0000-000072A30000}"/>
    <cellStyle name="Normal 58 4 4 2 2 5" xfId="6175" xr:uid="{00000000-0005-0000-0000-000073A30000}"/>
    <cellStyle name="Normal 58 4 4 2 2 5 2" xfId="15002" xr:uid="{00000000-0005-0000-0000-000074A30000}"/>
    <cellStyle name="Normal 58 4 4 2 2 5 2 2" xfId="40557" xr:uid="{00000000-0005-0000-0000-000075A30000}"/>
    <cellStyle name="Normal 58 4 4 2 2 5 3" xfId="25253" xr:uid="{00000000-0005-0000-0000-000076A30000}"/>
    <cellStyle name="Normal 58 4 4 2 2 5 3 2" xfId="50806" xr:uid="{00000000-0005-0000-0000-000077A30000}"/>
    <cellStyle name="Normal 58 4 4 2 2 5 4" xfId="31736" xr:uid="{00000000-0005-0000-0000-000078A30000}"/>
    <cellStyle name="Normal 58 4 4 2 2 6" xfId="7620" xr:uid="{00000000-0005-0000-0000-000079A30000}"/>
    <cellStyle name="Normal 58 4 4 2 2 6 2" xfId="20350" xr:uid="{00000000-0005-0000-0000-00007AA30000}"/>
    <cellStyle name="Normal 58 4 4 2 2 6 2 2" xfId="45903" xr:uid="{00000000-0005-0000-0000-00007BA30000}"/>
    <cellStyle name="Normal 58 4 4 2 2 6 3" xfId="33177" xr:uid="{00000000-0005-0000-0000-00007CA30000}"/>
    <cellStyle name="Normal 58 4 4 2 2 7" xfId="16861" xr:uid="{00000000-0005-0000-0000-00007DA30000}"/>
    <cellStyle name="Normal 58 4 4 2 2 7 2" xfId="42414" xr:uid="{00000000-0005-0000-0000-00007EA30000}"/>
    <cellStyle name="Normal 58 4 4 2 2 8" xfId="26833" xr:uid="{00000000-0005-0000-0000-00007FA30000}"/>
    <cellStyle name="Normal 58 4 4 2 3" xfId="1342" xr:uid="{00000000-0005-0000-0000-000080A30000}"/>
    <cellStyle name="Normal 58 4 4 2 3 2" xfId="3771" xr:uid="{00000000-0005-0000-0000-000081A30000}"/>
    <cellStyle name="Normal 58 4 4 2 3 2 2" xfId="12907" xr:uid="{00000000-0005-0000-0000-000082A30000}"/>
    <cellStyle name="Normal 58 4 4 2 3 2 2 2" xfId="23126" xr:uid="{00000000-0005-0000-0000-000083A30000}"/>
    <cellStyle name="Normal 58 4 4 2 3 2 2 2 2" xfId="48679" xr:uid="{00000000-0005-0000-0000-000084A30000}"/>
    <cellStyle name="Normal 58 4 4 2 3 2 2 3" xfId="38462" xr:uid="{00000000-0005-0000-0000-000085A30000}"/>
    <cellStyle name="Normal 58 4 4 2 3 2 3" xfId="9328" xr:uid="{00000000-0005-0000-0000-000086A30000}"/>
    <cellStyle name="Normal 58 4 4 2 3 2 3 2" xfId="34885" xr:uid="{00000000-0005-0000-0000-000087A30000}"/>
    <cellStyle name="Normal 58 4 4 2 3 2 4" xfId="18119" xr:uid="{00000000-0005-0000-0000-000088A30000}"/>
    <cellStyle name="Normal 58 4 4 2 3 2 4 2" xfId="43672" xr:uid="{00000000-0005-0000-0000-000089A30000}"/>
    <cellStyle name="Normal 58 4 4 2 3 2 5" xfId="29609" xr:uid="{00000000-0005-0000-0000-00008AA30000}"/>
    <cellStyle name="Normal 58 4 4 2 3 3" xfId="5068" xr:uid="{00000000-0005-0000-0000-00008BA30000}"/>
    <cellStyle name="Normal 58 4 4 2 3 3 2" xfId="13905" xr:uid="{00000000-0005-0000-0000-00008CA30000}"/>
    <cellStyle name="Normal 58 4 4 2 3 3 2 2" xfId="24156" xr:uid="{00000000-0005-0000-0000-00008DA30000}"/>
    <cellStyle name="Normal 58 4 4 2 3 3 2 2 2" xfId="49709" xr:uid="{00000000-0005-0000-0000-00008EA30000}"/>
    <cellStyle name="Normal 58 4 4 2 3 3 2 3" xfId="39460" xr:uid="{00000000-0005-0000-0000-00008FA30000}"/>
    <cellStyle name="Normal 58 4 4 2 3 3 3" xfId="10326" xr:uid="{00000000-0005-0000-0000-000090A30000}"/>
    <cellStyle name="Normal 58 4 4 2 3 3 3 2" xfId="35883" xr:uid="{00000000-0005-0000-0000-000091A30000}"/>
    <cellStyle name="Normal 58 4 4 2 3 3 4" xfId="19149" xr:uid="{00000000-0005-0000-0000-000092A30000}"/>
    <cellStyle name="Normal 58 4 4 2 3 3 4 2" xfId="44702" xr:uid="{00000000-0005-0000-0000-000093A30000}"/>
    <cellStyle name="Normal 58 4 4 2 3 3 5" xfId="30639" xr:uid="{00000000-0005-0000-0000-000094A30000}"/>
    <cellStyle name="Normal 58 4 4 2 3 4" xfId="2165" xr:uid="{00000000-0005-0000-0000-000095A30000}"/>
    <cellStyle name="Normal 58 4 4 2 3 4 2" xfId="11530" xr:uid="{00000000-0005-0000-0000-000096A30000}"/>
    <cellStyle name="Normal 58 4 4 2 3 4 2 2" xfId="37085" xr:uid="{00000000-0005-0000-0000-000097A30000}"/>
    <cellStyle name="Normal 58 4 4 2 3 4 3" xfId="21534" xr:uid="{00000000-0005-0000-0000-000098A30000}"/>
    <cellStyle name="Normal 58 4 4 2 3 4 3 2" xfId="47087" xr:uid="{00000000-0005-0000-0000-000099A30000}"/>
    <cellStyle name="Normal 58 4 4 2 3 4 4" xfId="28017" xr:uid="{00000000-0005-0000-0000-00009AA30000}"/>
    <cellStyle name="Normal 58 4 4 2 3 5" xfId="6523" xr:uid="{00000000-0005-0000-0000-00009BA30000}"/>
    <cellStyle name="Normal 58 4 4 2 3 5 2" xfId="15350" xr:uid="{00000000-0005-0000-0000-00009CA30000}"/>
    <cellStyle name="Normal 58 4 4 2 3 5 2 2" xfId="40905" xr:uid="{00000000-0005-0000-0000-00009DA30000}"/>
    <cellStyle name="Normal 58 4 4 2 3 5 3" xfId="25601" xr:uid="{00000000-0005-0000-0000-00009EA30000}"/>
    <cellStyle name="Normal 58 4 4 2 3 5 3 2" xfId="51154" xr:uid="{00000000-0005-0000-0000-00009FA30000}"/>
    <cellStyle name="Normal 58 4 4 2 3 5 4" xfId="32084" xr:uid="{00000000-0005-0000-0000-0000A0A30000}"/>
    <cellStyle name="Normal 58 4 4 2 3 6" xfId="7969" xr:uid="{00000000-0005-0000-0000-0000A1A30000}"/>
    <cellStyle name="Normal 58 4 4 2 3 6 2" xfId="20725" xr:uid="{00000000-0005-0000-0000-0000A2A30000}"/>
    <cellStyle name="Normal 58 4 4 2 3 6 2 2" xfId="46278" xr:uid="{00000000-0005-0000-0000-0000A3A30000}"/>
    <cellStyle name="Normal 58 4 4 2 3 6 3" xfId="33526" xr:uid="{00000000-0005-0000-0000-0000A4A30000}"/>
    <cellStyle name="Normal 58 4 4 2 3 7" xfId="16527" xr:uid="{00000000-0005-0000-0000-0000A5A30000}"/>
    <cellStyle name="Normal 58 4 4 2 3 7 2" xfId="42080" xr:uid="{00000000-0005-0000-0000-0000A6A30000}"/>
    <cellStyle name="Normal 58 4 4 2 3 8" xfId="27208" xr:uid="{00000000-0005-0000-0000-0000A7A30000}"/>
    <cellStyle name="Normal 58 4 4 2 4" xfId="3056" xr:uid="{00000000-0005-0000-0000-0000A8A30000}"/>
    <cellStyle name="Normal 58 4 4 2 4 2" xfId="5434" xr:uid="{00000000-0005-0000-0000-0000A9A30000}"/>
    <cellStyle name="Normal 58 4 4 2 4 2 2" xfId="14271" xr:uid="{00000000-0005-0000-0000-0000AAA30000}"/>
    <cellStyle name="Normal 58 4 4 2 4 2 2 2" xfId="24522" xr:uid="{00000000-0005-0000-0000-0000ABA30000}"/>
    <cellStyle name="Normal 58 4 4 2 4 2 2 2 2" xfId="50075" xr:uid="{00000000-0005-0000-0000-0000ACA30000}"/>
    <cellStyle name="Normal 58 4 4 2 4 2 2 3" xfId="39826" xr:uid="{00000000-0005-0000-0000-0000ADA30000}"/>
    <cellStyle name="Normal 58 4 4 2 4 2 3" xfId="10692" xr:uid="{00000000-0005-0000-0000-0000AEA30000}"/>
    <cellStyle name="Normal 58 4 4 2 4 2 3 2" xfId="36249" xr:uid="{00000000-0005-0000-0000-0000AFA30000}"/>
    <cellStyle name="Normal 58 4 4 2 4 2 4" xfId="19515" xr:uid="{00000000-0005-0000-0000-0000B0A30000}"/>
    <cellStyle name="Normal 58 4 4 2 4 2 4 2" xfId="45068" xr:uid="{00000000-0005-0000-0000-0000B1A30000}"/>
    <cellStyle name="Normal 58 4 4 2 4 2 5" xfId="31005" xr:uid="{00000000-0005-0000-0000-0000B2A30000}"/>
    <cellStyle name="Normal 58 4 4 2 4 3" xfId="6889" xr:uid="{00000000-0005-0000-0000-0000B3A30000}"/>
    <cellStyle name="Normal 58 4 4 2 4 3 2" xfId="15716" xr:uid="{00000000-0005-0000-0000-0000B4A30000}"/>
    <cellStyle name="Normal 58 4 4 2 4 3 2 2" xfId="41271" xr:uid="{00000000-0005-0000-0000-0000B5A30000}"/>
    <cellStyle name="Normal 58 4 4 2 4 3 3" xfId="25967" xr:uid="{00000000-0005-0000-0000-0000B6A30000}"/>
    <cellStyle name="Normal 58 4 4 2 4 3 3 2" xfId="51520" xr:uid="{00000000-0005-0000-0000-0000B7A30000}"/>
    <cellStyle name="Normal 58 4 4 2 4 3 4" xfId="32450" xr:uid="{00000000-0005-0000-0000-0000B8A30000}"/>
    <cellStyle name="Normal 58 4 4 2 4 4" xfId="8335" xr:uid="{00000000-0005-0000-0000-0000B9A30000}"/>
    <cellStyle name="Normal 58 4 4 2 4 4 2" xfId="22417" xr:uid="{00000000-0005-0000-0000-0000BAA30000}"/>
    <cellStyle name="Normal 58 4 4 2 4 4 2 2" xfId="47970" xr:uid="{00000000-0005-0000-0000-0000BBA30000}"/>
    <cellStyle name="Normal 58 4 4 2 4 4 3" xfId="33892" xr:uid="{00000000-0005-0000-0000-0000BCA30000}"/>
    <cellStyle name="Normal 58 4 4 2 4 5" xfId="17410" xr:uid="{00000000-0005-0000-0000-0000BDA30000}"/>
    <cellStyle name="Normal 58 4 4 2 4 5 2" xfId="42963" xr:uid="{00000000-0005-0000-0000-0000BEA30000}"/>
    <cellStyle name="Normal 58 4 4 2 4 6" xfId="28900" xr:uid="{00000000-0005-0000-0000-0000BFA30000}"/>
    <cellStyle name="Normal 58 4 4 2 5" xfId="4390" xr:uid="{00000000-0005-0000-0000-0000C0A30000}"/>
    <cellStyle name="Normal 58 4 4 2 5 2" xfId="13228" xr:uid="{00000000-0005-0000-0000-0000C1A30000}"/>
    <cellStyle name="Normal 58 4 4 2 5 2 2" xfId="23479" xr:uid="{00000000-0005-0000-0000-0000C2A30000}"/>
    <cellStyle name="Normal 58 4 4 2 5 2 2 2" xfId="49032" xr:uid="{00000000-0005-0000-0000-0000C3A30000}"/>
    <cellStyle name="Normal 58 4 4 2 5 2 3" xfId="38783" xr:uid="{00000000-0005-0000-0000-0000C4A30000}"/>
    <cellStyle name="Normal 58 4 4 2 5 3" xfId="9649" xr:uid="{00000000-0005-0000-0000-0000C5A30000}"/>
    <cellStyle name="Normal 58 4 4 2 5 3 2" xfId="35206" xr:uid="{00000000-0005-0000-0000-0000C6A30000}"/>
    <cellStyle name="Normal 58 4 4 2 5 4" xfId="18472" xr:uid="{00000000-0005-0000-0000-0000C7A30000}"/>
    <cellStyle name="Normal 58 4 4 2 5 4 2" xfId="44025" xr:uid="{00000000-0005-0000-0000-0000C8A30000}"/>
    <cellStyle name="Normal 58 4 4 2 5 5" xfId="29962" xr:uid="{00000000-0005-0000-0000-0000C9A30000}"/>
    <cellStyle name="Normal 58 4 4 2 6" xfId="1662" xr:uid="{00000000-0005-0000-0000-0000CAA30000}"/>
    <cellStyle name="Normal 58 4 4 2 6 2" xfId="11039" xr:uid="{00000000-0005-0000-0000-0000CBA30000}"/>
    <cellStyle name="Normal 58 4 4 2 6 2 2" xfId="36594" xr:uid="{00000000-0005-0000-0000-0000CCA30000}"/>
    <cellStyle name="Normal 58 4 4 2 6 3" xfId="21043" xr:uid="{00000000-0005-0000-0000-0000CDA30000}"/>
    <cellStyle name="Normal 58 4 4 2 6 3 2" xfId="46596" xr:uid="{00000000-0005-0000-0000-0000CEA30000}"/>
    <cellStyle name="Normal 58 4 4 2 6 4" xfId="27526" xr:uid="{00000000-0005-0000-0000-0000CFA30000}"/>
    <cellStyle name="Normal 58 4 4 2 7" xfId="5846" xr:uid="{00000000-0005-0000-0000-0000D0A30000}"/>
    <cellStyle name="Normal 58 4 4 2 7 2" xfId="14673" xr:uid="{00000000-0005-0000-0000-0000D1A30000}"/>
    <cellStyle name="Normal 58 4 4 2 7 2 2" xfId="40228" xr:uid="{00000000-0005-0000-0000-0000D2A30000}"/>
    <cellStyle name="Normal 58 4 4 2 7 3" xfId="24924" xr:uid="{00000000-0005-0000-0000-0000D3A30000}"/>
    <cellStyle name="Normal 58 4 4 2 7 3 2" xfId="50477" xr:uid="{00000000-0005-0000-0000-0000D4A30000}"/>
    <cellStyle name="Normal 58 4 4 2 7 4" xfId="31407" xr:uid="{00000000-0005-0000-0000-0000D5A30000}"/>
    <cellStyle name="Normal 58 4 4 2 8" xfId="7290" xr:uid="{00000000-0005-0000-0000-0000D6A30000}"/>
    <cellStyle name="Normal 58 4 4 2 8 2" xfId="20016" xr:uid="{00000000-0005-0000-0000-0000D7A30000}"/>
    <cellStyle name="Normal 58 4 4 2 8 2 2" xfId="45569" xr:uid="{00000000-0005-0000-0000-0000D8A30000}"/>
    <cellStyle name="Normal 58 4 4 2 8 3" xfId="32847" xr:uid="{00000000-0005-0000-0000-0000D9A30000}"/>
    <cellStyle name="Normal 58 4 4 2 9" xfId="16036" xr:uid="{00000000-0005-0000-0000-0000DAA30000}"/>
    <cellStyle name="Normal 58 4 4 2 9 2" xfId="41589" xr:uid="{00000000-0005-0000-0000-0000DBA30000}"/>
    <cellStyle name="Normal 58 4 4 2_Degree data" xfId="4011" xr:uid="{00000000-0005-0000-0000-0000DCA30000}"/>
    <cellStyle name="Normal 58 4 4 3" xfId="365" xr:uid="{00000000-0005-0000-0000-0000DDA30000}"/>
    <cellStyle name="Normal 58 4 4 3 2" xfId="2851" xr:uid="{00000000-0005-0000-0000-0000DEA30000}"/>
    <cellStyle name="Normal 58 4 4 3 2 2" xfId="12139" xr:uid="{00000000-0005-0000-0000-0000DFA30000}"/>
    <cellStyle name="Normal 58 4 4 3 2 2 2" xfId="22212" xr:uid="{00000000-0005-0000-0000-0000E0A30000}"/>
    <cellStyle name="Normal 58 4 4 3 2 2 2 2" xfId="47765" xr:uid="{00000000-0005-0000-0000-0000E1A30000}"/>
    <cellStyle name="Normal 58 4 4 3 2 2 3" xfId="37694" xr:uid="{00000000-0005-0000-0000-0000E2A30000}"/>
    <cellStyle name="Normal 58 4 4 3 2 3" xfId="8463" xr:uid="{00000000-0005-0000-0000-0000E3A30000}"/>
    <cellStyle name="Normal 58 4 4 3 2 3 2" xfId="34020" xr:uid="{00000000-0005-0000-0000-0000E4A30000}"/>
    <cellStyle name="Normal 58 4 4 3 2 4" xfId="17205" xr:uid="{00000000-0005-0000-0000-0000E5A30000}"/>
    <cellStyle name="Normal 58 4 4 3 2 4 2" xfId="42758" xr:uid="{00000000-0005-0000-0000-0000E6A30000}"/>
    <cellStyle name="Normal 58 4 4 3 2 5" xfId="28695" xr:uid="{00000000-0005-0000-0000-0000E7A30000}"/>
    <cellStyle name="Normal 58 4 4 3 3" xfId="4718" xr:uid="{00000000-0005-0000-0000-0000E8A30000}"/>
    <cellStyle name="Normal 58 4 4 3 3 2" xfId="13556" xr:uid="{00000000-0005-0000-0000-0000E9A30000}"/>
    <cellStyle name="Normal 58 4 4 3 3 2 2" xfId="23807" xr:uid="{00000000-0005-0000-0000-0000EAA30000}"/>
    <cellStyle name="Normal 58 4 4 3 3 2 2 2" xfId="49360" xr:uid="{00000000-0005-0000-0000-0000EBA30000}"/>
    <cellStyle name="Normal 58 4 4 3 3 2 3" xfId="39111" xr:uid="{00000000-0005-0000-0000-0000ECA30000}"/>
    <cellStyle name="Normal 58 4 4 3 3 3" xfId="9977" xr:uid="{00000000-0005-0000-0000-0000EDA30000}"/>
    <cellStyle name="Normal 58 4 4 3 3 3 2" xfId="35534" xr:uid="{00000000-0005-0000-0000-0000EEA30000}"/>
    <cellStyle name="Normal 58 4 4 3 3 4" xfId="18800" xr:uid="{00000000-0005-0000-0000-0000EFA30000}"/>
    <cellStyle name="Normal 58 4 4 3 3 4 2" xfId="44353" xr:uid="{00000000-0005-0000-0000-0000F0A30000}"/>
    <cellStyle name="Normal 58 4 4 3 3 5" xfId="30290" xr:uid="{00000000-0005-0000-0000-0000F1A30000}"/>
    <cellStyle name="Normal 58 4 4 3 4" xfId="1960" xr:uid="{00000000-0005-0000-0000-0000F2A30000}"/>
    <cellStyle name="Normal 58 4 4 3 4 2" xfId="11325" xr:uid="{00000000-0005-0000-0000-0000F3A30000}"/>
    <cellStyle name="Normal 58 4 4 3 4 2 2" xfId="36880" xr:uid="{00000000-0005-0000-0000-0000F4A30000}"/>
    <cellStyle name="Normal 58 4 4 3 4 3" xfId="21329" xr:uid="{00000000-0005-0000-0000-0000F5A30000}"/>
    <cellStyle name="Normal 58 4 4 3 4 3 2" xfId="46882" xr:uid="{00000000-0005-0000-0000-0000F6A30000}"/>
    <cellStyle name="Normal 58 4 4 3 4 4" xfId="27812" xr:uid="{00000000-0005-0000-0000-0000F7A30000}"/>
    <cellStyle name="Normal 58 4 4 3 5" xfId="6174" xr:uid="{00000000-0005-0000-0000-0000F8A30000}"/>
    <cellStyle name="Normal 58 4 4 3 5 2" xfId="15001" xr:uid="{00000000-0005-0000-0000-0000F9A30000}"/>
    <cellStyle name="Normal 58 4 4 3 5 2 2" xfId="40556" xr:uid="{00000000-0005-0000-0000-0000FAA30000}"/>
    <cellStyle name="Normal 58 4 4 3 5 3" xfId="25252" xr:uid="{00000000-0005-0000-0000-0000FBA30000}"/>
    <cellStyle name="Normal 58 4 4 3 5 3 2" xfId="50805" xr:uid="{00000000-0005-0000-0000-0000FCA30000}"/>
    <cellStyle name="Normal 58 4 4 3 5 4" xfId="31735" xr:uid="{00000000-0005-0000-0000-0000FDA30000}"/>
    <cellStyle name="Normal 58 4 4 3 6" xfId="7619" xr:uid="{00000000-0005-0000-0000-0000FEA30000}"/>
    <cellStyle name="Normal 58 4 4 3 6 2" xfId="19811" xr:uid="{00000000-0005-0000-0000-0000FFA30000}"/>
    <cellStyle name="Normal 58 4 4 3 6 2 2" xfId="45364" xr:uid="{00000000-0005-0000-0000-000000A40000}"/>
    <cellStyle name="Normal 58 4 4 3 6 3" xfId="33176" xr:uid="{00000000-0005-0000-0000-000001A40000}"/>
    <cellStyle name="Normal 58 4 4 3 7" xfId="16322" xr:uid="{00000000-0005-0000-0000-000002A40000}"/>
    <cellStyle name="Normal 58 4 4 3 7 2" xfId="41875" xr:uid="{00000000-0005-0000-0000-000003A40000}"/>
    <cellStyle name="Normal 58 4 4 3 8" xfId="26294" xr:uid="{00000000-0005-0000-0000-000004A40000}"/>
    <cellStyle name="Normal 58 4 4 4" xfId="904" xr:uid="{00000000-0005-0000-0000-000005A40000}"/>
    <cellStyle name="Normal 58 4 4 4 2" xfId="3389" xr:uid="{00000000-0005-0000-0000-000006A40000}"/>
    <cellStyle name="Normal 58 4 4 4 2 2" xfId="12531" xr:uid="{00000000-0005-0000-0000-000007A40000}"/>
    <cellStyle name="Normal 58 4 4 4 2 2 2" xfId="22750" xr:uid="{00000000-0005-0000-0000-000008A40000}"/>
    <cellStyle name="Normal 58 4 4 4 2 2 2 2" xfId="48303" xr:uid="{00000000-0005-0000-0000-000009A40000}"/>
    <cellStyle name="Normal 58 4 4 4 2 2 3" xfId="38086" xr:uid="{00000000-0005-0000-0000-00000AA40000}"/>
    <cellStyle name="Normal 58 4 4 4 2 3" xfId="8953" xr:uid="{00000000-0005-0000-0000-00000BA40000}"/>
    <cellStyle name="Normal 58 4 4 4 2 3 2" xfId="34510" xr:uid="{00000000-0005-0000-0000-00000CA40000}"/>
    <cellStyle name="Normal 58 4 4 4 2 4" xfId="17743" xr:uid="{00000000-0005-0000-0000-00000DA40000}"/>
    <cellStyle name="Normal 58 4 4 4 2 4 2" xfId="43296" xr:uid="{00000000-0005-0000-0000-00000EA40000}"/>
    <cellStyle name="Normal 58 4 4 4 2 5" xfId="29233" xr:uid="{00000000-0005-0000-0000-00000FA40000}"/>
    <cellStyle name="Normal 58 4 4 4 3" xfId="5067" xr:uid="{00000000-0005-0000-0000-000010A40000}"/>
    <cellStyle name="Normal 58 4 4 4 3 2" xfId="13904" xr:uid="{00000000-0005-0000-0000-000011A40000}"/>
    <cellStyle name="Normal 58 4 4 4 3 2 2" xfId="24155" xr:uid="{00000000-0005-0000-0000-000012A40000}"/>
    <cellStyle name="Normal 58 4 4 4 3 2 2 2" xfId="49708" xr:uid="{00000000-0005-0000-0000-000013A40000}"/>
    <cellStyle name="Normal 58 4 4 4 3 2 3" xfId="39459" xr:uid="{00000000-0005-0000-0000-000014A40000}"/>
    <cellStyle name="Normal 58 4 4 4 3 3" xfId="10325" xr:uid="{00000000-0005-0000-0000-000015A40000}"/>
    <cellStyle name="Normal 58 4 4 4 3 3 2" xfId="35882" xr:uid="{00000000-0005-0000-0000-000016A40000}"/>
    <cellStyle name="Normal 58 4 4 4 3 4" xfId="19148" xr:uid="{00000000-0005-0000-0000-000017A40000}"/>
    <cellStyle name="Normal 58 4 4 4 3 4 2" xfId="44701" xr:uid="{00000000-0005-0000-0000-000018A40000}"/>
    <cellStyle name="Normal 58 4 4 4 3 5" xfId="30638" xr:uid="{00000000-0005-0000-0000-000019A40000}"/>
    <cellStyle name="Normal 58 4 4 4 4" xfId="2498" xr:uid="{00000000-0005-0000-0000-00001AA40000}"/>
    <cellStyle name="Normal 58 4 4 4 4 2" xfId="11863" xr:uid="{00000000-0005-0000-0000-00001BA40000}"/>
    <cellStyle name="Normal 58 4 4 4 4 2 2" xfId="37418" xr:uid="{00000000-0005-0000-0000-00001CA40000}"/>
    <cellStyle name="Normal 58 4 4 4 4 3" xfId="21867" xr:uid="{00000000-0005-0000-0000-00001DA40000}"/>
    <cellStyle name="Normal 58 4 4 4 4 3 2" xfId="47420" xr:uid="{00000000-0005-0000-0000-00001EA40000}"/>
    <cellStyle name="Normal 58 4 4 4 4 4" xfId="28350" xr:uid="{00000000-0005-0000-0000-00001FA40000}"/>
    <cellStyle name="Normal 58 4 4 4 5" xfId="6522" xr:uid="{00000000-0005-0000-0000-000020A40000}"/>
    <cellStyle name="Normal 58 4 4 4 5 2" xfId="15349" xr:uid="{00000000-0005-0000-0000-000021A40000}"/>
    <cellStyle name="Normal 58 4 4 4 5 2 2" xfId="40904" xr:uid="{00000000-0005-0000-0000-000022A40000}"/>
    <cellStyle name="Normal 58 4 4 4 5 3" xfId="25600" xr:uid="{00000000-0005-0000-0000-000023A40000}"/>
    <cellStyle name="Normal 58 4 4 4 5 3 2" xfId="51153" xr:uid="{00000000-0005-0000-0000-000024A40000}"/>
    <cellStyle name="Normal 58 4 4 4 5 4" xfId="32083" xr:uid="{00000000-0005-0000-0000-000025A40000}"/>
    <cellStyle name="Normal 58 4 4 4 6" xfId="7968" xr:uid="{00000000-0005-0000-0000-000026A40000}"/>
    <cellStyle name="Normal 58 4 4 4 6 2" xfId="20349" xr:uid="{00000000-0005-0000-0000-000027A40000}"/>
    <cellStyle name="Normal 58 4 4 4 6 2 2" xfId="45902" xr:uid="{00000000-0005-0000-0000-000028A40000}"/>
    <cellStyle name="Normal 58 4 4 4 6 3" xfId="33525" xr:uid="{00000000-0005-0000-0000-000029A40000}"/>
    <cellStyle name="Normal 58 4 4 4 7" xfId="16860" xr:uid="{00000000-0005-0000-0000-00002AA40000}"/>
    <cellStyle name="Normal 58 4 4 4 7 2" xfId="42413" xr:uid="{00000000-0005-0000-0000-00002BA40000}"/>
    <cellStyle name="Normal 58 4 4 4 8" xfId="26832" xr:uid="{00000000-0005-0000-0000-00002CA40000}"/>
    <cellStyle name="Normal 58 4 4 5" xfId="1137" xr:uid="{00000000-0005-0000-0000-00002DA40000}"/>
    <cellStyle name="Normal 58 4 4 5 2" xfId="3566" xr:uid="{00000000-0005-0000-0000-00002EA40000}"/>
    <cellStyle name="Normal 58 4 4 5 2 2" xfId="12702" xr:uid="{00000000-0005-0000-0000-00002FA40000}"/>
    <cellStyle name="Normal 58 4 4 5 2 2 2" xfId="22921" xr:uid="{00000000-0005-0000-0000-000030A40000}"/>
    <cellStyle name="Normal 58 4 4 5 2 2 2 2" xfId="48474" xr:uid="{00000000-0005-0000-0000-000031A40000}"/>
    <cellStyle name="Normal 58 4 4 5 2 2 3" xfId="38257" xr:uid="{00000000-0005-0000-0000-000032A40000}"/>
    <cellStyle name="Normal 58 4 4 5 2 3" xfId="9123" xr:uid="{00000000-0005-0000-0000-000033A40000}"/>
    <cellStyle name="Normal 58 4 4 5 2 3 2" xfId="34680" xr:uid="{00000000-0005-0000-0000-000034A40000}"/>
    <cellStyle name="Normal 58 4 4 5 2 4" xfId="17914" xr:uid="{00000000-0005-0000-0000-000035A40000}"/>
    <cellStyle name="Normal 58 4 4 5 2 4 2" xfId="43467" xr:uid="{00000000-0005-0000-0000-000036A40000}"/>
    <cellStyle name="Normal 58 4 4 5 2 5" xfId="29404" xr:uid="{00000000-0005-0000-0000-000037A40000}"/>
    <cellStyle name="Normal 58 4 4 5 3" xfId="5229" xr:uid="{00000000-0005-0000-0000-000038A40000}"/>
    <cellStyle name="Normal 58 4 4 5 3 2" xfId="14066" xr:uid="{00000000-0005-0000-0000-000039A40000}"/>
    <cellStyle name="Normal 58 4 4 5 3 2 2" xfId="24317" xr:uid="{00000000-0005-0000-0000-00003AA40000}"/>
    <cellStyle name="Normal 58 4 4 5 3 2 2 2" xfId="49870" xr:uid="{00000000-0005-0000-0000-00003BA40000}"/>
    <cellStyle name="Normal 58 4 4 5 3 2 3" xfId="39621" xr:uid="{00000000-0005-0000-0000-00003CA40000}"/>
    <cellStyle name="Normal 58 4 4 5 3 3" xfId="10487" xr:uid="{00000000-0005-0000-0000-00003DA40000}"/>
    <cellStyle name="Normal 58 4 4 5 3 3 2" xfId="36044" xr:uid="{00000000-0005-0000-0000-00003EA40000}"/>
    <cellStyle name="Normal 58 4 4 5 3 4" xfId="19310" xr:uid="{00000000-0005-0000-0000-00003FA40000}"/>
    <cellStyle name="Normal 58 4 4 5 3 4 2" xfId="44863" xr:uid="{00000000-0005-0000-0000-000040A40000}"/>
    <cellStyle name="Normal 58 4 4 5 3 5" xfId="30800" xr:uid="{00000000-0005-0000-0000-000041A40000}"/>
    <cellStyle name="Normal 58 4 4 5 4" xfId="1845" xr:uid="{00000000-0005-0000-0000-000042A40000}"/>
    <cellStyle name="Normal 58 4 4 5 4 2" xfId="11213" xr:uid="{00000000-0005-0000-0000-000043A40000}"/>
    <cellStyle name="Normal 58 4 4 5 4 2 2" xfId="36768" xr:uid="{00000000-0005-0000-0000-000044A40000}"/>
    <cellStyle name="Normal 58 4 4 5 4 3" xfId="21217" xr:uid="{00000000-0005-0000-0000-000045A40000}"/>
    <cellStyle name="Normal 58 4 4 5 4 3 2" xfId="46770" xr:uid="{00000000-0005-0000-0000-000046A40000}"/>
    <cellStyle name="Normal 58 4 4 5 4 4" xfId="27700" xr:uid="{00000000-0005-0000-0000-000047A40000}"/>
    <cellStyle name="Normal 58 4 4 5 5" xfId="6684" xr:uid="{00000000-0005-0000-0000-000048A40000}"/>
    <cellStyle name="Normal 58 4 4 5 5 2" xfId="15511" xr:uid="{00000000-0005-0000-0000-000049A40000}"/>
    <cellStyle name="Normal 58 4 4 5 5 2 2" xfId="41066" xr:uid="{00000000-0005-0000-0000-00004AA40000}"/>
    <cellStyle name="Normal 58 4 4 5 5 3" xfId="25762" xr:uid="{00000000-0005-0000-0000-00004BA40000}"/>
    <cellStyle name="Normal 58 4 4 5 5 3 2" xfId="51315" xr:uid="{00000000-0005-0000-0000-00004CA40000}"/>
    <cellStyle name="Normal 58 4 4 5 5 4" xfId="32245" xr:uid="{00000000-0005-0000-0000-00004DA40000}"/>
    <cellStyle name="Normal 58 4 4 5 6" xfId="8130" xr:uid="{00000000-0005-0000-0000-00004EA40000}"/>
    <cellStyle name="Normal 58 4 4 5 6 2" xfId="20520" xr:uid="{00000000-0005-0000-0000-00004FA40000}"/>
    <cellStyle name="Normal 58 4 4 5 6 2 2" xfId="46073" xr:uid="{00000000-0005-0000-0000-000050A40000}"/>
    <cellStyle name="Normal 58 4 4 5 6 3" xfId="33687" xr:uid="{00000000-0005-0000-0000-000051A40000}"/>
    <cellStyle name="Normal 58 4 4 5 7" xfId="16210" xr:uid="{00000000-0005-0000-0000-000052A40000}"/>
    <cellStyle name="Normal 58 4 4 5 7 2" xfId="41763" xr:uid="{00000000-0005-0000-0000-000053A40000}"/>
    <cellStyle name="Normal 58 4 4 5 8" xfId="27003" xr:uid="{00000000-0005-0000-0000-000054A40000}"/>
    <cellStyle name="Normal 58 4 4 6" xfId="2739" xr:uid="{00000000-0005-0000-0000-000055A40000}"/>
    <cellStyle name="Normal 58 4 4 6 2" xfId="12056" xr:uid="{00000000-0005-0000-0000-000056A40000}"/>
    <cellStyle name="Normal 58 4 4 6 2 2" xfId="22100" xr:uid="{00000000-0005-0000-0000-000057A40000}"/>
    <cellStyle name="Normal 58 4 4 6 2 2 2" xfId="47653" xr:uid="{00000000-0005-0000-0000-000058A40000}"/>
    <cellStyle name="Normal 58 4 4 6 2 3" xfId="37611" xr:uid="{00000000-0005-0000-0000-000059A40000}"/>
    <cellStyle name="Normal 58 4 4 6 3" xfId="8484" xr:uid="{00000000-0005-0000-0000-00005AA40000}"/>
    <cellStyle name="Normal 58 4 4 6 3 2" xfId="34041" xr:uid="{00000000-0005-0000-0000-00005BA40000}"/>
    <cellStyle name="Normal 58 4 4 6 4" xfId="17093" xr:uid="{00000000-0005-0000-0000-00005CA40000}"/>
    <cellStyle name="Normal 58 4 4 6 4 2" xfId="42646" xr:uid="{00000000-0005-0000-0000-00005DA40000}"/>
    <cellStyle name="Normal 58 4 4 6 5" xfId="28583" xr:uid="{00000000-0005-0000-0000-00005EA40000}"/>
    <cellStyle name="Normal 58 4 4 7" xfId="4185" xr:uid="{00000000-0005-0000-0000-00005FA40000}"/>
    <cellStyle name="Normal 58 4 4 7 2" xfId="13023" xr:uid="{00000000-0005-0000-0000-000060A40000}"/>
    <cellStyle name="Normal 58 4 4 7 2 2" xfId="23274" xr:uid="{00000000-0005-0000-0000-000061A40000}"/>
    <cellStyle name="Normal 58 4 4 7 2 2 2" xfId="48827" xr:uid="{00000000-0005-0000-0000-000062A40000}"/>
    <cellStyle name="Normal 58 4 4 7 2 3" xfId="38578" xr:uid="{00000000-0005-0000-0000-000063A40000}"/>
    <cellStyle name="Normal 58 4 4 7 3" xfId="9444" xr:uid="{00000000-0005-0000-0000-000064A40000}"/>
    <cellStyle name="Normal 58 4 4 7 3 2" xfId="35001" xr:uid="{00000000-0005-0000-0000-000065A40000}"/>
    <cellStyle name="Normal 58 4 4 7 4" xfId="18267" xr:uid="{00000000-0005-0000-0000-000066A40000}"/>
    <cellStyle name="Normal 58 4 4 7 4 2" xfId="43820" xr:uid="{00000000-0005-0000-0000-000067A40000}"/>
    <cellStyle name="Normal 58 4 4 7 5" xfId="29757" xr:uid="{00000000-0005-0000-0000-000068A40000}"/>
    <cellStyle name="Normal 58 4 4 8" xfId="1457" xr:uid="{00000000-0005-0000-0000-000069A40000}"/>
    <cellStyle name="Normal 58 4 4 8 2" xfId="10834" xr:uid="{00000000-0005-0000-0000-00006AA40000}"/>
    <cellStyle name="Normal 58 4 4 8 2 2" xfId="36389" xr:uid="{00000000-0005-0000-0000-00006BA40000}"/>
    <cellStyle name="Normal 58 4 4 8 3" xfId="20838" xr:uid="{00000000-0005-0000-0000-00006CA40000}"/>
    <cellStyle name="Normal 58 4 4 8 3 2" xfId="46391" xr:uid="{00000000-0005-0000-0000-00006DA40000}"/>
    <cellStyle name="Normal 58 4 4 8 4" xfId="27321" xr:uid="{00000000-0005-0000-0000-00006EA40000}"/>
    <cellStyle name="Normal 58 4 4 9" xfId="5641" xr:uid="{00000000-0005-0000-0000-00006FA40000}"/>
    <cellStyle name="Normal 58 4 4 9 2" xfId="14468" xr:uid="{00000000-0005-0000-0000-000070A40000}"/>
    <cellStyle name="Normal 58 4 4 9 2 2" xfId="40023" xr:uid="{00000000-0005-0000-0000-000071A40000}"/>
    <cellStyle name="Normal 58 4 4 9 3" xfId="24719" xr:uid="{00000000-0005-0000-0000-000072A40000}"/>
    <cellStyle name="Normal 58 4 4 9 3 2" xfId="50272" xr:uid="{00000000-0005-0000-0000-000073A40000}"/>
    <cellStyle name="Normal 58 4 4 9 4" xfId="31202" xr:uid="{00000000-0005-0000-0000-000074A40000}"/>
    <cellStyle name="Normal 58 4 4_Degree data" xfId="4010" xr:uid="{00000000-0005-0000-0000-000075A40000}"/>
    <cellStyle name="Normal 58 4 5" xfId="465" xr:uid="{00000000-0005-0000-0000-000076A40000}"/>
    <cellStyle name="Normal 58 4 5 10" xfId="26394" xr:uid="{00000000-0005-0000-0000-000077A40000}"/>
    <cellStyle name="Normal 58 4 5 2" xfId="906" xr:uid="{00000000-0005-0000-0000-000078A40000}"/>
    <cellStyle name="Normal 58 4 5 2 2" xfId="3391" xr:uid="{00000000-0005-0000-0000-000079A40000}"/>
    <cellStyle name="Normal 58 4 5 2 2 2" xfId="12533" xr:uid="{00000000-0005-0000-0000-00007AA40000}"/>
    <cellStyle name="Normal 58 4 5 2 2 2 2" xfId="22752" xr:uid="{00000000-0005-0000-0000-00007BA40000}"/>
    <cellStyle name="Normal 58 4 5 2 2 2 2 2" xfId="48305" xr:uid="{00000000-0005-0000-0000-00007CA40000}"/>
    <cellStyle name="Normal 58 4 5 2 2 2 3" xfId="38088" xr:uid="{00000000-0005-0000-0000-00007DA40000}"/>
    <cellStyle name="Normal 58 4 5 2 2 3" xfId="8955" xr:uid="{00000000-0005-0000-0000-00007EA40000}"/>
    <cellStyle name="Normal 58 4 5 2 2 3 2" xfId="34512" xr:uid="{00000000-0005-0000-0000-00007FA40000}"/>
    <cellStyle name="Normal 58 4 5 2 2 4" xfId="17745" xr:uid="{00000000-0005-0000-0000-000080A40000}"/>
    <cellStyle name="Normal 58 4 5 2 2 4 2" xfId="43298" xr:uid="{00000000-0005-0000-0000-000081A40000}"/>
    <cellStyle name="Normal 58 4 5 2 2 5" xfId="29235" xr:uid="{00000000-0005-0000-0000-000082A40000}"/>
    <cellStyle name="Normal 58 4 5 2 3" xfId="4720" xr:uid="{00000000-0005-0000-0000-000083A40000}"/>
    <cellStyle name="Normal 58 4 5 2 3 2" xfId="13558" xr:uid="{00000000-0005-0000-0000-000084A40000}"/>
    <cellStyle name="Normal 58 4 5 2 3 2 2" xfId="23809" xr:uid="{00000000-0005-0000-0000-000085A40000}"/>
    <cellStyle name="Normal 58 4 5 2 3 2 2 2" xfId="49362" xr:uid="{00000000-0005-0000-0000-000086A40000}"/>
    <cellStyle name="Normal 58 4 5 2 3 2 3" xfId="39113" xr:uid="{00000000-0005-0000-0000-000087A40000}"/>
    <cellStyle name="Normal 58 4 5 2 3 3" xfId="9979" xr:uid="{00000000-0005-0000-0000-000088A40000}"/>
    <cellStyle name="Normal 58 4 5 2 3 3 2" xfId="35536" xr:uid="{00000000-0005-0000-0000-000089A40000}"/>
    <cellStyle name="Normal 58 4 5 2 3 4" xfId="18802" xr:uid="{00000000-0005-0000-0000-00008AA40000}"/>
    <cellStyle name="Normal 58 4 5 2 3 4 2" xfId="44355" xr:uid="{00000000-0005-0000-0000-00008BA40000}"/>
    <cellStyle name="Normal 58 4 5 2 3 5" xfId="30292" xr:uid="{00000000-0005-0000-0000-00008CA40000}"/>
    <cellStyle name="Normal 58 4 5 2 4" xfId="2500" xr:uid="{00000000-0005-0000-0000-00008DA40000}"/>
    <cellStyle name="Normal 58 4 5 2 4 2" xfId="11865" xr:uid="{00000000-0005-0000-0000-00008EA40000}"/>
    <cellStyle name="Normal 58 4 5 2 4 2 2" xfId="37420" xr:uid="{00000000-0005-0000-0000-00008FA40000}"/>
    <cellStyle name="Normal 58 4 5 2 4 3" xfId="21869" xr:uid="{00000000-0005-0000-0000-000090A40000}"/>
    <cellStyle name="Normal 58 4 5 2 4 3 2" xfId="47422" xr:uid="{00000000-0005-0000-0000-000091A40000}"/>
    <cellStyle name="Normal 58 4 5 2 4 4" xfId="28352" xr:uid="{00000000-0005-0000-0000-000092A40000}"/>
    <cellStyle name="Normal 58 4 5 2 5" xfId="6176" xr:uid="{00000000-0005-0000-0000-000093A40000}"/>
    <cellStyle name="Normal 58 4 5 2 5 2" xfId="15003" xr:uid="{00000000-0005-0000-0000-000094A40000}"/>
    <cellStyle name="Normal 58 4 5 2 5 2 2" xfId="40558" xr:uid="{00000000-0005-0000-0000-000095A40000}"/>
    <cellStyle name="Normal 58 4 5 2 5 3" xfId="25254" xr:uid="{00000000-0005-0000-0000-000096A40000}"/>
    <cellStyle name="Normal 58 4 5 2 5 3 2" xfId="50807" xr:uid="{00000000-0005-0000-0000-000097A40000}"/>
    <cellStyle name="Normal 58 4 5 2 5 4" xfId="31737" xr:uid="{00000000-0005-0000-0000-000098A40000}"/>
    <cellStyle name="Normal 58 4 5 2 6" xfId="7621" xr:uid="{00000000-0005-0000-0000-000099A40000}"/>
    <cellStyle name="Normal 58 4 5 2 6 2" xfId="20351" xr:uid="{00000000-0005-0000-0000-00009AA40000}"/>
    <cellStyle name="Normal 58 4 5 2 6 2 2" xfId="45904" xr:uid="{00000000-0005-0000-0000-00009BA40000}"/>
    <cellStyle name="Normal 58 4 5 2 6 3" xfId="33178" xr:uid="{00000000-0005-0000-0000-00009CA40000}"/>
    <cellStyle name="Normal 58 4 5 2 7" xfId="16862" xr:uid="{00000000-0005-0000-0000-00009DA40000}"/>
    <cellStyle name="Normal 58 4 5 2 7 2" xfId="42415" xr:uid="{00000000-0005-0000-0000-00009EA40000}"/>
    <cellStyle name="Normal 58 4 5 2 8" xfId="26834" xr:uid="{00000000-0005-0000-0000-00009FA40000}"/>
    <cellStyle name="Normal 58 4 5 3" xfId="1237" xr:uid="{00000000-0005-0000-0000-0000A0A40000}"/>
    <cellStyle name="Normal 58 4 5 3 2" xfId="3666" xr:uid="{00000000-0005-0000-0000-0000A1A40000}"/>
    <cellStyle name="Normal 58 4 5 3 2 2" xfId="12802" xr:uid="{00000000-0005-0000-0000-0000A2A40000}"/>
    <cellStyle name="Normal 58 4 5 3 2 2 2" xfId="23021" xr:uid="{00000000-0005-0000-0000-0000A3A40000}"/>
    <cellStyle name="Normal 58 4 5 3 2 2 2 2" xfId="48574" xr:uid="{00000000-0005-0000-0000-0000A4A40000}"/>
    <cellStyle name="Normal 58 4 5 3 2 2 3" xfId="38357" xr:uid="{00000000-0005-0000-0000-0000A5A40000}"/>
    <cellStyle name="Normal 58 4 5 3 2 3" xfId="9223" xr:uid="{00000000-0005-0000-0000-0000A6A40000}"/>
    <cellStyle name="Normal 58 4 5 3 2 3 2" xfId="34780" xr:uid="{00000000-0005-0000-0000-0000A7A40000}"/>
    <cellStyle name="Normal 58 4 5 3 2 4" xfId="18014" xr:uid="{00000000-0005-0000-0000-0000A8A40000}"/>
    <cellStyle name="Normal 58 4 5 3 2 4 2" xfId="43567" xr:uid="{00000000-0005-0000-0000-0000A9A40000}"/>
    <cellStyle name="Normal 58 4 5 3 2 5" xfId="29504" xr:uid="{00000000-0005-0000-0000-0000AAA40000}"/>
    <cellStyle name="Normal 58 4 5 3 3" xfId="5069" xr:uid="{00000000-0005-0000-0000-0000ABA40000}"/>
    <cellStyle name="Normal 58 4 5 3 3 2" xfId="13906" xr:uid="{00000000-0005-0000-0000-0000ACA40000}"/>
    <cellStyle name="Normal 58 4 5 3 3 2 2" xfId="24157" xr:uid="{00000000-0005-0000-0000-0000ADA40000}"/>
    <cellStyle name="Normal 58 4 5 3 3 2 2 2" xfId="49710" xr:uid="{00000000-0005-0000-0000-0000AEA40000}"/>
    <cellStyle name="Normal 58 4 5 3 3 2 3" xfId="39461" xr:uid="{00000000-0005-0000-0000-0000AFA40000}"/>
    <cellStyle name="Normal 58 4 5 3 3 3" xfId="10327" xr:uid="{00000000-0005-0000-0000-0000B0A40000}"/>
    <cellStyle name="Normal 58 4 5 3 3 3 2" xfId="35884" xr:uid="{00000000-0005-0000-0000-0000B1A40000}"/>
    <cellStyle name="Normal 58 4 5 3 3 4" xfId="19150" xr:uid="{00000000-0005-0000-0000-0000B2A40000}"/>
    <cellStyle name="Normal 58 4 5 3 3 4 2" xfId="44703" xr:uid="{00000000-0005-0000-0000-0000B3A40000}"/>
    <cellStyle name="Normal 58 4 5 3 3 5" xfId="30640" xr:uid="{00000000-0005-0000-0000-0000B4A40000}"/>
    <cellStyle name="Normal 58 4 5 3 4" xfId="2060" xr:uid="{00000000-0005-0000-0000-0000B5A40000}"/>
    <cellStyle name="Normal 58 4 5 3 4 2" xfId="11425" xr:uid="{00000000-0005-0000-0000-0000B6A40000}"/>
    <cellStyle name="Normal 58 4 5 3 4 2 2" xfId="36980" xr:uid="{00000000-0005-0000-0000-0000B7A40000}"/>
    <cellStyle name="Normal 58 4 5 3 4 3" xfId="21429" xr:uid="{00000000-0005-0000-0000-0000B8A40000}"/>
    <cellStyle name="Normal 58 4 5 3 4 3 2" xfId="46982" xr:uid="{00000000-0005-0000-0000-0000B9A40000}"/>
    <cellStyle name="Normal 58 4 5 3 4 4" xfId="27912" xr:uid="{00000000-0005-0000-0000-0000BAA40000}"/>
    <cellStyle name="Normal 58 4 5 3 5" xfId="6524" xr:uid="{00000000-0005-0000-0000-0000BBA40000}"/>
    <cellStyle name="Normal 58 4 5 3 5 2" xfId="15351" xr:uid="{00000000-0005-0000-0000-0000BCA40000}"/>
    <cellStyle name="Normal 58 4 5 3 5 2 2" xfId="40906" xr:uid="{00000000-0005-0000-0000-0000BDA40000}"/>
    <cellStyle name="Normal 58 4 5 3 5 3" xfId="25602" xr:uid="{00000000-0005-0000-0000-0000BEA40000}"/>
    <cellStyle name="Normal 58 4 5 3 5 3 2" xfId="51155" xr:uid="{00000000-0005-0000-0000-0000BFA40000}"/>
    <cellStyle name="Normal 58 4 5 3 5 4" xfId="32085" xr:uid="{00000000-0005-0000-0000-0000C0A40000}"/>
    <cellStyle name="Normal 58 4 5 3 6" xfId="7970" xr:uid="{00000000-0005-0000-0000-0000C1A40000}"/>
    <cellStyle name="Normal 58 4 5 3 6 2" xfId="20620" xr:uid="{00000000-0005-0000-0000-0000C2A40000}"/>
    <cellStyle name="Normal 58 4 5 3 6 2 2" xfId="46173" xr:uid="{00000000-0005-0000-0000-0000C3A40000}"/>
    <cellStyle name="Normal 58 4 5 3 6 3" xfId="33527" xr:uid="{00000000-0005-0000-0000-0000C4A40000}"/>
    <cellStyle name="Normal 58 4 5 3 7" xfId="16422" xr:uid="{00000000-0005-0000-0000-0000C5A40000}"/>
    <cellStyle name="Normal 58 4 5 3 7 2" xfId="41975" xr:uid="{00000000-0005-0000-0000-0000C6A40000}"/>
    <cellStyle name="Normal 58 4 5 3 8" xfId="27103" xr:uid="{00000000-0005-0000-0000-0000C7A40000}"/>
    <cellStyle name="Normal 58 4 5 4" xfId="2951" xr:uid="{00000000-0005-0000-0000-0000C8A40000}"/>
    <cellStyle name="Normal 58 4 5 4 2" xfId="5329" xr:uid="{00000000-0005-0000-0000-0000C9A40000}"/>
    <cellStyle name="Normal 58 4 5 4 2 2" xfId="14166" xr:uid="{00000000-0005-0000-0000-0000CAA40000}"/>
    <cellStyle name="Normal 58 4 5 4 2 2 2" xfId="24417" xr:uid="{00000000-0005-0000-0000-0000CBA40000}"/>
    <cellStyle name="Normal 58 4 5 4 2 2 2 2" xfId="49970" xr:uid="{00000000-0005-0000-0000-0000CCA40000}"/>
    <cellStyle name="Normal 58 4 5 4 2 2 3" xfId="39721" xr:uid="{00000000-0005-0000-0000-0000CDA40000}"/>
    <cellStyle name="Normal 58 4 5 4 2 3" xfId="10587" xr:uid="{00000000-0005-0000-0000-0000CEA40000}"/>
    <cellStyle name="Normal 58 4 5 4 2 3 2" xfId="36144" xr:uid="{00000000-0005-0000-0000-0000CFA40000}"/>
    <cellStyle name="Normal 58 4 5 4 2 4" xfId="19410" xr:uid="{00000000-0005-0000-0000-0000D0A40000}"/>
    <cellStyle name="Normal 58 4 5 4 2 4 2" xfId="44963" xr:uid="{00000000-0005-0000-0000-0000D1A40000}"/>
    <cellStyle name="Normal 58 4 5 4 2 5" xfId="30900" xr:uid="{00000000-0005-0000-0000-0000D2A40000}"/>
    <cellStyle name="Normal 58 4 5 4 3" xfId="6784" xr:uid="{00000000-0005-0000-0000-0000D3A40000}"/>
    <cellStyle name="Normal 58 4 5 4 3 2" xfId="15611" xr:uid="{00000000-0005-0000-0000-0000D4A40000}"/>
    <cellStyle name="Normal 58 4 5 4 3 2 2" xfId="41166" xr:uid="{00000000-0005-0000-0000-0000D5A40000}"/>
    <cellStyle name="Normal 58 4 5 4 3 3" xfId="25862" xr:uid="{00000000-0005-0000-0000-0000D6A40000}"/>
    <cellStyle name="Normal 58 4 5 4 3 3 2" xfId="51415" xr:uid="{00000000-0005-0000-0000-0000D7A40000}"/>
    <cellStyle name="Normal 58 4 5 4 3 4" xfId="32345" xr:uid="{00000000-0005-0000-0000-0000D8A40000}"/>
    <cellStyle name="Normal 58 4 5 4 4" xfId="8230" xr:uid="{00000000-0005-0000-0000-0000D9A40000}"/>
    <cellStyle name="Normal 58 4 5 4 4 2" xfId="22312" xr:uid="{00000000-0005-0000-0000-0000DAA40000}"/>
    <cellStyle name="Normal 58 4 5 4 4 2 2" xfId="47865" xr:uid="{00000000-0005-0000-0000-0000DBA40000}"/>
    <cellStyle name="Normal 58 4 5 4 4 3" xfId="33787" xr:uid="{00000000-0005-0000-0000-0000DCA40000}"/>
    <cellStyle name="Normal 58 4 5 4 5" xfId="17305" xr:uid="{00000000-0005-0000-0000-0000DDA40000}"/>
    <cellStyle name="Normal 58 4 5 4 5 2" xfId="42858" xr:uid="{00000000-0005-0000-0000-0000DEA40000}"/>
    <cellStyle name="Normal 58 4 5 4 6" xfId="28795" xr:uid="{00000000-0005-0000-0000-0000DFA40000}"/>
    <cellStyle name="Normal 58 4 5 5" xfId="4285" xr:uid="{00000000-0005-0000-0000-0000E0A40000}"/>
    <cellStyle name="Normal 58 4 5 5 2" xfId="13123" xr:uid="{00000000-0005-0000-0000-0000E1A40000}"/>
    <cellStyle name="Normal 58 4 5 5 2 2" xfId="23374" xr:uid="{00000000-0005-0000-0000-0000E2A40000}"/>
    <cellStyle name="Normal 58 4 5 5 2 2 2" xfId="48927" xr:uid="{00000000-0005-0000-0000-0000E3A40000}"/>
    <cellStyle name="Normal 58 4 5 5 2 3" xfId="38678" xr:uid="{00000000-0005-0000-0000-0000E4A40000}"/>
    <cellStyle name="Normal 58 4 5 5 3" xfId="9544" xr:uid="{00000000-0005-0000-0000-0000E5A40000}"/>
    <cellStyle name="Normal 58 4 5 5 3 2" xfId="35101" xr:uid="{00000000-0005-0000-0000-0000E6A40000}"/>
    <cellStyle name="Normal 58 4 5 5 4" xfId="18367" xr:uid="{00000000-0005-0000-0000-0000E7A40000}"/>
    <cellStyle name="Normal 58 4 5 5 4 2" xfId="43920" xr:uid="{00000000-0005-0000-0000-0000E8A40000}"/>
    <cellStyle name="Normal 58 4 5 5 5" xfId="29857" xr:uid="{00000000-0005-0000-0000-0000E9A40000}"/>
    <cellStyle name="Normal 58 4 5 6" xfId="1557" xr:uid="{00000000-0005-0000-0000-0000EAA40000}"/>
    <cellStyle name="Normal 58 4 5 6 2" xfId="10934" xr:uid="{00000000-0005-0000-0000-0000EBA40000}"/>
    <cellStyle name="Normal 58 4 5 6 2 2" xfId="36489" xr:uid="{00000000-0005-0000-0000-0000ECA40000}"/>
    <cellStyle name="Normal 58 4 5 6 3" xfId="20938" xr:uid="{00000000-0005-0000-0000-0000EDA40000}"/>
    <cellStyle name="Normal 58 4 5 6 3 2" xfId="46491" xr:uid="{00000000-0005-0000-0000-0000EEA40000}"/>
    <cellStyle name="Normal 58 4 5 6 4" xfId="27421" xr:uid="{00000000-0005-0000-0000-0000EFA40000}"/>
    <cellStyle name="Normal 58 4 5 7" xfId="5741" xr:uid="{00000000-0005-0000-0000-0000F0A40000}"/>
    <cellStyle name="Normal 58 4 5 7 2" xfId="14568" xr:uid="{00000000-0005-0000-0000-0000F1A40000}"/>
    <cellStyle name="Normal 58 4 5 7 2 2" xfId="40123" xr:uid="{00000000-0005-0000-0000-0000F2A40000}"/>
    <cellStyle name="Normal 58 4 5 7 3" xfId="24819" xr:uid="{00000000-0005-0000-0000-0000F3A40000}"/>
    <cellStyle name="Normal 58 4 5 7 3 2" xfId="50372" xr:uid="{00000000-0005-0000-0000-0000F4A40000}"/>
    <cellStyle name="Normal 58 4 5 7 4" xfId="31302" xr:uid="{00000000-0005-0000-0000-0000F5A40000}"/>
    <cellStyle name="Normal 58 4 5 8" xfId="7185" xr:uid="{00000000-0005-0000-0000-0000F6A40000}"/>
    <cellStyle name="Normal 58 4 5 8 2" xfId="19911" xr:uid="{00000000-0005-0000-0000-0000F7A40000}"/>
    <cellStyle name="Normal 58 4 5 8 2 2" xfId="45464" xr:uid="{00000000-0005-0000-0000-0000F8A40000}"/>
    <cellStyle name="Normal 58 4 5 8 3" xfId="32742" xr:uid="{00000000-0005-0000-0000-0000F9A40000}"/>
    <cellStyle name="Normal 58 4 5 9" xfId="15931" xr:uid="{00000000-0005-0000-0000-0000FAA40000}"/>
    <cellStyle name="Normal 58 4 5 9 2" xfId="41484" xr:uid="{00000000-0005-0000-0000-0000FBA40000}"/>
    <cellStyle name="Normal 58 4 5_Degree data" xfId="4012" xr:uid="{00000000-0005-0000-0000-0000FCA40000}"/>
    <cellStyle name="Normal 58 4 6" xfId="320" xr:uid="{00000000-0005-0000-0000-0000FDA40000}"/>
    <cellStyle name="Normal 58 4 6 10" xfId="26249" xr:uid="{00000000-0005-0000-0000-0000FEA40000}"/>
    <cellStyle name="Normal 58 4 6 2" xfId="907" xr:uid="{00000000-0005-0000-0000-0000FFA40000}"/>
    <cellStyle name="Normal 58 4 6 2 2" xfId="3392" xr:uid="{00000000-0005-0000-0000-000000A50000}"/>
    <cellStyle name="Normal 58 4 6 2 2 2" xfId="12534" xr:uid="{00000000-0005-0000-0000-000001A50000}"/>
    <cellStyle name="Normal 58 4 6 2 2 2 2" xfId="22753" xr:uid="{00000000-0005-0000-0000-000002A50000}"/>
    <cellStyle name="Normal 58 4 6 2 2 2 2 2" xfId="48306" xr:uid="{00000000-0005-0000-0000-000003A50000}"/>
    <cellStyle name="Normal 58 4 6 2 2 2 3" xfId="38089" xr:uid="{00000000-0005-0000-0000-000004A50000}"/>
    <cellStyle name="Normal 58 4 6 2 2 3" xfId="8956" xr:uid="{00000000-0005-0000-0000-000005A50000}"/>
    <cellStyle name="Normal 58 4 6 2 2 3 2" xfId="34513" xr:uid="{00000000-0005-0000-0000-000006A50000}"/>
    <cellStyle name="Normal 58 4 6 2 2 4" xfId="17746" xr:uid="{00000000-0005-0000-0000-000007A50000}"/>
    <cellStyle name="Normal 58 4 6 2 2 4 2" xfId="43299" xr:uid="{00000000-0005-0000-0000-000008A50000}"/>
    <cellStyle name="Normal 58 4 6 2 2 5" xfId="29236" xr:uid="{00000000-0005-0000-0000-000009A50000}"/>
    <cellStyle name="Normal 58 4 6 2 3" xfId="4721" xr:uid="{00000000-0005-0000-0000-00000AA50000}"/>
    <cellStyle name="Normal 58 4 6 2 3 2" xfId="13559" xr:uid="{00000000-0005-0000-0000-00000BA50000}"/>
    <cellStyle name="Normal 58 4 6 2 3 2 2" xfId="23810" xr:uid="{00000000-0005-0000-0000-00000CA50000}"/>
    <cellStyle name="Normal 58 4 6 2 3 2 2 2" xfId="49363" xr:uid="{00000000-0005-0000-0000-00000DA50000}"/>
    <cellStyle name="Normal 58 4 6 2 3 2 3" xfId="39114" xr:uid="{00000000-0005-0000-0000-00000EA50000}"/>
    <cellStyle name="Normal 58 4 6 2 3 3" xfId="9980" xr:uid="{00000000-0005-0000-0000-00000FA50000}"/>
    <cellStyle name="Normal 58 4 6 2 3 3 2" xfId="35537" xr:uid="{00000000-0005-0000-0000-000010A50000}"/>
    <cellStyle name="Normal 58 4 6 2 3 4" xfId="18803" xr:uid="{00000000-0005-0000-0000-000011A50000}"/>
    <cellStyle name="Normal 58 4 6 2 3 4 2" xfId="44356" xr:uid="{00000000-0005-0000-0000-000012A50000}"/>
    <cellStyle name="Normal 58 4 6 2 3 5" xfId="30293" xr:uid="{00000000-0005-0000-0000-000013A50000}"/>
    <cellStyle name="Normal 58 4 6 2 4" xfId="2501" xr:uid="{00000000-0005-0000-0000-000014A50000}"/>
    <cellStyle name="Normal 58 4 6 2 4 2" xfId="11866" xr:uid="{00000000-0005-0000-0000-000015A50000}"/>
    <cellStyle name="Normal 58 4 6 2 4 2 2" xfId="37421" xr:uid="{00000000-0005-0000-0000-000016A50000}"/>
    <cellStyle name="Normal 58 4 6 2 4 3" xfId="21870" xr:uid="{00000000-0005-0000-0000-000017A50000}"/>
    <cellStyle name="Normal 58 4 6 2 4 3 2" xfId="47423" xr:uid="{00000000-0005-0000-0000-000018A50000}"/>
    <cellStyle name="Normal 58 4 6 2 4 4" xfId="28353" xr:uid="{00000000-0005-0000-0000-000019A50000}"/>
    <cellStyle name="Normal 58 4 6 2 5" xfId="6177" xr:uid="{00000000-0005-0000-0000-00001AA50000}"/>
    <cellStyle name="Normal 58 4 6 2 5 2" xfId="15004" xr:uid="{00000000-0005-0000-0000-00001BA50000}"/>
    <cellStyle name="Normal 58 4 6 2 5 2 2" xfId="40559" xr:uid="{00000000-0005-0000-0000-00001CA50000}"/>
    <cellStyle name="Normal 58 4 6 2 5 3" xfId="25255" xr:uid="{00000000-0005-0000-0000-00001DA50000}"/>
    <cellStyle name="Normal 58 4 6 2 5 3 2" xfId="50808" xr:uid="{00000000-0005-0000-0000-00001EA50000}"/>
    <cellStyle name="Normal 58 4 6 2 5 4" xfId="31738" xr:uid="{00000000-0005-0000-0000-00001FA50000}"/>
    <cellStyle name="Normal 58 4 6 2 6" xfId="7622" xr:uid="{00000000-0005-0000-0000-000020A50000}"/>
    <cellStyle name="Normal 58 4 6 2 6 2" xfId="20352" xr:uid="{00000000-0005-0000-0000-000021A50000}"/>
    <cellStyle name="Normal 58 4 6 2 6 2 2" xfId="45905" xr:uid="{00000000-0005-0000-0000-000022A50000}"/>
    <cellStyle name="Normal 58 4 6 2 6 3" xfId="33179" xr:uid="{00000000-0005-0000-0000-000023A50000}"/>
    <cellStyle name="Normal 58 4 6 2 7" xfId="16863" xr:uid="{00000000-0005-0000-0000-000024A50000}"/>
    <cellStyle name="Normal 58 4 6 2 7 2" xfId="42416" xr:uid="{00000000-0005-0000-0000-000025A50000}"/>
    <cellStyle name="Normal 58 4 6 2 8" xfId="26835" xr:uid="{00000000-0005-0000-0000-000026A50000}"/>
    <cellStyle name="Normal 58 4 6 3" xfId="1092" xr:uid="{00000000-0005-0000-0000-000027A50000}"/>
    <cellStyle name="Normal 58 4 6 3 2" xfId="3521" xr:uid="{00000000-0005-0000-0000-000028A50000}"/>
    <cellStyle name="Normal 58 4 6 3 2 2" xfId="12657" xr:uid="{00000000-0005-0000-0000-000029A50000}"/>
    <cellStyle name="Normal 58 4 6 3 2 2 2" xfId="22876" xr:uid="{00000000-0005-0000-0000-00002AA50000}"/>
    <cellStyle name="Normal 58 4 6 3 2 2 2 2" xfId="48429" xr:uid="{00000000-0005-0000-0000-00002BA50000}"/>
    <cellStyle name="Normal 58 4 6 3 2 2 3" xfId="38212" xr:uid="{00000000-0005-0000-0000-00002CA50000}"/>
    <cellStyle name="Normal 58 4 6 3 2 3" xfId="9079" xr:uid="{00000000-0005-0000-0000-00002DA50000}"/>
    <cellStyle name="Normal 58 4 6 3 2 3 2" xfId="34636" xr:uid="{00000000-0005-0000-0000-00002EA50000}"/>
    <cellStyle name="Normal 58 4 6 3 2 4" xfId="17869" xr:uid="{00000000-0005-0000-0000-00002FA50000}"/>
    <cellStyle name="Normal 58 4 6 3 2 4 2" xfId="43422" xr:uid="{00000000-0005-0000-0000-000030A50000}"/>
    <cellStyle name="Normal 58 4 6 3 2 5" xfId="29359" xr:uid="{00000000-0005-0000-0000-000031A50000}"/>
    <cellStyle name="Normal 58 4 6 3 3" xfId="5070" xr:uid="{00000000-0005-0000-0000-000032A50000}"/>
    <cellStyle name="Normal 58 4 6 3 3 2" xfId="13907" xr:uid="{00000000-0005-0000-0000-000033A50000}"/>
    <cellStyle name="Normal 58 4 6 3 3 2 2" xfId="24158" xr:uid="{00000000-0005-0000-0000-000034A50000}"/>
    <cellStyle name="Normal 58 4 6 3 3 2 2 2" xfId="49711" xr:uid="{00000000-0005-0000-0000-000035A50000}"/>
    <cellStyle name="Normal 58 4 6 3 3 2 3" xfId="39462" xr:uid="{00000000-0005-0000-0000-000036A50000}"/>
    <cellStyle name="Normal 58 4 6 3 3 3" xfId="10328" xr:uid="{00000000-0005-0000-0000-000037A50000}"/>
    <cellStyle name="Normal 58 4 6 3 3 3 2" xfId="35885" xr:uid="{00000000-0005-0000-0000-000038A50000}"/>
    <cellStyle name="Normal 58 4 6 3 3 4" xfId="19151" xr:uid="{00000000-0005-0000-0000-000039A50000}"/>
    <cellStyle name="Normal 58 4 6 3 3 4 2" xfId="44704" xr:uid="{00000000-0005-0000-0000-00003AA50000}"/>
    <cellStyle name="Normal 58 4 6 3 3 5" xfId="30641" xr:uid="{00000000-0005-0000-0000-00003BA50000}"/>
    <cellStyle name="Normal 58 4 6 3 4" xfId="2596" xr:uid="{00000000-0005-0000-0000-00003CA50000}"/>
    <cellStyle name="Normal 58 4 6 3 4 2" xfId="11960" xr:uid="{00000000-0005-0000-0000-00003DA50000}"/>
    <cellStyle name="Normal 58 4 6 3 4 2 2" xfId="37515" xr:uid="{00000000-0005-0000-0000-00003EA50000}"/>
    <cellStyle name="Normal 58 4 6 3 4 3" xfId="21964" xr:uid="{00000000-0005-0000-0000-00003FA50000}"/>
    <cellStyle name="Normal 58 4 6 3 4 3 2" xfId="47517" xr:uid="{00000000-0005-0000-0000-000040A50000}"/>
    <cellStyle name="Normal 58 4 6 3 4 4" xfId="28447" xr:uid="{00000000-0005-0000-0000-000041A50000}"/>
    <cellStyle name="Normal 58 4 6 3 5" xfId="6525" xr:uid="{00000000-0005-0000-0000-000042A50000}"/>
    <cellStyle name="Normal 58 4 6 3 5 2" xfId="15352" xr:uid="{00000000-0005-0000-0000-000043A50000}"/>
    <cellStyle name="Normal 58 4 6 3 5 2 2" xfId="40907" xr:uid="{00000000-0005-0000-0000-000044A50000}"/>
    <cellStyle name="Normal 58 4 6 3 5 3" xfId="25603" xr:uid="{00000000-0005-0000-0000-000045A50000}"/>
    <cellStyle name="Normal 58 4 6 3 5 3 2" xfId="51156" xr:uid="{00000000-0005-0000-0000-000046A50000}"/>
    <cellStyle name="Normal 58 4 6 3 5 4" xfId="32086" xr:uid="{00000000-0005-0000-0000-000047A50000}"/>
    <cellStyle name="Normal 58 4 6 3 6" xfId="7971" xr:uid="{00000000-0005-0000-0000-000048A50000}"/>
    <cellStyle name="Normal 58 4 6 3 6 2" xfId="20475" xr:uid="{00000000-0005-0000-0000-000049A50000}"/>
    <cellStyle name="Normal 58 4 6 3 6 2 2" xfId="46028" xr:uid="{00000000-0005-0000-0000-00004AA50000}"/>
    <cellStyle name="Normal 58 4 6 3 6 3" xfId="33528" xr:uid="{00000000-0005-0000-0000-00004BA50000}"/>
    <cellStyle name="Normal 58 4 6 3 7" xfId="16957" xr:uid="{00000000-0005-0000-0000-00004CA50000}"/>
    <cellStyle name="Normal 58 4 6 3 7 2" xfId="42510" xr:uid="{00000000-0005-0000-0000-00004DA50000}"/>
    <cellStyle name="Normal 58 4 6 3 8" xfId="26958" xr:uid="{00000000-0005-0000-0000-00004EA50000}"/>
    <cellStyle name="Normal 58 4 6 4" xfId="2806" xr:uid="{00000000-0005-0000-0000-00004FA50000}"/>
    <cellStyle name="Normal 58 4 6 4 2" xfId="5184" xr:uid="{00000000-0005-0000-0000-000050A50000}"/>
    <cellStyle name="Normal 58 4 6 4 2 2" xfId="14021" xr:uid="{00000000-0005-0000-0000-000051A50000}"/>
    <cellStyle name="Normal 58 4 6 4 2 2 2" xfId="24272" xr:uid="{00000000-0005-0000-0000-000052A50000}"/>
    <cellStyle name="Normal 58 4 6 4 2 2 2 2" xfId="49825" xr:uid="{00000000-0005-0000-0000-000053A50000}"/>
    <cellStyle name="Normal 58 4 6 4 2 2 3" xfId="39576" xr:uid="{00000000-0005-0000-0000-000054A50000}"/>
    <cellStyle name="Normal 58 4 6 4 2 3" xfId="10442" xr:uid="{00000000-0005-0000-0000-000055A50000}"/>
    <cellStyle name="Normal 58 4 6 4 2 3 2" xfId="35999" xr:uid="{00000000-0005-0000-0000-000056A50000}"/>
    <cellStyle name="Normal 58 4 6 4 2 4" xfId="19265" xr:uid="{00000000-0005-0000-0000-000057A50000}"/>
    <cellStyle name="Normal 58 4 6 4 2 4 2" xfId="44818" xr:uid="{00000000-0005-0000-0000-000058A50000}"/>
    <cellStyle name="Normal 58 4 6 4 2 5" xfId="30755" xr:uid="{00000000-0005-0000-0000-000059A50000}"/>
    <cellStyle name="Normal 58 4 6 4 3" xfId="6639" xr:uid="{00000000-0005-0000-0000-00005AA50000}"/>
    <cellStyle name="Normal 58 4 6 4 3 2" xfId="15466" xr:uid="{00000000-0005-0000-0000-00005BA50000}"/>
    <cellStyle name="Normal 58 4 6 4 3 2 2" xfId="41021" xr:uid="{00000000-0005-0000-0000-00005CA50000}"/>
    <cellStyle name="Normal 58 4 6 4 3 3" xfId="25717" xr:uid="{00000000-0005-0000-0000-00005DA50000}"/>
    <cellStyle name="Normal 58 4 6 4 3 3 2" xfId="51270" xr:uid="{00000000-0005-0000-0000-00005EA50000}"/>
    <cellStyle name="Normal 58 4 6 4 3 4" xfId="32200" xr:uid="{00000000-0005-0000-0000-00005FA50000}"/>
    <cellStyle name="Normal 58 4 6 4 4" xfId="8085" xr:uid="{00000000-0005-0000-0000-000060A50000}"/>
    <cellStyle name="Normal 58 4 6 4 4 2" xfId="22167" xr:uid="{00000000-0005-0000-0000-000061A50000}"/>
    <cellStyle name="Normal 58 4 6 4 4 2 2" xfId="47720" xr:uid="{00000000-0005-0000-0000-000062A50000}"/>
    <cellStyle name="Normal 58 4 6 4 4 3" xfId="33642" xr:uid="{00000000-0005-0000-0000-000063A50000}"/>
    <cellStyle name="Normal 58 4 6 4 5" xfId="17160" xr:uid="{00000000-0005-0000-0000-000064A50000}"/>
    <cellStyle name="Normal 58 4 6 4 5 2" xfId="42713" xr:uid="{00000000-0005-0000-0000-000065A50000}"/>
    <cellStyle name="Normal 58 4 6 4 6" xfId="28650" xr:uid="{00000000-0005-0000-0000-000066A50000}"/>
    <cellStyle name="Normal 58 4 6 5" xfId="4138" xr:uid="{00000000-0005-0000-0000-000067A50000}"/>
    <cellStyle name="Normal 58 4 6 5 2" xfId="12976" xr:uid="{00000000-0005-0000-0000-000068A50000}"/>
    <cellStyle name="Normal 58 4 6 5 2 2" xfId="23227" xr:uid="{00000000-0005-0000-0000-000069A50000}"/>
    <cellStyle name="Normal 58 4 6 5 2 2 2" xfId="48780" xr:uid="{00000000-0005-0000-0000-00006AA50000}"/>
    <cellStyle name="Normal 58 4 6 5 2 3" xfId="38531" xr:uid="{00000000-0005-0000-0000-00006BA50000}"/>
    <cellStyle name="Normal 58 4 6 5 3" xfId="9397" xr:uid="{00000000-0005-0000-0000-00006CA50000}"/>
    <cellStyle name="Normal 58 4 6 5 3 2" xfId="34954" xr:uid="{00000000-0005-0000-0000-00006DA50000}"/>
    <cellStyle name="Normal 58 4 6 5 4" xfId="18220" xr:uid="{00000000-0005-0000-0000-00006EA50000}"/>
    <cellStyle name="Normal 58 4 6 5 4 2" xfId="43773" xr:uid="{00000000-0005-0000-0000-00006FA50000}"/>
    <cellStyle name="Normal 58 4 6 5 5" xfId="29710" xr:uid="{00000000-0005-0000-0000-000070A50000}"/>
    <cellStyle name="Normal 58 4 6 6" xfId="1915" xr:uid="{00000000-0005-0000-0000-000071A50000}"/>
    <cellStyle name="Normal 58 4 6 6 2" xfId="11280" xr:uid="{00000000-0005-0000-0000-000072A50000}"/>
    <cellStyle name="Normal 58 4 6 6 2 2" xfId="36835" xr:uid="{00000000-0005-0000-0000-000073A50000}"/>
    <cellStyle name="Normal 58 4 6 6 3" xfId="21284" xr:uid="{00000000-0005-0000-0000-000074A50000}"/>
    <cellStyle name="Normal 58 4 6 6 3 2" xfId="46837" xr:uid="{00000000-0005-0000-0000-000075A50000}"/>
    <cellStyle name="Normal 58 4 6 6 4" xfId="27767" xr:uid="{00000000-0005-0000-0000-000076A50000}"/>
    <cellStyle name="Normal 58 4 6 7" xfId="5596" xr:uid="{00000000-0005-0000-0000-000077A50000}"/>
    <cellStyle name="Normal 58 4 6 7 2" xfId="14423" xr:uid="{00000000-0005-0000-0000-000078A50000}"/>
    <cellStyle name="Normal 58 4 6 7 2 2" xfId="39978" xr:uid="{00000000-0005-0000-0000-000079A50000}"/>
    <cellStyle name="Normal 58 4 6 7 3" xfId="24674" xr:uid="{00000000-0005-0000-0000-00007AA50000}"/>
    <cellStyle name="Normal 58 4 6 7 3 2" xfId="50227" xr:uid="{00000000-0005-0000-0000-00007BA50000}"/>
    <cellStyle name="Normal 58 4 6 7 4" xfId="31157" xr:uid="{00000000-0005-0000-0000-00007CA50000}"/>
    <cellStyle name="Normal 58 4 6 8" xfId="7040" xr:uid="{00000000-0005-0000-0000-00007DA50000}"/>
    <cellStyle name="Normal 58 4 6 8 2" xfId="19766" xr:uid="{00000000-0005-0000-0000-00007EA50000}"/>
    <cellStyle name="Normal 58 4 6 8 2 2" xfId="45319" xr:uid="{00000000-0005-0000-0000-00007FA50000}"/>
    <cellStyle name="Normal 58 4 6 8 3" xfId="32597" xr:uid="{00000000-0005-0000-0000-000080A50000}"/>
    <cellStyle name="Normal 58 4 6 9" xfId="16277" xr:uid="{00000000-0005-0000-0000-000081A50000}"/>
    <cellStyle name="Normal 58 4 6 9 2" xfId="41830" xr:uid="{00000000-0005-0000-0000-000082A50000}"/>
    <cellStyle name="Normal 58 4 6_Degree data" xfId="4013" xr:uid="{00000000-0005-0000-0000-000083A50000}"/>
    <cellStyle name="Normal 58 4 7" xfId="898" xr:uid="{00000000-0005-0000-0000-000084A50000}"/>
    <cellStyle name="Normal 58 4 7 2" xfId="3383" xr:uid="{00000000-0005-0000-0000-000085A50000}"/>
    <cellStyle name="Normal 58 4 7 2 2" xfId="12525" xr:uid="{00000000-0005-0000-0000-000086A50000}"/>
    <cellStyle name="Normal 58 4 7 2 2 2" xfId="22744" xr:uid="{00000000-0005-0000-0000-000087A50000}"/>
    <cellStyle name="Normal 58 4 7 2 2 2 2" xfId="48297" xr:uid="{00000000-0005-0000-0000-000088A50000}"/>
    <cellStyle name="Normal 58 4 7 2 2 3" xfId="38080" xr:uid="{00000000-0005-0000-0000-000089A50000}"/>
    <cellStyle name="Normal 58 4 7 2 3" xfId="8947" xr:uid="{00000000-0005-0000-0000-00008AA50000}"/>
    <cellStyle name="Normal 58 4 7 2 3 2" xfId="34504" xr:uid="{00000000-0005-0000-0000-00008BA50000}"/>
    <cellStyle name="Normal 58 4 7 2 4" xfId="17737" xr:uid="{00000000-0005-0000-0000-00008CA50000}"/>
    <cellStyle name="Normal 58 4 7 2 4 2" xfId="43290" xr:uid="{00000000-0005-0000-0000-00008DA50000}"/>
    <cellStyle name="Normal 58 4 7 2 5" xfId="29227" xr:uid="{00000000-0005-0000-0000-00008EA50000}"/>
    <cellStyle name="Normal 58 4 7 3" xfId="4712" xr:uid="{00000000-0005-0000-0000-00008FA50000}"/>
    <cellStyle name="Normal 58 4 7 3 2" xfId="13550" xr:uid="{00000000-0005-0000-0000-000090A50000}"/>
    <cellStyle name="Normal 58 4 7 3 2 2" xfId="23801" xr:uid="{00000000-0005-0000-0000-000091A50000}"/>
    <cellStyle name="Normal 58 4 7 3 2 2 2" xfId="49354" xr:uid="{00000000-0005-0000-0000-000092A50000}"/>
    <cellStyle name="Normal 58 4 7 3 2 3" xfId="39105" xr:uid="{00000000-0005-0000-0000-000093A50000}"/>
    <cellStyle name="Normal 58 4 7 3 3" xfId="9971" xr:uid="{00000000-0005-0000-0000-000094A50000}"/>
    <cellStyle name="Normal 58 4 7 3 3 2" xfId="35528" xr:uid="{00000000-0005-0000-0000-000095A50000}"/>
    <cellStyle name="Normal 58 4 7 3 4" xfId="18794" xr:uid="{00000000-0005-0000-0000-000096A50000}"/>
    <cellStyle name="Normal 58 4 7 3 4 2" xfId="44347" xr:uid="{00000000-0005-0000-0000-000097A50000}"/>
    <cellStyle name="Normal 58 4 7 3 5" xfId="30284" xr:uid="{00000000-0005-0000-0000-000098A50000}"/>
    <cellStyle name="Normal 58 4 7 4" xfId="2492" xr:uid="{00000000-0005-0000-0000-000099A50000}"/>
    <cellStyle name="Normal 58 4 7 4 2" xfId="11857" xr:uid="{00000000-0005-0000-0000-00009AA50000}"/>
    <cellStyle name="Normal 58 4 7 4 2 2" xfId="37412" xr:uid="{00000000-0005-0000-0000-00009BA50000}"/>
    <cellStyle name="Normal 58 4 7 4 3" xfId="21861" xr:uid="{00000000-0005-0000-0000-00009CA50000}"/>
    <cellStyle name="Normal 58 4 7 4 3 2" xfId="47414" xr:uid="{00000000-0005-0000-0000-00009DA50000}"/>
    <cellStyle name="Normal 58 4 7 4 4" xfId="28344" xr:uid="{00000000-0005-0000-0000-00009EA50000}"/>
    <cellStyle name="Normal 58 4 7 5" xfId="6168" xr:uid="{00000000-0005-0000-0000-00009FA50000}"/>
    <cellStyle name="Normal 58 4 7 5 2" xfId="14995" xr:uid="{00000000-0005-0000-0000-0000A0A50000}"/>
    <cellStyle name="Normal 58 4 7 5 2 2" xfId="40550" xr:uid="{00000000-0005-0000-0000-0000A1A50000}"/>
    <cellStyle name="Normal 58 4 7 5 3" xfId="25246" xr:uid="{00000000-0005-0000-0000-0000A2A50000}"/>
    <cellStyle name="Normal 58 4 7 5 3 2" xfId="50799" xr:uid="{00000000-0005-0000-0000-0000A3A50000}"/>
    <cellStyle name="Normal 58 4 7 5 4" xfId="31729" xr:uid="{00000000-0005-0000-0000-0000A4A50000}"/>
    <cellStyle name="Normal 58 4 7 6" xfId="7613" xr:uid="{00000000-0005-0000-0000-0000A5A50000}"/>
    <cellStyle name="Normal 58 4 7 6 2" xfId="20343" xr:uid="{00000000-0005-0000-0000-0000A6A50000}"/>
    <cellStyle name="Normal 58 4 7 6 2 2" xfId="45896" xr:uid="{00000000-0005-0000-0000-0000A7A50000}"/>
    <cellStyle name="Normal 58 4 7 6 3" xfId="33170" xr:uid="{00000000-0005-0000-0000-0000A8A50000}"/>
    <cellStyle name="Normal 58 4 7 7" xfId="16854" xr:uid="{00000000-0005-0000-0000-0000A9A50000}"/>
    <cellStyle name="Normal 58 4 7 7 2" xfId="42407" xr:uid="{00000000-0005-0000-0000-0000AAA50000}"/>
    <cellStyle name="Normal 58 4 7 8" xfId="26826" xr:uid="{00000000-0005-0000-0000-0000ABA50000}"/>
    <cellStyle name="Normal 58 4 8" xfId="1049" xr:uid="{00000000-0005-0000-0000-0000ACA50000}"/>
    <cellStyle name="Normal 58 4 8 2" xfId="3478" xr:uid="{00000000-0005-0000-0000-0000ADA50000}"/>
    <cellStyle name="Normal 58 4 8 2 2" xfId="12614" xr:uid="{00000000-0005-0000-0000-0000AEA50000}"/>
    <cellStyle name="Normal 58 4 8 2 2 2" xfId="22833" xr:uid="{00000000-0005-0000-0000-0000AFA50000}"/>
    <cellStyle name="Normal 58 4 8 2 2 2 2" xfId="48386" xr:uid="{00000000-0005-0000-0000-0000B0A50000}"/>
    <cellStyle name="Normal 58 4 8 2 2 3" xfId="38169" xr:uid="{00000000-0005-0000-0000-0000B1A50000}"/>
    <cellStyle name="Normal 58 4 8 2 3" xfId="9036" xr:uid="{00000000-0005-0000-0000-0000B2A50000}"/>
    <cellStyle name="Normal 58 4 8 2 3 2" xfId="34593" xr:uid="{00000000-0005-0000-0000-0000B3A50000}"/>
    <cellStyle name="Normal 58 4 8 2 4" xfId="17826" xr:uid="{00000000-0005-0000-0000-0000B4A50000}"/>
    <cellStyle name="Normal 58 4 8 2 4 2" xfId="43379" xr:uid="{00000000-0005-0000-0000-0000B5A50000}"/>
    <cellStyle name="Normal 58 4 8 2 5" xfId="29316" xr:uid="{00000000-0005-0000-0000-0000B6A50000}"/>
    <cellStyle name="Normal 58 4 8 3" xfId="5061" xr:uid="{00000000-0005-0000-0000-0000B7A50000}"/>
    <cellStyle name="Normal 58 4 8 3 2" xfId="13898" xr:uid="{00000000-0005-0000-0000-0000B8A50000}"/>
    <cellStyle name="Normal 58 4 8 3 2 2" xfId="24149" xr:uid="{00000000-0005-0000-0000-0000B9A50000}"/>
    <cellStyle name="Normal 58 4 8 3 2 2 2" xfId="49702" xr:uid="{00000000-0005-0000-0000-0000BAA50000}"/>
    <cellStyle name="Normal 58 4 8 3 2 3" xfId="39453" xr:uid="{00000000-0005-0000-0000-0000BBA50000}"/>
    <cellStyle name="Normal 58 4 8 3 3" xfId="10319" xr:uid="{00000000-0005-0000-0000-0000BCA50000}"/>
    <cellStyle name="Normal 58 4 8 3 3 2" xfId="35876" xr:uid="{00000000-0005-0000-0000-0000BDA50000}"/>
    <cellStyle name="Normal 58 4 8 3 4" xfId="19142" xr:uid="{00000000-0005-0000-0000-0000BEA50000}"/>
    <cellStyle name="Normal 58 4 8 3 4 2" xfId="44695" xr:uid="{00000000-0005-0000-0000-0000BFA50000}"/>
    <cellStyle name="Normal 58 4 8 3 5" xfId="30632" xr:uid="{00000000-0005-0000-0000-0000C0A50000}"/>
    <cellStyle name="Normal 58 4 8 4" xfId="1733" xr:uid="{00000000-0005-0000-0000-0000C1A50000}"/>
    <cellStyle name="Normal 58 4 8 4 2" xfId="11107" xr:uid="{00000000-0005-0000-0000-0000C2A50000}"/>
    <cellStyle name="Normal 58 4 8 4 2 2" xfId="36662" xr:uid="{00000000-0005-0000-0000-0000C3A50000}"/>
    <cellStyle name="Normal 58 4 8 4 3" xfId="21111" xr:uid="{00000000-0005-0000-0000-0000C4A50000}"/>
    <cellStyle name="Normal 58 4 8 4 3 2" xfId="46664" xr:uid="{00000000-0005-0000-0000-0000C5A50000}"/>
    <cellStyle name="Normal 58 4 8 4 4" xfId="27594" xr:uid="{00000000-0005-0000-0000-0000C6A50000}"/>
    <cellStyle name="Normal 58 4 8 5" xfId="6516" xr:uid="{00000000-0005-0000-0000-0000C7A50000}"/>
    <cellStyle name="Normal 58 4 8 5 2" xfId="15343" xr:uid="{00000000-0005-0000-0000-0000C8A50000}"/>
    <cellStyle name="Normal 58 4 8 5 2 2" xfId="40898" xr:uid="{00000000-0005-0000-0000-0000C9A50000}"/>
    <cellStyle name="Normal 58 4 8 5 3" xfId="25594" xr:uid="{00000000-0005-0000-0000-0000CAA50000}"/>
    <cellStyle name="Normal 58 4 8 5 3 2" xfId="51147" xr:uid="{00000000-0005-0000-0000-0000CBA50000}"/>
    <cellStyle name="Normal 58 4 8 5 4" xfId="32077" xr:uid="{00000000-0005-0000-0000-0000CCA50000}"/>
    <cellStyle name="Normal 58 4 8 6" xfId="7962" xr:uid="{00000000-0005-0000-0000-0000CDA50000}"/>
    <cellStyle name="Normal 58 4 8 6 2" xfId="20432" xr:uid="{00000000-0005-0000-0000-0000CEA50000}"/>
    <cellStyle name="Normal 58 4 8 6 2 2" xfId="45985" xr:uid="{00000000-0005-0000-0000-0000CFA50000}"/>
    <cellStyle name="Normal 58 4 8 6 3" xfId="33519" xr:uid="{00000000-0005-0000-0000-0000D0A50000}"/>
    <cellStyle name="Normal 58 4 8 7" xfId="16104" xr:uid="{00000000-0005-0000-0000-0000D1A50000}"/>
    <cellStyle name="Normal 58 4 8 7 2" xfId="41657" xr:uid="{00000000-0005-0000-0000-0000D2A50000}"/>
    <cellStyle name="Normal 58 4 8 8" xfId="26915" xr:uid="{00000000-0005-0000-0000-0000D3A50000}"/>
    <cellStyle name="Normal 58 4 9" xfId="2633" xr:uid="{00000000-0005-0000-0000-0000D4A50000}"/>
    <cellStyle name="Normal 58 4 9 2" xfId="5141" xr:uid="{00000000-0005-0000-0000-0000D5A50000}"/>
    <cellStyle name="Normal 58 4 9 2 2" xfId="13978" xr:uid="{00000000-0005-0000-0000-0000D6A50000}"/>
    <cellStyle name="Normal 58 4 9 2 2 2" xfId="24229" xr:uid="{00000000-0005-0000-0000-0000D7A50000}"/>
    <cellStyle name="Normal 58 4 9 2 2 2 2" xfId="49782" xr:uid="{00000000-0005-0000-0000-0000D8A50000}"/>
    <cellStyle name="Normal 58 4 9 2 2 3" xfId="39533" xr:uid="{00000000-0005-0000-0000-0000D9A50000}"/>
    <cellStyle name="Normal 58 4 9 2 3" xfId="10399" xr:uid="{00000000-0005-0000-0000-0000DAA50000}"/>
    <cellStyle name="Normal 58 4 9 2 3 2" xfId="35956" xr:uid="{00000000-0005-0000-0000-0000DBA50000}"/>
    <cellStyle name="Normal 58 4 9 2 4" xfId="19222" xr:uid="{00000000-0005-0000-0000-0000DCA50000}"/>
    <cellStyle name="Normal 58 4 9 2 4 2" xfId="44775" xr:uid="{00000000-0005-0000-0000-0000DDA50000}"/>
    <cellStyle name="Normal 58 4 9 2 5" xfId="30712" xr:uid="{00000000-0005-0000-0000-0000DEA50000}"/>
    <cellStyle name="Normal 58 4 9 3" xfId="6596" xr:uid="{00000000-0005-0000-0000-0000DFA50000}"/>
    <cellStyle name="Normal 58 4 9 3 2" xfId="15423" xr:uid="{00000000-0005-0000-0000-0000E0A50000}"/>
    <cellStyle name="Normal 58 4 9 3 2 2" xfId="40978" xr:uid="{00000000-0005-0000-0000-0000E1A50000}"/>
    <cellStyle name="Normal 58 4 9 3 3" xfId="25674" xr:uid="{00000000-0005-0000-0000-0000E2A50000}"/>
    <cellStyle name="Normal 58 4 9 3 3 2" xfId="51227" xr:uid="{00000000-0005-0000-0000-0000E3A50000}"/>
    <cellStyle name="Normal 58 4 9 3 4" xfId="32157" xr:uid="{00000000-0005-0000-0000-0000E4A50000}"/>
    <cellStyle name="Normal 58 4 9 4" xfId="8042" xr:uid="{00000000-0005-0000-0000-0000E5A50000}"/>
    <cellStyle name="Normal 58 4 9 4 2" xfId="21995" xr:uid="{00000000-0005-0000-0000-0000E6A50000}"/>
    <cellStyle name="Normal 58 4 9 4 2 2" xfId="47548" xr:uid="{00000000-0005-0000-0000-0000E7A50000}"/>
    <cellStyle name="Normal 58 4 9 4 3" xfId="33599" xr:uid="{00000000-0005-0000-0000-0000E8A50000}"/>
    <cellStyle name="Normal 58 4 9 5" xfId="16988" xr:uid="{00000000-0005-0000-0000-0000E9A50000}"/>
    <cellStyle name="Normal 58 4 9 5 2" xfId="42541" xr:uid="{00000000-0005-0000-0000-0000EAA50000}"/>
    <cellStyle name="Normal 58 4 9 6" xfId="28478" xr:uid="{00000000-0005-0000-0000-0000EBA50000}"/>
    <cellStyle name="Normal 58 4_Degree data" xfId="4004" xr:uid="{00000000-0005-0000-0000-0000ECA50000}"/>
    <cellStyle name="Normal 58 5" xfId="162" xr:uid="{00000000-0005-0000-0000-0000EDA50000}"/>
    <cellStyle name="Normal 58 5 10" xfId="1427" xr:uid="{00000000-0005-0000-0000-0000EEA50000}"/>
    <cellStyle name="Normal 58 5 10 2" xfId="10804" xr:uid="{00000000-0005-0000-0000-0000EFA50000}"/>
    <cellStyle name="Normal 58 5 10 2 2" xfId="36359" xr:uid="{00000000-0005-0000-0000-0000F0A50000}"/>
    <cellStyle name="Normal 58 5 10 3" xfId="20808" xr:uid="{00000000-0005-0000-0000-0000F1A50000}"/>
    <cellStyle name="Normal 58 5 10 3 2" xfId="46361" xr:uid="{00000000-0005-0000-0000-0000F2A50000}"/>
    <cellStyle name="Normal 58 5 10 4" xfId="27291" xr:uid="{00000000-0005-0000-0000-0000F3A50000}"/>
    <cellStyle name="Normal 58 5 11" xfId="5536" xr:uid="{00000000-0005-0000-0000-0000F4A50000}"/>
    <cellStyle name="Normal 58 5 11 2" xfId="14363" xr:uid="{00000000-0005-0000-0000-0000F5A50000}"/>
    <cellStyle name="Normal 58 5 11 2 2" xfId="39918" xr:uid="{00000000-0005-0000-0000-0000F6A50000}"/>
    <cellStyle name="Normal 58 5 11 3" xfId="24614" xr:uid="{00000000-0005-0000-0000-0000F7A50000}"/>
    <cellStyle name="Normal 58 5 11 3 2" xfId="50167" xr:uid="{00000000-0005-0000-0000-0000F8A50000}"/>
    <cellStyle name="Normal 58 5 11 4" xfId="31097" xr:uid="{00000000-0005-0000-0000-0000F9A50000}"/>
    <cellStyle name="Normal 58 5 12" xfId="6980" xr:uid="{00000000-0005-0000-0000-0000FAA50000}"/>
    <cellStyle name="Normal 58 5 12 2" xfId="19621" xr:uid="{00000000-0005-0000-0000-0000FBA50000}"/>
    <cellStyle name="Normal 58 5 12 2 2" xfId="45174" xr:uid="{00000000-0005-0000-0000-0000FCA50000}"/>
    <cellStyle name="Normal 58 5 12 3" xfId="32537" xr:uid="{00000000-0005-0000-0000-0000FDA50000}"/>
    <cellStyle name="Normal 58 5 13" xfId="15801" xr:uid="{00000000-0005-0000-0000-0000FEA50000}"/>
    <cellStyle name="Normal 58 5 13 2" xfId="41354" xr:uid="{00000000-0005-0000-0000-0000FFA50000}"/>
    <cellStyle name="Normal 58 5 14" xfId="26104" xr:uid="{00000000-0005-0000-0000-000000A60000}"/>
    <cellStyle name="Normal 58 5 2" xfId="209" xr:uid="{00000000-0005-0000-0000-000001A60000}"/>
    <cellStyle name="Normal 58 5 2 10" xfId="7155" xr:uid="{00000000-0005-0000-0000-000002A60000}"/>
    <cellStyle name="Normal 58 5 2 10 2" xfId="19664" xr:uid="{00000000-0005-0000-0000-000003A60000}"/>
    <cellStyle name="Normal 58 5 2 10 2 2" xfId="45217" xr:uid="{00000000-0005-0000-0000-000004A60000}"/>
    <cellStyle name="Normal 58 5 2 10 3" xfId="32712" xr:uid="{00000000-0005-0000-0000-000005A60000}"/>
    <cellStyle name="Normal 58 5 2 11" xfId="15901" xr:uid="{00000000-0005-0000-0000-000006A60000}"/>
    <cellStyle name="Normal 58 5 2 11 2" xfId="41454" xr:uid="{00000000-0005-0000-0000-000007A60000}"/>
    <cellStyle name="Normal 58 5 2 12" xfId="26147" xr:uid="{00000000-0005-0000-0000-000008A60000}"/>
    <cellStyle name="Normal 58 5 2 2" xfId="535" xr:uid="{00000000-0005-0000-0000-000009A60000}"/>
    <cellStyle name="Normal 58 5 2 2 10" xfId="26464" xr:uid="{00000000-0005-0000-0000-00000AA60000}"/>
    <cellStyle name="Normal 58 5 2 2 2" xfId="910" xr:uid="{00000000-0005-0000-0000-00000BA60000}"/>
    <cellStyle name="Normal 58 5 2 2 2 2" xfId="3395" xr:uid="{00000000-0005-0000-0000-00000CA60000}"/>
    <cellStyle name="Normal 58 5 2 2 2 2 2" xfId="12537" xr:uid="{00000000-0005-0000-0000-00000DA60000}"/>
    <cellStyle name="Normal 58 5 2 2 2 2 2 2" xfId="22756" xr:uid="{00000000-0005-0000-0000-00000EA60000}"/>
    <cellStyle name="Normal 58 5 2 2 2 2 2 2 2" xfId="48309" xr:uid="{00000000-0005-0000-0000-00000FA60000}"/>
    <cellStyle name="Normal 58 5 2 2 2 2 2 3" xfId="38092" xr:uid="{00000000-0005-0000-0000-000010A60000}"/>
    <cellStyle name="Normal 58 5 2 2 2 2 3" xfId="8959" xr:uid="{00000000-0005-0000-0000-000011A60000}"/>
    <cellStyle name="Normal 58 5 2 2 2 2 3 2" xfId="34516" xr:uid="{00000000-0005-0000-0000-000012A60000}"/>
    <cellStyle name="Normal 58 5 2 2 2 2 4" xfId="17749" xr:uid="{00000000-0005-0000-0000-000013A60000}"/>
    <cellStyle name="Normal 58 5 2 2 2 2 4 2" xfId="43302" xr:uid="{00000000-0005-0000-0000-000014A60000}"/>
    <cellStyle name="Normal 58 5 2 2 2 2 5" xfId="29239" xr:uid="{00000000-0005-0000-0000-000015A60000}"/>
    <cellStyle name="Normal 58 5 2 2 2 3" xfId="4724" xr:uid="{00000000-0005-0000-0000-000016A60000}"/>
    <cellStyle name="Normal 58 5 2 2 2 3 2" xfId="13562" xr:uid="{00000000-0005-0000-0000-000017A60000}"/>
    <cellStyle name="Normal 58 5 2 2 2 3 2 2" xfId="23813" xr:uid="{00000000-0005-0000-0000-000018A60000}"/>
    <cellStyle name="Normal 58 5 2 2 2 3 2 2 2" xfId="49366" xr:uid="{00000000-0005-0000-0000-000019A60000}"/>
    <cellStyle name="Normal 58 5 2 2 2 3 2 3" xfId="39117" xr:uid="{00000000-0005-0000-0000-00001AA60000}"/>
    <cellStyle name="Normal 58 5 2 2 2 3 3" xfId="9983" xr:uid="{00000000-0005-0000-0000-00001BA60000}"/>
    <cellStyle name="Normal 58 5 2 2 2 3 3 2" xfId="35540" xr:uid="{00000000-0005-0000-0000-00001CA60000}"/>
    <cellStyle name="Normal 58 5 2 2 2 3 4" xfId="18806" xr:uid="{00000000-0005-0000-0000-00001DA60000}"/>
    <cellStyle name="Normal 58 5 2 2 2 3 4 2" xfId="44359" xr:uid="{00000000-0005-0000-0000-00001EA60000}"/>
    <cellStyle name="Normal 58 5 2 2 2 3 5" xfId="30296" xr:uid="{00000000-0005-0000-0000-00001FA60000}"/>
    <cellStyle name="Normal 58 5 2 2 2 4" xfId="2504" xr:uid="{00000000-0005-0000-0000-000020A60000}"/>
    <cellStyle name="Normal 58 5 2 2 2 4 2" xfId="11869" xr:uid="{00000000-0005-0000-0000-000021A60000}"/>
    <cellStyle name="Normal 58 5 2 2 2 4 2 2" xfId="37424" xr:uid="{00000000-0005-0000-0000-000022A60000}"/>
    <cellStyle name="Normal 58 5 2 2 2 4 3" xfId="21873" xr:uid="{00000000-0005-0000-0000-000023A60000}"/>
    <cellStyle name="Normal 58 5 2 2 2 4 3 2" xfId="47426" xr:uid="{00000000-0005-0000-0000-000024A60000}"/>
    <cellStyle name="Normal 58 5 2 2 2 4 4" xfId="28356" xr:uid="{00000000-0005-0000-0000-000025A60000}"/>
    <cellStyle name="Normal 58 5 2 2 2 5" xfId="6180" xr:uid="{00000000-0005-0000-0000-000026A60000}"/>
    <cellStyle name="Normal 58 5 2 2 2 5 2" xfId="15007" xr:uid="{00000000-0005-0000-0000-000027A60000}"/>
    <cellStyle name="Normal 58 5 2 2 2 5 2 2" xfId="40562" xr:uid="{00000000-0005-0000-0000-000028A60000}"/>
    <cellStyle name="Normal 58 5 2 2 2 5 3" xfId="25258" xr:uid="{00000000-0005-0000-0000-000029A60000}"/>
    <cellStyle name="Normal 58 5 2 2 2 5 3 2" xfId="50811" xr:uid="{00000000-0005-0000-0000-00002AA60000}"/>
    <cellStyle name="Normal 58 5 2 2 2 5 4" xfId="31741" xr:uid="{00000000-0005-0000-0000-00002BA60000}"/>
    <cellStyle name="Normal 58 5 2 2 2 6" xfId="7625" xr:uid="{00000000-0005-0000-0000-00002CA60000}"/>
    <cellStyle name="Normal 58 5 2 2 2 6 2" xfId="20355" xr:uid="{00000000-0005-0000-0000-00002DA60000}"/>
    <cellStyle name="Normal 58 5 2 2 2 6 2 2" xfId="45908" xr:uid="{00000000-0005-0000-0000-00002EA60000}"/>
    <cellStyle name="Normal 58 5 2 2 2 6 3" xfId="33182" xr:uid="{00000000-0005-0000-0000-00002FA60000}"/>
    <cellStyle name="Normal 58 5 2 2 2 7" xfId="16866" xr:uid="{00000000-0005-0000-0000-000030A60000}"/>
    <cellStyle name="Normal 58 5 2 2 2 7 2" xfId="42419" xr:uid="{00000000-0005-0000-0000-000031A60000}"/>
    <cellStyle name="Normal 58 5 2 2 2 8" xfId="26838" xr:uid="{00000000-0005-0000-0000-000032A60000}"/>
    <cellStyle name="Normal 58 5 2 2 3" xfId="1307" xr:uid="{00000000-0005-0000-0000-000033A60000}"/>
    <cellStyle name="Normal 58 5 2 2 3 2" xfId="3736" xr:uid="{00000000-0005-0000-0000-000034A60000}"/>
    <cellStyle name="Normal 58 5 2 2 3 2 2" xfId="12872" xr:uid="{00000000-0005-0000-0000-000035A60000}"/>
    <cellStyle name="Normal 58 5 2 2 3 2 2 2" xfId="23091" xr:uid="{00000000-0005-0000-0000-000036A60000}"/>
    <cellStyle name="Normal 58 5 2 2 3 2 2 2 2" xfId="48644" xr:uid="{00000000-0005-0000-0000-000037A60000}"/>
    <cellStyle name="Normal 58 5 2 2 3 2 2 3" xfId="38427" xr:uid="{00000000-0005-0000-0000-000038A60000}"/>
    <cellStyle name="Normal 58 5 2 2 3 2 3" xfId="9293" xr:uid="{00000000-0005-0000-0000-000039A60000}"/>
    <cellStyle name="Normal 58 5 2 2 3 2 3 2" xfId="34850" xr:uid="{00000000-0005-0000-0000-00003AA60000}"/>
    <cellStyle name="Normal 58 5 2 2 3 2 4" xfId="18084" xr:uid="{00000000-0005-0000-0000-00003BA60000}"/>
    <cellStyle name="Normal 58 5 2 2 3 2 4 2" xfId="43637" xr:uid="{00000000-0005-0000-0000-00003CA60000}"/>
    <cellStyle name="Normal 58 5 2 2 3 2 5" xfId="29574" xr:uid="{00000000-0005-0000-0000-00003DA60000}"/>
    <cellStyle name="Normal 58 5 2 2 3 3" xfId="5073" xr:uid="{00000000-0005-0000-0000-00003EA60000}"/>
    <cellStyle name="Normal 58 5 2 2 3 3 2" xfId="13910" xr:uid="{00000000-0005-0000-0000-00003FA60000}"/>
    <cellStyle name="Normal 58 5 2 2 3 3 2 2" xfId="24161" xr:uid="{00000000-0005-0000-0000-000040A60000}"/>
    <cellStyle name="Normal 58 5 2 2 3 3 2 2 2" xfId="49714" xr:uid="{00000000-0005-0000-0000-000041A60000}"/>
    <cellStyle name="Normal 58 5 2 2 3 3 2 3" xfId="39465" xr:uid="{00000000-0005-0000-0000-000042A60000}"/>
    <cellStyle name="Normal 58 5 2 2 3 3 3" xfId="10331" xr:uid="{00000000-0005-0000-0000-000043A60000}"/>
    <cellStyle name="Normal 58 5 2 2 3 3 3 2" xfId="35888" xr:uid="{00000000-0005-0000-0000-000044A60000}"/>
    <cellStyle name="Normal 58 5 2 2 3 3 4" xfId="19154" xr:uid="{00000000-0005-0000-0000-000045A60000}"/>
    <cellStyle name="Normal 58 5 2 2 3 3 4 2" xfId="44707" xr:uid="{00000000-0005-0000-0000-000046A60000}"/>
    <cellStyle name="Normal 58 5 2 2 3 3 5" xfId="30644" xr:uid="{00000000-0005-0000-0000-000047A60000}"/>
    <cellStyle name="Normal 58 5 2 2 3 4" xfId="2130" xr:uid="{00000000-0005-0000-0000-000048A60000}"/>
    <cellStyle name="Normal 58 5 2 2 3 4 2" xfId="11495" xr:uid="{00000000-0005-0000-0000-000049A60000}"/>
    <cellStyle name="Normal 58 5 2 2 3 4 2 2" xfId="37050" xr:uid="{00000000-0005-0000-0000-00004AA60000}"/>
    <cellStyle name="Normal 58 5 2 2 3 4 3" xfId="21499" xr:uid="{00000000-0005-0000-0000-00004BA60000}"/>
    <cellStyle name="Normal 58 5 2 2 3 4 3 2" xfId="47052" xr:uid="{00000000-0005-0000-0000-00004CA60000}"/>
    <cellStyle name="Normal 58 5 2 2 3 4 4" xfId="27982" xr:uid="{00000000-0005-0000-0000-00004DA60000}"/>
    <cellStyle name="Normal 58 5 2 2 3 5" xfId="6528" xr:uid="{00000000-0005-0000-0000-00004EA60000}"/>
    <cellStyle name="Normal 58 5 2 2 3 5 2" xfId="15355" xr:uid="{00000000-0005-0000-0000-00004FA60000}"/>
    <cellStyle name="Normal 58 5 2 2 3 5 2 2" xfId="40910" xr:uid="{00000000-0005-0000-0000-000050A60000}"/>
    <cellStyle name="Normal 58 5 2 2 3 5 3" xfId="25606" xr:uid="{00000000-0005-0000-0000-000051A60000}"/>
    <cellStyle name="Normal 58 5 2 2 3 5 3 2" xfId="51159" xr:uid="{00000000-0005-0000-0000-000052A60000}"/>
    <cellStyle name="Normal 58 5 2 2 3 5 4" xfId="32089" xr:uid="{00000000-0005-0000-0000-000053A60000}"/>
    <cellStyle name="Normal 58 5 2 2 3 6" xfId="7974" xr:uid="{00000000-0005-0000-0000-000054A60000}"/>
    <cellStyle name="Normal 58 5 2 2 3 6 2" xfId="20690" xr:uid="{00000000-0005-0000-0000-000055A60000}"/>
    <cellStyle name="Normal 58 5 2 2 3 6 2 2" xfId="46243" xr:uid="{00000000-0005-0000-0000-000056A60000}"/>
    <cellStyle name="Normal 58 5 2 2 3 6 3" xfId="33531" xr:uid="{00000000-0005-0000-0000-000057A60000}"/>
    <cellStyle name="Normal 58 5 2 2 3 7" xfId="16492" xr:uid="{00000000-0005-0000-0000-000058A60000}"/>
    <cellStyle name="Normal 58 5 2 2 3 7 2" xfId="42045" xr:uid="{00000000-0005-0000-0000-000059A60000}"/>
    <cellStyle name="Normal 58 5 2 2 3 8" xfId="27173" xr:uid="{00000000-0005-0000-0000-00005AA60000}"/>
    <cellStyle name="Normal 58 5 2 2 4" xfId="3021" xr:uid="{00000000-0005-0000-0000-00005BA60000}"/>
    <cellStyle name="Normal 58 5 2 2 4 2" xfId="5399" xr:uid="{00000000-0005-0000-0000-00005CA60000}"/>
    <cellStyle name="Normal 58 5 2 2 4 2 2" xfId="14236" xr:uid="{00000000-0005-0000-0000-00005DA60000}"/>
    <cellStyle name="Normal 58 5 2 2 4 2 2 2" xfId="24487" xr:uid="{00000000-0005-0000-0000-00005EA60000}"/>
    <cellStyle name="Normal 58 5 2 2 4 2 2 2 2" xfId="50040" xr:uid="{00000000-0005-0000-0000-00005FA60000}"/>
    <cellStyle name="Normal 58 5 2 2 4 2 2 3" xfId="39791" xr:uid="{00000000-0005-0000-0000-000060A60000}"/>
    <cellStyle name="Normal 58 5 2 2 4 2 3" xfId="10657" xr:uid="{00000000-0005-0000-0000-000061A60000}"/>
    <cellStyle name="Normal 58 5 2 2 4 2 3 2" xfId="36214" xr:uid="{00000000-0005-0000-0000-000062A60000}"/>
    <cellStyle name="Normal 58 5 2 2 4 2 4" xfId="19480" xr:uid="{00000000-0005-0000-0000-000063A60000}"/>
    <cellStyle name="Normal 58 5 2 2 4 2 4 2" xfId="45033" xr:uid="{00000000-0005-0000-0000-000064A60000}"/>
    <cellStyle name="Normal 58 5 2 2 4 2 5" xfId="30970" xr:uid="{00000000-0005-0000-0000-000065A60000}"/>
    <cellStyle name="Normal 58 5 2 2 4 3" xfId="6854" xr:uid="{00000000-0005-0000-0000-000066A60000}"/>
    <cellStyle name="Normal 58 5 2 2 4 3 2" xfId="15681" xr:uid="{00000000-0005-0000-0000-000067A60000}"/>
    <cellStyle name="Normal 58 5 2 2 4 3 2 2" xfId="41236" xr:uid="{00000000-0005-0000-0000-000068A60000}"/>
    <cellStyle name="Normal 58 5 2 2 4 3 3" xfId="25932" xr:uid="{00000000-0005-0000-0000-000069A60000}"/>
    <cellStyle name="Normal 58 5 2 2 4 3 3 2" xfId="51485" xr:uid="{00000000-0005-0000-0000-00006AA60000}"/>
    <cellStyle name="Normal 58 5 2 2 4 3 4" xfId="32415" xr:uid="{00000000-0005-0000-0000-00006BA60000}"/>
    <cellStyle name="Normal 58 5 2 2 4 4" xfId="8300" xr:uid="{00000000-0005-0000-0000-00006CA60000}"/>
    <cellStyle name="Normal 58 5 2 2 4 4 2" xfId="22382" xr:uid="{00000000-0005-0000-0000-00006DA60000}"/>
    <cellStyle name="Normal 58 5 2 2 4 4 2 2" xfId="47935" xr:uid="{00000000-0005-0000-0000-00006EA60000}"/>
    <cellStyle name="Normal 58 5 2 2 4 4 3" xfId="33857" xr:uid="{00000000-0005-0000-0000-00006FA60000}"/>
    <cellStyle name="Normal 58 5 2 2 4 5" xfId="17375" xr:uid="{00000000-0005-0000-0000-000070A60000}"/>
    <cellStyle name="Normal 58 5 2 2 4 5 2" xfId="42928" xr:uid="{00000000-0005-0000-0000-000071A60000}"/>
    <cellStyle name="Normal 58 5 2 2 4 6" xfId="28865" xr:uid="{00000000-0005-0000-0000-000072A60000}"/>
    <cellStyle name="Normal 58 5 2 2 5" xfId="4355" xr:uid="{00000000-0005-0000-0000-000073A60000}"/>
    <cellStyle name="Normal 58 5 2 2 5 2" xfId="13193" xr:uid="{00000000-0005-0000-0000-000074A60000}"/>
    <cellStyle name="Normal 58 5 2 2 5 2 2" xfId="23444" xr:uid="{00000000-0005-0000-0000-000075A60000}"/>
    <cellStyle name="Normal 58 5 2 2 5 2 2 2" xfId="48997" xr:uid="{00000000-0005-0000-0000-000076A60000}"/>
    <cellStyle name="Normal 58 5 2 2 5 2 3" xfId="38748" xr:uid="{00000000-0005-0000-0000-000077A60000}"/>
    <cellStyle name="Normal 58 5 2 2 5 3" xfId="9614" xr:uid="{00000000-0005-0000-0000-000078A60000}"/>
    <cellStyle name="Normal 58 5 2 2 5 3 2" xfId="35171" xr:uid="{00000000-0005-0000-0000-000079A60000}"/>
    <cellStyle name="Normal 58 5 2 2 5 4" xfId="18437" xr:uid="{00000000-0005-0000-0000-00007AA60000}"/>
    <cellStyle name="Normal 58 5 2 2 5 4 2" xfId="43990" xr:uid="{00000000-0005-0000-0000-00007BA60000}"/>
    <cellStyle name="Normal 58 5 2 2 5 5" xfId="29927" xr:uid="{00000000-0005-0000-0000-00007CA60000}"/>
    <cellStyle name="Normal 58 5 2 2 6" xfId="1627" xr:uid="{00000000-0005-0000-0000-00007DA60000}"/>
    <cellStyle name="Normal 58 5 2 2 6 2" xfId="11004" xr:uid="{00000000-0005-0000-0000-00007EA60000}"/>
    <cellStyle name="Normal 58 5 2 2 6 2 2" xfId="36559" xr:uid="{00000000-0005-0000-0000-00007FA60000}"/>
    <cellStyle name="Normal 58 5 2 2 6 3" xfId="21008" xr:uid="{00000000-0005-0000-0000-000080A60000}"/>
    <cellStyle name="Normal 58 5 2 2 6 3 2" xfId="46561" xr:uid="{00000000-0005-0000-0000-000081A60000}"/>
    <cellStyle name="Normal 58 5 2 2 6 4" xfId="27491" xr:uid="{00000000-0005-0000-0000-000082A60000}"/>
    <cellStyle name="Normal 58 5 2 2 7" xfId="5811" xr:uid="{00000000-0005-0000-0000-000083A60000}"/>
    <cellStyle name="Normal 58 5 2 2 7 2" xfId="14638" xr:uid="{00000000-0005-0000-0000-000084A60000}"/>
    <cellStyle name="Normal 58 5 2 2 7 2 2" xfId="40193" xr:uid="{00000000-0005-0000-0000-000085A60000}"/>
    <cellStyle name="Normal 58 5 2 2 7 3" xfId="24889" xr:uid="{00000000-0005-0000-0000-000086A60000}"/>
    <cellStyle name="Normal 58 5 2 2 7 3 2" xfId="50442" xr:uid="{00000000-0005-0000-0000-000087A60000}"/>
    <cellStyle name="Normal 58 5 2 2 7 4" xfId="31372" xr:uid="{00000000-0005-0000-0000-000088A60000}"/>
    <cellStyle name="Normal 58 5 2 2 8" xfId="7255" xr:uid="{00000000-0005-0000-0000-000089A60000}"/>
    <cellStyle name="Normal 58 5 2 2 8 2" xfId="19981" xr:uid="{00000000-0005-0000-0000-00008AA60000}"/>
    <cellStyle name="Normal 58 5 2 2 8 2 2" xfId="45534" xr:uid="{00000000-0005-0000-0000-00008BA60000}"/>
    <cellStyle name="Normal 58 5 2 2 8 3" xfId="32812" xr:uid="{00000000-0005-0000-0000-00008CA60000}"/>
    <cellStyle name="Normal 58 5 2 2 9" xfId="16001" xr:uid="{00000000-0005-0000-0000-00008DA60000}"/>
    <cellStyle name="Normal 58 5 2 2 9 2" xfId="41554" xr:uid="{00000000-0005-0000-0000-00008EA60000}"/>
    <cellStyle name="Normal 58 5 2 2_Degree data" xfId="4016" xr:uid="{00000000-0005-0000-0000-00008FA60000}"/>
    <cellStyle name="Normal 58 5 2 3" xfId="435" xr:uid="{00000000-0005-0000-0000-000090A60000}"/>
    <cellStyle name="Normal 58 5 2 3 2" xfId="2921" xr:uid="{00000000-0005-0000-0000-000091A60000}"/>
    <cellStyle name="Normal 58 5 2 3 2 2" xfId="12209" xr:uid="{00000000-0005-0000-0000-000092A60000}"/>
    <cellStyle name="Normal 58 5 2 3 2 2 2" xfId="22282" xr:uid="{00000000-0005-0000-0000-000093A60000}"/>
    <cellStyle name="Normal 58 5 2 3 2 2 2 2" xfId="47835" xr:uid="{00000000-0005-0000-0000-000094A60000}"/>
    <cellStyle name="Normal 58 5 2 3 2 2 3" xfId="37764" xr:uid="{00000000-0005-0000-0000-000095A60000}"/>
    <cellStyle name="Normal 58 5 2 3 2 3" xfId="8446" xr:uid="{00000000-0005-0000-0000-000096A60000}"/>
    <cellStyle name="Normal 58 5 2 3 2 3 2" xfId="34003" xr:uid="{00000000-0005-0000-0000-000097A60000}"/>
    <cellStyle name="Normal 58 5 2 3 2 4" xfId="17275" xr:uid="{00000000-0005-0000-0000-000098A60000}"/>
    <cellStyle name="Normal 58 5 2 3 2 4 2" xfId="42828" xr:uid="{00000000-0005-0000-0000-000099A60000}"/>
    <cellStyle name="Normal 58 5 2 3 2 5" xfId="28765" xr:uid="{00000000-0005-0000-0000-00009AA60000}"/>
    <cellStyle name="Normal 58 5 2 3 3" xfId="4723" xr:uid="{00000000-0005-0000-0000-00009BA60000}"/>
    <cellStyle name="Normal 58 5 2 3 3 2" xfId="13561" xr:uid="{00000000-0005-0000-0000-00009CA60000}"/>
    <cellStyle name="Normal 58 5 2 3 3 2 2" xfId="23812" xr:uid="{00000000-0005-0000-0000-00009DA60000}"/>
    <cellStyle name="Normal 58 5 2 3 3 2 2 2" xfId="49365" xr:uid="{00000000-0005-0000-0000-00009EA60000}"/>
    <cellStyle name="Normal 58 5 2 3 3 2 3" xfId="39116" xr:uid="{00000000-0005-0000-0000-00009FA60000}"/>
    <cellStyle name="Normal 58 5 2 3 3 3" xfId="9982" xr:uid="{00000000-0005-0000-0000-0000A0A60000}"/>
    <cellStyle name="Normal 58 5 2 3 3 3 2" xfId="35539" xr:uid="{00000000-0005-0000-0000-0000A1A60000}"/>
    <cellStyle name="Normal 58 5 2 3 3 4" xfId="18805" xr:uid="{00000000-0005-0000-0000-0000A2A60000}"/>
    <cellStyle name="Normal 58 5 2 3 3 4 2" xfId="44358" xr:uid="{00000000-0005-0000-0000-0000A3A60000}"/>
    <cellStyle name="Normal 58 5 2 3 3 5" xfId="30295" xr:uid="{00000000-0005-0000-0000-0000A4A60000}"/>
    <cellStyle name="Normal 58 5 2 3 4" xfId="2030" xr:uid="{00000000-0005-0000-0000-0000A5A60000}"/>
    <cellStyle name="Normal 58 5 2 3 4 2" xfId="11395" xr:uid="{00000000-0005-0000-0000-0000A6A60000}"/>
    <cellStyle name="Normal 58 5 2 3 4 2 2" xfId="36950" xr:uid="{00000000-0005-0000-0000-0000A7A60000}"/>
    <cellStyle name="Normal 58 5 2 3 4 3" xfId="21399" xr:uid="{00000000-0005-0000-0000-0000A8A60000}"/>
    <cellStyle name="Normal 58 5 2 3 4 3 2" xfId="46952" xr:uid="{00000000-0005-0000-0000-0000A9A60000}"/>
    <cellStyle name="Normal 58 5 2 3 4 4" xfId="27882" xr:uid="{00000000-0005-0000-0000-0000AAA60000}"/>
    <cellStyle name="Normal 58 5 2 3 5" xfId="6179" xr:uid="{00000000-0005-0000-0000-0000ABA60000}"/>
    <cellStyle name="Normal 58 5 2 3 5 2" xfId="15006" xr:uid="{00000000-0005-0000-0000-0000ACA60000}"/>
    <cellStyle name="Normal 58 5 2 3 5 2 2" xfId="40561" xr:uid="{00000000-0005-0000-0000-0000ADA60000}"/>
    <cellStyle name="Normal 58 5 2 3 5 3" xfId="25257" xr:uid="{00000000-0005-0000-0000-0000AEA60000}"/>
    <cellStyle name="Normal 58 5 2 3 5 3 2" xfId="50810" xr:uid="{00000000-0005-0000-0000-0000AFA60000}"/>
    <cellStyle name="Normal 58 5 2 3 5 4" xfId="31740" xr:uid="{00000000-0005-0000-0000-0000B0A60000}"/>
    <cellStyle name="Normal 58 5 2 3 6" xfId="7624" xr:uid="{00000000-0005-0000-0000-0000B1A60000}"/>
    <cellStyle name="Normal 58 5 2 3 6 2" xfId="19881" xr:uid="{00000000-0005-0000-0000-0000B2A60000}"/>
    <cellStyle name="Normal 58 5 2 3 6 2 2" xfId="45434" xr:uid="{00000000-0005-0000-0000-0000B3A60000}"/>
    <cellStyle name="Normal 58 5 2 3 6 3" xfId="33181" xr:uid="{00000000-0005-0000-0000-0000B4A60000}"/>
    <cellStyle name="Normal 58 5 2 3 7" xfId="16392" xr:uid="{00000000-0005-0000-0000-0000B5A60000}"/>
    <cellStyle name="Normal 58 5 2 3 7 2" xfId="41945" xr:uid="{00000000-0005-0000-0000-0000B6A60000}"/>
    <cellStyle name="Normal 58 5 2 3 8" xfId="26364" xr:uid="{00000000-0005-0000-0000-0000B7A60000}"/>
    <cellStyle name="Normal 58 5 2 4" xfId="909" xr:uid="{00000000-0005-0000-0000-0000B8A60000}"/>
    <cellStyle name="Normal 58 5 2 4 2" xfId="3394" xr:uid="{00000000-0005-0000-0000-0000B9A60000}"/>
    <cellStyle name="Normal 58 5 2 4 2 2" xfId="12536" xr:uid="{00000000-0005-0000-0000-0000BAA60000}"/>
    <cellStyle name="Normal 58 5 2 4 2 2 2" xfId="22755" xr:uid="{00000000-0005-0000-0000-0000BBA60000}"/>
    <cellStyle name="Normal 58 5 2 4 2 2 2 2" xfId="48308" xr:uid="{00000000-0005-0000-0000-0000BCA60000}"/>
    <cellStyle name="Normal 58 5 2 4 2 2 3" xfId="38091" xr:uid="{00000000-0005-0000-0000-0000BDA60000}"/>
    <cellStyle name="Normal 58 5 2 4 2 3" xfId="8958" xr:uid="{00000000-0005-0000-0000-0000BEA60000}"/>
    <cellStyle name="Normal 58 5 2 4 2 3 2" xfId="34515" xr:uid="{00000000-0005-0000-0000-0000BFA60000}"/>
    <cellStyle name="Normal 58 5 2 4 2 4" xfId="17748" xr:uid="{00000000-0005-0000-0000-0000C0A60000}"/>
    <cellStyle name="Normal 58 5 2 4 2 4 2" xfId="43301" xr:uid="{00000000-0005-0000-0000-0000C1A60000}"/>
    <cellStyle name="Normal 58 5 2 4 2 5" xfId="29238" xr:uid="{00000000-0005-0000-0000-0000C2A60000}"/>
    <cellStyle name="Normal 58 5 2 4 3" xfId="5072" xr:uid="{00000000-0005-0000-0000-0000C3A60000}"/>
    <cellStyle name="Normal 58 5 2 4 3 2" xfId="13909" xr:uid="{00000000-0005-0000-0000-0000C4A60000}"/>
    <cellStyle name="Normal 58 5 2 4 3 2 2" xfId="24160" xr:uid="{00000000-0005-0000-0000-0000C5A60000}"/>
    <cellStyle name="Normal 58 5 2 4 3 2 2 2" xfId="49713" xr:uid="{00000000-0005-0000-0000-0000C6A60000}"/>
    <cellStyle name="Normal 58 5 2 4 3 2 3" xfId="39464" xr:uid="{00000000-0005-0000-0000-0000C7A60000}"/>
    <cellStyle name="Normal 58 5 2 4 3 3" xfId="10330" xr:uid="{00000000-0005-0000-0000-0000C8A60000}"/>
    <cellStyle name="Normal 58 5 2 4 3 3 2" xfId="35887" xr:uid="{00000000-0005-0000-0000-0000C9A60000}"/>
    <cellStyle name="Normal 58 5 2 4 3 4" xfId="19153" xr:uid="{00000000-0005-0000-0000-0000CAA60000}"/>
    <cellStyle name="Normal 58 5 2 4 3 4 2" xfId="44706" xr:uid="{00000000-0005-0000-0000-0000CBA60000}"/>
    <cellStyle name="Normal 58 5 2 4 3 5" xfId="30643" xr:uid="{00000000-0005-0000-0000-0000CCA60000}"/>
    <cellStyle name="Normal 58 5 2 4 4" xfId="2503" xr:uid="{00000000-0005-0000-0000-0000CDA60000}"/>
    <cellStyle name="Normal 58 5 2 4 4 2" xfId="11868" xr:uid="{00000000-0005-0000-0000-0000CEA60000}"/>
    <cellStyle name="Normal 58 5 2 4 4 2 2" xfId="37423" xr:uid="{00000000-0005-0000-0000-0000CFA60000}"/>
    <cellStyle name="Normal 58 5 2 4 4 3" xfId="21872" xr:uid="{00000000-0005-0000-0000-0000D0A60000}"/>
    <cellStyle name="Normal 58 5 2 4 4 3 2" xfId="47425" xr:uid="{00000000-0005-0000-0000-0000D1A60000}"/>
    <cellStyle name="Normal 58 5 2 4 4 4" xfId="28355" xr:uid="{00000000-0005-0000-0000-0000D2A60000}"/>
    <cellStyle name="Normal 58 5 2 4 5" xfId="6527" xr:uid="{00000000-0005-0000-0000-0000D3A60000}"/>
    <cellStyle name="Normal 58 5 2 4 5 2" xfId="15354" xr:uid="{00000000-0005-0000-0000-0000D4A60000}"/>
    <cellStyle name="Normal 58 5 2 4 5 2 2" xfId="40909" xr:uid="{00000000-0005-0000-0000-0000D5A60000}"/>
    <cellStyle name="Normal 58 5 2 4 5 3" xfId="25605" xr:uid="{00000000-0005-0000-0000-0000D6A60000}"/>
    <cellStyle name="Normal 58 5 2 4 5 3 2" xfId="51158" xr:uid="{00000000-0005-0000-0000-0000D7A60000}"/>
    <cellStyle name="Normal 58 5 2 4 5 4" xfId="32088" xr:uid="{00000000-0005-0000-0000-0000D8A60000}"/>
    <cellStyle name="Normal 58 5 2 4 6" xfId="7973" xr:uid="{00000000-0005-0000-0000-0000D9A60000}"/>
    <cellStyle name="Normal 58 5 2 4 6 2" xfId="20354" xr:uid="{00000000-0005-0000-0000-0000DAA60000}"/>
    <cellStyle name="Normal 58 5 2 4 6 2 2" xfId="45907" xr:uid="{00000000-0005-0000-0000-0000DBA60000}"/>
    <cellStyle name="Normal 58 5 2 4 6 3" xfId="33530" xr:uid="{00000000-0005-0000-0000-0000DCA60000}"/>
    <cellStyle name="Normal 58 5 2 4 7" xfId="16865" xr:uid="{00000000-0005-0000-0000-0000DDA60000}"/>
    <cellStyle name="Normal 58 5 2 4 7 2" xfId="42418" xr:uid="{00000000-0005-0000-0000-0000DEA60000}"/>
    <cellStyle name="Normal 58 5 2 4 8" xfId="26837" xr:uid="{00000000-0005-0000-0000-0000DFA60000}"/>
    <cellStyle name="Normal 58 5 2 5" xfId="1207" xr:uid="{00000000-0005-0000-0000-0000E0A60000}"/>
    <cellStyle name="Normal 58 5 2 5 2" xfId="3636" xr:uid="{00000000-0005-0000-0000-0000E1A60000}"/>
    <cellStyle name="Normal 58 5 2 5 2 2" xfId="12772" xr:uid="{00000000-0005-0000-0000-0000E2A60000}"/>
    <cellStyle name="Normal 58 5 2 5 2 2 2" xfId="22991" xr:uid="{00000000-0005-0000-0000-0000E3A60000}"/>
    <cellStyle name="Normal 58 5 2 5 2 2 2 2" xfId="48544" xr:uid="{00000000-0005-0000-0000-0000E4A60000}"/>
    <cellStyle name="Normal 58 5 2 5 2 2 3" xfId="38327" xr:uid="{00000000-0005-0000-0000-0000E5A60000}"/>
    <cellStyle name="Normal 58 5 2 5 2 3" xfId="9193" xr:uid="{00000000-0005-0000-0000-0000E6A60000}"/>
    <cellStyle name="Normal 58 5 2 5 2 3 2" xfId="34750" xr:uid="{00000000-0005-0000-0000-0000E7A60000}"/>
    <cellStyle name="Normal 58 5 2 5 2 4" xfId="17984" xr:uid="{00000000-0005-0000-0000-0000E8A60000}"/>
    <cellStyle name="Normal 58 5 2 5 2 4 2" xfId="43537" xr:uid="{00000000-0005-0000-0000-0000E9A60000}"/>
    <cellStyle name="Normal 58 5 2 5 2 5" xfId="29474" xr:uid="{00000000-0005-0000-0000-0000EAA60000}"/>
    <cellStyle name="Normal 58 5 2 5 3" xfId="5299" xr:uid="{00000000-0005-0000-0000-0000EBA60000}"/>
    <cellStyle name="Normal 58 5 2 5 3 2" xfId="14136" xr:uid="{00000000-0005-0000-0000-0000ECA60000}"/>
    <cellStyle name="Normal 58 5 2 5 3 2 2" xfId="24387" xr:uid="{00000000-0005-0000-0000-0000EDA60000}"/>
    <cellStyle name="Normal 58 5 2 5 3 2 2 2" xfId="49940" xr:uid="{00000000-0005-0000-0000-0000EEA60000}"/>
    <cellStyle name="Normal 58 5 2 5 3 2 3" xfId="39691" xr:uid="{00000000-0005-0000-0000-0000EFA60000}"/>
    <cellStyle name="Normal 58 5 2 5 3 3" xfId="10557" xr:uid="{00000000-0005-0000-0000-0000F0A60000}"/>
    <cellStyle name="Normal 58 5 2 5 3 3 2" xfId="36114" xr:uid="{00000000-0005-0000-0000-0000F1A60000}"/>
    <cellStyle name="Normal 58 5 2 5 3 4" xfId="19380" xr:uid="{00000000-0005-0000-0000-0000F2A60000}"/>
    <cellStyle name="Normal 58 5 2 5 3 4 2" xfId="44933" xr:uid="{00000000-0005-0000-0000-0000F3A60000}"/>
    <cellStyle name="Normal 58 5 2 5 3 5" xfId="30870" xr:uid="{00000000-0005-0000-0000-0000F4A60000}"/>
    <cellStyle name="Normal 58 5 2 5 4" xfId="1810" xr:uid="{00000000-0005-0000-0000-0000F5A60000}"/>
    <cellStyle name="Normal 58 5 2 5 4 2" xfId="11178" xr:uid="{00000000-0005-0000-0000-0000F6A60000}"/>
    <cellStyle name="Normal 58 5 2 5 4 2 2" xfId="36733" xr:uid="{00000000-0005-0000-0000-0000F7A60000}"/>
    <cellStyle name="Normal 58 5 2 5 4 3" xfId="21182" xr:uid="{00000000-0005-0000-0000-0000F8A60000}"/>
    <cellStyle name="Normal 58 5 2 5 4 3 2" xfId="46735" xr:uid="{00000000-0005-0000-0000-0000F9A60000}"/>
    <cellStyle name="Normal 58 5 2 5 4 4" xfId="27665" xr:uid="{00000000-0005-0000-0000-0000FAA60000}"/>
    <cellStyle name="Normal 58 5 2 5 5" xfId="6754" xr:uid="{00000000-0005-0000-0000-0000FBA60000}"/>
    <cellStyle name="Normal 58 5 2 5 5 2" xfId="15581" xr:uid="{00000000-0005-0000-0000-0000FCA60000}"/>
    <cellStyle name="Normal 58 5 2 5 5 2 2" xfId="41136" xr:uid="{00000000-0005-0000-0000-0000FDA60000}"/>
    <cellStyle name="Normal 58 5 2 5 5 3" xfId="25832" xr:uid="{00000000-0005-0000-0000-0000FEA60000}"/>
    <cellStyle name="Normal 58 5 2 5 5 3 2" xfId="51385" xr:uid="{00000000-0005-0000-0000-0000FFA60000}"/>
    <cellStyle name="Normal 58 5 2 5 5 4" xfId="32315" xr:uid="{00000000-0005-0000-0000-000000A70000}"/>
    <cellStyle name="Normal 58 5 2 5 6" xfId="8200" xr:uid="{00000000-0005-0000-0000-000001A70000}"/>
    <cellStyle name="Normal 58 5 2 5 6 2" xfId="20590" xr:uid="{00000000-0005-0000-0000-000002A70000}"/>
    <cellStyle name="Normal 58 5 2 5 6 2 2" xfId="46143" xr:uid="{00000000-0005-0000-0000-000003A70000}"/>
    <cellStyle name="Normal 58 5 2 5 6 3" xfId="33757" xr:uid="{00000000-0005-0000-0000-000004A70000}"/>
    <cellStyle name="Normal 58 5 2 5 7" xfId="16175" xr:uid="{00000000-0005-0000-0000-000005A70000}"/>
    <cellStyle name="Normal 58 5 2 5 7 2" xfId="41728" xr:uid="{00000000-0005-0000-0000-000006A70000}"/>
    <cellStyle name="Normal 58 5 2 5 8" xfId="27073" xr:uid="{00000000-0005-0000-0000-000007A70000}"/>
    <cellStyle name="Normal 58 5 2 6" xfId="2704" xr:uid="{00000000-0005-0000-0000-000008A70000}"/>
    <cellStyle name="Normal 58 5 2 6 2" xfId="12021" xr:uid="{00000000-0005-0000-0000-000009A70000}"/>
    <cellStyle name="Normal 58 5 2 6 2 2" xfId="22065" xr:uid="{00000000-0005-0000-0000-00000AA70000}"/>
    <cellStyle name="Normal 58 5 2 6 2 2 2" xfId="47618" xr:uid="{00000000-0005-0000-0000-00000BA70000}"/>
    <cellStyle name="Normal 58 5 2 6 2 3" xfId="37576" xr:uid="{00000000-0005-0000-0000-00000CA70000}"/>
    <cellStyle name="Normal 58 5 2 6 3" xfId="6949" xr:uid="{00000000-0005-0000-0000-00000DA70000}"/>
    <cellStyle name="Normal 58 5 2 6 3 2" xfId="32507" xr:uid="{00000000-0005-0000-0000-00000EA70000}"/>
    <cellStyle name="Normal 58 5 2 6 4" xfId="17058" xr:uid="{00000000-0005-0000-0000-00000FA70000}"/>
    <cellStyle name="Normal 58 5 2 6 4 2" xfId="42611" xr:uid="{00000000-0005-0000-0000-000010A70000}"/>
    <cellStyle name="Normal 58 5 2 6 5" xfId="28548" xr:uid="{00000000-0005-0000-0000-000011A70000}"/>
    <cellStyle name="Normal 58 5 2 7" xfId="4255" xr:uid="{00000000-0005-0000-0000-000012A70000}"/>
    <cellStyle name="Normal 58 5 2 7 2" xfId="13093" xr:uid="{00000000-0005-0000-0000-000013A70000}"/>
    <cellStyle name="Normal 58 5 2 7 2 2" xfId="23344" xr:uid="{00000000-0005-0000-0000-000014A70000}"/>
    <cellStyle name="Normal 58 5 2 7 2 2 2" xfId="48897" xr:uid="{00000000-0005-0000-0000-000015A70000}"/>
    <cellStyle name="Normal 58 5 2 7 2 3" xfId="38648" xr:uid="{00000000-0005-0000-0000-000016A70000}"/>
    <cellStyle name="Normal 58 5 2 7 3" xfId="9514" xr:uid="{00000000-0005-0000-0000-000017A70000}"/>
    <cellStyle name="Normal 58 5 2 7 3 2" xfId="35071" xr:uid="{00000000-0005-0000-0000-000018A70000}"/>
    <cellStyle name="Normal 58 5 2 7 4" xfId="18337" xr:uid="{00000000-0005-0000-0000-000019A70000}"/>
    <cellStyle name="Normal 58 5 2 7 4 2" xfId="43890" xr:uid="{00000000-0005-0000-0000-00001AA70000}"/>
    <cellStyle name="Normal 58 5 2 7 5" xfId="29827" xr:uid="{00000000-0005-0000-0000-00001BA70000}"/>
    <cellStyle name="Normal 58 5 2 8" xfId="1527" xr:uid="{00000000-0005-0000-0000-00001CA70000}"/>
    <cellStyle name="Normal 58 5 2 8 2" xfId="10904" xr:uid="{00000000-0005-0000-0000-00001DA70000}"/>
    <cellStyle name="Normal 58 5 2 8 2 2" xfId="36459" xr:uid="{00000000-0005-0000-0000-00001EA70000}"/>
    <cellStyle name="Normal 58 5 2 8 3" xfId="20908" xr:uid="{00000000-0005-0000-0000-00001FA70000}"/>
    <cellStyle name="Normal 58 5 2 8 3 2" xfId="46461" xr:uid="{00000000-0005-0000-0000-000020A70000}"/>
    <cellStyle name="Normal 58 5 2 8 4" xfId="27391" xr:uid="{00000000-0005-0000-0000-000021A70000}"/>
    <cellStyle name="Normal 58 5 2 9" xfId="5711" xr:uid="{00000000-0005-0000-0000-000022A70000}"/>
    <cellStyle name="Normal 58 5 2 9 2" xfId="14538" xr:uid="{00000000-0005-0000-0000-000023A70000}"/>
    <cellStyle name="Normal 58 5 2 9 2 2" xfId="40093" xr:uid="{00000000-0005-0000-0000-000024A70000}"/>
    <cellStyle name="Normal 58 5 2 9 3" xfId="24789" xr:uid="{00000000-0005-0000-0000-000025A70000}"/>
    <cellStyle name="Normal 58 5 2 9 3 2" xfId="50342" xr:uid="{00000000-0005-0000-0000-000026A70000}"/>
    <cellStyle name="Normal 58 5 2 9 4" xfId="31272" xr:uid="{00000000-0005-0000-0000-000027A70000}"/>
    <cellStyle name="Normal 58 5 2_Degree data" xfId="4015" xr:uid="{00000000-0005-0000-0000-000028A70000}"/>
    <cellStyle name="Normal 58 5 3" xfId="274" xr:uid="{00000000-0005-0000-0000-000029A70000}"/>
    <cellStyle name="Normal 58 5 3 10" xfId="7112" xr:uid="{00000000-0005-0000-0000-00002AA70000}"/>
    <cellStyle name="Normal 58 5 3 10 2" xfId="19725" xr:uid="{00000000-0005-0000-0000-00002BA70000}"/>
    <cellStyle name="Normal 58 5 3 10 2 2" xfId="45278" xr:uid="{00000000-0005-0000-0000-00002CA70000}"/>
    <cellStyle name="Normal 58 5 3 10 3" xfId="32669" xr:uid="{00000000-0005-0000-0000-00002DA70000}"/>
    <cellStyle name="Normal 58 5 3 11" xfId="15858" xr:uid="{00000000-0005-0000-0000-00002EA70000}"/>
    <cellStyle name="Normal 58 5 3 11 2" xfId="41411" xr:uid="{00000000-0005-0000-0000-00002FA70000}"/>
    <cellStyle name="Normal 58 5 3 12" xfId="26208" xr:uid="{00000000-0005-0000-0000-000030A70000}"/>
    <cellStyle name="Normal 58 5 3 2" xfId="596" xr:uid="{00000000-0005-0000-0000-000031A70000}"/>
    <cellStyle name="Normal 58 5 3 2 10" xfId="26525" xr:uid="{00000000-0005-0000-0000-000032A70000}"/>
    <cellStyle name="Normal 58 5 3 2 2" xfId="912" xr:uid="{00000000-0005-0000-0000-000033A70000}"/>
    <cellStyle name="Normal 58 5 3 2 2 2" xfId="3397" xr:uid="{00000000-0005-0000-0000-000034A70000}"/>
    <cellStyle name="Normal 58 5 3 2 2 2 2" xfId="12539" xr:uid="{00000000-0005-0000-0000-000035A70000}"/>
    <cellStyle name="Normal 58 5 3 2 2 2 2 2" xfId="22758" xr:uid="{00000000-0005-0000-0000-000036A70000}"/>
    <cellStyle name="Normal 58 5 3 2 2 2 2 2 2" xfId="48311" xr:uid="{00000000-0005-0000-0000-000037A70000}"/>
    <cellStyle name="Normal 58 5 3 2 2 2 2 3" xfId="38094" xr:uid="{00000000-0005-0000-0000-000038A70000}"/>
    <cellStyle name="Normal 58 5 3 2 2 2 3" xfId="8961" xr:uid="{00000000-0005-0000-0000-000039A70000}"/>
    <cellStyle name="Normal 58 5 3 2 2 2 3 2" xfId="34518" xr:uid="{00000000-0005-0000-0000-00003AA70000}"/>
    <cellStyle name="Normal 58 5 3 2 2 2 4" xfId="17751" xr:uid="{00000000-0005-0000-0000-00003BA70000}"/>
    <cellStyle name="Normal 58 5 3 2 2 2 4 2" xfId="43304" xr:uid="{00000000-0005-0000-0000-00003CA70000}"/>
    <cellStyle name="Normal 58 5 3 2 2 2 5" xfId="29241" xr:uid="{00000000-0005-0000-0000-00003DA70000}"/>
    <cellStyle name="Normal 58 5 3 2 2 3" xfId="4726" xr:uid="{00000000-0005-0000-0000-00003EA70000}"/>
    <cellStyle name="Normal 58 5 3 2 2 3 2" xfId="13564" xr:uid="{00000000-0005-0000-0000-00003FA70000}"/>
    <cellStyle name="Normal 58 5 3 2 2 3 2 2" xfId="23815" xr:uid="{00000000-0005-0000-0000-000040A70000}"/>
    <cellStyle name="Normal 58 5 3 2 2 3 2 2 2" xfId="49368" xr:uid="{00000000-0005-0000-0000-000041A70000}"/>
    <cellStyle name="Normal 58 5 3 2 2 3 2 3" xfId="39119" xr:uid="{00000000-0005-0000-0000-000042A70000}"/>
    <cellStyle name="Normal 58 5 3 2 2 3 3" xfId="9985" xr:uid="{00000000-0005-0000-0000-000043A70000}"/>
    <cellStyle name="Normal 58 5 3 2 2 3 3 2" xfId="35542" xr:uid="{00000000-0005-0000-0000-000044A70000}"/>
    <cellStyle name="Normal 58 5 3 2 2 3 4" xfId="18808" xr:uid="{00000000-0005-0000-0000-000045A70000}"/>
    <cellStyle name="Normal 58 5 3 2 2 3 4 2" xfId="44361" xr:uid="{00000000-0005-0000-0000-000046A70000}"/>
    <cellStyle name="Normal 58 5 3 2 2 3 5" xfId="30298" xr:uid="{00000000-0005-0000-0000-000047A70000}"/>
    <cellStyle name="Normal 58 5 3 2 2 4" xfId="2506" xr:uid="{00000000-0005-0000-0000-000048A70000}"/>
    <cellStyle name="Normal 58 5 3 2 2 4 2" xfId="11871" xr:uid="{00000000-0005-0000-0000-000049A70000}"/>
    <cellStyle name="Normal 58 5 3 2 2 4 2 2" xfId="37426" xr:uid="{00000000-0005-0000-0000-00004AA70000}"/>
    <cellStyle name="Normal 58 5 3 2 2 4 3" xfId="21875" xr:uid="{00000000-0005-0000-0000-00004BA70000}"/>
    <cellStyle name="Normal 58 5 3 2 2 4 3 2" xfId="47428" xr:uid="{00000000-0005-0000-0000-00004CA70000}"/>
    <cellStyle name="Normal 58 5 3 2 2 4 4" xfId="28358" xr:uid="{00000000-0005-0000-0000-00004DA70000}"/>
    <cellStyle name="Normal 58 5 3 2 2 5" xfId="6182" xr:uid="{00000000-0005-0000-0000-00004EA70000}"/>
    <cellStyle name="Normal 58 5 3 2 2 5 2" xfId="15009" xr:uid="{00000000-0005-0000-0000-00004FA70000}"/>
    <cellStyle name="Normal 58 5 3 2 2 5 2 2" xfId="40564" xr:uid="{00000000-0005-0000-0000-000050A70000}"/>
    <cellStyle name="Normal 58 5 3 2 2 5 3" xfId="25260" xr:uid="{00000000-0005-0000-0000-000051A70000}"/>
    <cellStyle name="Normal 58 5 3 2 2 5 3 2" xfId="50813" xr:uid="{00000000-0005-0000-0000-000052A70000}"/>
    <cellStyle name="Normal 58 5 3 2 2 5 4" xfId="31743" xr:uid="{00000000-0005-0000-0000-000053A70000}"/>
    <cellStyle name="Normal 58 5 3 2 2 6" xfId="7627" xr:uid="{00000000-0005-0000-0000-000054A70000}"/>
    <cellStyle name="Normal 58 5 3 2 2 6 2" xfId="20357" xr:uid="{00000000-0005-0000-0000-000055A70000}"/>
    <cellStyle name="Normal 58 5 3 2 2 6 2 2" xfId="45910" xr:uid="{00000000-0005-0000-0000-000056A70000}"/>
    <cellStyle name="Normal 58 5 3 2 2 6 3" xfId="33184" xr:uid="{00000000-0005-0000-0000-000057A70000}"/>
    <cellStyle name="Normal 58 5 3 2 2 7" xfId="16868" xr:uid="{00000000-0005-0000-0000-000058A70000}"/>
    <cellStyle name="Normal 58 5 3 2 2 7 2" xfId="42421" xr:uid="{00000000-0005-0000-0000-000059A70000}"/>
    <cellStyle name="Normal 58 5 3 2 2 8" xfId="26840" xr:uid="{00000000-0005-0000-0000-00005AA70000}"/>
    <cellStyle name="Normal 58 5 3 2 3" xfId="1368" xr:uid="{00000000-0005-0000-0000-00005BA70000}"/>
    <cellStyle name="Normal 58 5 3 2 3 2" xfId="3797" xr:uid="{00000000-0005-0000-0000-00005CA70000}"/>
    <cellStyle name="Normal 58 5 3 2 3 2 2" xfId="12933" xr:uid="{00000000-0005-0000-0000-00005DA70000}"/>
    <cellStyle name="Normal 58 5 3 2 3 2 2 2" xfId="23152" xr:uid="{00000000-0005-0000-0000-00005EA70000}"/>
    <cellStyle name="Normal 58 5 3 2 3 2 2 2 2" xfId="48705" xr:uid="{00000000-0005-0000-0000-00005FA70000}"/>
    <cellStyle name="Normal 58 5 3 2 3 2 2 3" xfId="38488" xr:uid="{00000000-0005-0000-0000-000060A70000}"/>
    <cellStyle name="Normal 58 5 3 2 3 2 3" xfId="9354" xr:uid="{00000000-0005-0000-0000-000061A70000}"/>
    <cellStyle name="Normal 58 5 3 2 3 2 3 2" xfId="34911" xr:uid="{00000000-0005-0000-0000-000062A70000}"/>
    <cellStyle name="Normal 58 5 3 2 3 2 4" xfId="18145" xr:uid="{00000000-0005-0000-0000-000063A70000}"/>
    <cellStyle name="Normal 58 5 3 2 3 2 4 2" xfId="43698" xr:uid="{00000000-0005-0000-0000-000064A70000}"/>
    <cellStyle name="Normal 58 5 3 2 3 2 5" xfId="29635" xr:uid="{00000000-0005-0000-0000-000065A70000}"/>
    <cellStyle name="Normal 58 5 3 2 3 3" xfId="5075" xr:uid="{00000000-0005-0000-0000-000066A70000}"/>
    <cellStyle name="Normal 58 5 3 2 3 3 2" xfId="13912" xr:uid="{00000000-0005-0000-0000-000067A70000}"/>
    <cellStyle name="Normal 58 5 3 2 3 3 2 2" xfId="24163" xr:uid="{00000000-0005-0000-0000-000068A70000}"/>
    <cellStyle name="Normal 58 5 3 2 3 3 2 2 2" xfId="49716" xr:uid="{00000000-0005-0000-0000-000069A70000}"/>
    <cellStyle name="Normal 58 5 3 2 3 3 2 3" xfId="39467" xr:uid="{00000000-0005-0000-0000-00006AA70000}"/>
    <cellStyle name="Normal 58 5 3 2 3 3 3" xfId="10333" xr:uid="{00000000-0005-0000-0000-00006BA70000}"/>
    <cellStyle name="Normal 58 5 3 2 3 3 3 2" xfId="35890" xr:uid="{00000000-0005-0000-0000-00006CA70000}"/>
    <cellStyle name="Normal 58 5 3 2 3 3 4" xfId="19156" xr:uid="{00000000-0005-0000-0000-00006DA70000}"/>
    <cellStyle name="Normal 58 5 3 2 3 3 4 2" xfId="44709" xr:uid="{00000000-0005-0000-0000-00006EA70000}"/>
    <cellStyle name="Normal 58 5 3 2 3 3 5" xfId="30646" xr:uid="{00000000-0005-0000-0000-00006FA70000}"/>
    <cellStyle name="Normal 58 5 3 2 3 4" xfId="2191" xr:uid="{00000000-0005-0000-0000-000070A70000}"/>
    <cellStyle name="Normal 58 5 3 2 3 4 2" xfId="11556" xr:uid="{00000000-0005-0000-0000-000071A70000}"/>
    <cellStyle name="Normal 58 5 3 2 3 4 2 2" xfId="37111" xr:uid="{00000000-0005-0000-0000-000072A70000}"/>
    <cellStyle name="Normal 58 5 3 2 3 4 3" xfId="21560" xr:uid="{00000000-0005-0000-0000-000073A70000}"/>
    <cellStyle name="Normal 58 5 3 2 3 4 3 2" xfId="47113" xr:uid="{00000000-0005-0000-0000-000074A70000}"/>
    <cellStyle name="Normal 58 5 3 2 3 4 4" xfId="28043" xr:uid="{00000000-0005-0000-0000-000075A70000}"/>
    <cellStyle name="Normal 58 5 3 2 3 5" xfId="6530" xr:uid="{00000000-0005-0000-0000-000076A70000}"/>
    <cellStyle name="Normal 58 5 3 2 3 5 2" xfId="15357" xr:uid="{00000000-0005-0000-0000-000077A70000}"/>
    <cellStyle name="Normal 58 5 3 2 3 5 2 2" xfId="40912" xr:uid="{00000000-0005-0000-0000-000078A70000}"/>
    <cellStyle name="Normal 58 5 3 2 3 5 3" xfId="25608" xr:uid="{00000000-0005-0000-0000-000079A70000}"/>
    <cellStyle name="Normal 58 5 3 2 3 5 3 2" xfId="51161" xr:uid="{00000000-0005-0000-0000-00007AA70000}"/>
    <cellStyle name="Normal 58 5 3 2 3 5 4" xfId="32091" xr:uid="{00000000-0005-0000-0000-00007BA70000}"/>
    <cellStyle name="Normal 58 5 3 2 3 6" xfId="7976" xr:uid="{00000000-0005-0000-0000-00007CA70000}"/>
    <cellStyle name="Normal 58 5 3 2 3 6 2" xfId="20751" xr:uid="{00000000-0005-0000-0000-00007DA70000}"/>
    <cellStyle name="Normal 58 5 3 2 3 6 2 2" xfId="46304" xr:uid="{00000000-0005-0000-0000-00007EA70000}"/>
    <cellStyle name="Normal 58 5 3 2 3 6 3" xfId="33533" xr:uid="{00000000-0005-0000-0000-00007FA70000}"/>
    <cellStyle name="Normal 58 5 3 2 3 7" xfId="16553" xr:uid="{00000000-0005-0000-0000-000080A70000}"/>
    <cellStyle name="Normal 58 5 3 2 3 7 2" xfId="42106" xr:uid="{00000000-0005-0000-0000-000081A70000}"/>
    <cellStyle name="Normal 58 5 3 2 3 8" xfId="27234" xr:uid="{00000000-0005-0000-0000-000082A70000}"/>
    <cellStyle name="Normal 58 5 3 2 4" xfId="3082" xr:uid="{00000000-0005-0000-0000-000083A70000}"/>
    <cellStyle name="Normal 58 5 3 2 4 2" xfId="5460" xr:uid="{00000000-0005-0000-0000-000084A70000}"/>
    <cellStyle name="Normal 58 5 3 2 4 2 2" xfId="14297" xr:uid="{00000000-0005-0000-0000-000085A70000}"/>
    <cellStyle name="Normal 58 5 3 2 4 2 2 2" xfId="24548" xr:uid="{00000000-0005-0000-0000-000086A70000}"/>
    <cellStyle name="Normal 58 5 3 2 4 2 2 2 2" xfId="50101" xr:uid="{00000000-0005-0000-0000-000087A70000}"/>
    <cellStyle name="Normal 58 5 3 2 4 2 2 3" xfId="39852" xr:uid="{00000000-0005-0000-0000-000088A70000}"/>
    <cellStyle name="Normal 58 5 3 2 4 2 3" xfId="10718" xr:uid="{00000000-0005-0000-0000-000089A70000}"/>
    <cellStyle name="Normal 58 5 3 2 4 2 3 2" xfId="36275" xr:uid="{00000000-0005-0000-0000-00008AA70000}"/>
    <cellStyle name="Normal 58 5 3 2 4 2 4" xfId="19541" xr:uid="{00000000-0005-0000-0000-00008BA70000}"/>
    <cellStyle name="Normal 58 5 3 2 4 2 4 2" xfId="45094" xr:uid="{00000000-0005-0000-0000-00008CA70000}"/>
    <cellStyle name="Normal 58 5 3 2 4 2 5" xfId="31031" xr:uid="{00000000-0005-0000-0000-00008DA70000}"/>
    <cellStyle name="Normal 58 5 3 2 4 3" xfId="6915" xr:uid="{00000000-0005-0000-0000-00008EA70000}"/>
    <cellStyle name="Normal 58 5 3 2 4 3 2" xfId="15742" xr:uid="{00000000-0005-0000-0000-00008FA70000}"/>
    <cellStyle name="Normal 58 5 3 2 4 3 2 2" xfId="41297" xr:uid="{00000000-0005-0000-0000-000090A70000}"/>
    <cellStyle name="Normal 58 5 3 2 4 3 3" xfId="25993" xr:uid="{00000000-0005-0000-0000-000091A70000}"/>
    <cellStyle name="Normal 58 5 3 2 4 3 3 2" xfId="51546" xr:uid="{00000000-0005-0000-0000-000092A70000}"/>
    <cellStyle name="Normal 58 5 3 2 4 3 4" xfId="32476" xr:uid="{00000000-0005-0000-0000-000093A70000}"/>
    <cellStyle name="Normal 58 5 3 2 4 4" xfId="8361" xr:uid="{00000000-0005-0000-0000-000094A70000}"/>
    <cellStyle name="Normal 58 5 3 2 4 4 2" xfId="22443" xr:uid="{00000000-0005-0000-0000-000095A70000}"/>
    <cellStyle name="Normal 58 5 3 2 4 4 2 2" xfId="47996" xr:uid="{00000000-0005-0000-0000-000096A70000}"/>
    <cellStyle name="Normal 58 5 3 2 4 4 3" xfId="33918" xr:uid="{00000000-0005-0000-0000-000097A70000}"/>
    <cellStyle name="Normal 58 5 3 2 4 5" xfId="17436" xr:uid="{00000000-0005-0000-0000-000098A70000}"/>
    <cellStyle name="Normal 58 5 3 2 4 5 2" xfId="42989" xr:uid="{00000000-0005-0000-0000-000099A70000}"/>
    <cellStyle name="Normal 58 5 3 2 4 6" xfId="28926" xr:uid="{00000000-0005-0000-0000-00009AA70000}"/>
    <cellStyle name="Normal 58 5 3 2 5" xfId="4416" xr:uid="{00000000-0005-0000-0000-00009BA70000}"/>
    <cellStyle name="Normal 58 5 3 2 5 2" xfId="13254" xr:uid="{00000000-0005-0000-0000-00009CA70000}"/>
    <cellStyle name="Normal 58 5 3 2 5 2 2" xfId="23505" xr:uid="{00000000-0005-0000-0000-00009DA70000}"/>
    <cellStyle name="Normal 58 5 3 2 5 2 2 2" xfId="49058" xr:uid="{00000000-0005-0000-0000-00009EA70000}"/>
    <cellStyle name="Normal 58 5 3 2 5 2 3" xfId="38809" xr:uid="{00000000-0005-0000-0000-00009FA70000}"/>
    <cellStyle name="Normal 58 5 3 2 5 3" xfId="9675" xr:uid="{00000000-0005-0000-0000-0000A0A70000}"/>
    <cellStyle name="Normal 58 5 3 2 5 3 2" xfId="35232" xr:uid="{00000000-0005-0000-0000-0000A1A70000}"/>
    <cellStyle name="Normal 58 5 3 2 5 4" xfId="18498" xr:uid="{00000000-0005-0000-0000-0000A2A70000}"/>
    <cellStyle name="Normal 58 5 3 2 5 4 2" xfId="44051" xr:uid="{00000000-0005-0000-0000-0000A3A70000}"/>
    <cellStyle name="Normal 58 5 3 2 5 5" xfId="29988" xr:uid="{00000000-0005-0000-0000-0000A4A70000}"/>
    <cellStyle name="Normal 58 5 3 2 6" xfId="1688" xr:uid="{00000000-0005-0000-0000-0000A5A70000}"/>
    <cellStyle name="Normal 58 5 3 2 6 2" xfId="11065" xr:uid="{00000000-0005-0000-0000-0000A6A70000}"/>
    <cellStyle name="Normal 58 5 3 2 6 2 2" xfId="36620" xr:uid="{00000000-0005-0000-0000-0000A7A70000}"/>
    <cellStyle name="Normal 58 5 3 2 6 3" xfId="21069" xr:uid="{00000000-0005-0000-0000-0000A8A70000}"/>
    <cellStyle name="Normal 58 5 3 2 6 3 2" xfId="46622" xr:uid="{00000000-0005-0000-0000-0000A9A70000}"/>
    <cellStyle name="Normal 58 5 3 2 6 4" xfId="27552" xr:uid="{00000000-0005-0000-0000-0000AAA70000}"/>
    <cellStyle name="Normal 58 5 3 2 7" xfId="5872" xr:uid="{00000000-0005-0000-0000-0000ABA70000}"/>
    <cellStyle name="Normal 58 5 3 2 7 2" xfId="14699" xr:uid="{00000000-0005-0000-0000-0000ACA70000}"/>
    <cellStyle name="Normal 58 5 3 2 7 2 2" xfId="40254" xr:uid="{00000000-0005-0000-0000-0000ADA70000}"/>
    <cellStyle name="Normal 58 5 3 2 7 3" xfId="24950" xr:uid="{00000000-0005-0000-0000-0000AEA70000}"/>
    <cellStyle name="Normal 58 5 3 2 7 3 2" xfId="50503" xr:uid="{00000000-0005-0000-0000-0000AFA70000}"/>
    <cellStyle name="Normal 58 5 3 2 7 4" xfId="31433" xr:uid="{00000000-0005-0000-0000-0000B0A70000}"/>
    <cellStyle name="Normal 58 5 3 2 8" xfId="7316" xr:uid="{00000000-0005-0000-0000-0000B1A70000}"/>
    <cellStyle name="Normal 58 5 3 2 8 2" xfId="20042" xr:uid="{00000000-0005-0000-0000-0000B2A70000}"/>
    <cellStyle name="Normal 58 5 3 2 8 2 2" xfId="45595" xr:uid="{00000000-0005-0000-0000-0000B3A70000}"/>
    <cellStyle name="Normal 58 5 3 2 8 3" xfId="32873" xr:uid="{00000000-0005-0000-0000-0000B4A70000}"/>
    <cellStyle name="Normal 58 5 3 2 9" xfId="16062" xr:uid="{00000000-0005-0000-0000-0000B5A70000}"/>
    <cellStyle name="Normal 58 5 3 2 9 2" xfId="41615" xr:uid="{00000000-0005-0000-0000-0000B6A70000}"/>
    <cellStyle name="Normal 58 5 3 2_Degree data" xfId="4018" xr:uid="{00000000-0005-0000-0000-0000B7A70000}"/>
    <cellStyle name="Normal 58 5 3 3" xfId="392" xr:uid="{00000000-0005-0000-0000-0000B8A70000}"/>
    <cellStyle name="Normal 58 5 3 3 2" xfId="2878" xr:uid="{00000000-0005-0000-0000-0000B9A70000}"/>
    <cellStyle name="Normal 58 5 3 3 2 2" xfId="12166" xr:uid="{00000000-0005-0000-0000-0000BAA70000}"/>
    <cellStyle name="Normal 58 5 3 3 2 2 2" xfId="22239" xr:uid="{00000000-0005-0000-0000-0000BBA70000}"/>
    <cellStyle name="Normal 58 5 3 3 2 2 2 2" xfId="47792" xr:uid="{00000000-0005-0000-0000-0000BCA70000}"/>
    <cellStyle name="Normal 58 5 3 3 2 2 3" xfId="37721" xr:uid="{00000000-0005-0000-0000-0000BDA70000}"/>
    <cellStyle name="Normal 58 5 3 3 2 3" xfId="8457" xr:uid="{00000000-0005-0000-0000-0000BEA70000}"/>
    <cellStyle name="Normal 58 5 3 3 2 3 2" xfId="34014" xr:uid="{00000000-0005-0000-0000-0000BFA70000}"/>
    <cellStyle name="Normal 58 5 3 3 2 4" xfId="17232" xr:uid="{00000000-0005-0000-0000-0000C0A70000}"/>
    <cellStyle name="Normal 58 5 3 3 2 4 2" xfId="42785" xr:uid="{00000000-0005-0000-0000-0000C1A70000}"/>
    <cellStyle name="Normal 58 5 3 3 2 5" xfId="28722" xr:uid="{00000000-0005-0000-0000-0000C2A70000}"/>
    <cellStyle name="Normal 58 5 3 3 3" xfId="4725" xr:uid="{00000000-0005-0000-0000-0000C3A70000}"/>
    <cellStyle name="Normal 58 5 3 3 3 2" xfId="13563" xr:uid="{00000000-0005-0000-0000-0000C4A70000}"/>
    <cellStyle name="Normal 58 5 3 3 3 2 2" xfId="23814" xr:uid="{00000000-0005-0000-0000-0000C5A70000}"/>
    <cellStyle name="Normal 58 5 3 3 3 2 2 2" xfId="49367" xr:uid="{00000000-0005-0000-0000-0000C6A70000}"/>
    <cellStyle name="Normal 58 5 3 3 3 2 3" xfId="39118" xr:uid="{00000000-0005-0000-0000-0000C7A70000}"/>
    <cellStyle name="Normal 58 5 3 3 3 3" xfId="9984" xr:uid="{00000000-0005-0000-0000-0000C8A70000}"/>
    <cellStyle name="Normal 58 5 3 3 3 3 2" xfId="35541" xr:uid="{00000000-0005-0000-0000-0000C9A70000}"/>
    <cellStyle name="Normal 58 5 3 3 3 4" xfId="18807" xr:uid="{00000000-0005-0000-0000-0000CAA70000}"/>
    <cellStyle name="Normal 58 5 3 3 3 4 2" xfId="44360" xr:uid="{00000000-0005-0000-0000-0000CBA70000}"/>
    <cellStyle name="Normal 58 5 3 3 3 5" xfId="30297" xr:uid="{00000000-0005-0000-0000-0000CCA70000}"/>
    <cellStyle name="Normal 58 5 3 3 4" xfId="1987" xr:uid="{00000000-0005-0000-0000-0000CDA70000}"/>
    <cellStyle name="Normal 58 5 3 3 4 2" xfId="11352" xr:uid="{00000000-0005-0000-0000-0000CEA70000}"/>
    <cellStyle name="Normal 58 5 3 3 4 2 2" xfId="36907" xr:uid="{00000000-0005-0000-0000-0000CFA70000}"/>
    <cellStyle name="Normal 58 5 3 3 4 3" xfId="21356" xr:uid="{00000000-0005-0000-0000-0000D0A70000}"/>
    <cellStyle name="Normal 58 5 3 3 4 3 2" xfId="46909" xr:uid="{00000000-0005-0000-0000-0000D1A70000}"/>
    <cellStyle name="Normal 58 5 3 3 4 4" xfId="27839" xr:uid="{00000000-0005-0000-0000-0000D2A70000}"/>
    <cellStyle name="Normal 58 5 3 3 5" xfId="6181" xr:uid="{00000000-0005-0000-0000-0000D3A70000}"/>
    <cellStyle name="Normal 58 5 3 3 5 2" xfId="15008" xr:uid="{00000000-0005-0000-0000-0000D4A70000}"/>
    <cellStyle name="Normal 58 5 3 3 5 2 2" xfId="40563" xr:uid="{00000000-0005-0000-0000-0000D5A70000}"/>
    <cellStyle name="Normal 58 5 3 3 5 3" xfId="25259" xr:uid="{00000000-0005-0000-0000-0000D6A70000}"/>
    <cellStyle name="Normal 58 5 3 3 5 3 2" xfId="50812" xr:uid="{00000000-0005-0000-0000-0000D7A70000}"/>
    <cellStyle name="Normal 58 5 3 3 5 4" xfId="31742" xr:uid="{00000000-0005-0000-0000-0000D8A70000}"/>
    <cellStyle name="Normal 58 5 3 3 6" xfId="7626" xr:uid="{00000000-0005-0000-0000-0000D9A70000}"/>
    <cellStyle name="Normal 58 5 3 3 6 2" xfId="19838" xr:uid="{00000000-0005-0000-0000-0000DAA70000}"/>
    <cellStyle name="Normal 58 5 3 3 6 2 2" xfId="45391" xr:uid="{00000000-0005-0000-0000-0000DBA70000}"/>
    <cellStyle name="Normal 58 5 3 3 6 3" xfId="33183" xr:uid="{00000000-0005-0000-0000-0000DCA70000}"/>
    <cellStyle name="Normal 58 5 3 3 7" xfId="16349" xr:uid="{00000000-0005-0000-0000-0000DDA70000}"/>
    <cellStyle name="Normal 58 5 3 3 7 2" xfId="41902" xr:uid="{00000000-0005-0000-0000-0000DEA70000}"/>
    <cellStyle name="Normal 58 5 3 3 8" xfId="26321" xr:uid="{00000000-0005-0000-0000-0000DFA70000}"/>
    <cellStyle name="Normal 58 5 3 4" xfId="911" xr:uid="{00000000-0005-0000-0000-0000E0A70000}"/>
    <cellStyle name="Normal 58 5 3 4 2" xfId="3396" xr:uid="{00000000-0005-0000-0000-0000E1A70000}"/>
    <cellStyle name="Normal 58 5 3 4 2 2" xfId="12538" xr:uid="{00000000-0005-0000-0000-0000E2A70000}"/>
    <cellStyle name="Normal 58 5 3 4 2 2 2" xfId="22757" xr:uid="{00000000-0005-0000-0000-0000E3A70000}"/>
    <cellStyle name="Normal 58 5 3 4 2 2 2 2" xfId="48310" xr:uid="{00000000-0005-0000-0000-0000E4A70000}"/>
    <cellStyle name="Normal 58 5 3 4 2 2 3" xfId="38093" xr:uid="{00000000-0005-0000-0000-0000E5A70000}"/>
    <cellStyle name="Normal 58 5 3 4 2 3" xfId="8960" xr:uid="{00000000-0005-0000-0000-0000E6A70000}"/>
    <cellStyle name="Normal 58 5 3 4 2 3 2" xfId="34517" xr:uid="{00000000-0005-0000-0000-0000E7A70000}"/>
    <cellStyle name="Normal 58 5 3 4 2 4" xfId="17750" xr:uid="{00000000-0005-0000-0000-0000E8A70000}"/>
    <cellStyle name="Normal 58 5 3 4 2 4 2" xfId="43303" xr:uid="{00000000-0005-0000-0000-0000E9A70000}"/>
    <cellStyle name="Normal 58 5 3 4 2 5" xfId="29240" xr:uid="{00000000-0005-0000-0000-0000EAA70000}"/>
    <cellStyle name="Normal 58 5 3 4 3" xfId="5074" xr:uid="{00000000-0005-0000-0000-0000EBA70000}"/>
    <cellStyle name="Normal 58 5 3 4 3 2" xfId="13911" xr:uid="{00000000-0005-0000-0000-0000ECA70000}"/>
    <cellStyle name="Normal 58 5 3 4 3 2 2" xfId="24162" xr:uid="{00000000-0005-0000-0000-0000EDA70000}"/>
    <cellStyle name="Normal 58 5 3 4 3 2 2 2" xfId="49715" xr:uid="{00000000-0005-0000-0000-0000EEA70000}"/>
    <cellStyle name="Normal 58 5 3 4 3 2 3" xfId="39466" xr:uid="{00000000-0005-0000-0000-0000EFA70000}"/>
    <cellStyle name="Normal 58 5 3 4 3 3" xfId="10332" xr:uid="{00000000-0005-0000-0000-0000F0A70000}"/>
    <cellStyle name="Normal 58 5 3 4 3 3 2" xfId="35889" xr:uid="{00000000-0005-0000-0000-0000F1A70000}"/>
    <cellStyle name="Normal 58 5 3 4 3 4" xfId="19155" xr:uid="{00000000-0005-0000-0000-0000F2A70000}"/>
    <cellStyle name="Normal 58 5 3 4 3 4 2" xfId="44708" xr:uid="{00000000-0005-0000-0000-0000F3A70000}"/>
    <cellStyle name="Normal 58 5 3 4 3 5" xfId="30645" xr:uid="{00000000-0005-0000-0000-0000F4A70000}"/>
    <cellStyle name="Normal 58 5 3 4 4" xfId="2505" xr:uid="{00000000-0005-0000-0000-0000F5A70000}"/>
    <cellStyle name="Normal 58 5 3 4 4 2" xfId="11870" xr:uid="{00000000-0005-0000-0000-0000F6A70000}"/>
    <cellStyle name="Normal 58 5 3 4 4 2 2" xfId="37425" xr:uid="{00000000-0005-0000-0000-0000F7A70000}"/>
    <cellStyle name="Normal 58 5 3 4 4 3" xfId="21874" xr:uid="{00000000-0005-0000-0000-0000F8A70000}"/>
    <cellStyle name="Normal 58 5 3 4 4 3 2" xfId="47427" xr:uid="{00000000-0005-0000-0000-0000F9A70000}"/>
    <cellStyle name="Normal 58 5 3 4 4 4" xfId="28357" xr:uid="{00000000-0005-0000-0000-0000FAA70000}"/>
    <cellStyle name="Normal 58 5 3 4 5" xfId="6529" xr:uid="{00000000-0005-0000-0000-0000FBA70000}"/>
    <cellStyle name="Normal 58 5 3 4 5 2" xfId="15356" xr:uid="{00000000-0005-0000-0000-0000FCA70000}"/>
    <cellStyle name="Normal 58 5 3 4 5 2 2" xfId="40911" xr:uid="{00000000-0005-0000-0000-0000FDA70000}"/>
    <cellStyle name="Normal 58 5 3 4 5 3" xfId="25607" xr:uid="{00000000-0005-0000-0000-0000FEA70000}"/>
    <cellStyle name="Normal 58 5 3 4 5 3 2" xfId="51160" xr:uid="{00000000-0005-0000-0000-0000FFA70000}"/>
    <cellStyle name="Normal 58 5 3 4 5 4" xfId="32090" xr:uid="{00000000-0005-0000-0000-000000A80000}"/>
    <cellStyle name="Normal 58 5 3 4 6" xfId="7975" xr:uid="{00000000-0005-0000-0000-000001A80000}"/>
    <cellStyle name="Normal 58 5 3 4 6 2" xfId="20356" xr:uid="{00000000-0005-0000-0000-000002A80000}"/>
    <cellStyle name="Normal 58 5 3 4 6 2 2" xfId="45909" xr:uid="{00000000-0005-0000-0000-000003A80000}"/>
    <cellStyle name="Normal 58 5 3 4 6 3" xfId="33532" xr:uid="{00000000-0005-0000-0000-000004A80000}"/>
    <cellStyle name="Normal 58 5 3 4 7" xfId="16867" xr:uid="{00000000-0005-0000-0000-000005A80000}"/>
    <cellStyle name="Normal 58 5 3 4 7 2" xfId="42420" xr:uid="{00000000-0005-0000-0000-000006A80000}"/>
    <cellStyle name="Normal 58 5 3 4 8" xfId="26839" xr:uid="{00000000-0005-0000-0000-000007A80000}"/>
    <cellStyle name="Normal 58 5 3 5" xfId="1164" xr:uid="{00000000-0005-0000-0000-000008A80000}"/>
    <cellStyle name="Normal 58 5 3 5 2" xfId="3593" xr:uid="{00000000-0005-0000-0000-000009A80000}"/>
    <cellStyle name="Normal 58 5 3 5 2 2" xfId="12729" xr:uid="{00000000-0005-0000-0000-00000AA80000}"/>
    <cellStyle name="Normal 58 5 3 5 2 2 2" xfId="22948" xr:uid="{00000000-0005-0000-0000-00000BA80000}"/>
    <cellStyle name="Normal 58 5 3 5 2 2 2 2" xfId="48501" xr:uid="{00000000-0005-0000-0000-00000CA80000}"/>
    <cellStyle name="Normal 58 5 3 5 2 2 3" xfId="38284" xr:uid="{00000000-0005-0000-0000-00000DA80000}"/>
    <cellStyle name="Normal 58 5 3 5 2 3" xfId="9150" xr:uid="{00000000-0005-0000-0000-00000EA80000}"/>
    <cellStyle name="Normal 58 5 3 5 2 3 2" xfId="34707" xr:uid="{00000000-0005-0000-0000-00000FA80000}"/>
    <cellStyle name="Normal 58 5 3 5 2 4" xfId="17941" xr:uid="{00000000-0005-0000-0000-000010A80000}"/>
    <cellStyle name="Normal 58 5 3 5 2 4 2" xfId="43494" xr:uid="{00000000-0005-0000-0000-000011A80000}"/>
    <cellStyle name="Normal 58 5 3 5 2 5" xfId="29431" xr:uid="{00000000-0005-0000-0000-000012A80000}"/>
    <cellStyle name="Normal 58 5 3 5 3" xfId="5256" xr:uid="{00000000-0005-0000-0000-000013A80000}"/>
    <cellStyle name="Normal 58 5 3 5 3 2" xfId="14093" xr:uid="{00000000-0005-0000-0000-000014A80000}"/>
    <cellStyle name="Normal 58 5 3 5 3 2 2" xfId="24344" xr:uid="{00000000-0005-0000-0000-000015A80000}"/>
    <cellStyle name="Normal 58 5 3 5 3 2 2 2" xfId="49897" xr:uid="{00000000-0005-0000-0000-000016A80000}"/>
    <cellStyle name="Normal 58 5 3 5 3 2 3" xfId="39648" xr:uid="{00000000-0005-0000-0000-000017A80000}"/>
    <cellStyle name="Normal 58 5 3 5 3 3" xfId="10514" xr:uid="{00000000-0005-0000-0000-000018A80000}"/>
    <cellStyle name="Normal 58 5 3 5 3 3 2" xfId="36071" xr:uid="{00000000-0005-0000-0000-000019A80000}"/>
    <cellStyle name="Normal 58 5 3 5 3 4" xfId="19337" xr:uid="{00000000-0005-0000-0000-00001AA80000}"/>
    <cellStyle name="Normal 58 5 3 5 3 4 2" xfId="44890" xr:uid="{00000000-0005-0000-0000-00001BA80000}"/>
    <cellStyle name="Normal 58 5 3 5 3 5" xfId="30827" xr:uid="{00000000-0005-0000-0000-00001CA80000}"/>
    <cellStyle name="Normal 58 5 3 5 4" xfId="1871" xr:uid="{00000000-0005-0000-0000-00001DA80000}"/>
    <cellStyle name="Normal 58 5 3 5 4 2" xfId="11239" xr:uid="{00000000-0005-0000-0000-00001EA80000}"/>
    <cellStyle name="Normal 58 5 3 5 4 2 2" xfId="36794" xr:uid="{00000000-0005-0000-0000-00001FA80000}"/>
    <cellStyle name="Normal 58 5 3 5 4 3" xfId="21243" xr:uid="{00000000-0005-0000-0000-000020A80000}"/>
    <cellStyle name="Normal 58 5 3 5 4 3 2" xfId="46796" xr:uid="{00000000-0005-0000-0000-000021A80000}"/>
    <cellStyle name="Normal 58 5 3 5 4 4" xfId="27726" xr:uid="{00000000-0005-0000-0000-000022A80000}"/>
    <cellStyle name="Normal 58 5 3 5 5" xfId="6711" xr:uid="{00000000-0005-0000-0000-000023A80000}"/>
    <cellStyle name="Normal 58 5 3 5 5 2" xfId="15538" xr:uid="{00000000-0005-0000-0000-000024A80000}"/>
    <cellStyle name="Normal 58 5 3 5 5 2 2" xfId="41093" xr:uid="{00000000-0005-0000-0000-000025A80000}"/>
    <cellStyle name="Normal 58 5 3 5 5 3" xfId="25789" xr:uid="{00000000-0005-0000-0000-000026A80000}"/>
    <cellStyle name="Normal 58 5 3 5 5 3 2" xfId="51342" xr:uid="{00000000-0005-0000-0000-000027A80000}"/>
    <cellStyle name="Normal 58 5 3 5 5 4" xfId="32272" xr:uid="{00000000-0005-0000-0000-000028A80000}"/>
    <cellStyle name="Normal 58 5 3 5 6" xfId="8157" xr:uid="{00000000-0005-0000-0000-000029A80000}"/>
    <cellStyle name="Normal 58 5 3 5 6 2" xfId="20547" xr:uid="{00000000-0005-0000-0000-00002AA80000}"/>
    <cellStyle name="Normal 58 5 3 5 6 2 2" xfId="46100" xr:uid="{00000000-0005-0000-0000-00002BA80000}"/>
    <cellStyle name="Normal 58 5 3 5 6 3" xfId="33714" xr:uid="{00000000-0005-0000-0000-00002CA80000}"/>
    <cellStyle name="Normal 58 5 3 5 7" xfId="16236" xr:uid="{00000000-0005-0000-0000-00002DA80000}"/>
    <cellStyle name="Normal 58 5 3 5 7 2" xfId="41789" xr:uid="{00000000-0005-0000-0000-00002EA80000}"/>
    <cellStyle name="Normal 58 5 3 5 8" xfId="27030" xr:uid="{00000000-0005-0000-0000-00002FA80000}"/>
    <cellStyle name="Normal 58 5 3 6" xfId="2765" xr:uid="{00000000-0005-0000-0000-000030A80000}"/>
    <cellStyle name="Normal 58 5 3 6 2" xfId="12082" xr:uid="{00000000-0005-0000-0000-000031A80000}"/>
    <cellStyle name="Normal 58 5 3 6 2 2" xfId="22126" xr:uid="{00000000-0005-0000-0000-000032A80000}"/>
    <cellStyle name="Normal 58 5 3 6 2 2 2" xfId="47679" xr:uid="{00000000-0005-0000-0000-000033A80000}"/>
    <cellStyle name="Normal 58 5 3 6 2 3" xfId="37637" xr:uid="{00000000-0005-0000-0000-000034A80000}"/>
    <cellStyle name="Normal 58 5 3 6 3" xfId="8536" xr:uid="{00000000-0005-0000-0000-000035A80000}"/>
    <cellStyle name="Normal 58 5 3 6 3 2" xfId="34093" xr:uid="{00000000-0005-0000-0000-000036A80000}"/>
    <cellStyle name="Normal 58 5 3 6 4" xfId="17119" xr:uid="{00000000-0005-0000-0000-000037A80000}"/>
    <cellStyle name="Normal 58 5 3 6 4 2" xfId="42672" xr:uid="{00000000-0005-0000-0000-000038A80000}"/>
    <cellStyle name="Normal 58 5 3 6 5" xfId="28609" xr:uid="{00000000-0005-0000-0000-000039A80000}"/>
    <cellStyle name="Normal 58 5 3 7" xfId="4212" xr:uid="{00000000-0005-0000-0000-00003AA80000}"/>
    <cellStyle name="Normal 58 5 3 7 2" xfId="13050" xr:uid="{00000000-0005-0000-0000-00003BA80000}"/>
    <cellStyle name="Normal 58 5 3 7 2 2" xfId="23301" xr:uid="{00000000-0005-0000-0000-00003CA80000}"/>
    <cellStyle name="Normal 58 5 3 7 2 2 2" xfId="48854" xr:uid="{00000000-0005-0000-0000-00003DA80000}"/>
    <cellStyle name="Normal 58 5 3 7 2 3" xfId="38605" xr:uid="{00000000-0005-0000-0000-00003EA80000}"/>
    <cellStyle name="Normal 58 5 3 7 3" xfId="9471" xr:uid="{00000000-0005-0000-0000-00003FA80000}"/>
    <cellStyle name="Normal 58 5 3 7 3 2" xfId="35028" xr:uid="{00000000-0005-0000-0000-000040A80000}"/>
    <cellStyle name="Normal 58 5 3 7 4" xfId="18294" xr:uid="{00000000-0005-0000-0000-000041A80000}"/>
    <cellStyle name="Normal 58 5 3 7 4 2" xfId="43847" xr:uid="{00000000-0005-0000-0000-000042A80000}"/>
    <cellStyle name="Normal 58 5 3 7 5" xfId="29784" xr:uid="{00000000-0005-0000-0000-000043A80000}"/>
    <cellStyle name="Normal 58 5 3 8" xfId="1484" xr:uid="{00000000-0005-0000-0000-000044A80000}"/>
    <cellStyle name="Normal 58 5 3 8 2" xfId="10861" xr:uid="{00000000-0005-0000-0000-000045A80000}"/>
    <cellStyle name="Normal 58 5 3 8 2 2" xfId="36416" xr:uid="{00000000-0005-0000-0000-000046A80000}"/>
    <cellStyle name="Normal 58 5 3 8 3" xfId="20865" xr:uid="{00000000-0005-0000-0000-000047A80000}"/>
    <cellStyle name="Normal 58 5 3 8 3 2" xfId="46418" xr:uid="{00000000-0005-0000-0000-000048A80000}"/>
    <cellStyle name="Normal 58 5 3 8 4" xfId="27348" xr:uid="{00000000-0005-0000-0000-000049A80000}"/>
    <cellStyle name="Normal 58 5 3 9" xfId="5668" xr:uid="{00000000-0005-0000-0000-00004AA80000}"/>
    <cellStyle name="Normal 58 5 3 9 2" xfId="14495" xr:uid="{00000000-0005-0000-0000-00004BA80000}"/>
    <cellStyle name="Normal 58 5 3 9 2 2" xfId="40050" xr:uid="{00000000-0005-0000-0000-00004CA80000}"/>
    <cellStyle name="Normal 58 5 3 9 3" xfId="24746" xr:uid="{00000000-0005-0000-0000-00004DA80000}"/>
    <cellStyle name="Normal 58 5 3 9 3 2" xfId="50299" xr:uid="{00000000-0005-0000-0000-00004EA80000}"/>
    <cellStyle name="Normal 58 5 3 9 4" xfId="31229" xr:uid="{00000000-0005-0000-0000-00004FA80000}"/>
    <cellStyle name="Normal 58 5 3_Degree data" xfId="4017" xr:uid="{00000000-0005-0000-0000-000050A80000}"/>
    <cellStyle name="Normal 58 5 4" xfId="492" xr:uid="{00000000-0005-0000-0000-000051A80000}"/>
    <cellStyle name="Normal 58 5 4 10" xfId="26421" xr:uid="{00000000-0005-0000-0000-000052A80000}"/>
    <cellStyle name="Normal 58 5 4 2" xfId="913" xr:uid="{00000000-0005-0000-0000-000053A80000}"/>
    <cellStyle name="Normal 58 5 4 2 2" xfId="3398" xr:uid="{00000000-0005-0000-0000-000054A80000}"/>
    <cellStyle name="Normal 58 5 4 2 2 2" xfId="12540" xr:uid="{00000000-0005-0000-0000-000055A80000}"/>
    <cellStyle name="Normal 58 5 4 2 2 2 2" xfId="22759" xr:uid="{00000000-0005-0000-0000-000056A80000}"/>
    <cellStyle name="Normal 58 5 4 2 2 2 2 2" xfId="48312" xr:uid="{00000000-0005-0000-0000-000057A80000}"/>
    <cellStyle name="Normal 58 5 4 2 2 2 3" xfId="38095" xr:uid="{00000000-0005-0000-0000-000058A80000}"/>
    <cellStyle name="Normal 58 5 4 2 2 3" xfId="8962" xr:uid="{00000000-0005-0000-0000-000059A80000}"/>
    <cellStyle name="Normal 58 5 4 2 2 3 2" xfId="34519" xr:uid="{00000000-0005-0000-0000-00005AA80000}"/>
    <cellStyle name="Normal 58 5 4 2 2 4" xfId="17752" xr:uid="{00000000-0005-0000-0000-00005BA80000}"/>
    <cellStyle name="Normal 58 5 4 2 2 4 2" xfId="43305" xr:uid="{00000000-0005-0000-0000-00005CA80000}"/>
    <cellStyle name="Normal 58 5 4 2 2 5" xfId="29242" xr:uid="{00000000-0005-0000-0000-00005DA80000}"/>
    <cellStyle name="Normal 58 5 4 2 3" xfId="4727" xr:uid="{00000000-0005-0000-0000-00005EA80000}"/>
    <cellStyle name="Normal 58 5 4 2 3 2" xfId="13565" xr:uid="{00000000-0005-0000-0000-00005FA80000}"/>
    <cellStyle name="Normal 58 5 4 2 3 2 2" xfId="23816" xr:uid="{00000000-0005-0000-0000-000060A80000}"/>
    <cellStyle name="Normal 58 5 4 2 3 2 2 2" xfId="49369" xr:uid="{00000000-0005-0000-0000-000061A80000}"/>
    <cellStyle name="Normal 58 5 4 2 3 2 3" xfId="39120" xr:uid="{00000000-0005-0000-0000-000062A80000}"/>
    <cellStyle name="Normal 58 5 4 2 3 3" xfId="9986" xr:uid="{00000000-0005-0000-0000-000063A80000}"/>
    <cellStyle name="Normal 58 5 4 2 3 3 2" xfId="35543" xr:uid="{00000000-0005-0000-0000-000064A80000}"/>
    <cellStyle name="Normal 58 5 4 2 3 4" xfId="18809" xr:uid="{00000000-0005-0000-0000-000065A80000}"/>
    <cellStyle name="Normal 58 5 4 2 3 4 2" xfId="44362" xr:uid="{00000000-0005-0000-0000-000066A80000}"/>
    <cellStyle name="Normal 58 5 4 2 3 5" xfId="30299" xr:uid="{00000000-0005-0000-0000-000067A80000}"/>
    <cellStyle name="Normal 58 5 4 2 4" xfId="2507" xr:uid="{00000000-0005-0000-0000-000068A80000}"/>
    <cellStyle name="Normal 58 5 4 2 4 2" xfId="11872" xr:uid="{00000000-0005-0000-0000-000069A80000}"/>
    <cellStyle name="Normal 58 5 4 2 4 2 2" xfId="37427" xr:uid="{00000000-0005-0000-0000-00006AA80000}"/>
    <cellStyle name="Normal 58 5 4 2 4 3" xfId="21876" xr:uid="{00000000-0005-0000-0000-00006BA80000}"/>
    <cellStyle name="Normal 58 5 4 2 4 3 2" xfId="47429" xr:uid="{00000000-0005-0000-0000-00006CA80000}"/>
    <cellStyle name="Normal 58 5 4 2 4 4" xfId="28359" xr:uid="{00000000-0005-0000-0000-00006DA80000}"/>
    <cellStyle name="Normal 58 5 4 2 5" xfId="6183" xr:uid="{00000000-0005-0000-0000-00006EA80000}"/>
    <cellStyle name="Normal 58 5 4 2 5 2" xfId="15010" xr:uid="{00000000-0005-0000-0000-00006FA80000}"/>
    <cellStyle name="Normal 58 5 4 2 5 2 2" xfId="40565" xr:uid="{00000000-0005-0000-0000-000070A80000}"/>
    <cellStyle name="Normal 58 5 4 2 5 3" xfId="25261" xr:uid="{00000000-0005-0000-0000-000071A80000}"/>
    <cellStyle name="Normal 58 5 4 2 5 3 2" xfId="50814" xr:uid="{00000000-0005-0000-0000-000072A80000}"/>
    <cellStyle name="Normal 58 5 4 2 5 4" xfId="31744" xr:uid="{00000000-0005-0000-0000-000073A80000}"/>
    <cellStyle name="Normal 58 5 4 2 6" xfId="7628" xr:uid="{00000000-0005-0000-0000-000074A80000}"/>
    <cellStyle name="Normal 58 5 4 2 6 2" xfId="20358" xr:uid="{00000000-0005-0000-0000-000075A80000}"/>
    <cellStyle name="Normal 58 5 4 2 6 2 2" xfId="45911" xr:uid="{00000000-0005-0000-0000-000076A80000}"/>
    <cellStyle name="Normal 58 5 4 2 6 3" xfId="33185" xr:uid="{00000000-0005-0000-0000-000077A80000}"/>
    <cellStyle name="Normal 58 5 4 2 7" xfId="16869" xr:uid="{00000000-0005-0000-0000-000078A80000}"/>
    <cellStyle name="Normal 58 5 4 2 7 2" xfId="42422" xr:uid="{00000000-0005-0000-0000-000079A80000}"/>
    <cellStyle name="Normal 58 5 4 2 8" xfId="26841" xr:uid="{00000000-0005-0000-0000-00007AA80000}"/>
    <cellStyle name="Normal 58 5 4 3" xfId="1264" xr:uid="{00000000-0005-0000-0000-00007BA80000}"/>
    <cellStyle name="Normal 58 5 4 3 2" xfId="3693" xr:uid="{00000000-0005-0000-0000-00007CA80000}"/>
    <cellStyle name="Normal 58 5 4 3 2 2" xfId="12829" xr:uid="{00000000-0005-0000-0000-00007DA80000}"/>
    <cellStyle name="Normal 58 5 4 3 2 2 2" xfId="23048" xr:uid="{00000000-0005-0000-0000-00007EA80000}"/>
    <cellStyle name="Normal 58 5 4 3 2 2 2 2" xfId="48601" xr:uid="{00000000-0005-0000-0000-00007FA80000}"/>
    <cellStyle name="Normal 58 5 4 3 2 2 3" xfId="38384" xr:uid="{00000000-0005-0000-0000-000080A80000}"/>
    <cellStyle name="Normal 58 5 4 3 2 3" xfId="9250" xr:uid="{00000000-0005-0000-0000-000081A80000}"/>
    <cellStyle name="Normal 58 5 4 3 2 3 2" xfId="34807" xr:uid="{00000000-0005-0000-0000-000082A80000}"/>
    <cellStyle name="Normal 58 5 4 3 2 4" xfId="18041" xr:uid="{00000000-0005-0000-0000-000083A80000}"/>
    <cellStyle name="Normal 58 5 4 3 2 4 2" xfId="43594" xr:uid="{00000000-0005-0000-0000-000084A80000}"/>
    <cellStyle name="Normal 58 5 4 3 2 5" xfId="29531" xr:uid="{00000000-0005-0000-0000-000085A80000}"/>
    <cellStyle name="Normal 58 5 4 3 3" xfId="5076" xr:uid="{00000000-0005-0000-0000-000086A80000}"/>
    <cellStyle name="Normal 58 5 4 3 3 2" xfId="13913" xr:uid="{00000000-0005-0000-0000-000087A80000}"/>
    <cellStyle name="Normal 58 5 4 3 3 2 2" xfId="24164" xr:uid="{00000000-0005-0000-0000-000088A80000}"/>
    <cellStyle name="Normal 58 5 4 3 3 2 2 2" xfId="49717" xr:uid="{00000000-0005-0000-0000-000089A80000}"/>
    <cellStyle name="Normal 58 5 4 3 3 2 3" xfId="39468" xr:uid="{00000000-0005-0000-0000-00008AA80000}"/>
    <cellStyle name="Normal 58 5 4 3 3 3" xfId="10334" xr:uid="{00000000-0005-0000-0000-00008BA80000}"/>
    <cellStyle name="Normal 58 5 4 3 3 3 2" xfId="35891" xr:uid="{00000000-0005-0000-0000-00008CA80000}"/>
    <cellStyle name="Normal 58 5 4 3 3 4" xfId="19157" xr:uid="{00000000-0005-0000-0000-00008DA80000}"/>
    <cellStyle name="Normal 58 5 4 3 3 4 2" xfId="44710" xr:uid="{00000000-0005-0000-0000-00008EA80000}"/>
    <cellStyle name="Normal 58 5 4 3 3 5" xfId="30647" xr:uid="{00000000-0005-0000-0000-00008FA80000}"/>
    <cellStyle name="Normal 58 5 4 3 4" xfId="2087" xr:uid="{00000000-0005-0000-0000-000090A80000}"/>
    <cellStyle name="Normal 58 5 4 3 4 2" xfId="11452" xr:uid="{00000000-0005-0000-0000-000091A80000}"/>
    <cellStyle name="Normal 58 5 4 3 4 2 2" xfId="37007" xr:uid="{00000000-0005-0000-0000-000092A80000}"/>
    <cellStyle name="Normal 58 5 4 3 4 3" xfId="21456" xr:uid="{00000000-0005-0000-0000-000093A80000}"/>
    <cellStyle name="Normal 58 5 4 3 4 3 2" xfId="47009" xr:uid="{00000000-0005-0000-0000-000094A80000}"/>
    <cellStyle name="Normal 58 5 4 3 4 4" xfId="27939" xr:uid="{00000000-0005-0000-0000-000095A80000}"/>
    <cellStyle name="Normal 58 5 4 3 5" xfId="6531" xr:uid="{00000000-0005-0000-0000-000096A80000}"/>
    <cellStyle name="Normal 58 5 4 3 5 2" xfId="15358" xr:uid="{00000000-0005-0000-0000-000097A80000}"/>
    <cellStyle name="Normal 58 5 4 3 5 2 2" xfId="40913" xr:uid="{00000000-0005-0000-0000-000098A80000}"/>
    <cellStyle name="Normal 58 5 4 3 5 3" xfId="25609" xr:uid="{00000000-0005-0000-0000-000099A80000}"/>
    <cellStyle name="Normal 58 5 4 3 5 3 2" xfId="51162" xr:uid="{00000000-0005-0000-0000-00009AA80000}"/>
    <cellStyle name="Normal 58 5 4 3 5 4" xfId="32092" xr:uid="{00000000-0005-0000-0000-00009BA80000}"/>
    <cellStyle name="Normal 58 5 4 3 6" xfId="7977" xr:uid="{00000000-0005-0000-0000-00009CA80000}"/>
    <cellStyle name="Normal 58 5 4 3 6 2" xfId="20647" xr:uid="{00000000-0005-0000-0000-00009DA80000}"/>
    <cellStyle name="Normal 58 5 4 3 6 2 2" xfId="46200" xr:uid="{00000000-0005-0000-0000-00009EA80000}"/>
    <cellStyle name="Normal 58 5 4 3 6 3" xfId="33534" xr:uid="{00000000-0005-0000-0000-00009FA80000}"/>
    <cellStyle name="Normal 58 5 4 3 7" xfId="16449" xr:uid="{00000000-0005-0000-0000-0000A0A80000}"/>
    <cellStyle name="Normal 58 5 4 3 7 2" xfId="42002" xr:uid="{00000000-0005-0000-0000-0000A1A80000}"/>
    <cellStyle name="Normal 58 5 4 3 8" xfId="27130" xr:uid="{00000000-0005-0000-0000-0000A2A80000}"/>
    <cellStyle name="Normal 58 5 4 4" xfId="2978" xr:uid="{00000000-0005-0000-0000-0000A3A80000}"/>
    <cellStyle name="Normal 58 5 4 4 2" xfId="5356" xr:uid="{00000000-0005-0000-0000-0000A4A80000}"/>
    <cellStyle name="Normal 58 5 4 4 2 2" xfId="14193" xr:uid="{00000000-0005-0000-0000-0000A5A80000}"/>
    <cellStyle name="Normal 58 5 4 4 2 2 2" xfId="24444" xr:uid="{00000000-0005-0000-0000-0000A6A80000}"/>
    <cellStyle name="Normal 58 5 4 4 2 2 2 2" xfId="49997" xr:uid="{00000000-0005-0000-0000-0000A7A80000}"/>
    <cellStyle name="Normal 58 5 4 4 2 2 3" xfId="39748" xr:uid="{00000000-0005-0000-0000-0000A8A80000}"/>
    <cellStyle name="Normal 58 5 4 4 2 3" xfId="10614" xr:uid="{00000000-0005-0000-0000-0000A9A80000}"/>
    <cellStyle name="Normal 58 5 4 4 2 3 2" xfId="36171" xr:uid="{00000000-0005-0000-0000-0000AAA80000}"/>
    <cellStyle name="Normal 58 5 4 4 2 4" xfId="19437" xr:uid="{00000000-0005-0000-0000-0000ABA80000}"/>
    <cellStyle name="Normal 58 5 4 4 2 4 2" xfId="44990" xr:uid="{00000000-0005-0000-0000-0000ACA80000}"/>
    <cellStyle name="Normal 58 5 4 4 2 5" xfId="30927" xr:uid="{00000000-0005-0000-0000-0000ADA80000}"/>
    <cellStyle name="Normal 58 5 4 4 3" xfId="6811" xr:uid="{00000000-0005-0000-0000-0000AEA80000}"/>
    <cellStyle name="Normal 58 5 4 4 3 2" xfId="15638" xr:uid="{00000000-0005-0000-0000-0000AFA80000}"/>
    <cellStyle name="Normal 58 5 4 4 3 2 2" xfId="41193" xr:uid="{00000000-0005-0000-0000-0000B0A80000}"/>
    <cellStyle name="Normal 58 5 4 4 3 3" xfId="25889" xr:uid="{00000000-0005-0000-0000-0000B1A80000}"/>
    <cellStyle name="Normal 58 5 4 4 3 3 2" xfId="51442" xr:uid="{00000000-0005-0000-0000-0000B2A80000}"/>
    <cellStyle name="Normal 58 5 4 4 3 4" xfId="32372" xr:uid="{00000000-0005-0000-0000-0000B3A80000}"/>
    <cellStyle name="Normal 58 5 4 4 4" xfId="8257" xr:uid="{00000000-0005-0000-0000-0000B4A80000}"/>
    <cellStyle name="Normal 58 5 4 4 4 2" xfId="22339" xr:uid="{00000000-0005-0000-0000-0000B5A80000}"/>
    <cellStyle name="Normal 58 5 4 4 4 2 2" xfId="47892" xr:uid="{00000000-0005-0000-0000-0000B6A80000}"/>
    <cellStyle name="Normal 58 5 4 4 4 3" xfId="33814" xr:uid="{00000000-0005-0000-0000-0000B7A80000}"/>
    <cellStyle name="Normal 58 5 4 4 5" xfId="17332" xr:uid="{00000000-0005-0000-0000-0000B8A80000}"/>
    <cellStyle name="Normal 58 5 4 4 5 2" xfId="42885" xr:uid="{00000000-0005-0000-0000-0000B9A80000}"/>
    <cellStyle name="Normal 58 5 4 4 6" xfId="28822" xr:uid="{00000000-0005-0000-0000-0000BAA80000}"/>
    <cellStyle name="Normal 58 5 4 5" xfId="4312" xr:uid="{00000000-0005-0000-0000-0000BBA80000}"/>
    <cellStyle name="Normal 58 5 4 5 2" xfId="13150" xr:uid="{00000000-0005-0000-0000-0000BCA80000}"/>
    <cellStyle name="Normal 58 5 4 5 2 2" xfId="23401" xr:uid="{00000000-0005-0000-0000-0000BDA80000}"/>
    <cellStyle name="Normal 58 5 4 5 2 2 2" xfId="48954" xr:uid="{00000000-0005-0000-0000-0000BEA80000}"/>
    <cellStyle name="Normal 58 5 4 5 2 3" xfId="38705" xr:uid="{00000000-0005-0000-0000-0000BFA80000}"/>
    <cellStyle name="Normal 58 5 4 5 3" xfId="9571" xr:uid="{00000000-0005-0000-0000-0000C0A80000}"/>
    <cellStyle name="Normal 58 5 4 5 3 2" xfId="35128" xr:uid="{00000000-0005-0000-0000-0000C1A80000}"/>
    <cellStyle name="Normal 58 5 4 5 4" xfId="18394" xr:uid="{00000000-0005-0000-0000-0000C2A80000}"/>
    <cellStyle name="Normal 58 5 4 5 4 2" xfId="43947" xr:uid="{00000000-0005-0000-0000-0000C3A80000}"/>
    <cellStyle name="Normal 58 5 4 5 5" xfId="29884" xr:uid="{00000000-0005-0000-0000-0000C4A80000}"/>
    <cellStyle name="Normal 58 5 4 6" xfId="1584" xr:uid="{00000000-0005-0000-0000-0000C5A80000}"/>
    <cellStyle name="Normal 58 5 4 6 2" xfId="10961" xr:uid="{00000000-0005-0000-0000-0000C6A80000}"/>
    <cellStyle name="Normal 58 5 4 6 2 2" xfId="36516" xr:uid="{00000000-0005-0000-0000-0000C7A80000}"/>
    <cellStyle name="Normal 58 5 4 6 3" xfId="20965" xr:uid="{00000000-0005-0000-0000-0000C8A80000}"/>
    <cellStyle name="Normal 58 5 4 6 3 2" xfId="46518" xr:uid="{00000000-0005-0000-0000-0000C9A80000}"/>
    <cellStyle name="Normal 58 5 4 6 4" xfId="27448" xr:uid="{00000000-0005-0000-0000-0000CAA80000}"/>
    <cellStyle name="Normal 58 5 4 7" xfId="5768" xr:uid="{00000000-0005-0000-0000-0000CBA80000}"/>
    <cellStyle name="Normal 58 5 4 7 2" xfId="14595" xr:uid="{00000000-0005-0000-0000-0000CCA80000}"/>
    <cellStyle name="Normal 58 5 4 7 2 2" xfId="40150" xr:uid="{00000000-0005-0000-0000-0000CDA80000}"/>
    <cellStyle name="Normal 58 5 4 7 3" xfId="24846" xr:uid="{00000000-0005-0000-0000-0000CEA80000}"/>
    <cellStyle name="Normal 58 5 4 7 3 2" xfId="50399" xr:uid="{00000000-0005-0000-0000-0000CFA80000}"/>
    <cellStyle name="Normal 58 5 4 7 4" xfId="31329" xr:uid="{00000000-0005-0000-0000-0000D0A80000}"/>
    <cellStyle name="Normal 58 5 4 8" xfId="7212" xr:uid="{00000000-0005-0000-0000-0000D1A80000}"/>
    <cellStyle name="Normal 58 5 4 8 2" xfId="19938" xr:uid="{00000000-0005-0000-0000-0000D2A80000}"/>
    <cellStyle name="Normal 58 5 4 8 2 2" xfId="45491" xr:uid="{00000000-0005-0000-0000-0000D3A80000}"/>
    <cellStyle name="Normal 58 5 4 8 3" xfId="32769" xr:uid="{00000000-0005-0000-0000-0000D4A80000}"/>
    <cellStyle name="Normal 58 5 4 9" xfId="15958" xr:uid="{00000000-0005-0000-0000-0000D5A80000}"/>
    <cellStyle name="Normal 58 5 4 9 2" xfId="41511" xr:uid="{00000000-0005-0000-0000-0000D6A80000}"/>
    <cellStyle name="Normal 58 5 4_Degree data" xfId="4019" xr:uid="{00000000-0005-0000-0000-0000D7A80000}"/>
    <cellStyle name="Normal 58 5 5" xfId="335" xr:uid="{00000000-0005-0000-0000-0000D8A80000}"/>
    <cellStyle name="Normal 58 5 5 10" xfId="26264" xr:uid="{00000000-0005-0000-0000-0000D9A80000}"/>
    <cellStyle name="Normal 58 5 5 2" xfId="914" xr:uid="{00000000-0005-0000-0000-0000DAA80000}"/>
    <cellStyle name="Normal 58 5 5 2 2" xfId="3399" xr:uid="{00000000-0005-0000-0000-0000DBA80000}"/>
    <cellStyle name="Normal 58 5 5 2 2 2" xfId="12541" xr:uid="{00000000-0005-0000-0000-0000DCA80000}"/>
    <cellStyle name="Normal 58 5 5 2 2 2 2" xfId="22760" xr:uid="{00000000-0005-0000-0000-0000DDA80000}"/>
    <cellStyle name="Normal 58 5 5 2 2 2 2 2" xfId="48313" xr:uid="{00000000-0005-0000-0000-0000DEA80000}"/>
    <cellStyle name="Normal 58 5 5 2 2 2 3" xfId="38096" xr:uid="{00000000-0005-0000-0000-0000DFA80000}"/>
    <cellStyle name="Normal 58 5 5 2 2 3" xfId="8963" xr:uid="{00000000-0005-0000-0000-0000E0A80000}"/>
    <cellStyle name="Normal 58 5 5 2 2 3 2" xfId="34520" xr:uid="{00000000-0005-0000-0000-0000E1A80000}"/>
    <cellStyle name="Normal 58 5 5 2 2 4" xfId="17753" xr:uid="{00000000-0005-0000-0000-0000E2A80000}"/>
    <cellStyle name="Normal 58 5 5 2 2 4 2" xfId="43306" xr:uid="{00000000-0005-0000-0000-0000E3A80000}"/>
    <cellStyle name="Normal 58 5 5 2 2 5" xfId="29243" xr:uid="{00000000-0005-0000-0000-0000E4A80000}"/>
    <cellStyle name="Normal 58 5 5 2 3" xfId="4728" xr:uid="{00000000-0005-0000-0000-0000E5A80000}"/>
    <cellStyle name="Normal 58 5 5 2 3 2" xfId="13566" xr:uid="{00000000-0005-0000-0000-0000E6A80000}"/>
    <cellStyle name="Normal 58 5 5 2 3 2 2" xfId="23817" xr:uid="{00000000-0005-0000-0000-0000E7A80000}"/>
    <cellStyle name="Normal 58 5 5 2 3 2 2 2" xfId="49370" xr:uid="{00000000-0005-0000-0000-0000E8A80000}"/>
    <cellStyle name="Normal 58 5 5 2 3 2 3" xfId="39121" xr:uid="{00000000-0005-0000-0000-0000E9A80000}"/>
    <cellStyle name="Normal 58 5 5 2 3 3" xfId="9987" xr:uid="{00000000-0005-0000-0000-0000EAA80000}"/>
    <cellStyle name="Normal 58 5 5 2 3 3 2" xfId="35544" xr:uid="{00000000-0005-0000-0000-0000EBA80000}"/>
    <cellStyle name="Normal 58 5 5 2 3 4" xfId="18810" xr:uid="{00000000-0005-0000-0000-0000ECA80000}"/>
    <cellStyle name="Normal 58 5 5 2 3 4 2" xfId="44363" xr:uid="{00000000-0005-0000-0000-0000EDA80000}"/>
    <cellStyle name="Normal 58 5 5 2 3 5" xfId="30300" xr:uid="{00000000-0005-0000-0000-0000EEA80000}"/>
    <cellStyle name="Normal 58 5 5 2 4" xfId="2508" xr:uid="{00000000-0005-0000-0000-0000EFA80000}"/>
    <cellStyle name="Normal 58 5 5 2 4 2" xfId="11873" xr:uid="{00000000-0005-0000-0000-0000F0A80000}"/>
    <cellStyle name="Normal 58 5 5 2 4 2 2" xfId="37428" xr:uid="{00000000-0005-0000-0000-0000F1A80000}"/>
    <cellStyle name="Normal 58 5 5 2 4 3" xfId="21877" xr:uid="{00000000-0005-0000-0000-0000F2A80000}"/>
    <cellStyle name="Normal 58 5 5 2 4 3 2" xfId="47430" xr:uid="{00000000-0005-0000-0000-0000F3A80000}"/>
    <cellStyle name="Normal 58 5 5 2 4 4" xfId="28360" xr:uid="{00000000-0005-0000-0000-0000F4A80000}"/>
    <cellStyle name="Normal 58 5 5 2 5" xfId="6184" xr:uid="{00000000-0005-0000-0000-0000F5A80000}"/>
    <cellStyle name="Normal 58 5 5 2 5 2" xfId="15011" xr:uid="{00000000-0005-0000-0000-0000F6A80000}"/>
    <cellStyle name="Normal 58 5 5 2 5 2 2" xfId="40566" xr:uid="{00000000-0005-0000-0000-0000F7A80000}"/>
    <cellStyle name="Normal 58 5 5 2 5 3" xfId="25262" xr:uid="{00000000-0005-0000-0000-0000F8A80000}"/>
    <cellStyle name="Normal 58 5 5 2 5 3 2" xfId="50815" xr:uid="{00000000-0005-0000-0000-0000F9A80000}"/>
    <cellStyle name="Normal 58 5 5 2 5 4" xfId="31745" xr:uid="{00000000-0005-0000-0000-0000FAA80000}"/>
    <cellStyle name="Normal 58 5 5 2 6" xfId="7629" xr:uid="{00000000-0005-0000-0000-0000FBA80000}"/>
    <cellStyle name="Normal 58 5 5 2 6 2" xfId="20359" xr:uid="{00000000-0005-0000-0000-0000FCA80000}"/>
    <cellStyle name="Normal 58 5 5 2 6 2 2" xfId="45912" xr:uid="{00000000-0005-0000-0000-0000FDA80000}"/>
    <cellStyle name="Normal 58 5 5 2 6 3" xfId="33186" xr:uid="{00000000-0005-0000-0000-0000FEA80000}"/>
    <cellStyle name="Normal 58 5 5 2 7" xfId="16870" xr:uid="{00000000-0005-0000-0000-0000FFA80000}"/>
    <cellStyle name="Normal 58 5 5 2 7 2" xfId="42423" xr:uid="{00000000-0005-0000-0000-000000A90000}"/>
    <cellStyle name="Normal 58 5 5 2 8" xfId="26842" xr:uid="{00000000-0005-0000-0000-000001A90000}"/>
    <cellStyle name="Normal 58 5 5 3" xfId="1107" xr:uid="{00000000-0005-0000-0000-000002A90000}"/>
    <cellStyle name="Normal 58 5 5 3 2" xfId="3536" xr:uid="{00000000-0005-0000-0000-000003A90000}"/>
    <cellStyle name="Normal 58 5 5 3 2 2" xfId="12672" xr:uid="{00000000-0005-0000-0000-000004A90000}"/>
    <cellStyle name="Normal 58 5 5 3 2 2 2" xfId="22891" xr:uid="{00000000-0005-0000-0000-000005A90000}"/>
    <cellStyle name="Normal 58 5 5 3 2 2 2 2" xfId="48444" xr:uid="{00000000-0005-0000-0000-000006A90000}"/>
    <cellStyle name="Normal 58 5 5 3 2 2 3" xfId="38227" xr:uid="{00000000-0005-0000-0000-000007A90000}"/>
    <cellStyle name="Normal 58 5 5 3 2 3" xfId="9093" xr:uid="{00000000-0005-0000-0000-000008A90000}"/>
    <cellStyle name="Normal 58 5 5 3 2 3 2" xfId="34650" xr:uid="{00000000-0005-0000-0000-000009A90000}"/>
    <cellStyle name="Normal 58 5 5 3 2 4" xfId="17884" xr:uid="{00000000-0005-0000-0000-00000AA90000}"/>
    <cellStyle name="Normal 58 5 5 3 2 4 2" xfId="43437" xr:uid="{00000000-0005-0000-0000-00000BA90000}"/>
    <cellStyle name="Normal 58 5 5 3 2 5" xfId="29374" xr:uid="{00000000-0005-0000-0000-00000CA90000}"/>
    <cellStyle name="Normal 58 5 5 3 3" xfId="5077" xr:uid="{00000000-0005-0000-0000-00000DA90000}"/>
    <cellStyle name="Normal 58 5 5 3 3 2" xfId="13914" xr:uid="{00000000-0005-0000-0000-00000EA90000}"/>
    <cellStyle name="Normal 58 5 5 3 3 2 2" xfId="24165" xr:uid="{00000000-0005-0000-0000-00000FA90000}"/>
    <cellStyle name="Normal 58 5 5 3 3 2 2 2" xfId="49718" xr:uid="{00000000-0005-0000-0000-000010A90000}"/>
    <cellStyle name="Normal 58 5 5 3 3 2 3" xfId="39469" xr:uid="{00000000-0005-0000-0000-000011A90000}"/>
    <cellStyle name="Normal 58 5 5 3 3 3" xfId="10335" xr:uid="{00000000-0005-0000-0000-000012A90000}"/>
    <cellStyle name="Normal 58 5 5 3 3 3 2" xfId="35892" xr:uid="{00000000-0005-0000-0000-000013A90000}"/>
    <cellStyle name="Normal 58 5 5 3 3 4" xfId="19158" xr:uid="{00000000-0005-0000-0000-000014A90000}"/>
    <cellStyle name="Normal 58 5 5 3 3 4 2" xfId="44711" xr:uid="{00000000-0005-0000-0000-000015A90000}"/>
    <cellStyle name="Normal 58 5 5 3 3 5" xfId="30648" xr:uid="{00000000-0005-0000-0000-000016A90000}"/>
    <cellStyle name="Normal 58 5 5 3 4" xfId="2597" xr:uid="{00000000-0005-0000-0000-000017A90000}"/>
    <cellStyle name="Normal 58 5 5 3 4 2" xfId="11961" xr:uid="{00000000-0005-0000-0000-000018A90000}"/>
    <cellStyle name="Normal 58 5 5 3 4 2 2" xfId="37516" xr:uid="{00000000-0005-0000-0000-000019A90000}"/>
    <cellStyle name="Normal 58 5 5 3 4 3" xfId="21965" xr:uid="{00000000-0005-0000-0000-00001AA90000}"/>
    <cellStyle name="Normal 58 5 5 3 4 3 2" xfId="47518" xr:uid="{00000000-0005-0000-0000-00001BA90000}"/>
    <cellStyle name="Normal 58 5 5 3 4 4" xfId="28448" xr:uid="{00000000-0005-0000-0000-00001CA90000}"/>
    <cellStyle name="Normal 58 5 5 3 5" xfId="6532" xr:uid="{00000000-0005-0000-0000-00001DA90000}"/>
    <cellStyle name="Normal 58 5 5 3 5 2" xfId="15359" xr:uid="{00000000-0005-0000-0000-00001EA90000}"/>
    <cellStyle name="Normal 58 5 5 3 5 2 2" xfId="40914" xr:uid="{00000000-0005-0000-0000-00001FA90000}"/>
    <cellStyle name="Normal 58 5 5 3 5 3" xfId="25610" xr:uid="{00000000-0005-0000-0000-000020A90000}"/>
    <cellStyle name="Normal 58 5 5 3 5 3 2" xfId="51163" xr:uid="{00000000-0005-0000-0000-000021A90000}"/>
    <cellStyle name="Normal 58 5 5 3 5 4" xfId="32093" xr:uid="{00000000-0005-0000-0000-000022A90000}"/>
    <cellStyle name="Normal 58 5 5 3 6" xfId="7978" xr:uid="{00000000-0005-0000-0000-000023A90000}"/>
    <cellStyle name="Normal 58 5 5 3 6 2" xfId="20490" xr:uid="{00000000-0005-0000-0000-000024A90000}"/>
    <cellStyle name="Normal 58 5 5 3 6 2 2" xfId="46043" xr:uid="{00000000-0005-0000-0000-000025A90000}"/>
    <cellStyle name="Normal 58 5 5 3 6 3" xfId="33535" xr:uid="{00000000-0005-0000-0000-000026A90000}"/>
    <cellStyle name="Normal 58 5 5 3 7" xfId="16958" xr:uid="{00000000-0005-0000-0000-000027A90000}"/>
    <cellStyle name="Normal 58 5 5 3 7 2" xfId="42511" xr:uid="{00000000-0005-0000-0000-000028A90000}"/>
    <cellStyle name="Normal 58 5 5 3 8" xfId="26973" xr:uid="{00000000-0005-0000-0000-000029A90000}"/>
    <cellStyle name="Normal 58 5 5 4" xfId="2821" xr:uid="{00000000-0005-0000-0000-00002AA90000}"/>
    <cellStyle name="Normal 58 5 5 4 2" xfId="5199" xr:uid="{00000000-0005-0000-0000-00002BA90000}"/>
    <cellStyle name="Normal 58 5 5 4 2 2" xfId="14036" xr:uid="{00000000-0005-0000-0000-00002CA90000}"/>
    <cellStyle name="Normal 58 5 5 4 2 2 2" xfId="24287" xr:uid="{00000000-0005-0000-0000-00002DA90000}"/>
    <cellStyle name="Normal 58 5 5 4 2 2 2 2" xfId="49840" xr:uid="{00000000-0005-0000-0000-00002EA90000}"/>
    <cellStyle name="Normal 58 5 5 4 2 2 3" xfId="39591" xr:uid="{00000000-0005-0000-0000-00002FA90000}"/>
    <cellStyle name="Normal 58 5 5 4 2 3" xfId="10457" xr:uid="{00000000-0005-0000-0000-000030A90000}"/>
    <cellStyle name="Normal 58 5 5 4 2 3 2" xfId="36014" xr:uid="{00000000-0005-0000-0000-000031A90000}"/>
    <cellStyle name="Normal 58 5 5 4 2 4" xfId="19280" xr:uid="{00000000-0005-0000-0000-000032A90000}"/>
    <cellStyle name="Normal 58 5 5 4 2 4 2" xfId="44833" xr:uid="{00000000-0005-0000-0000-000033A90000}"/>
    <cellStyle name="Normal 58 5 5 4 2 5" xfId="30770" xr:uid="{00000000-0005-0000-0000-000034A90000}"/>
    <cellStyle name="Normal 58 5 5 4 3" xfId="6654" xr:uid="{00000000-0005-0000-0000-000035A90000}"/>
    <cellStyle name="Normal 58 5 5 4 3 2" xfId="15481" xr:uid="{00000000-0005-0000-0000-000036A90000}"/>
    <cellStyle name="Normal 58 5 5 4 3 2 2" xfId="41036" xr:uid="{00000000-0005-0000-0000-000037A90000}"/>
    <cellStyle name="Normal 58 5 5 4 3 3" xfId="25732" xr:uid="{00000000-0005-0000-0000-000038A90000}"/>
    <cellStyle name="Normal 58 5 5 4 3 3 2" xfId="51285" xr:uid="{00000000-0005-0000-0000-000039A90000}"/>
    <cellStyle name="Normal 58 5 5 4 3 4" xfId="32215" xr:uid="{00000000-0005-0000-0000-00003AA90000}"/>
    <cellStyle name="Normal 58 5 5 4 4" xfId="8100" xr:uid="{00000000-0005-0000-0000-00003BA90000}"/>
    <cellStyle name="Normal 58 5 5 4 4 2" xfId="22182" xr:uid="{00000000-0005-0000-0000-00003CA90000}"/>
    <cellStyle name="Normal 58 5 5 4 4 2 2" xfId="47735" xr:uid="{00000000-0005-0000-0000-00003DA90000}"/>
    <cellStyle name="Normal 58 5 5 4 4 3" xfId="33657" xr:uid="{00000000-0005-0000-0000-00003EA90000}"/>
    <cellStyle name="Normal 58 5 5 4 5" xfId="17175" xr:uid="{00000000-0005-0000-0000-00003FA90000}"/>
    <cellStyle name="Normal 58 5 5 4 5 2" xfId="42728" xr:uid="{00000000-0005-0000-0000-000040A90000}"/>
    <cellStyle name="Normal 58 5 5 4 6" xfId="28665" xr:uid="{00000000-0005-0000-0000-000041A90000}"/>
    <cellStyle name="Normal 58 5 5 5" xfId="4153" xr:uid="{00000000-0005-0000-0000-000042A90000}"/>
    <cellStyle name="Normal 58 5 5 5 2" xfId="12991" xr:uid="{00000000-0005-0000-0000-000043A90000}"/>
    <cellStyle name="Normal 58 5 5 5 2 2" xfId="23242" xr:uid="{00000000-0005-0000-0000-000044A90000}"/>
    <cellStyle name="Normal 58 5 5 5 2 2 2" xfId="48795" xr:uid="{00000000-0005-0000-0000-000045A90000}"/>
    <cellStyle name="Normal 58 5 5 5 2 3" xfId="38546" xr:uid="{00000000-0005-0000-0000-000046A90000}"/>
    <cellStyle name="Normal 58 5 5 5 3" xfId="9412" xr:uid="{00000000-0005-0000-0000-000047A90000}"/>
    <cellStyle name="Normal 58 5 5 5 3 2" xfId="34969" xr:uid="{00000000-0005-0000-0000-000048A90000}"/>
    <cellStyle name="Normal 58 5 5 5 4" xfId="18235" xr:uid="{00000000-0005-0000-0000-000049A90000}"/>
    <cellStyle name="Normal 58 5 5 5 4 2" xfId="43788" xr:uid="{00000000-0005-0000-0000-00004AA90000}"/>
    <cellStyle name="Normal 58 5 5 5 5" xfId="29725" xr:uid="{00000000-0005-0000-0000-00004BA90000}"/>
    <cellStyle name="Normal 58 5 5 6" xfId="1930" xr:uid="{00000000-0005-0000-0000-00004CA90000}"/>
    <cellStyle name="Normal 58 5 5 6 2" xfId="11295" xr:uid="{00000000-0005-0000-0000-00004DA90000}"/>
    <cellStyle name="Normal 58 5 5 6 2 2" xfId="36850" xr:uid="{00000000-0005-0000-0000-00004EA90000}"/>
    <cellStyle name="Normal 58 5 5 6 3" xfId="21299" xr:uid="{00000000-0005-0000-0000-00004FA90000}"/>
    <cellStyle name="Normal 58 5 5 6 3 2" xfId="46852" xr:uid="{00000000-0005-0000-0000-000050A90000}"/>
    <cellStyle name="Normal 58 5 5 6 4" xfId="27782" xr:uid="{00000000-0005-0000-0000-000051A90000}"/>
    <cellStyle name="Normal 58 5 5 7" xfId="5611" xr:uid="{00000000-0005-0000-0000-000052A90000}"/>
    <cellStyle name="Normal 58 5 5 7 2" xfId="14438" xr:uid="{00000000-0005-0000-0000-000053A90000}"/>
    <cellStyle name="Normal 58 5 5 7 2 2" xfId="39993" xr:uid="{00000000-0005-0000-0000-000054A90000}"/>
    <cellStyle name="Normal 58 5 5 7 3" xfId="24689" xr:uid="{00000000-0005-0000-0000-000055A90000}"/>
    <cellStyle name="Normal 58 5 5 7 3 2" xfId="50242" xr:uid="{00000000-0005-0000-0000-000056A90000}"/>
    <cellStyle name="Normal 58 5 5 7 4" xfId="31172" xr:uid="{00000000-0005-0000-0000-000057A90000}"/>
    <cellStyle name="Normal 58 5 5 8" xfId="7055" xr:uid="{00000000-0005-0000-0000-000058A90000}"/>
    <cellStyle name="Normal 58 5 5 8 2" xfId="19781" xr:uid="{00000000-0005-0000-0000-000059A90000}"/>
    <cellStyle name="Normal 58 5 5 8 2 2" xfId="45334" xr:uid="{00000000-0005-0000-0000-00005AA90000}"/>
    <cellStyle name="Normal 58 5 5 8 3" xfId="32612" xr:uid="{00000000-0005-0000-0000-00005BA90000}"/>
    <cellStyle name="Normal 58 5 5 9" xfId="16292" xr:uid="{00000000-0005-0000-0000-00005CA90000}"/>
    <cellStyle name="Normal 58 5 5 9 2" xfId="41845" xr:uid="{00000000-0005-0000-0000-00005DA90000}"/>
    <cellStyle name="Normal 58 5 5_Degree data" xfId="4020" xr:uid="{00000000-0005-0000-0000-00005EA90000}"/>
    <cellStyle name="Normal 58 5 6" xfId="908" xr:uid="{00000000-0005-0000-0000-00005FA90000}"/>
    <cellStyle name="Normal 58 5 6 2" xfId="3393" xr:uid="{00000000-0005-0000-0000-000060A90000}"/>
    <cellStyle name="Normal 58 5 6 2 2" xfId="12535" xr:uid="{00000000-0005-0000-0000-000061A90000}"/>
    <cellStyle name="Normal 58 5 6 2 2 2" xfId="22754" xr:uid="{00000000-0005-0000-0000-000062A90000}"/>
    <cellStyle name="Normal 58 5 6 2 2 2 2" xfId="48307" xr:uid="{00000000-0005-0000-0000-000063A90000}"/>
    <cellStyle name="Normal 58 5 6 2 2 3" xfId="38090" xr:uid="{00000000-0005-0000-0000-000064A90000}"/>
    <cellStyle name="Normal 58 5 6 2 3" xfId="8957" xr:uid="{00000000-0005-0000-0000-000065A90000}"/>
    <cellStyle name="Normal 58 5 6 2 3 2" xfId="34514" xr:uid="{00000000-0005-0000-0000-000066A90000}"/>
    <cellStyle name="Normal 58 5 6 2 4" xfId="17747" xr:uid="{00000000-0005-0000-0000-000067A90000}"/>
    <cellStyle name="Normal 58 5 6 2 4 2" xfId="43300" xr:uid="{00000000-0005-0000-0000-000068A90000}"/>
    <cellStyle name="Normal 58 5 6 2 5" xfId="29237" xr:uid="{00000000-0005-0000-0000-000069A90000}"/>
    <cellStyle name="Normal 58 5 6 3" xfId="4722" xr:uid="{00000000-0005-0000-0000-00006AA90000}"/>
    <cellStyle name="Normal 58 5 6 3 2" xfId="13560" xr:uid="{00000000-0005-0000-0000-00006BA90000}"/>
    <cellStyle name="Normal 58 5 6 3 2 2" xfId="23811" xr:uid="{00000000-0005-0000-0000-00006CA90000}"/>
    <cellStyle name="Normal 58 5 6 3 2 2 2" xfId="49364" xr:uid="{00000000-0005-0000-0000-00006DA90000}"/>
    <cellStyle name="Normal 58 5 6 3 2 3" xfId="39115" xr:uid="{00000000-0005-0000-0000-00006EA90000}"/>
    <cellStyle name="Normal 58 5 6 3 3" xfId="9981" xr:uid="{00000000-0005-0000-0000-00006FA90000}"/>
    <cellStyle name="Normal 58 5 6 3 3 2" xfId="35538" xr:uid="{00000000-0005-0000-0000-000070A90000}"/>
    <cellStyle name="Normal 58 5 6 3 4" xfId="18804" xr:uid="{00000000-0005-0000-0000-000071A90000}"/>
    <cellStyle name="Normal 58 5 6 3 4 2" xfId="44357" xr:uid="{00000000-0005-0000-0000-000072A90000}"/>
    <cellStyle name="Normal 58 5 6 3 5" xfId="30294" xr:uid="{00000000-0005-0000-0000-000073A90000}"/>
    <cellStyle name="Normal 58 5 6 4" xfId="2502" xr:uid="{00000000-0005-0000-0000-000074A90000}"/>
    <cellStyle name="Normal 58 5 6 4 2" xfId="11867" xr:uid="{00000000-0005-0000-0000-000075A90000}"/>
    <cellStyle name="Normal 58 5 6 4 2 2" xfId="37422" xr:uid="{00000000-0005-0000-0000-000076A90000}"/>
    <cellStyle name="Normal 58 5 6 4 3" xfId="21871" xr:uid="{00000000-0005-0000-0000-000077A90000}"/>
    <cellStyle name="Normal 58 5 6 4 3 2" xfId="47424" xr:uid="{00000000-0005-0000-0000-000078A90000}"/>
    <cellStyle name="Normal 58 5 6 4 4" xfId="28354" xr:uid="{00000000-0005-0000-0000-000079A90000}"/>
    <cellStyle name="Normal 58 5 6 5" xfId="6178" xr:uid="{00000000-0005-0000-0000-00007AA90000}"/>
    <cellStyle name="Normal 58 5 6 5 2" xfId="15005" xr:uid="{00000000-0005-0000-0000-00007BA90000}"/>
    <cellStyle name="Normal 58 5 6 5 2 2" xfId="40560" xr:uid="{00000000-0005-0000-0000-00007CA90000}"/>
    <cellStyle name="Normal 58 5 6 5 3" xfId="25256" xr:uid="{00000000-0005-0000-0000-00007DA90000}"/>
    <cellStyle name="Normal 58 5 6 5 3 2" xfId="50809" xr:uid="{00000000-0005-0000-0000-00007EA90000}"/>
    <cellStyle name="Normal 58 5 6 5 4" xfId="31739" xr:uid="{00000000-0005-0000-0000-00007FA90000}"/>
    <cellStyle name="Normal 58 5 6 6" xfId="7623" xr:uid="{00000000-0005-0000-0000-000080A90000}"/>
    <cellStyle name="Normal 58 5 6 6 2" xfId="20353" xr:uid="{00000000-0005-0000-0000-000081A90000}"/>
    <cellStyle name="Normal 58 5 6 6 2 2" xfId="45906" xr:uid="{00000000-0005-0000-0000-000082A90000}"/>
    <cellStyle name="Normal 58 5 6 6 3" xfId="33180" xr:uid="{00000000-0005-0000-0000-000083A90000}"/>
    <cellStyle name="Normal 58 5 6 7" xfId="16864" xr:uid="{00000000-0005-0000-0000-000084A90000}"/>
    <cellStyle name="Normal 58 5 6 7 2" xfId="42417" xr:uid="{00000000-0005-0000-0000-000085A90000}"/>
    <cellStyle name="Normal 58 5 6 8" xfId="26836" xr:uid="{00000000-0005-0000-0000-000086A90000}"/>
    <cellStyle name="Normal 58 5 7" xfId="1062" xr:uid="{00000000-0005-0000-0000-000087A90000}"/>
    <cellStyle name="Normal 58 5 7 2" xfId="3491" xr:uid="{00000000-0005-0000-0000-000088A90000}"/>
    <cellStyle name="Normal 58 5 7 2 2" xfId="12627" xr:uid="{00000000-0005-0000-0000-000089A90000}"/>
    <cellStyle name="Normal 58 5 7 2 2 2" xfId="22846" xr:uid="{00000000-0005-0000-0000-00008AA90000}"/>
    <cellStyle name="Normal 58 5 7 2 2 2 2" xfId="48399" xr:uid="{00000000-0005-0000-0000-00008BA90000}"/>
    <cellStyle name="Normal 58 5 7 2 2 3" xfId="38182" xr:uid="{00000000-0005-0000-0000-00008CA90000}"/>
    <cellStyle name="Normal 58 5 7 2 3" xfId="9049" xr:uid="{00000000-0005-0000-0000-00008DA90000}"/>
    <cellStyle name="Normal 58 5 7 2 3 2" xfId="34606" xr:uid="{00000000-0005-0000-0000-00008EA90000}"/>
    <cellStyle name="Normal 58 5 7 2 4" xfId="17839" xr:uid="{00000000-0005-0000-0000-00008FA90000}"/>
    <cellStyle name="Normal 58 5 7 2 4 2" xfId="43392" xr:uid="{00000000-0005-0000-0000-000090A90000}"/>
    <cellStyle name="Normal 58 5 7 2 5" xfId="29329" xr:uid="{00000000-0005-0000-0000-000091A90000}"/>
    <cellStyle name="Normal 58 5 7 3" xfId="5071" xr:uid="{00000000-0005-0000-0000-000092A90000}"/>
    <cellStyle name="Normal 58 5 7 3 2" xfId="13908" xr:uid="{00000000-0005-0000-0000-000093A90000}"/>
    <cellStyle name="Normal 58 5 7 3 2 2" xfId="24159" xr:uid="{00000000-0005-0000-0000-000094A90000}"/>
    <cellStyle name="Normal 58 5 7 3 2 2 2" xfId="49712" xr:uid="{00000000-0005-0000-0000-000095A90000}"/>
    <cellStyle name="Normal 58 5 7 3 2 3" xfId="39463" xr:uid="{00000000-0005-0000-0000-000096A90000}"/>
    <cellStyle name="Normal 58 5 7 3 3" xfId="10329" xr:uid="{00000000-0005-0000-0000-000097A90000}"/>
    <cellStyle name="Normal 58 5 7 3 3 2" xfId="35886" xr:uid="{00000000-0005-0000-0000-000098A90000}"/>
    <cellStyle name="Normal 58 5 7 3 4" xfId="19152" xr:uid="{00000000-0005-0000-0000-000099A90000}"/>
    <cellStyle name="Normal 58 5 7 3 4 2" xfId="44705" xr:uid="{00000000-0005-0000-0000-00009AA90000}"/>
    <cellStyle name="Normal 58 5 7 3 5" xfId="30642" xr:uid="{00000000-0005-0000-0000-00009BA90000}"/>
    <cellStyle name="Normal 58 5 7 4" xfId="1764" xr:uid="{00000000-0005-0000-0000-00009CA90000}"/>
    <cellStyle name="Normal 58 5 7 4 2" xfId="11135" xr:uid="{00000000-0005-0000-0000-00009DA90000}"/>
    <cellStyle name="Normal 58 5 7 4 2 2" xfId="36690" xr:uid="{00000000-0005-0000-0000-00009EA90000}"/>
    <cellStyle name="Normal 58 5 7 4 3" xfId="21139" xr:uid="{00000000-0005-0000-0000-00009FA90000}"/>
    <cellStyle name="Normal 58 5 7 4 3 2" xfId="46692" xr:uid="{00000000-0005-0000-0000-0000A0A90000}"/>
    <cellStyle name="Normal 58 5 7 4 4" xfId="27622" xr:uid="{00000000-0005-0000-0000-0000A1A90000}"/>
    <cellStyle name="Normal 58 5 7 5" xfId="6526" xr:uid="{00000000-0005-0000-0000-0000A2A90000}"/>
    <cellStyle name="Normal 58 5 7 5 2" xfId="15353" xr:uid="{00000000-0005-0000-0000-0000A3A90000}"/>
    <cellStyle name="Normal 58 5 7 5 2 2" xfId="40908" xr:uid="{00000000-0005-0000-0000-0000A4A90000}"/>
    <cellStyle name="Normal 58 5 7 5 3" xfId="25604" xr:uid="{00000000-0005-0000-0000-0000A5A90000}"/>
    <cellStyle name="Normal 58 5 7 5 3 2" xfId="51157" xr:uid="{00000000-0005-0000-0000-0000A6A90000}"/>
    <cellStyle name="Normal 58 5 7 5 4" xfId="32087" xr:uid="{00000000-0005-0000-0000-0000A7A90000}"/>
    <cellStyle name="Normal 58 5 7 6" xfId="7972" xr:uid="{00000000-0005-0000-0000-0000A8A90000}"/>
    <cellStyle name="Normal 58 5 7 6 2" xfId="20445" xr:uid="{00000000-0005-0000-0000-0000A9A90000}"/>
    <cellStyle name="Normal 58 5 7 6 2 2" xfId="45998" xr:uid="{00000000-0005-0000-0000-0000AAA90000}"/>
    <cellStyle name="Normal 58 5 7 6 3" xfId="33529" xr:uid="{00000000-0005-0000-0000-0000ABA90000}"/>
    <cellStyle name="Normal 58 5 7 7" xfId="16132" xr:uid="{00000000-0005-0000-0000-0000ACA90000}"/>
    <cellStyle name="Normal 58 5 7 7 2" xfId="41685" xr:uid="{00000000-0005-0000-0000-0000ADA90000}"/>
    <cellStyle name="Normal 58 5 7 8" xfId="26928" xr:uid="{00000000-0005-0000-0000-0000AEA90000}"/>
    <cellStyle name="Normal 58 5 8" xfId="2661" xr:uid="{00000000-0005-0000-0000-0000AFA90000}"/>
    <cellStyle name="Normal 58 5 8 2" xfId="5154" xr:uid="{00000000-0005-0000-0000-0000B0A90000}"/>
    <cellStyle name="Normal 58 5 8 2 2" xfId="13991" xr:uid="{00000000-0005-0000-0000-0000B1A90000}"/>
    <cellStyle name="Normal 58 5 8 2 2 2" xfId="24242" xr:uid="{00000000-0005-0000-0000-0000B2A90000}"/>
    <cellStyle name="Normal 58 5 8 2 2 2 2" xfId="49795" xr:uid="{00000000-0005-0000-0000-0000B3A90000}"/>
    <cellStyle name="Normal 58 5 8 2 2 3" xfId="39546" xr:uid="{00000000-0005-0000-0000-0000B4A90000}"/>
    <cellStyle name="Normal 58 5 8 2 3" xfId="10412" xr:uid="{00000000-0005-0000-0000-0000B5A90000}"/>
    <cellStyle name="Normal 58 5 8 2 3 2" xfId="35969" xr:uid="{00000000-0005-0000-0000-0000B6A90000}"/>
    <cellStyle name="Normal 58 5 8 2 4" xfId="19235" xr:uid="{00000000-0005-0000-0000-0000B7A90000}"/>
    <cellStyle name="Normal 58 5 8 2 4 2" xfId="44788" xr:uid="{00000000-0005-0000-0000-0000B8A90000}"/>
    <cellStyle name="Normal 58 5 8 2 5" xfId="30725" xr:uid="{00000000-0005-0000-0000-0000B9A90000}"/>
    <cellStyle name="Normal 58 5 8 3" xfId="6609" xr:uid="{00000000-0005-0000-0000-0000BAA90000}"/>
    <cellStyle name="Normal 58 5 8 3 2" xfId="15436" xr:uid="{00000000-0005-0000-0000-0000BBA90000}"/>
    <cellStyle name="Normal 58 5 8 3 2 2" xfId="40991" xr:uid="{00000000-0005-0000-0000-0000BCA90000}"/>
    <cellStyle name="Normal 58 5 8 3 3" xfId="25687" xr:uid="{00000000-0005-0000-0000-0000BDA90000}"/>
    <cellStyle name="Normal 58 5 8 3 3 2" xfId="51240" xr:uid="{00000000-0005-0000-0000-0000BEA90000}"/>
    <cellStyle name="Normal 58 5 8 3 4" xfId="32170" xr:uid="{00000000-0005-0000-0000-0000BFA90000}"/>
    <cellStyle name="Normal 58 5 8 4" xfId="8055" xr:uid="{00000000-0005-0000-0000-0000C0A90000}"/>
    <cellStyle name="Normal 58 5 8 4 2" xfId="22022" xr:uid="{00000000-0005-0000-0000-0000C1A90000}"/>
    <cellStyle name="Normal 58 5 8 4 2 2" xfId="47575" xr:uid="{00000000-0005-0000-0000-0000C2A90000}"/>
    <cellStyle name="Normal 58 5 8 4 3" xfId="33612" xr:uid="{00000000-0005-0000-0000-0000C3A90000}"/>
    <cellStyle name="Normal 58 5 8 5" xfId="17015" xr:uid="{00000000-0005-0000-0000-0000C4A90000}"/>
    <cellStyle name="Normal 58 5 8 5 2" xfId="42568" xr:uid="{00000000-0005-0000-0000-0000C5A90000}"/>
    <cellStyle name="Normal 58 5 8 6" xfId="28505" xr:uid="{00000000-0005-0000-0000-0000C6A90000}"/>
    <cellStyle name="Normal 58 5 9" xfId="4108" xr:uid="{00000000-0005-0000-0000-0000C7A90000}"/>
    <cellStyle name="Normal 58 5 9 2" xfId="5566" xr:uid="{00000000-0005-0000-0000-0000C8A90000}"/>
    <cellStyle name="Normal 58 5 9 2 2" xfId="14393" xr:uid="{00000000-0005-0000-0000-0000C9A90000}"/>
    <cellStyle name="Normal 58 5 9 2 2 2" xfId="39948" xr:uid="{00000000-0005-0000-0000-0000CAA90000}"/>
    <cellStyle name="Normal 58 5 9 2 3" xfId="24644" xr:uid="{00000000-0005-0000-0000-0000CBA90000}"/>
    <cellStyle name="Normal 58 5 9 2 3 2" xfId="50197" xr:uid="{00000000-0005-0000-0000-0000CCA90000}"/>
    <cellStyle name="Normal 58 5 9 2 4" xfId="31127" xr:uid="{00000000-0005-0000-0000-0000CDA90000}"/>
    <cellStyle name="Normal 58 5 9 3" xfId="7010" xr:uid="{00000000-0005-0000-0000-0000CEA90000}"/>
    <cellStyle name="Normal 58 5 9 3 2" xfId="23197" xr:uid="{00000000-0005-0000-0000-0000CFA90000}"/>
    <cellStyle name="Normal 58 5 9 3 2 2" xfId="48750" xr:uid="{00000000-0005-0000-0000-0000D0A90000}"/>
    <cellStyle name="Normal 58 5 9 3 3" xfId="32567" xr:uid="{00000000-0005-0000-0000-0000D1A90000}"/>
    <cellStyle name="Normal 58 5 9 4" xfId="18190" xr:uid="{00000000-0005-0000-0000-0000D2A90000}"/>
    <cellStyle name="Normal 58 5 9 4 2" xfId="43743" xr:uid="{00000000-0005-0000-0000-0000D3A90000}"/>
    <cellStyle name="Normal 58 5 9 5" xfId="29680" xr:uid="{00000000-0005-0000-0000-0000D4A90000}"/>
    <cellStyle name="Normal 58 5_Degree data" xfId="4014" xr:uid="{00000000-0005-0000-0000-0000D5A90000}"/>
    <cellStyle name="Normal 58 6" xfId="137" xr:uid="{00000000-0005-0000-0000-0000D6A90000}"/>
    <cellStyle name="Normal 58 6 10" xfId="1405" xr:uid="{00000000-0005-0000-0000-0000D7A90000}"/>
    <cellStyle name="Normal 58 6 10 2" xfId="10782" xr:uid="{00000000-0005-0000-0000-0000D8A90000}"/>
    <cellStyle name="Normal 58 6 10 2 2" xfId="36337" xr:uid="{00000000-0005-0000-0000-0000D9A90000}"/>
    <cellStyle name="Normal 58 6 10 3" xfId="20786" xr:uid="{00000000-0005-0000-0000-0000DAA90000}"/>
    <cellStyle name="Normal 58 6 10 3 2" xfId="46339" xr:uid="{00000000-0005-0000-0000-0000DBA90000}"/>
    <cellStyle name="Normal 58 6 10 4" xfId="27269" xr:uid="{00000000-0005-0000-0000-0000DCA90000}"/>
    <cellStyle name="Normal 58 6 11" xfId="5516" xr:uid="{00000000-0005-0000-0000-0000DDA90000}"/>
    <cellStyle name="Normal 58 6 11 2" xfId="14343" xr:uid="{00000000-0005-0000-0000-0000DEA90000}"/>
    <cellStyle name="Normal 58 6 11 2 2" xfId="39898" xr:uid="{00000000-0005-0000-0000-0000DFA90000}"/>
    <cellStyle name="Normal 58 6 11 3" xfId="24594" xr:uid="{00000000-0005-0000-0000-0000E0A90000}"/>
    <cellStyle name="Normal 58 6 11 3 2" xfId="50147" xr:uid="{00000000-0005-0000-0000-0000E1A90000}"/>
    <cellStyle name="Normal 58 6 11 4" xfId="31077" xr:uid="{00000000-0005-0000-0000-0000E2A90000}"/>
    <cellStyle name="Normal 58 6 12" xfId="6956" xr:uid="{00000000-0005-0000-0000-0000E3A90000}"/>
    <cellStyle name="Normal 58 6 12 2" xfId="19601" xr:uid="{00000000-0005-0000-0000-0000E4A90000}"/>
    <cellStyle name="Normal 58 6 12 2 2" xfId="45154" xr:uid="{00000000-0005-0000-0000-0000E5A90000}"/>
    <cellStyle name="Normal 58 6 12 3" xfId="32514" xr:uid="{00000000-0005-0000-0000-0000E6A90000}"/>
    <cellStyle name="Normal 58 6 13" xfId="15779" xr:uid="{00000000-0005-0000-0000-0000E7A90000}"/>
    <cellStyle name="Normal 58 6 13 2" xfId="41332" xr:uid="{00000000-0005-0000-0000-0000E8A90000}"/>
    <cellStyle name="Normal 58 6 14" xfId="26084" xr:uid="{00000000-0005-0000-0000-0000E9A90000}"/>
    <cellStyle name="Normal 58 6 2" xfId="187" xr:uid="{00000000-0005-0000-0000-0000EAA90000}"/>
    <cellStyle name="Normal 58 6 2 10" xfId="7135" xr:uid="{00000000-0005-0000-0000-0000EBA90000}"/>
    <cellStyle name="Normal 58 6 2 10 2" xfId="19644" xr:uid="{00000000-0005-0000-0000-0000ECA90000}"/>
    <cellStyle name="Normal 58 6 2 10 2 2" xfId="45197" xr:uid="{00000000-0005-0000-0000-0000EDA90000}"/>
    <cellStyle name="Normal 58 6 2 10 3" xfId="32692" xr:uid="{00000000-0005-0000-0000-0000EEA90000}"/>
    <cellStyle name="Normal 58 6 2 11" xfId="15881" xr:uid="{00000000-0005-0000-0000-0000EFA90000}"/>
    <cellStyle name="Normal 58 6 2 11 2" xfId="41434" xr:uid="{00000000-0005-0000-0000-0000F0A90000}"/>
    <cellStyle name="Normal 58 6 2 12" xfId="26127" xr:uid="{00000000-0005-0000-0000-0000F1A90000}"/>
    <cellStyle name="Normal 58 6 2 2" xfId="515" xr:uid="{00000000-0005-0000-0000-0000F2A90000}"/>
    <cellStyle name="Normal 58 6 2 2 10" xfId="26444" xr:uid="{00000000-0005-0000-0000-0000F3A90000}"/>
    <cellStyle name="Normal 58 6 2 2 2" xfId="917" xr:uid="{00000000-0005-0000-0000-0000F4A90000}"/>
    <cellStyle name="Normal 58 6 2 2 2 2" xfId="3402" xr:uid="{00000000-0005-0000-0000-0000F5A90000}"/>
    <cellStyle name="Normal 58 6 2 2 2 2 2" xfId="12544" xr:uid="{00000000-0005-0000-0000-0000F6A90000}"/>
    <cellStyle name="Normal 58 6 2 2 2 2 2 2" xfId="22763" xr:uid="{00000000-0005-0000-0000-0000F7A90000}"/>
    <cellStyle name="Normal 58 6 2 2 2 2 2 2 2" xfId="48316" xr:uid="{00000000-0005-0000-0000-0000F8A90000}"/>
    <cellStyle name="Normal 58 6 2 2 2 2 2 3" xfId="38099" xr:uid="{00000000-0005-0000-0000-0000F9A90000}"/>
    <cellStyle name="Normal 58 6 2 2 2 2 3" xfId="8966" xr:uid="{00000000-0005-0000-0000-0000FAA90000}"/>
    <cellStyle name="Normal 58 6 2 2 2 2 3 2" xfId="34523" xr:uid="{00000000-0005-0000-0000-0000FBA90000}"/>
    <cellStyle name="Normal 58 6 2 2 2 2 4" xfId="17756" xr:uid="{00000000-0005-0000-0000-0000FCA90000}"/>
    <cellStyle name="Normal 58 6 2 2 2 2 4 2" xfId="43309" xr:uid="{00000000-0005-0000-0000-0000FDA90000}"/>
    <cellStyle name="Normal 58 6 2 2 2 2 5" xfId="29246" xr:uid="{00000000-0005-0000-0000-0000FEA90000}"/>
    <cellStyle name="Normal 58 6 2 2 2 3" xfId="4731" xr:uid="{00000000-0005-0000-0000-0000FFA90000}"/>
    <cellStyle name="Normal 58 6 2 2 2 3 2" xfId="13569" xr:uid="{00000000-0005-0000-0000-000000AA0000}"/>
    <cellStyle name="Normal 58 6 2 2 2 3 2 2" xfId="23820" xr:uid="{00000000-0005-0000-0000-000001AA0000}"/>
    <cellStyle name="Normal 58 6 2 2 2 3 2 2 2" xfId="49373" xr:uid="{00000000-0005-0000-0000-000002AA0000}"/>
    <cellStyle name="Normal 58 6 2 2 2 3 2 3" xfId="39124" xr:uid="{00000000-0005-0000-0000-000003AA0000}"/>
    <cellStyle name="Normal 58 6 2 2 2 3 3" xfId="9990" xr:uid="{00000000-0005-0000-0000-000004AA0000}"/>
    <cellStyle name="Normal 58 6 2 2 2 3 3 2" xfId="35547" xr:uid="{00000000-0005-0000-0000-000005AA0000}"/>
    <cellStyle name="Normal 58 6 2 2 2 3 4" xfId="18813" xr:uid="{00000000-0005-0000-0000-000006AA0000}"/>
    <cellStyle name="Normal 58 6 2 2 2 3 4 2" xfId="44366" xr:uid="{00000000-0005-0000-0000-000007AA0000}"/>
    <cellStyle name="Normal 58 6 2 2 2 3 5" xfId="30303" xr:uid="{00000000-0005-0000-0000-000008AA0000}"/>
    <cellStyle name="Normal 58 6 2 2 2 4" xfId="2511" xr:uid="{00000000-0005-0000-0000-000009AA0000}"/>
    <cellStyle name="Normal 58 6 2 2 2 4 2" xfId="11876" xr:uid="{00000000-0005-0000-0000-00000AAA0000}"/>
    <cellStyle name="Normal 58 6 2 2 2 4 2 2" xfId="37431" xr:uid="{00000000-0005-0000-0000-00000BAA0000}"/>
    <cellStyle name="Normal 58 6 2 2 2 4 3" xfId="21880" xr:uid="{00000000-0005-0000-0000-00000CAA0000}"/>
    <cellStyle name="Normal 58 6 2 2 2 4 3 2" xfId="47433" xr:uid="{00000000-0005-0000-0000-00000DAA0000}"/>
    <cellStyle name="Normal 58 6 2 2 2 4 4" xfId="28363" xr:uid="{00000000-0005-0000-0000-00000EAA0000}"/>
    <cellStyle name="Normal 58 6 2 2 2 5" xfId="6187" xr:uid="{00000000-0005-0000-0000-00000FAA0000}"/>
    <cellStyle name="Normal 58 6 2 2 2 5 2" xfId="15014" xr:uid="{00000000-0005-0000-0000-000010AA0000}"/>
    <cellStyle name="Normal 58 6 2 2 2 5 2 2" xfId="40569" xr:uid="{00000000-0005-0000-0000-000011AA0000}"/>
    <cellStyle name="Normal 58 6 2 2 2 5 3" xfId="25265" xr:uid="{00000000-0005-0000-0000-000012AA0000}"/>
    <cellStyle name="Normal 58 6 2 2 2 5 3 2" xfId="50818" xr:uid="{00000000-0005-0000-0000-000013AA0000}"/>
    <cellStyle name="Normal 58 6 2 2 2 5 4" xfId="31748" xr:uid="{00000000-0005-0000-0000-000014AA0000}"/>
    <cellStyle name="Normal 58 6 2 2 2 6" xfId="7632" xr:uid="{00000000-0005-0000-0000-000015AA0000}"/>
    <cellStyle name="Normal 58 6 2 2 2 6 2" xfId="20362" xr:uid="{00000000-0005-0000-0000-000016AA0000}"/>
    <cellStyle name="Normal 58 6 2 2 2 6 2 2" xfId="45915" xr:uid="{00000000-0005-0000-0000-000017AA0000}"/>
    <cellStyle name="Normal 58 6 2 2 2 6 3" xfId="33189" xr:uid="{00000000-0005-0000-0000-000018AA0000}"/>
    <cellStyle name="Normal 58 6 2 2 2 7" xfId="16873" xr:uid="{00000000-0005-0000-0000-000019AA0000}"/>
    <cellStyle name="Normal 58 6 2 2 2 7 2" xfId="42426" xr:uid="{00000000-0005-0000-0000-00001AAA0000}"/>
    <cellStyle name="Normal 58 6 2 2 2 8" xfId="26845" xr:uid="{00000000-0005-0000-0000-00001BAA0000}"/>
    <cellStyle name="Normal 58 6 2 2 3" xfId="1287" xr:uid="{00000000-0005-0000-0000-00001CAA0000}"/>
    <cellStyle name="Normal 58 6 2 2 3 2" xfId="3716" xr:uid="{00000000-0005-0000-0000-00001DAA0000}"/>
    <cellStyle name="Normal 58 6 2 2 3 2 2" xfId="12852" xr:uid="{00000000-0005-0000-0000-00001EAA0000}"/>
    <cellStyle name="Normal 58 6 2 2 3 2 2 2" xfId="23071" xr:uid="{00000000-0005-0000-0000-00001FAA0000}"/>
    <cellStyle name="Normal 58 6 2 2 3 2 2 2 2" xfId="48624" xr:uid="{00000000-0005-0000-0000-000020AA0000}"/>
    <cellStyle name="Normal 58 6 2 2 3 2 2 3" xfId="38407" xr:uid="{00000000-0005-0000-0000-000021AA0000}"/>
    <cellStyle name="Normal 58 6 2 2 3 2 3" xfId="9273" xr:uid="{00000000-0005-0000-0000-000022AA0000}"/>
    <cellStyle name="Normal 58 6 2 2 3 2 3 2" xfId="34830" xr:uid="{00000000-0005-0000-0000-000023AA0000}"/>
    <cellStyle name="Normal 58 6 2 2 3 2 4" xfId="18064" xr:uid="{00000000-0005-0000-0000-000024AA0000}"/>
    <cellStyle name="Normal 58 6 2 2 3 2 4 2" xfId="43617" xr:uid="{00000000-0005-0000-0000-000025AA0000}"/>
    <cellStyle name="Normal 58 6 2 2 3 2 5" xfId="29554" xr:uid="{00000000-0005-0000-0000-000026AA0000}"/>
    <cellStyle name="Normal 58 6 2 2 3 3" xfId="5080" xr:uid="{00000000-0005-0000-0000-000027AA0000}"/>
    <cellStyle name="Normal 58 6 2 2 3 3 2" xfId="13917" xr:uid="{00000000-0005-0000-0000-000028AA0000}"/>
    <cellStyle name="Normal 58 6 2 2 3 3 2 2" xfId="24168" xr:uid="{00000000-0005-0000-0000-000029AA0000}"/>
    <cellStyle name="Normal 58 6 2 2 3 3 2 2 2" xfId="49721" xr:uid="{00000000-0005-0000-0000-00002AAA0000}"/>
    <cellStyle name="Normal 58 6 2 2 3 3 2 3" xfId="39472" xr:uid="{00000000-0005-0000-0000-00002BAA0000}"/>
    <cellStyle name="Normal 58 6 2 2 3 3 3" xfId="10338" xr:uid="{00000000-0005-0000-0000-00002CAA0000}"/>
    <cellStyle name="Normal 58 6 2 2 3 3 3 2" xfId="35895" xr:uid="{00000000-0005-0000-0000-00002DAA0000}"/>
    <cellStyle name="Normal 58 6 2 2 3 3 4" xfId="19161" xr:uid="{00000000-0005-0000-0000-00002EAA0000}"/>
    <cellStyle name="Normal 58 6 2 2 3 3 4 2" xfId="44714" xr:uid="{00000000-0005-0000-0000-00002FAA0000}"/>
    <cellStyle name="Normal 58 6 2 2 3 3 5" xfId="30651" xr:uid="{00000000-0005-0000-0000-000030AA0000}"/>
    <cellStyle name="Normal 58 6 2 2 3 4" xfId="2110" xr:uid="{00000000-0005-0000-0000-000031AA0000}"/>
    <cellStyle name="Normal 58 6 2 2 3 4 2" xfId="11475" xr:uid="{00000000-0005-0000-0000-000032AA0000}"/>
    <cellStyle name="Normal 58 6 2 2 3 4 2 2" xfId="37030" xr:uid="{00000000-0005-0000-0000-000033AA0000}"/>
    <cellStyle name="Normal 58 6 2 2 3 4 3" xfId="21479" xr:uid="{00000000-0005-0000-0000-000034AA0000}"/>
    <cellStyle name="Normal 58 6 2 2 3 4 3 2" xfId="47032" xr:uid="{00000000-0005-0000-0000-000035AA0000}"/>
    <cellStyle name="Normal 58 6 2 2 3 4 4" xfId="27962" xr:uid="{00000000-0005-0000-0000-000036AA0000}"/>
    <cellStyle name="Normal 58 6 2 2 3 5" xfId="6535" xr:uid="{00000000-0005-0000-0000-000037AA0000}"/>
    <cellStyle name="Normal 58 6 2 2 3 5 2" xfId="15362" xr:uid="{00000000-0005-0000-0000-000038AA0000}"/>
    <cellStyle name="Normal 58 6 2 2 3 5 2 2" xfId="40917" xr:uid="{00000000-0005-0000-0000-000039AA0000}"/>
    <cellStyle name="Normal 58 6 2 2 3 5 3" xfId="25613" xr:uid="{00000000-0005-0000-0000-00003AAA0000}"/>
    <cellStyle name="Normal 58 6 2 2 3 5 3 2" xfId="51166" xr:uid="{00000000-0005-0000-0000-00003BAA0000}"/>
    <cellStyle name="Normal 58 6 2 2 3 5 4" xfId="32096" xr:uid="{00000000-0005-0000-0000-00003CAA0000}"/>
    <cellStyle name="Normal 58 6 2 2 3 6" xfId="7981" xr:uid="{00000000-0005-0000-0000-00003DAA0000}"/>
    <cellStyle name="Normal 58 6 2 2 3 6 2" xfId="20670" xr:uid="{00000000-0005-0000-0000-00003EAA0000}"/>
    <cellStyle name="Normal 58 6 2 2 3 6 2 2" xfId="46223" xr:uid="{00000000-0005-0000-0000-00003FAA0000}"/>
    <cellStyle name="Normal 58 6 2 2 3 6 3" xfId="33538" xr:uid="{00000000-0005-0000-0000-000040AA0000}"/>
    <cellStyle name="Normal 58 6 2 2 3 7" xfId="16472" xr:uid="{00000000-0005-0000-0000-000041AA0000}"/>
    <cellStyle name="Normal 58 6 2 2 3 7 2" xfId="42025" xr:uid="{00000000-0005-0000-0000-000042AA0000}"/>
    <cellStyle name="Normal 58 6 2 2 3 8" xfId="27153" xr:uid="{00000000-0005-0000-0000-000043AA0000}"/>
    <cellStyle name="Normal 58 6 2 2 4" xfId="3001" xr:uid="{00000000-0005-0000-0000-000044AA0000}"/>
    <cellStyle name="Normal 58 6 2 2 4 2" xfId="5379" xr:uid="{00000000-0005-0000-0000-000045AA0000}"/>
    <cellStyle name="Normal 58 6 2 2 4 2 2" xfId="14216" xr:uid="{00000000-0005-0000-0000-000046AA0000}"/>
    <cellStyle name="Normal 58 6 2 2 4 2 2 2" xfId="24467" xr:uid="{00000000-0005-0000-0000-000047AA0000}"/>
    <cellStyle name="Normal 58 6 2 2 4 2 2 2 2" xfId="50020" xr:uid="{00000000-0005-0000-0000-000048AA0000}"/>
    <cellStyle name="Normal 58 6 2 2 4 2 2 3" xfId="39771" xr:uid="{00000000-0005-0000-0000-000049AA0000}"/>
    <cellStyle name="Normal 58 6 2 2 4 2 3" xfId="10637" xr:uid="{00000000-0005-0000-0000-00004AAA0000}"/>
    <cellStyle name="Normal 58 6 2 2 4 2 3 2" xfId="36194" xr:uid="{00000000-0005-0000-0000-00004BAA0000}"/>
    <cellStyle name="Normal 58 6 2 2 4 2 4" xfId="19460" xr:uid="{00000000-0005-0000-0000-00004CAA0000}"/>
    <cellStyle name="Normal 58 6 2 2 4 2 4 2" xfId="45013" xr:uid="{00000000-0005-0000-0000-00004DAA0000}"/>
    <cellStyle name="Normal 58 6 2 2 4 2 5" xfId="30950" xr:uid="{00000000-0005-0000-0000-00004EAA0000}"/>
    <cellStyle name="Normal 58 6 2 2 4 3" xfId="6834" xr:uid="{00000000-0005-0000-0000-00004FAA0000}"/>
    <cellStyle name="Normal 58 6 2 2 4 3 2" xfId="15661" xr:uid="{00000000-0005-0000-0000-000050AA0000}"/>
    <cellStyle name="Normal 58 6 2 2 4 3 2 2" xfId="41216" xr:uid="{00000000-0005-0000-0000-000051AA0000}"/>
    <cellStyle name="Normal 58 6 2 2 4 3 3" xfId="25912" xr:uid="{00000000-0005-0000-0000-000052AA0000}"/>
    <cellStyle name="Normal 58 6 2 2 4 3 3 2" xfId="51465" xr:uid="{00000000-0005-0000-0000-000053AA0000}"/>
    <cellStyle name="Normal 58 6 2 2 4 3 4" xfId="32395" xr:uid="{00000000-0005-0000-0000-000054AA0000}"/>
    <cellStyle name="Normal 58 6 2 2 4 4" xfId="8280" xr:uid="{00000000-0005-0000-0000-000055AA0000}"/>
    <cellStyle name="Normal 58 6 2 2 4 4 2" xfId="22362" xr:uid="{00000000-0005-0000-0000-000056AA0000}"/>
    <cellStyle name="Normal 58 6 2 2 4 4 2 2" xfId="47915" xr:uid="{00000000-0005-0000-0000-000057AA0000}"/>
    <cellStyle name="Normal 58 6 2 2 4 4 3" xfId="33837" xr:uid="{00000000-0005-0000-0000-000058AA0000}"/>
    <cellStyle name="Normal 58 6 2 2 4 5" xfId="17355" xr:uid="{00000000-0005-0000-0000-000059AA0000}"/>
    <cellStyle name="Normal 58 6 2 2 4 5 2" xfId="42908" xr:uid="{00000000-0005-0000-0000-00005AAA0000}"/>
    <cellStyle name="Normal 58 6 2 2 4 6" xfId="28845" xr:uid="{00000000-0005-0000-0000-00005BAA0000}"/>
    <cellStyle name="Normal 58 6 2 2 5" xfId="4335" xr:uid="{00000000-0005-0000-0000-00005CAA0000}"/>
    <cellStyle name="Normal 58 6 2 2 5 2" xfId="13173" xr:uid="{00000000-0005-0000-0000-00005DAA0000}"/>
    <cellStyle name="Normal 58 6 2 2 5 2 2" xfId="23424" xr:uid="{00000000-0005-0000-0000-00005EAA0000}"/>
    <cellStyle name="Normal 58 6 2 2 5 2 2 2" xfId="48977" xr:uid="{00000000-0005-0000-0000-00005FAA0000}"/>
    <cellStyle name="Normal 58 6 2 2 5 2 3" xfId="38728" xr:uid="{00000000-0005-0000-0000-000060AA0000}"/>
    <cellStyle name="Normal 58 6 2 2 5 3" xfId="9594" xr:uid="{00000000-0005-0000-0000-000061AA0000}"/>
    <cellStyle name="Normal 58 6 2 2 5 3 2" xfId="35151" xr:uid="{00000000-0005-0000-0000-000062AA0000}"/>
    <cellStyle name="Normal 58 6 2 2 5 4" xfId="18417" xr:uid="{00000000-0005-0000-0000-000063AA0000}"/>
    <cellStyle name="Normal 58 6 2 2 5 4 2" xfId="43970" xr:uid="{00000000-0005-0000-0000-000064AA0000}"/>
    <cellStyle name="Normal 58 6 2 2 5 5" xfId="29907" xr:uid="{00000000-0005-0000-0000-000065AA0000}"/>
    <cellStyle name="Normal 58 6 2 2 6" xfId="1607" xr:uid="{00000000-0005-0000-0000-000066AA0000}"/>
    <cellStyle name="Normal 58 6 2 2 6 2" xfId="10984" xr:uid="{00000000-0005-0000-0000-000067AA0000}"/>
    <cellStyle name="Normal 58 6 2 2 6 2 2" xfId="36539" xr:uid="{00000000-0005-0000-0000-000068AA0000}"/>
    <cellStyle name="Normal 58 6 2 2 6 3" xfId="20988" xr:uid="{00000000-0005-0000-0000-000069AA0000}"/>
    <cellStyle name="Normal 58 6 2 2 6 3 2" xfId="46541" xr:uid="{00000000-0005-0000-0000-00006AAA0000}"/>
    <cellStyle name="Normal 58 6 2 2 6 4" xfId="27471" xr:uid="{00000000-0005-0000-0000-00006BAA0000}"/>
    <cellStyle name="Normal 58 6 2 2 7" xfId="5791" xr:uid="{00000000-0005-0000-0000-00006CAA0000}"/>
    <cellStyle name="Normal 58 6 2 2 7 2" xfId="14618" xr:uid="{00000000-0005-0000-0000-00006DAA0000}"/>
    <cellStyle name="Normal 58 6 2 2 7 2 2" xfId="40173" xr:uid="{00000000-0005-0000-0000-00006EAA0000}"/>
    <cellStyle name="Normal 58 6 2 2 7 3" xfId="24869" xr:uid="{00000000-0005-0000-0000-00006FAA0000}"/>
    <cellStyle name="Normal 58 6 2 2 7 3 2" xfId="50422" xr:uid="{00000000-0005-0000-0000-000070AA0000}"/>
    <cellStyle name="Normal 58 6 2 2 7 4" xfId="31352" xr:uid="{00000000-0005-0000-0000-000071AA0000}"/>
    <cellStyle name="Normal 58 6 2 2 8" xfId="7235" xr:uid="{00000000-0005-0000-0000-000072AA0000}"/>
    <cellStyle name="Normal 58 6 2 2 8 2" xfId="19961" xr:uid="{00000000-0005-0000-0000-000073AA0000}"/>
    <cellStyle name="Normal 58 6 2 2 8 2 2" xfId="45514" xr:uid="{00000000-0005-0000-0000-000074AA0000}"/>
    <cellStyle name="Normal 58 6 2 2 8 3" xfId="32792" xr:uid="{00000000-0005-0000-0000-000075AA0000}"/>
    <cellStyle name="Normal 58 6 2 2 9" xfId="15981" xr:uid="{00000000-0005-0000-0000-000076AA0000}"/>
    <cellStyle name="Normal 58 6 2 2 9 2" xfId="41534" xr:uid="{00000000-0005-0000-0000-000077AA0000}"/>
    <cellStyle name="Normal 58 6 2 2_Degree data" xfId="4023" xr:uid="{00000000-0005-0000-0000-000078AA0000}"/>
    <cellStyle name="Normal 58 6 2 3" xfId="415" xr:uid="{00000000-0005-0000-0000-000079AA0000}"/>
    <cellStyle name="Normal 58 6 2 3 2" xfId="2901" xr:uid="{00000000-0005-0000-0000-00007AAA0000}"/>
    <cellStyle name="Normal 58 6 2 3 2 2" xfId="12189" xr:uid="{00000000-0005-0000-0000-00007BAA0000}"/>
    <cellStyle name="Normal 58 6 2 3 2 2 2" xfId="22262" xr:uid="{00000000-0005-0000-0000-00007CAA0000}"/>
    <cellStyle name="Normal 58 6 2 3 2 2 2 2" xfId="47815" xr:uid="{00000000-0005-0000-0000-00007DAA0000}"/>
    <cellStyle name="Normal 58 6 2 3 2 2 3" xfId="37744" xr:uid="{00000000-0005-0000-0000-00007EAA0000}"/>
    <cellStyle name="Normal 58 6 2 3 2 3" xfId="8449" xr:uid="{00000000-0005-0000-0000-00007FAA0000}"/>
    <cellStyle name="Normal 58 6 2 3 2 3 2" xfId="34006" xr:uid="{00000000-0005-0000-0000-000080AA0000}"/>
    <cellStyle name="Normal 58 6 2 3 2 4" xfId="17255" xr:uid="{00000000-0005-0000-0000-000081AA0000}"/>
    <cellStyle name="Normal 58 6 2 3 2 4 2" xfId="42808" xr:uid="{00000000-0005-0000-0000-000082AA0000}"/>
    <cellStyle name="Normal 58 6 2 3 2 5" xfId="28745" xr:uid="{00000000-0005-0000-0000-000083AA0000}"/>
    <cellStyle name="Normal 58 6 2 3 3" xfId="4730" xr:uid="{00000000-0005-0000-0000-000084AA0000}"/>
    <cellStyle name="Normal 58 6 2 3 3 2" xfId="13568" xr:uid="{00000000-0005-0000-0000-000085AA0000}"/>
    <cellStyle name="Normal 58 6 2 3 3 2 2" xfId="23819" xr:uid="{00000000-0005-0000-0000-000086AA0000}"/>
    <cellStyle name="Normal 58 6 2 3 3 2 2 2" xfId="49372" xr:uid="{00000000-0005-0000-0000-000087AA0000}"/>
    <cellStyle name="Normal 58 6 2 3 3 2 3" xfId="39123" xr:uid="{00000000-0005-0000-0000-000088AA0000}"/>
    <cellStyle name="Normal 58 6 2 3 3 3" xfId="9989" xr:uid="{00000000-0005-0000-0000-000089AA0000}"/>
    <cellStyle name="Normal 58 6 2 3 3 3 2" xfId="35546" xr:uid="{00000000-0005-0000-0000-00008AAA0000}"/>
    <cellStyle name="Normal 58 6 2 3 3 4" xfId="18812" xr:uid="{00000000-0005-0000-0000-00008BAA0000}"/>
    <cellStyle name="Normal 58 6 2 3 3 4 2" xfId="44365" xr:uid="{00000000-0005-0000-0000-00008CAA0000}"/>
    <cellStyle name="Normal 58 6 2 3 3 5" xfId="30302" xr:uid="{00000000-0005-0000-0000-00008DAA0000}"/>
    <cellStyle name="Normal 58 6 2 3 4" xfId="2010" xr:uid="{00000000-0005-0000-0000-00008EAA0000}"/>
    <cellStyle name="Normal 58 6 2 3 4 2" xfId="11375" xr:uid="{00000000-0005-0000-0000-00008FAA0000}"/>
    <cellStyle name="Normal 58 6 2 3 4 2 2" xfId="36930" xr:uid="{00000000-0005-0000-0000-000090AA0000}"/>
    <cellStyle name="Normal 58 6 2 3 4 3" xfId="21379" xr:uid="{00000000-0005-0000-0000-000091AA0000}"/>
    <cellStyle name="Normal 58 6 2 3 4 3 2" xfId="46932" xr:uid="{00000000-0005-0000-0000-000092AA0000}"/>
    <cellStyle name="Normal 58 6 2 3 4 4" xfId="27862" xr:uid="{00000000-0005-0000-0000-000093AA0000}"/>
    <cellStyle name="Normal 58 6 2 3 5" xfId="6186" xr:uid="{00000000-0005-0000-0000-000094AA0000}"/>
    <cellStyle name="Normal 58 6 2 3 5 2" xfId="15013" xr:uid="{00000000-0005-0000-0000-000095AA0000}"/>
    <cellStyle name="Normal 58 6 2 3 5 2 2" xfId="40568" xr:uid="{00000000-0005-0000-0000-000096AA0000}"/>
    <cellStyle name="Normal 58 6 2 3 5 3" xfId="25264" xr:uid="{00000000-0005-0000-0000-000097AA0000}"/>
    <cellStyle name="Normal 58 6 2 3 5 3 2" xfId="50817" xr:uid="{00000000-0005-0000-0000-000098AA0000}"/>
    <cellStyle name="Normal 58 6 2 3 5 4" xfId="31747" xr:uid="{00000000-0005-0000-0000-000099AA0000}"/>
    <cellStyle name="Normal 58 6 2 3 6" xfId="7631" xr:uid="{00000000-0005-0000-0000-00009AAA0000}"/>
    <cellStyle name="Normal 58 6 2 3 6 2" xfId="19861" xr:uid="{00000000-0005-0000-0000-00009BAA0000}"/>
    <cellStyle name="Normal 58 6 2 3 6 2 2" xfId="45414" xr:uid="{00000000-0005-0000-0000-00009CAA0000}"/>
    <cellStyle name="Normal 58 6 2 3 6 3" xfId="33188" xr:uid="{00000000-0005-0000-0000-00009DAA0000}"/>
    <cellStyle name="Normal 58 6 2 3 7" xfId="16372" xr:uid="{00000000-0005-0000-0000-00009EAA0000}"/>
    <cellStyle name="Normal 58 6 2 3 7 2" xfId="41925" xr:uid="{00000000-0005-0000-0000-00009FAA0000}"/>
    <cellStyle name="Normal 58 6 2 3 8" xfId="26344" xr:uid="{00000000-0005-0000-0000-0000A0AA0000}"/>
    <cellStyle name="Normal 58 6 2 4" xfId="916" xr:uid="{00000000-0005-0000-0000-0000A1AA0000}"/>
    <cellStyle name="Normal 58 6 2 4 2" xfId="3401" xr:uid="{00000000-0005-0000-0000-0000A2AA0000}"/>
    <cellStyle name="Normal 58 6 2 4 2 2" xfId="12543" xr:uid="{00000000-0005-0000-0000-0000A3AA0000}"/>
    <cellStyle name="Normal 58 6 2 4 2 2 2" xfId="22762" xr:uid="{00000000-0005-0000-0000-0000A4AA0000}"/>
    <cellStyle name="Normal 58 6 2 4 2 2 2 2" xfId="48315" xr:uid="{00000000-0005-0000-0000-0000A5AA0000}"/>
    <cellStyle name="Normal 58 6 2 4 2 2 3" xfId="38098" xr:uid="{00000000-0005-0000-0000-0000A6AA0000}"/>
    <cellStyle name="Normal 58 6 2 4 2 3" xfId="8965" xr:uid="{00000000-0005-0000-0000-0000A7AA0000}"/>
    <cellStyle name="Normal 58 6 2 4 2 3 2" xfId="34522" xr:uid="{00000000-0005-0000-0000-0000A8AA0000}"/>
    <cellStyle name="Normal 58 6 2 4 2 4" xfId="17755" xr:uid="{00000000-0005-0000-0000-0000A9AA0000}"/>
    <cellStyle name="Normal 58 6 2 4 2 4 2" xfId="43308" xr:uid="{00000000-0005-0000-0000-0000AAAA0000}"/>
    <cellStyle name="Normal 58 6 2 4 2 5" xfId="29245" xr:uid="{00000000-0005-0000-0000-0000ABAA0000}"/>
    <cellStyle name="Normal 58 6 2 4 3" xfId="5079" xr:uid="{00000000-0005-0000-0000-0000ACAA0000}"/>
    <cellStyle name="Normal 58 6 2 4 3 2" xfId="13916" xr:uid="{00000000-0005-0000-0000-0000ADAA0000}"/>
    <cellStyle name="Normal 58 6 2 4 3 2 2" xfId="24167" xr:uid="{00000000-0005-0000-0000-0000AEAA0000}"/>
    <cellStyle name="Normal 58 6 2 4 3 2 2 2" xfId="49720" xr:uid="{00000000-0005-0000-0000-0000AFAA0000}"/>
    <cellStyle name="Normal 58 6 2 4 3 2 3" xfId="39471" xr:uid="{00000000-0005-0000-0000-0000B0AA0000}"/>
    <cellStyle name="Normal 58 6 2 4 3 3" xfId="10337" xr:uid="{00000000-0005-0000-0000-0000B1AA0000}"/>
    <cellStyle name="Normal 58 6 2 4 3 3 2" xfId="35894" xr:uid="{00000000-0005-0000-0000-0000B2AA0000}"/>
    <cellStyle name="Normal 58 6 2 4 3 4" xfId="19160" xr:uid="{00000000-0005-0000-0000-0000B3AA0000}"/>
    <cellStyle name="Normal 58 6 2 4 3 4 2" xfId="44713" xr:uid="{00000000-0005-0000-0000-0000B4AA0000}"/>
    <cellStyle name="Normal 58 6 2 4 3 5" xfId="30650" xr:uid="{00000000-0005-0000-0000-0000B5AA0000}"/>
    <cellStyle name="Normal 58 6 2 4 4" xfId="2510" xr:uid="{00000000-0005-0000-0000-0000B6AA0000}"/>
    <cellStyle name="Normal 58 6 2 4 4 2" xfId="11875" xr:uid="{00000000-0005-0000-0000-0000B7AA0000}"/>
    <cellStyle name="Normal 58 6 2 4 4 2 2" xfId="37430" xr:uid="{00000000-0005-0000-0000-0000B8AA0000}"/>
    <cellStyle name="Normal 58 6 2 4 4 3" xfId="21879" xr:uid="{00000000-0005-0000-0000-0000B9AA0000}"/>
    <cellStyle name="Normal 58 6 2 4 4 3 2" xfId="47432" xr:uid="{00000000-0005-0000-0000-0000BAAA0000}"/>
    <cellStyle name="Normal 58 6 2 4 4 4" xfId="28362" xr:uid="{00000000-0005-0000-0000-0000BBAA0000}"/>
    <cellStyle name="Normal 58 6 2 4 5" xfId="6534" xr:uid="{00000000-0005-0000-0000-0000BCAA0000}"/>
    <cellStyle name="Normal 58 6 2 4 5 2" xfId="15361" xr:uid="{00000000-0005-0000-0000-0000BDAA0000}"/>
    <cellStyle name="Normal 58 6 2 4 5 2 2" xfId="40916" xr:uid="{00000000-0005-0000-0000-0000BEAA0000}"/>
    <cellStyle name="Normal 58 6 2 4 5 3" xfId="25612" xr:uid="{00000000-0005-0000-0000-0000BFAA0000}"/>
    <cellStyle name="Normal 58 6 2 4 5 3 2" xfId="51165" xr:uid="{00000000-0005-0000-0000-0000C0AA0000}"/>
    <cellStyle name="Normal 58 6 2 4 5 4" xfId="32095" xr:uid="{00000000-0005-0000-0000-0000C1AA0000}"/>
    <cellStyle name="Normal 58 6 2 4 6" xfId="7980" xr:uid="{00000000-0005-0000-0000-0000C2AA0000}"/>
    <cellStyle name="Normal 58 6 2 4 6 2" xfId="20361" xr:uid="{00000000-0005-0000-0000-0000C3AA0000}"/>
    <cellStyle name="Normal 58 6 2 4 6 2 2" xfId="45914" xr:uid="{00000000-0005-0000-0000-0000C4AA0000}"/>
    <cellStyle name="Normal 58 6 2 4 6 3" xfId="33537" xr:uid="{00000000-0005-0000-0000-0000C5AA0000}"/>
    <cellStyle name="Normal 58 6 2 4 7" xfId="16872" xr:uid="{00000000-0005-0000-0000-0000C6AA0000}"/>
    <cellStyle name="Normal 58 6 2 4 7 2" xfId="42425" xr:uid="{00000000-0005-0000-0000-0000C7AA0000}"/>
    <cellStyle name="Normal 58 6 2 4 8" xfId="26844" xr:uid="{00000000-0005-0000-0000-0000C8AA0000}"/>
    <cellStyle name="Normal 58 6 2 5" xfId="1187" xr:uid="{00000000-0005-0000-0000-0000C9AA0000}"/>
    <cellStyle name="Normal 58 6 2 5 2" xfId="3616" xr:uid="{00000000-0005-0000-0000-0000CAAA0000}"/>
    <cellStyle name="Normal 58 6 2 5 2 2" xfId="12752" xr:uid="{00000000-0005-0000-0000-0000CBAA0000}"/>
    <cellStyle name="Normal 58 6 2 5 2 2 2" xfId="22971" xr:uid="{00000000-0005-0000-0000-0000CCAA0000}"/>
    <cellStyle name="Normal 58 6 2 5 2 2 2 2" xfId="48524" xr:uid="{00000000-0005-0000-0000-0000CDAA0000}"/>
    <cellStyle name="Normal 58 6 2 5 2 2 3" xfId="38307" xr:uid="{00000000-0005-0000-0000-0000CEAA0000}"/>
    <cellStyle name="Normal 58 6 2 5 2 3" xfId="9173" xr:uid="{00000000-0005-0000-0000-0000CFAA0000}"/>
    <cellStyle name="Normal 58 6 2 5 2 3 2" xfId="34730" xr:uid="{00000000-0005-0000-0000-0000D0AA0000}"/>
    <cellStyle name="Normal 58 6 2 5 2 4" xfId="17964" xr:uid="{00000000-0005-0000-0000-0000D1AA0000}"/>
    <cellStyle name="Normal 58 6 2 5 2 4 2" xfId="43517" xr:uid="{00000000-0005-0000-0000-0000D2AA0000}"/>
    <cellStyle name="Normal 58 6 2 5 2 5" xfId="29454" xr:uid="{00000000-0005-0000-0000-0000D3AA0000}"/>
    <cellStyle name="Normal 58 6 2 5 3" xfId="5279" xr:uid="{00000000-0005-0000-0000-0000D4AA0000}"/>
    <cellStyle name="Normal 58 6 2 5 3 2" xfId="14116" xr:uid="{00000000-0005-0000-0000-0000D5AA0000}"/>
    <cellStyle name="Normal 58 6 2 5 3 2 2" xfId="24367" xr:uid="{00000000-0005-0000-0000-0000D6AA0000}"/>
    <cellStyle name="Normal 58 6 2 5 3 2 2 2" xfId="49920" xr:uid="{00000000-0005-0000-0000-0000D7AA0000}"/>
    <cellStyle name="Normal 58 6 2 5 3 2 3" xfId="39671" xr:uid="{00000000-0005-0000-0000-0000D8AA0000}"/>
    <cellStyle name="Normal 58 6 2 5 3 3" xfId="10537" xr:uid="{00000000-0005-0000-0000-0000D9AA0000}"/>
    <cellStyle name="Normal 58 6 2 5 3 3 2" xfId="36094" xr:uid="{00000000-0005-0000-0000-0000DAAA0000}"/>
    <cellStyle name="Normal 58 6 2 5 3 4" xfId="19360" xr:uid="{00000000-0005-0000-0000-0000DBAA0000}"/>
    <cellStyle name="Normal 58 6 2 5 3 4 2" xfId="44913" xr:uid="{00000000-0005-0000-0000-0000DCAA0000}"/>
    <cellStyle name="Normal 58 6 2 5 3 5" xfId="30850" xr:uid="{00000000-0005-0000-0000-0000DDAA0000}"/>
    <cellStyle name="Normal 58 6 2 5 4" xfId="1789" xr:uid="{00000000-0005-0000-0000-0000DEAA0000}"/>
    <cellStyle name="Normal 58 6 2 5 4 2" xfId="11158" xr:uid="{00000000-0005-0000-0000-0000DFAA0000}"/>
    <cellStyle name="Normal 58 6 2 5 4 2 2" xfId="36713" xr:uid="{00000000-0005-0000-0000-0000E0AA0000}"/>
    <cellStyle name="Normal 58 6 2 5 4 3" xfId="21162" xr:uid="{00000000-0005-0000-0000-0000E1AA0000}"/>
    <cellStyle name="Normal 58 6 2 5 4 3 2" xfId="46715" xr:uid="{00000000-0005-0000-0000-0000E2AA0000}"/>
    <cellStyle name="Normal 58 6 2 5 4 4" xfId="27645" xr:uid="{00000000-0005-0000-0000-0000E3AA0000}"/>
    <cellStyle name="Normal 58 6 2 5 5" xfId="6734" xr:uid="{00000000-0005-0000-0000-0000E4AA0000}"/>
    <cellStyle name="Normal 58 6 2 5 5 2" xfId="15561" xr:uid="{00000000-0005-0000-0000-0000E5AA0000}"/>
    <cellStyle name="Normal 58 6 2 5 5 2 2" xfId="41116" xr:uid="{00000000-0005-0000-0000-0000E6AA0000}"/>
    <cellStyle name="Normal 58 6 2 5 5 3" xfId="25812" xr:uid="{00000000-0005-0000-0000-0000E7AA0000}"/>
    <cellStyle name="Normal 58 6 2 5 5 3 2" xfId="51365" xr:uid="{00000000-0005-0000-0000-0000E8AA0000}"/>
    <cellStyle name="Normal 58 6 2 5 5 4" xfId="32295" xr:uid="{00000000-0005-0000-0000-0000E9AA0000}"/>
    <cellStyle name="Normal 58 6 2 5 6" xfId="8180" xr:uid="{00000000-0005-0000-0000-0000EAAA0000}"/>
    <cellStyle name="Normal 58 6 2 5 6 2" xfId="20570" xr:uid="{00000000-0005-0000-0000-0000EBAA0000}"/>
    <cellStyle name="Normal 58 6 2 5 6 2 2" xfId="46123" xr:uid="{00000000-0005-0000-0000-0000ECAA0000}"/>
    <cellStyle name="Normal 58 6 2 5 6 3" xfId="33737" xr:uid="{00000000-0005-0000-0000-0000EDAA0000}"/>
    <cellStyle name="Normal 58 6 2 5 7" xfId="16155" xr:uid="{00000000-0005-0000-0000-0000EEAA0000}"/>
    <cellStyle name="Normal 58 6 2 5 7 2" xfId="41708" xr:uid="{00000000-0005-0000-0000-0000EFAA0000}"/>
    <cellStyle name="Normal 58 6 2 5 8" xfId="27053" xr:uid="{00000000-0005-0000-0000-0000F0AA0000}"/>
    <cellStyle name="Normal 58 6 2 6" xfId="2684" xr:uid="{00000000-0005-0000-0000-0000F1AA0000}"/>
    <cellStyle name="Normal 58 6 2 6 2" xfId="12001" xr:uid="{00000000-0005-0000-0000-0000F2AA0000}"/>
    <cellStyle name="Normal 58 6 2 6 2 2" xfId="22045" xr:uid="{00000000-0005-0000-0000-0000F3AA0000}"/>
    <cellStyle name="Normal 58 6 2 6 2 2 2" xfId="47598" xr:uid="{00000000-0005-0000-0000-0000F4AA0000}"/>
    <cellStyle name="Normal 58 6 2 6 2 3" xfId="37556" xr:uid="{00000000-0005-0000-0000-0000F5AA0000}"/>
    <cellStyle name="Normal 58 6 2 6 3" xfId="8555" xr:uid="{00000000-0005-0000-0000-0000F6AA0000}"/>
    <cellStyle name="Normal 58 6 2 6 3 2" xfId="34112" xr:uid="{00000000-0005-0000-0000-0000F7AA0000}"/>
    <cellStyle name="Normal 58 6 2 6 4" xfId="17038" xr:uid="{00000000-0005-0000-0000-0000F8AA0000}"/>
    <cellStyle name="Normal 58 6 2 6 4 2" xfId="42591" xr:uid="{00000000-0005-0000-0000-0000F9AA0000}"/>
    <cellStyle name="Normal 58 6 2 6 5" xfId="28528" xr:uid="{00000000-0005-0000-0000-0000FAAA0000}"/>
    <cellStyle name="Normal 58 6 2 7" xfId="4235" xr:uid="{00000000-0005-0000-0000-0000FBAA0000}"/>
    <cellStyle name="Normal 58 6 2 7 2" xfId="13073" xr:uid="{00000000-0005-0000-0000-0000FCAA0000}"/>
    <cellStyle name="Normal 58 6 2 7 2 2" xfId="23324" xr:uid="{00000000-0005-0000-0000-0000FDAA0000}"/>
    <cellStyle name="Normal 58 6 2 7 2 2 2" xfId="48877" xr:uid="{00000000-0005-0000-0000-0000FEAA0000}"/>
    <cellStyle name="Normal 58 6 2 7 2 3" xfId="38628" xr:uid="{00000000-0005-0000-0000-0000FFAA0000}"/>
    <cellStyle name="Normal 58 6 2 7 3" xfId="9494" xr:uid="{00000000-0005-0000-0000-000000AB0000}"/>
    <cellStyle name="Normal 58 6 2 7 3 2" xfId="35051" xr:uid="{00000000-0005-0000-0000-000001AB0000}"/>
    <cellStyle name="Normal 58 6 2 7 4" xfId="18317" xr:uid="{00000000-0005-0000-0000-000002AB0000}"/>
    <cellStyle name="Normal 58 6 2 7 4 2" xfId="43870" xr:uid="{00000000-0005-0000-0000-000003AB0000}"/>
    <cellStyle name="Normal 58 6 2 7 5" xfId="29807" xr:uid="{00000000-0005-0000-0000-000004AB0000}"/>
    <cellStyle name="Normal 58 6 2 8" xfId="1507" xr:uid="{00000000-0005-0000-0000-000005AB0000}"/>
    <cellStyle name="Normal 58 6 2 8 2" xfId="10884" xr:uid="{00000000-0005-0000-0000-000006AB0000}"/>
    <cellStyle name="Normal 58 6 2 8 2 2" xfId="36439" xr:uid="{00000000-0005-0000-0000-000007AB0000}"/>
    <cellStyle name="Normal 58 6 2 8 3" xfId="20888" xr:uid="{00000000-0005-0000-0000-000008AB0000}"/>
    <cellStyle name="Normal 58 6 2 8 3 2" xfId="46441" xr:uid="{00000000-0005-0000-0000-000009AB0000}"/>
    <cellStyle name="Normal 58 6 2 8 4" xfId="27371" xr:uid="{00000000-0005-0000-0000-00000AAB0000}"/>
    <cellStyle name="Normal 58 6 2 9" xfId="5691" xr:uid="{00000000-0005-0000-0000-00000BAB0000}"/>
    <cellStyle name="Normal 58 6 2 9 2" xfId="14518" xr:uid="{00000000-0005-0000-0000-00000CAB0000}"/>
    <cellStyle name="Normal 58 6 2 9 2 2" xfId="40073" xr:uid="{00000000-0005-0000-0000-00000DAB0000}"/>
    <cellStyle name="Normal 58 6 2 9 3" xfId="24769" xr:uid="{00000000-0005-0000-0000-00000EAB0000}"/>
    <cellStyle name="Normal 58 6 2 9 3 2" xfId="50322" xr:uid="{00000000-0005-0000-0000-00000FAB0000}"/>
    <cellStyle name="Normal 58 6 2 9 4" xfId="31252" xr:uid="{00000000-0005-0000-0000-000010AB0000}"/>
    <cellStyle name="Normal 58 6 2_Degree data" xfId="4022" xr:uid="{00000000-0005-0000-0000-000011AB0000}"/>
    <cellStyle name="Normal 58 6 3" xfId="254" xr:uid="{00000000-0005-0000-0000-000012AB0000}"/>
    <cellStyle name="Normal 58 6 3 10" xfId="7092" xr:uid="{00000000-0005-0000-0000-000013AB0000}"/>
    <cellStyle name="Normal 58 6 3 10 2" xfId="19706" xr:uid="{00000000-0005-0000-0000-000014AB0000}"/>
    <cellStyle name="Normal 58 6 3 10 2 2" xfId="45259" xr:uid="{00000000-0005-0000-0000-000015AB0000}"/>
    <cellStyle name="Normal 58 6 3 10 3" xfId="32649" xr:uid="{00000000-0005-0000-0000-000016AB0000}"/>
    <cellStyle name="Normal 58 6 3 11" xfId="15838" xr:uid="{00000000-0005-0000-0000-000017AB0000}"/>
    <cellStyle name="Normal 58 6 3 11 2" xfId="41391" xr:uid="{00000000-0005-0000-0000-000018AB0000}"/>
    <cellStyle name="Normal 58 6 3 12" xfId="26189" xr:uid="{00000000-0005-0000-0000-000019AB0000}"/>
    <cellStyle name="Normal 58 6 3 2" xfId="577" xr:uid="{00000000-0005-0000-0000-00001AAB0000}"/>
    <cellStyle name="Normal 58 6 3 2 10" xfId="26506" xr:uid="{00000000-0005-0000-0000-00001BAB0000}"/>
    <cellStyle name="Normal 58 6 3 2 2" xfId="919" xr:uid="{00000000-0005-0000-0000-00001CAB0000}"/>
    <cellStyle name="Normal 58 6 3 2 2 2" xfId="3404" xr:uid="{00000000-0005-0000-0000-00001DAB0000}"/>
    <cellStyle name="Normal 58 6 3 2 2 2 2" xfId="12546" xr:uid="{00000000-0005-0000-0000-00001EAB0000}"/>
    <cellStyle name="Normal 58 6 3 2 2 2 2 2" xfId="22765" xr:uid="{00000000-0005-0000-0000-00001FAB0000}"/>
    <cellStyle name="Normal 58 6 3 2 2 2 2 2 2" xfId="48318" xr:uid="{00000000-0005-0000-0000-000020AB0000}"/>
    <cellStyle name="Normal 58 6 3 2 2 2 2 3" xfId="38101" xr:uid="{00000000-0005-0000-0000-000021AB0000}"/>
    <cellStyle name="Normal 58 6 3 2 2 2 3" xfId="8968" xr:uid="{00000000-0005-0000-0000-000022AB0000}"/>
    <cellStyle name="Normal 58 6 3 2 2 2 3 2" xfId="34525" xr:uid="{00000000-0005-0000-0000-000023AB0000}"/>
    <cellStyle name="Normal 58 6 3 2 2 2 4" xfId="17758" xr:uid="{00000000-0005-0000-0000-000024AB0000}"/>
    <cellStyle name="Normal 58 6 3 2 2 2 4 2" xfId="43311" xr:uid="{00000000-0005-0000-0000-000025AB0000}"/>
    <cellStyle name="Normal 58 6 3 2 2 2 5" xfId="29248" xr:uid="{00000000-0005-0000-0000-000026AB0000}"/>
    <cellStyle name="Normal 58 6 3 2 2 3" xfId="4733" xr:uid="{00000000-0005-0000-0000-000027AB0000}"/>
    <cellStyle name="Normal 58 6 3 2 2 3 2" xfId="13571" xr:uid="{00000000-0005-0000-0000-000028AB0000}"/>
    <cellStyle name="Normal 58 6 3 2 2 3 2 2" xfId="23822" xr:uid="{00000000-0005-0000-0000-000029AB0000}"/>
    <cellStyle name="Normal 58 6 3 2 2 3 2 2 2" xfId="49375" xr:uid="{00000000-0005-0000-0000-00002AAB0000}"/>
    <cellStyle name="Normal 58 6 3 2 2 3 2 3" xfId="39126" xr:uid="{00000000-0005-0000-0000-00002BAB0000}"/>
    <cellStyle name="Normal 58 6 3 2 2 3 3" xfId="9992" xr:uid="{00000000-0005-0000-0000-00002CAB0000}"/>
    <cellStyle name="Normal 58 6 3 2 2 3 3 2" xfId="35549" xr:uid="{00000000-0005-0000-0000-00002DAB0000}"/>
    <cellStyle name="Normal 58 6 3 2 2 3 4" xfId="18815" xr:uid="{00000000-0005-0000-0000-00002EAB0000}"/>
    <cellStyle name="Normal 58 6 3 2 2 3 4 2" xfId="44368" xr:uid="{00000000-0005-0000-0000-00002FAB0000}"/>
    <cellStyle name="Normal 58 6 3 2 2 3 5" xfId="30305" xr:uid="{00000000-0005-0000-0000-000030AB0000}"/>
    <cellStyle name="Normal 58 6 3 2 2 4" xfId="2513" xr:uid="{00000000-0005-0000-0000-000031AB0000}"/>
    <cellStyle name="Normal 58 6 3 2 2 4 2" xfId="11878" xr:uid="{00000000-0005-0000-0000-000032AB0000}"/>
    <cellStyle name="Normal 58 6 3 2 2 4 2 2" xfId="37433" xr:uid="{00000000-0005-0000-0000-000033AB0000}"/>
    <cellStyle name="Normal 58 6 3 2 2 4 3" xfId="21882" xr:uid="{00000000-0005-0000-0000-000034AB0000}"/>
    <cellStyle name="Normal 58 6 3 2 2 4 3 2" xfId="47435" xr:uid="{00000000-0005-0000-0000-000035AB0000}"/>
    <cellStyle name="Normal 58 6 3 2 2 4 4" xfId="28365" xr:uid="{00000000-0005-0000-0000-000036AB0000}"/>
    <cellStyle name="Normal 58 6 3 2 2 5" xfId="6189" xr:uid="{00000000-0005-0000-0000-000037AB0000}"/>
    <cellStyle name="Normal 58 6 3 2 2 5 2" xfId="15016" xr:uid="{00000000-0005-0000-0000-000038AB0000}"/>
    <cellStyle name="Normal 58 6 3 2 2 5 2 2" xfId="40571" xr:uid="{00000000-0005-0000-0000-000039AB0000}"/>
    <cellStyle name="Normal 58 6 3 2 2 5 3" xfId="25267" xr:uid="{00000000-0005-0000-0000-00003AAB0000}"/>
    <cellStyle name="Normal 58 6 3 2 2 5 3 2" xfId="50820" xr:uid="{00000000-0005-0000-0000-00003BAB0000}"/>
    <cellStyle name="Normal 58 6 3 2 2 5 4" xfId="31750" xr:uid="{00000000-0005-0000-0000-00003CAB0000}"/>
    <cellStyle name="Normal 58 6 3 2 2 6" xfId="7634" xr:uid="{00000000-0005-0000-0000-00003DAB0000}"/>
    <cellStyle name="Normal 58 6 3 2 2 6 2" xfId="20364" xr:uid="{00000000-0005-0000-0000-00003EAB0000}"/>
    <cellStyle name="Normal 58 6 3 2 2 6 2 2" xfId="45917" xr:uid="{00000000-0005-0000-0000-00003FAB0000}"/>
    <cellStyle name="Normal 58 6 3 2 2 6 3" xfId="33191" xr:uid="{00000000-0005-0000-0000-000040AB0000}"/>
    <cellStyle name="Normal 58 6 3 2 2 7" xfId="16875" xr:uid="{00000000-0005-0000-0000-000041AB0000}"/>
    <cellStyle name="Normal 58 6 3 2 2 7 2" xfId="42428" xr:uid="{00000000-0005-0000-0000-000042AB0000}"/>
    <cellStyle name="Normal 58 6 3 2 2 8" xfId="26847" xr:uid="{00000000-0005-0000-0000-000043AB0000}"/>
    <cellStyle name="Normal 58 6 3 2 3" xfId="1349" xr:uid="{00000000-0005-0000-0000-000044AB0000}"/>
    <cellStyle name="Normal 58 6 3 2 3 2" xfId="3778" xr:uid="{00000000-0005-0000-0000-000045AB0000}"/>
    <cellStyle name="Normal 58 6 3 2 3 2 2" xfId="12914" xr:uid="{00000000-0005-0000-0000-000046AB0000}"/>
    <cellStyle name="Normal 58 6 3 2 3 2 2 2" xfId="23133" xr:uid="{00000000-0005-0000-0000-000047AB0000}"/>
    <cellStyle name="Normal 58 6 3 2 3 2 2 2 2" xfId="48686" xr:uid="{00000000-0005-0000-0000-000048AB0000}"/>
    <cellStyle name="Normal 58 6 3 2 3 2 2 3" xfId="38469" xr:uid="{00000000-0005-0000-0000-000049AB0000}"/>
    <cellStyle name="Normal 58 6 3 2 3 2 3" xfId="9335" xr:uid="{00000000-0005-0000-0000-00004AAB0000}"/>
    <cellStyle name="Normal 58 6 3 2 3 2 3 2" xfId="34892" xr:uid="{00000000-0005-0000-0000-00004BAB0000}"/>
    <cellStyle name="Normal 58 6 3 2 3 2 4" xfId="18126" xr:uid="{00000000-0005-0000-0000-00004CAB0000}"/>
    <cellStyle name="Normal 58 6 3 2 3 2 4 2" xfId="43679" xr:uid="{00000000-0005-0000-0000-00004DAB0000}"/>
    <cellStyle name="Normal 58 6 3 2 3 2 5" xfId="29616" xr:uid="{00000000-0005-0000-0000-00004EAB0000}"/>
    <cellStyle name="Normal 58 6 3 2 3 3" xfId="5082" xr:uid="{00000000-0005-0000-0000-00004FAB0000}"/>
    <cellStyle name="Normal 58 6 3 2 3 3 2" xfId="13919" xr:uid="{00000000-0005-0000-0000-000050AB0000}"/>
    <cellStyle name="Normal 58 6 3 2 3 3 2 2" xfId="24170" xr:uid="{00000000-0005-0000-0000-000051AB0000}"/>
    <cellStyle name="Normal 58 6 3 2 3 3 2 2 2" xfId="49723" xr:uid="{00000000-0005-0000-0000-000052AB0000}"/>
    <cellStyle name="Normal 58 6 3 2 3 3 2 3" xfId="39474" xr:uid="{00000000-0005-0000-0000-000053AB0000}"/>
    <cellStyle name="Normal 58 6 3 2 3 3 3" xfId="10340" xr:uid="{00000000-0005-0000-0000-000054AB0000}"/>
    <cellStyle name="Normal 58 6 3 2 3 3 3 2" xfId="35897" xr:uid="{00000000-0005-0000-0000-000055AB0000}"/>
    <cellStyle name="Normal 58 6 3 2 3 3 4" xfId="19163" xr:uid="{00000000-0005-0000-0000-000056AB0000}"/>
    <cellStyle name="Normal 58 6 3 2 3 3 4 2" xfId="44716" xr:uid="{00000000-0005-0000-0000-000057AB0000}"/>
    <cellStyle name="Normal 58 6 3 2 3 3 5" xfId="30653" xr:uid="{00000000-0005-0000-0000-000058AB0000}"/>
    <cellStyle name="Normal 58 6 3 2 3 4" xfId="2172" xr:uid="{00000000-0005-0000-0000-000059AB0000}"/>
    <cellStyle name="Normal 58 6 3 2 3 4 2" xfId="11537" xr:uid="{00000000-0005-0000-0000-00005AAB0000}"/>
    <cellStyle name="Normal 58 6 3 2 3 4 2 2" xfId="37092" xr:uid="{00000000-0005-0000-0000-00005BAB0000}"/>
    <cellStyle name="Normal 58 6 3 2 3 4 3" xfId="21541" xr:uid="{00000000-0005-0000-0000-00005CAB0000}"/>
    <cellStyle name="Normal 58 6 3 2 3 4 3 2" xfId="47094" xr:uid="{00000000-0005-0000-0000-00005DAB0000}"/>
    <cellStyle name="Normal 58 6 3 2 3 4 4" xfId="28024" xr:uid="{00000000-0005-0000-0000-00005EAB0000}"/>
    <cellStyle name="Normal 58 6 3 2 3 5" xfId="6537" xr:uid="{00000000-0005-0000-0000-00005FAB0000}"/>
    <cellStyle name="Normal 58 6 3 2 3 5 2" xfId="15364" xr:uid="{00000000-0005-0000-0000-000060AB0000}"/>
    <cellStyle name="Normal 58 6 3 2 3 5 2 2" xfId="40919" xr:uid="{00000000-0005-0000-0000-000061AB0000}"/>
    <cellStyle name="Normal 58 6 3 2 3 5 3" xfId="25615" xr:uid="{00000000-0005-0000-0000-000062AB0000}"/>
    <cellStyle name="Normal 58 6 3 2 3 5 3 2" xfId="51168" xr:uid="{00000000-0005-0000-0000-000063AB0000}"/>
    <cellStyle name="Normal 58 6 3 2 3 5 4" xfId="32098" xr:uid="{00000000-0005-0000-0000-000064AB0000}"/>
    <cellStyle name="Normal 58 6 3 2 3 6" xfId="7983" xr:uid="{00000000-0005-0000-0000-000065AB0000}"/>
    <cellStyle name="Normal 58 6 3 2 3 6 2" xfId="20732" xr:uid="{00000000-0005-0000-0000-000066AB0000}"/>
    <cellStyle name="Normal 58 6 3 2 3 6 2 2" xfId="46285" xr:uid="{00000000-0005-0000-0000-000067AB0000}"/>
    <cellStyle name="Normal 58 6 3 2 3 6 3" xfId="33540" xr:uid="{00000000-0005-0000-0000-000068AB0000}"/>
    <cellStyle name="Normal 58 6 3 2 3 7" xfId="16534" xr:uid="{00000000-0005-0000-0000-000069AB0000}"/>
    <cellStyle name="Normal 58 6 3 2 3 7 2" xfId="42087" xr:uid="{00000000-0005-0000-0000-00006AAB0000}"/>
    <cellStyle name="Normal 58 6 3 2 3 8" xfId="27215" xr:uid="{00000000-0005-0000-0000-00006BAB0000}"/>
    <cellStyle name="Normal 58 6 3 2 4" xfId="3063" xr:uid="{00000000-0005-0000-0000-00006CAB0000}"/>
    <cellStyle name="Normal 58 6 3 2 4 2" xfId="5441" xr:uid="{00000000-0005-0000-0000-00006DAB0000}"/>
    <cellStyle name="Normal 58 6 3 2 4 2 2" xfId="14278" xr:uid="{00000000-0005-0000-0000-00006EAB0000}"/>
    <cellStyle name="Normal 58 6 3 2 4 2 2 2" xfId="24529" xr:uid="{00000000-0005-0000-0000-00006FAB0000}"/>
    <cellStyle name="Normal 58 6 3 2 4 2 2 2 2" xfId="50082" xr:uid="{00000000-0005-0000-0000-000070AB0000}"/>
    <cellStyle name="Normal 58 6 3 2 4 2 2 3" xfId="39833" xr:uid="{00000000-0005-0000-0000-000071AB0000}"/>
    <cellStyle name="Normal 58 6 3 2 4 2 3" xfId="10699" xr:uid="{00000000-0005-0000-0000-000072AB0000}"/>
    <cellStyle name="Normal 58 6 3 2 4 2 3 2" xfId="36256" xr:uid="{00000000-0005-0000-0000-000073AB0000}"/>
    <cellStyle name="Normal 58 6 3 2 4 2 4" xfId="19522" xr:uid="{00000000-0005-0000-0000-000074AB0000}"/>
    <cellStyle name="Normal 58 6 3 2 4 2 4 2" xfId="45075" xr:uid="{00000000-0005-0000-0000-000075AB0000}"/>
    <cellStyle name="Normal 58 6 3 2 4 2 5" xfId="31012" xr:uid="{00000000-0005-0000-0000-000076AB0000}"/>
    <cellStyle name="Normal 58 6 3 2 4 3" xfId="6896" xr:uid="{00000000-0005-0000-0000-000077AB0000}"/>
    <cellStyle name="Normal 58 6 3 2 4 3 2" xfId="15723" xr:uid="{00000000-0005-0000-0000-000078AB0000}"/>
    <cellStyle name="Normal 58 6 3 2 4 3 2 2" xfId="41278" xr:uid="{00000000-0005-0000-0000-000079AB0000}"/>
    <cellStyle name="Normal 58 6 3 2 4 3 3" xfId="25974" xr:uid="{00000000-0005-0000-0000-00007AAB0000}"/>
    <cellStyle name="Normal 58 6 3 2 4 3 3 2" xfId="51527" xr:uid="{00000000-0005-0000-0000-00007BAB0000}"/>
    <cellStyle name="Normal 58 6 3 2 4 3 4" xfId="32457" xr:uid="{00000000-0005-0000-0000-00007CAB0000}"/>
    <cellStyle name="Normal 58 6 3 2 4 4" xfId="8342" xr:uid="{00000000-0005-0000-0000-00007DAB0000}"/>
    <cellStyle name="Normal 58 6 3 2 4 4 2" xfId="22424" xr:uid="{00000000-0005-0000-0000-00007EAB0000}"/>
    <cellStyle name="Normal 58 6 3 2 4 4 2 2" xfId="47977" xr:uid="{00000000-0005-0000-0000-00007FAB0000}"/>
    <cellStyle name="Normal 58 6 3 2 4 4 3" xfId="33899" xr:uid="{00000000-0005-0000-0000-000080AB0000}"/>
    <cellStyle name="Normal 58 6 3 2 4 5" xfId="17417" xr:uid="{00000000-0005-0000-0000-000081AB0000}"/>
    <cellStyle name="Normal 58 6 3 2 4 5 2" xfId="42970" xr:uid="{00000000-0005-0000-0000-000082AB0000}"/>
    <cellStyle name="Normal 58 6 3 2 4 6" xfId="28907" xr:uid="{00000000-0005-0000-0000-000083AB0000}"/>
    <cellStyle name="Normal 58 6 3 2 5" xfId="4397" xr:uid="{00000000-0005-0000-0000-000084AB0000}"/>
    <cellStyle name="Normal 58 6 3 2 5 2" xfId="13235" xr:uid="{00000000-0005-0000-0000-000085AB0000}"/>
    <cellStyle name="Normal 58 6 3 2 5 2 2" xfId="23486" xr:uid="{00000000-0005-0000-0000-000086AB0000}"/>
    <cellStyle name="Normal 58 6 3 2 5 2 2 2" xfId="49039" xr:uid="{00000000-0005-0000-0000-000087AB0000}"/>
    <cellStyle name="Normal 58 6 3 2 5 2 3" xfId="38790" xr:uid="{00000000-0005-0000-0000-000088AB0000}"/>
    <cellStyle name="Normal 58 6 3 2 5 3" xfId="9656" xr:uid="{00000000-0005-0000-0000-000089AB0000}"/>
    <cellStyle name="Normal 58 6 3 2 5 3 2" xfId="35213" xr:uid="{00000000-0005-0000-0000-00008AAB0000}"/>
    <cellStyle name="Normal 58 6 3 2 5 4" xfId="18479" xr:uid="{00000000-0005-0000-0000-00008BAB0000}"/>
    <cellStyle name="Normal 58 6 3 2 5 4 2" xfId="44032" xr:uid="{00000000-0005-0000-0000-00008CAB0000}"/>
    <cellStyle name="Normal 58 6 3 2 5 5" xfId="29969" xr:uid="{00000000-0005-0000-0000-00008DAB0000}"/>
    <cellStyle name="Normal 58 6 3 2 6" xfId="1669" xr:uid="{00000000-0005-0000-0000-00008EAB0000}"/>
    <cellStyle name="Normal 58 6 3 2 6 2" xfId="11046" xr:uid="{00000000-0005-0000-0000-00008FAB0000}"/>
    <cellStyle name="Normal 58 6 3 2 6 2 2" xfId="36601" xr:uid="{00000000-0005-0000-0000-000090AB0000}"/>
    <cellStyle name="Normal 58 6 3 2 6 3" xfId="21050" xr:uid="{00000000-0005-0000-0000-000091AB0000}"/>
    <cellStyle name="Normal 58 6 3 2 6 3 2" xfId="46603" xr:uid="{00000000-0005-0000-0000-000092AB0000}"/>
    <cellStyle name="Normal 58 6 3 2 6 4" xfId="27533" xr:uid="{00000000-0005-0000-0000-000093AB0000}"/>
    <cellStyle name="Normal 58 6 3 2 7" xfId="5853" xr:uid="{00000000-0005-0000-0000-000094AB0000}"/>
    <cellStyle name="Normal 58 6 3 2 7 2" xfId="14680" xr:uid="{00000000-0005-0000-0000-000095AB0000}"/>
    <cellStyle name="Normal 58 6 3 2 7 2 2" xfId="40235" xr:uid="{00000000-0005-0000-0000-000096AB0000}"/>
    <cellStyle name="Normal 58 6 3 2 7 3" xfId="24931" xr:uid="{00000000-0005-0000-0000-000097AB0000}"/>
    <cellStyle name="Normal 58 6 3 2 7 3 2" xfId="50484" xr:uid="{00000000-0005-0000-0000-000098AB0000}"/>
    <cellStyle name="Normal 58 6 3 2 7 4" xfId="31414" xr:uid="{00000000-0005-0000-0000-000099AB0000}"/>
    <cellStyle name="Normal 58 6 3 2 8" xfId="7297" xr:uid="{00000000-0005-0000-0000-00009AAB0000}"/>
    <cellStyle name="Normal 58 6 3 2 8 2" xfId="20023" xr:uid="{00000000-0005-0000-0000-00009BAB0000}"/>
    <cellStyle name="Normal 58 6 3 2 8 2 2" xfId="45576" xr:uid="{00000000-0005-0000-0000-00009CAB0000}"/>
    <cellStyle name="Normal 58 6 3 2 8 3" xfId="32854" xr:uid="{00000000-0005-0000-0000-00009DAB0000}"/>
    <cellStyle name="Normal 58 6 3 2 9" xfId="16043" xr:uid="{00000000-0005-0000-0000-00009EAB0000}"/>
    <cellStyle name="Normal 58 6 3 2 9 2" xfId="41596" xr:uid="{00000000-0005-0000-0000-00009FAB0000}"/>
    <cellStyle name="Normal 58 6 3 2_Degree data" xfId="4025" xr:uid="{00000000-0005-0000-0000-0000A0AB0000}"/>
    <cellStyle name="Normal 58 6 3 3" xfId="372" xr:uid="{00000000-0005-0000-0000-0000A1AB0000}"/>
    <cellStyle name="Normal 58 6 3 3 2" xfId="2858" xr:uid="{00000000-0005-0000-0000-0000A2AB0000}"/>
    <cellStyle name="Normal 58 6 3 3 2 2" xfId="12146" xr:uid="{00000000-0005-0000-0000-0000A3AB0000}"/>
    <cellStyle name="Normal 58 6 3 3 2 2 2" xfId="22219" xr:uid="{00000000-0005-0000-0000-0000A4AB0000}"/>
    <cellStyle name="Normal 58 6 3 3 2 2 2 2" xfId="47772" xr:uid="{00000000-0005-0000-0000-0000A5AB0000}"/>
    <cellStyle name="Normal 58 6 3 3 2 2 3" xfId="37701" xr:uid="{00000000-0005-0000-0000-0000A6AB0000}"/>
    <cellStyle name="Normal 58 6 3 3 2 3" xfId="8522" xr:uid="{00000000-0005-0000-0000-0000A7AB0000}"/>
    <cellStyle name="Normal 58 6 3 3 2 3 2" xfId="34079" xr:uid="{00000000-0005-0000-0000-0000A8AB0000}"/>
    <cellStyle name="Normal 58 6 3 3 2 4" xfId="17212" xr:uid="{00000000-0005-0000-0000-0000A9AB0000}"/>
    <cellStyle name="Normal 58 6 3 3 2 4 2" xfId="42765" xr:uid="{00000000-0005-0000-0000-0000AAAB0000}"/>
    <cellStyle name="Normal 58 6 3 3 2 5" xfId="28702" xr:uid="{00000000-0005-0000-0000-0000ABAB0000}"/>
    <cellStyle name="Normal 58 6 3 3 3" xfId="4732" xr:uid="{00000000-0005-0000-0000-0000ACAB0000}"/>
    <cellStyle name="Normal 58 6 3 3 3 2" xfId="13570" xr:uid="{00000000-0005-0000-0000-0000ADAB0000}"/>
    <cellStyle name="Normal 58 6 3 3 3 2 2" xfId="23821" xr:uid="{00000000-0005-0000-0000-0000AEAB0000}"/>
    <cellStyle name="Normal 58 6 3 3 3 2 2 2" xfId="49374" xr:uid="{00000000-0005-0000-0000-0000AFAB0000}"/>
    <cellStyle name="Normal 58 6 3 3 3 2 3" xfId="39125" xr:uid="{00000000-0005-0000-0000-0000B0AB0000}"/>
    <cellStyle name="Normal 58 6 3 3 3 3" xfId="9991" xr:uid="{00000000-0005-0000-0000-0000B1AB0000}"/>
    <cellStyle name="Normal 58 6 3 3 3 3 2" xfId="35548" xr:uid="{00000000-0005-0000-0000-0000B2AB0000}"/>
    <cellStyle name="Normal 58 6 3 3 3 4" xfId="18814" xr:uid="{00000000-0005-0000-0000-0000B3AB0000}"/>
    <cellStyle name="Normal 58 6 3 3 3 4 2" xfId="44367" xr:uid="{00000000-0005-0000-0000-0000B4AB0000}"/>
    <cellStyle name="Normal 58 6 3 3 3 5" xfId="30304" xr:uid="{00000000-0005-0000-0000-0000B5AB0000}"/>
    <cellStyle name="Normal 58 6 3 3 4" xfId="1967" xr:uid="{00000000-0005-0000-0000-0000B6AB0000}"/>
    <cellStyle name="Normal 58 6 3 3 4 2" xfId="11332" xr:uid="{00000000-0005-0000-0000-0000B7AB0000}"/>
    <cellStyle name="Normal 58 6 3 3 4 2 2" xfId="36887" xr:uid="{00000000-0005-0000-0000-0000B8AB0000}"/>
    <cellStyle name="Normal 58 6 3 3 4 3" xfId="21336" xr:uid="{00000000-0005-0000-0000-0000B9AB0000}"/>
    <cellStyle name="Normal 58 6 3 3 4 3 2" xfId="46889" xr:uid="{00000000-0005-0000-0000-0000BAAB0000}"/>
    <cellStyle name="Normal 58 6 3 3 4 4" xfId="27819" xr:uid="{00000000-0005-0000-0000-0000BBAB0000}"/>
    <cellStyle name="Normal 58 6 3 3 5" xfId="6188" xr:uid="{00000000-0005-0000-0000-0000BCAB0000}"/>
    <cellStyle name="Normal 58 6 3 3 5 2" xfId="15015" xr:uid="{00000000-0005-0000-0000-0000BDAB0000}"/>
    <cellStyle name="Normal 58 6 3 3 5 2 2" xfId="40570" xr:uid="{00000000-0005-0000-0000-0000BEAB0000}"/>
    <cellStyle name="Normal 58 6 3 3 5 3" xfId="25266" xr:uid="{00000000-0005-0000-0000-0000BFAB0000}"/>
    <cellStyle name="Normal 58 6 3 3 5 3 2" xfId="50819" xr:uid="{00000000-0005-0000-0000-0000C0AB0000}"/>
    <cellStyle name="Normal 58 6 3 3 5 4" xfId="31749" xr:uid="{00000000-0005-0000-0000-0000C1AB0000}"/>
    <cellStyle name="Normal 58 6 3 3 6" xfId="7633" xr:uid="{00000000-0005-0000-0000-0000C2AB0000}"/>
    <cellStyle name="Normal 58 6 3 3 6 2" xfId="19818" xr:uid="{00000000-0005-0000-0000-0000C3AB0000}"/>
    <cellStyle name="Normal 58 6 3 3 6 2 2" xfId="45371" xr:uid="{00000000-0005-0000-0000-0000C4AB0000}"/>
    <cellStyle name="Normal 58 6 3 3 6 3" xfId="33190" xr:uid="{00000000-0005-0000-0000-0000C5AB0000}"/>
    <cellStyle name="Normal 58 6 3 3 7" xfId="16329" xr:uid="{00000000-0005-0000-0000-0000C6AB0000}"/>
    <cellStyle name="Normal 58 6 3 3 7 2" xfId="41882" xr:uid="{00000000-0005-0000-0000-0000C7AB0000}"/>
    <cellStyle name="Normal 58 6 3 3 8" xfId="26301" xr:uid="{00000000-0005-0000-0000-0000C8AB0000}"/>
    <cellStyle name="Normal 58 6 3 4" xfId="918" xr:uid="{00000000-0005-0000-0000-0000C9AB0000}"/>
    <cellStyle name="Normal 58 6 3 4 2" xfId="3403" xr:uid="{00000000-0005-0000-0000-0000CAAB0000}"/>
    <cellStyle name="Normal 58 6 3 4 2 2" xfId="12545" xr:uid="{00000000-0005-0000-0000-0000CBAB0000}"/>
    <cellStyle name="Normal 58 6 3 4 2 2 2" xfId="22764" xr:uid="{00000000-0005-0000-0000-0000CCAB0000}"/>
    <cellStyle name="Normal 58 6 3 4 2 2 2 2" xfId="48317" xr:uid="{00000000-0005-0000-0000-0000CDAB0000}"/>
    <cellStyle name="Normal 58 6 3 4 2 2 3" xfId="38100" xr:uid="{00000000-0005-0000-0000-0000CEAB0000}"/>
    <cellStyle name="Normal 58 6 3 4 2 3" xfId="8967" xr:uid="{00000000-0005-0000-0000-0000CFAB0000}"/>
    <cellStyle name="Normal 58 6 3 4 2 3 2" xfId="34524" xr:uid="{00000000-0005-0000-0000-0000D0AB0000}"/>
    <cellStyle name="Normal 58 6 3 4 2 4" xfId="17757" xr:uid="{00000000-0005-0000-0000-0000D1AB0000}"/>
    <cellStyle name="Normal 58 6 3 4 2 4 2" xfId="43310" xr:uid="{00000000-0005-0000-0000-0000D2AB0000}"/>
    <cellStyle name="Normal 58 6 3 4 2 5" xfId="29247" xr:uid="{00000000-0005-0000-0000-0000D3AB0000}"/>
    <cellStyle name="Normal 58 6 3 4 3" xfId="5081" xr:uid="{00000000-0005-0000-0000-0000D4AB0000}"/>
    <cellStyle name="Normal 58 6 3 4 3 2" xfId="13918" xr:uid="{00000000-0005-0000-0000-0000D5AB0000}"/>
    <cellStyle name="Normal 58 6 3 4 3 2 2" xfId="24169" xr:uid="{00000000-0005-0000-0000-0000D6AB0000}"/>
    <cellStyle name="Normal 58 6 3 4 3 2 2 2" xfId="49722" xr:uid="{00000000-0005-0000-0000-0000D7AB0000}"/>
    <cellStyle name="Normal 58 6 3 4 3 2 3" xfId="39473" xr:uid="{00000000-0005-0000-0000-0000D8AB0000}"/>
    <cellStyle name="Normal 58 6 3 4 3 3" xfId="10339" xr:uid="{00000000-0005-0000-0000-0000D9AB0000}"/>
    <cellStyle name="Normal 58 6 3 4 3 3 2" xfId="35896" xr:uid="{00000000-0005-0000-0000-0000DAAB0000}"/>
    <cellStyle name="Normal 58 6 3 4 3 4" xfId="19162" xr:uid="{00000000-0005-0000-0000-0000DBAB0000}"/>
    <cellStyle name="Normal 58 6 3 4 3 4 2" xfId="44715" xr:uid="{00000000-0005-0000-0000-0000DCAB0000}"/>
    <cellStyle name="Normal 58 6 3 4 3 5" xfId="30652" xr:uid="{00000000-0005-0000-0000-0000DDAB0000}"/>
    <cellStyle name="Normal 58 6 3 4 4" xfId="2512" xr:uid="{00000000-0005-0000-0000-0000DEAB0000}"/>
    <cellStyle name="Normal 58 6 3 4 4 2" xfId="11877" xr:uid="{00000000-0005-0000-0000-0000DFAB0000}"/>
    <cellStyle name="Normal 58 6 3 4 4 2 2" xfId="37432" xr:uid="{00000000-0005-0000-0000-0000E0AB0000}"/>
    <cellStyle name="Normal 58 6 3 4 4 3" xfId="21881" xr:uid="{00000000-0005-0000-0000-0000E1AB0000}"/>
    <cellStyle name="Normal 58 6 3 4 4 3 2" xfId="47434" xr:uid="{00000000-0005-0000-0000-0000E2AB0000}"/>
    <cellStyle name="Normal 58 6 3 4 4 4" xfId="28364" xr:uid="{00000000-0005-0000-0000-0000E3AB0000}"/>
    <cellStyle name="Normal 58 6 3 4 5" xfId="6536" xr:uid="{00000000-0005-0000-0000-0000E4AB0000}"/>
    <cellStyle name="Normal 58 6 3 4 5 2" xfId="15363" xr:uid="{00000000-0005-0000-0000-0000E5AB0000}"/>
    <cellStyle name="Normal 58 6 3 4 5 2 2" xfId="40918" xr:uid="{00000000-0005-0000-0000-0000E6AB0000}"/>
    <cellStyle name="Normal 58 6 3 4 5 3" xfId="25614" xr:uid="{00000000-0005-0000-0000-0000E7AB0000}"/>
    <cellStyle name="Normal 58 6 3 4 5 3 2" xfId="51167" xr:uid="{00000000-0005-0000-0000-0000E8AB0000}"/>
    <cellStyle name="Normal 58 6 3 4 5 4" xfId="32097" xr:uid="{00000000-0005-0000-0000-0000E9AB0000}"/>
    <cellStyle name="Normal 58 6 3 4 6" xfId="7982" xr:uid="{00000000-0005-0000-0000-0000EAAB0000}"/>
    <cellStyle name="Normal 58 6 3 4 6 2" xfId="20363" xr:uid="{00000000-0005-0000-0000-0000EBAB0000}"/>
    <cellStyle name="Normal 58 6 3 4 6 2 2" xfId="45916" xr:uid="{00000000-0005-0000-0000-0000ECAB0000}"/>
    <cellStyle name="Normal 58 6 3 4 6 3" xfId="33539" xr:uid="{00000000-0005-0000-0000-0000EDAB0000}"/>
    <cellStyle name="Normal 58 6 3 4 7" xfId="16874" xr:uid="{00000000-0005-0000-0000-0000EEAB0000}"/>
    <cellStyle name="Normal 58 6 3 4 7 2" xfId="42427" xr:uid="{00000000-0005-0000-0000-0000EFAB0000}"/>
    <cellStyle name="Normal 58 6 3 4 8" xfId="26846" xr:uid="{00000000-0005-0000-0000-0000F0AB0000}"/>
    <cellStyle name="Normal 58 6 3 5" xfId="1144" xr:uid="{00000000-0005-0000-0000-0000F1AB0000}"/>
    <cellStyle name="Normal 58 6 3 5 2" xfId="3573" xr:uid="{00000000-0005-0000-0000-0000F2AB0000}"/>
    <cellStyle name="Normal 58 6 3 5 2 2" xfId="12709" xr:uid="{00000000-0005-0000-0000-0000F3AB0000}"/>
    <cellStyle name="Normal 58 6 3 5 2 2 2" xfId="22928" xr:uid="{00000000-0005-0000-0000-0000F4AB0000}"/>
    <cellStyle name="Normal 58 6 3 5 2 2 2 2" xfId="48481" xr:uid="{00000000-0005-0000-0000-0000F5AB0000}"/>
    <cellStyle name="Normal 58 6 3 5 2 2 3" xfId="38264" xr:uid="{00000000-0005-0000-0000-0000F6AB0000}"/>
    <cellStyle name="Normal 58 6 3 5 2 3" xfId="9130" xr:uid="{00000000-0005-0000-0000-0000F7AB0000}"/>
    <cellStyle name="Normal 58 6 3 5 2 3 2" xfId="34687" xr:uid="{00000000-0005-0000-0000-0000F8AB0000}"/>
    <cellStyle name="Normal 58 6 3 5 2 4" xfId="17921" xr:uid="{00000000-0005-0000-0000-0000F9AB0000}"/>
    <cellStyle name="Normal 58 6 3 5 2 4 2" xfId="43474" xr:uid="{00000000-0005-0000-0000-0000FAAB0000}"/>
    <cellStyle name="Normal 58 6 3 5 2 5" xfId="29411" xr:uid="{00000000-0005-0000-0000-0000FBAB0000}"/>
    <cellStyle name="Normal 58 6 3 5 3" xfId="5236" xr:uid="{00000000-0005-0000-0000-0000FCAB0000}"/>
    <cellStyle name="Normal 58 6 3 5 3 2" xfId="14073" xr:uid="{00000000-0005-0000-0000-0000FDAB0000}"/>
    <cellStyle name="Normal 58 6 3 5 3 2 2" xfId="24324" xr:uid="{00000000-0005-0000-0000-0000FEAB0000}"/>
    <cellStyle name="Normal 58 6 3 5 3 2 2 2" xfId="49877" xr:uid="{00000000-0005-0000-0000-0000FFAB0000}"/>
    <cellStyle name="Normal 58 6 3 5 3 2 3" xfId="39628" xr:uid="{00000000-0005-0000-0000-000000AC0000}"/>
    <cellStyle name="Normal 58 6 3 5 3 3" xfId="10494" xr:uid="{00000000-0005-0000-0000-000001AC0000}"/>
    <cellStyle name="Normal 58 6 3 5 3 3 2" xfId="36051" xr:uid="{00000000-0005-0000-0000-000002AC0000}"/>
    <cellStyle name="Normal 58 6 3 5 3 4" xfId="19317" xr:uid="{00000000-0005-0000-0000-000003AC0000}"/>
    <cellStyle name="Normal 58 6 3 5 3 4 2" xfId="44870" xr:uid="{00000000-0005-0000-0000-000004AC0000}"/>
    <cellStyle name="Normal 58 6 3 5 3 5" xfId="30807" xr:uid="{00000000-0005-0000-0000-000005AC0000}"/>
    <cellStyle name="Normal 58 6 3 5 4" xfId="1852" xr:uid="{00000000-0005-0000-0000-000006AC0000}"/>
    <cellStyle name="Normal 58 6 3 5 4 2" xfId="11220" xr:uid="{00000000-0005-0000-0000-000007AC0000}"/>
    <cellStyle name="Normal 58 6 3 5 4 2 2" xfId="36775" xr:uid="{00000000-0005-0000-0000-000008AC0000}"/>
    <cellStyle name="Normal 58 6 3 5 4 3" xfId="21224" xr:uid="{00000000-0005-0000-0000-000009AC0000}"/>
    <cellStyle name="Normal 58 6 3 5 4 3 2" xfId="46777" xr:uid="{00000000-0005-0000-0000-00000AAC0000}"/>
    <cellStyle name="Normal 58 6 3 5 4 4" xfId="27707" xr:uid="{00000000-0005-0000-0000-00000BAC0000}"/>
    <cellStyle name="Normal 58 6 3 5 5" xfId="6691" xr:uid="{00000000-0005-0000-0000-00000CAC0000}"/>
    <cellStyle name="Normal 58 6 3 5 5 2" xfId="15518" xr:uid="{00000000-0005-0000-0000-00000DAC0000}"/>
    <cellStyle name="Normal 58 6 3 5 5 2 2" xfId="41073" xr:uid="{00000000-0005-0000-0000-00000EAC0000}"/>
    <cellStyle name="Normal 58 6 3 5 5 3" xfId="25769" xr:uid="{00000000-0005-0000-0000-00000FAC0000}"/>
    <cellStyle name="Normal 58 6 3 5 5 3 2" xfId="51322" xr:uid="{00000000-0005-0000-0000-000010AC0000}"/>
    <cellStyle name="Normal 58 6 3 5 5 4" xfId="32252" xr:uid="{00000000-0005-0000-0000-000011AC0000}"/>
    <cellStyle name="Normal 58 6 3 5 6" xfId="8137" xr:uid="{00000000-0005-0000-0000-000012AC0000}"/>
    <cellStyle name="Normal 58 6 3 5 6 2" xfId="20527" xr:uid="{00000000-0005-0000-0000-000013AC0000}"/>
    <cellStyle name="Normal 58 6 3 5 6 2 2" xfId="46080" xr:uid="{00000000-0005-0000-0000-000014AC0000}"/>
    <cellStyle name="Normal 58 6 3 5 6 3" xfId="33694" xr:uid="{00000000-0005-0000-0000-000015AC0000}"/>
    <cellStyle name="Normal 58 6 3 5 7" xfId="16217" xr:uid="{00000000-0005-0000-0000-000016AC0000}"/>
    <cellStyle name="Normal 58 6 3 5 7 2" xfId="41770" xr:uid="{00000000-0005-0000-0000-000017AC0000}"/>
    <cellStyle name="Normal 58 6 3 5 8" xfId="27010" xr:uid="{00000000-0005-0000-0000-000018AC0000}"/>
    <cellStyle name="Normal 58 6 3 6" xfId="2746" xr:uid="{00000000-0005-0000-0000-000019AC0000}"/>
    <cellStyle name="Normal 58 6 3 6 2" xfId="12063" xr:uid="{00000000-0005-0000-0000-00001AAC0000}"/>
    <cellStyle name="Normal 58 6 3 6 2 2" xfId="22107" xr:uid="{00000000-0005-0000-0000-00001BAC0000}"/>
    <cellStyle name="Normal 58 6 3 6 2 2 2" xfId="47660" xr:uid="{00000000-0005-0000-0000-00001CAC0000}"/>
    <cellStyle name="Normal 58 6 3 6 2 3" xfId="37618" xr:uid="{00000000-0005-0000-0000-00001DAC0000}"/>
    <cellStyle name="Normal 58 6 3 6 3" xfId="8542" xr:uid="{00000000-0005-0000-0000-00001EAC0000}"/>
    <cellStyle name="Normal 58 6 3 6 3 2" xfId="34099" xr:uid="{00000000-0005-0000-0000-00001FAC0000}"/>
    <cellStyle name="Normal 58 6 3 6 4" xfId="17100" xr:uid="{00000000-0005-0000-0000-000020AC0000}"/>
    <cellStyle name="Normal 58 6 3 6 4 2" xfId="42653" xr:uid="{00000000-0005-0000-0000-000021AC0000}"/>
    <cellStyle name="Normal 58 6 3 6 5" xfId="28590" xr:uid="{00000000-0005-0000-0000-000022AC0000}"/>
    <cellStyle name="Normal 58 6 3 7" xfId="4192" xr:uid="{00000000-0005-0000-0000-000023AC0000}"/>
    <cellStyle name="Normal 58 6 3 7 2" xfId="13030" xr:uid="{00000000-0005-0000-0000-000024AC0000}"/>
    <cellStyle name="Normal 58 6 3 7 2 2" xfId="23281" xr:uid="{00000000-0005-0000-0000-000025AC0000}"/>
    <cellStyle name="Normal 58 6 3 7 2 2 2" xfId="48834" xr:uid="{00000000-0005-0000-0000-000026AC0000}"/>
    <cellStyle name="Normal 58 6 3 7 2 3" xfId="38585" xr:uid="{00000000-0005-0000-0000-000027AC0000}"/>
    <cellStyle name="Normal 58 6 3 7 3" xfId="9451" xr:uid="{00000000-0005-0000-0000-000028AC0000}"/>
    <cellStyle name="Normal 58 6 3 7 3 2" xfId="35008" xr:uid="{00000000-0005-0000-0000-000029AC0000}"/>
    <cellStyle name="Normal 58 6 3 7 4" xfId="18274" xr:uid="{00000000-0005-0000-0000-00002AAC0000}"/>
    <cellStyle name="Normal 58 6 3 7 4 2" xfId="43827" xr:uid="{00000000-0005-0000-0000-00002BAC0000}"/>
    <cellStyle name="Normal 58 6 3 7 5" xfId="29764" xr:uid="{00000000-0005-0000-0000-00002CAC0000}"/>
    <cellStyle name="Normal 58 6 3 8" xfId="1464" xr:uid="{00000000-0005-0000-0000-00002DAC0000}"/>
    <cellStyle name="Normal 58 6 3 8 2" xfId="10841" xr:uid="{00000000-0005-0000-0000-00002EAC0000}"/>
    <cellStyle name="Normal 58 6 3 8 2 2" xfId="36396" xr:uid="{00000000-0005-0000-0000-00002FAC0000}"/>
    <cellStyle name="Normal 58 6 3 8 3" xfId="20845" xr:uid="{00000000-0005-0000-0000-000030AC0000}"/>
    <cellStyle name="Normal 58 6 3 8 3 2" xfId="46398" xr:uid="{00000000-0005-0000-0000-000031AC0000}"/>
    <cellStyle name="Normal 58 6 3 8 4" xfId="27328" xr:uid="{00000000-0005-0000-0000-000032AC0000}"/>
    <cellStyle name="Normal 58 6 3 9" xfId="5648" xr:uid="{00000000-0005-0000-0000-000033AC0000}"/>
    <cellStyle name="Normal 58 6 3 9 2" xfId="14475" xr:uid="{00000000-0005-0000-0000-000034AC0000}"/>
    <cellStyle name="Normal 58 6 3 9 2 2" xfId="40030" xr:uid="{00000000-0005-0000-0000-000035AC0000}"/>
    <cellStyle name="Normal 58 6 3 9 3" xfId="24726" xr:uid="{00000000-0005-0000-0000-000036AC0000}"/>
    <cellStyle name="Normal 58 6 3 9 3 2" xfId="50279" xr:uid="{00000000-0005-0000-0000-000037AC0000}"/>
    <cellStyle name="Normal 58 6 3 9 4" xfId="31209" xr:uid="{00000000-0005-0000-0000-000038AC0000}"/>
    <cellStyle name="Normal 58 6 3_Degree data" xfId="4024" xr:uid="{00000000-0005-0000-0000-000039AC0000}"/>
    <cellStyle name="Normal 58 6 4" xfId="472" xr:uid="{00000000-0005-0000-0000-00003AAC0000}"/>
    <cellStyle name="Normal 58 6 4 10" xfId="26401" xr:uid="{00000000-0005-0000-0000-00003BAC0000}"/>
    <cellStyle name="Normal 58 6 4 2" xfId="920" xr:uid="{00000000-0005-0000-0000-00003CAC0000}"/>
    <cellStyle name="Normal 58 6 4 2 2" xfId="3405" xr:uid="{00000000-0005-0000-0000-00003DAC0000}"/>
    <cellStyle name="Normal 58 6 4 2 2 2" xfId="12547" xr:uid="{00000000-0005-0000-0000-00003EAC0000}"/>
    <cellStyle name="Normal 58 6 4 2 2 2 2" xfId="22766" xr:uid="{00000000-0005-0000-0000-00003FAC0000}"/>
    <cellStyle name="Normal 58 6 4 2 2 2 2 2" xfId="48319" xr:uid="{00000000-0005-0000-0000-000040AC0000}"/>
    <cellStyle name="Normal 58 6 4 2 2 2 3" xfId="38102" xr:uid="{00000000-0005-0000-0000-000041AC0000}"/>
    <cellStyle name="Normal 58 6 4 2 2 3" xfId="8969" xr:uid="{00000000-0005-0000-0000-000042AC0000}"/>
    <cellStyle name="Normal 58 6 4 2 2 3 2" xfId="34526" xr:uid="{00000000-0005-0000-0000-000043AC0000}"/>
    <cellStyle name="Normal 58 6 4 2 2 4" xfId="17759" xr:uid="{00000000-0005-0000-0000-000044AC0000}"/>
    <cellStyle name="Normal 58 6 4 2 2 4 2" xfId="43312" xr:uid="{00000000-0005-0000-0000-000045AC0000}"/>
    <cellStyle name="Normal 58 6 4 2 2 5" xfId="29249" xr:uid="{00000000-0005-0000-0000-000046AC0000}"/>
    <cellStyle name="Normal 58 6 4 2 3" xfId="4734" xr:uid="{00000000-0005-0000-0000-000047AC0000}"/>
    <cellStyle name="Normal 58 6 4 2 3 2" xfId="13572" xr:uid="{00000000-0005-0000-0000-000048AC0000}"/>
    <cellStyle name="Normal 58 6 4 2 3 2 2" xfId="23823" xr:uid="{00000000-0005-0000-0000-000049AC0000}"/>
    <cellStyle name="Normal 58 6 4 2 3 2 2 2" xfId="49376" xr:uid="{00000000-0005-0000-0000-00004AAC0000}"/>
    <cellStyle name="Normal 58 6 4 2 3 2 3" xfId="39127" xr:uid="{00000000-0005-0000-0000-00004BAC0000}"/>
    <cellStyle name="Normal 58 6 4 2 3 3" xfId="9993" xr:uid="{00000000-0005-0000-0000-00004CAC0000}"/>
    <cellStyle name="Normal 58 6 4 2 3 3 2" xfId="35550" xr:uid="{00000000-0005-0000-0000-00004DAC0000}"/>
    <cellStyle name="Normal 58 6 4 2 3 4" xfId="18816" xr:uid="{00000000-0005-0000-0000-00004EAC0000}"/>
    <cellStyle name="Normal 58 6 4 2 3 4 2" xfId="44369" xr:uid="{00000000-0005-0000-0000-00004FAC0000}"/>
    <cellStyle name="Normal 58 6 4 2 3 5" xfId="30306" xr:uid="{00000000-0005-0000-0000-000050AC0000}"/>
    <cellStyle name="Normal 58 6 4 2 4" xfId="2514" xr:uid="{00000000-0005-0000-0000-000051AC0000}"/>
    <cellStyle name="Normal 58 6 4 2 4 2" xfId="11879" xr:uid="{00000000-0005-0000-0000-000052AC0000}"/>
    <cellStyle name="Normal 58 6 4 2 4 2 2" xfId="37434" xr:uid="{00000000-0005-0000-0000-000053AC0000}"/>
    <cellStyle name="Normal 58 6 4 2 4 3" xfId="21883" xr:uid="{00000000-0005-0000-0000-000054AC0000}"/>
    <cellStyle name="Normal 58 6 4 2 4 3 2" xfId="47436" xr:uid="{00000000-0005-0000-0000-000055AC0000}"/>
    <cellStyle name="Normal 58 6 4 2 4 4" xfId="28366" xr:uid="{00000000-0005-0000-0000-000056AC0000}"/>
    <cellStyle name="Normal 58 6 4 2 5" xfId="6190" xr:uid="{00000000-0005-0000-0000-000057AC0000}"/>
    <cellStyle name="Normal 58 6 4 2 5 2" xfId="15017" xr:uid="{00000000-0005-0000-0000-000058AC0000}"/>
    <cellStyle name="Normal 58 6 4 2 5 2 2" xfId="40572" xr:uid="{00000000-0005-0000-0000-000059AC0000}"/>
    <cellStyle name="Normal 58 6 4 2 5 3" xfId="25268" xr:uid="{00000000-0005-0000-0000-00005AAC0000}"/>
    <cellStyle name="Normal 58 6 4 2 5 3 2" xfId="50821" xr:uid="{00000000-0005-0000-0000-00005BAC0000}"/>
    <cellStyle name="Normal 58 6 4 2 5 4" xfId="31751" xr:uid="{00000000-0005-0000-0000-00005CAC0000}"/>
    <cellStyle name="Normal 58 6 4 2 6" xfId="7635" xr:uid="{00000000-0005-0000-0000-00005DAC0000}"/>
    <cellStyle name="Normal 58 6 4 2 6 2" xfId="20365" xr:uid="{00000000-0005-0000-0000-00005EAC0000}"/>
    <cellStyle name="Normal 58 6 4 2 6 2 2" xfId="45918" xr:uid="{00000000-0005-0000-0000-00005FAC0000}"/>
    <cellStyle name="Normal 58 6 4 2 6 3" xfId="33192" xr:uid="{00000000-0005-0000-0000-000060AC0000}"/>
    <cellStyle name="Normal 58 6 4 2 7" xfId="16876" xr:uid="{00000000-0005-0000-0000-000061AC0000}"/>
    <cellStyle name="Normal 58 6 4 2 7 2" xfId="42429" xr:uid="{00000000-0005-0000-0000-000062AC0000}"/>
    <cellStyle name="Normal 58 6 4 2 8" xfId="26848" xr:uid="{00000000-0005-0000-0000-000063AC0000}"/>
    <cellStyle name="Normal 58 6 4 3" xfId="1244" xr:uid="{00000000-0005-0000-0000-000064AC0000}"/>
    <cellStyle name="Normal 58 6 4 3 2" xfId="3673" xr:uid="{00000000-0005-0000-0000-000065AC0000}"/>
    <cellStyle name="Normal 58 6 4 3 2 2" xfId="12809" xr:uid="{00000000-0005-0000-0000-000066AC0000}"/>
    <cellStyle name="Normal 58 6 4 3 2 2 2" xfId="23028" xr:uid="{00000000-0005-0000-0000-000067AC0000}"/>
    <cellStyle name="Normal 58 6 4 3 2 2 2 2" xfId="48581" xr:uid="{00000000-0005-0000-0000-000068AC0000}"/>
    <cellStyle name="Normal 58 6 4 3 2 2 3" xfId="38364" xr:uid="{00000000-0005-0000-0000-000069AC0000}"/>
    <cellStyle name="Normal 58 6 4 3 2 3" xfId="9230" xr:uid="{00000000-0005-0000-0000-00006AAC0000}"/>
    <cellStyle name="Normal 58 6 4 3 2 3 2" xfId="34787" xr:uid="{00000000-0005-0000-0000-00006BAC0000}"/>
    <cellStyle name="Normal 58 6 4 3 2 4" xfId="18021" xr:uid="{00000000-0005-0000-0000-00006CAC0000}"/>
    <cellStyle name="Normal 58 6 4 3 2 4 2" xfId="43574" xr:uid="{00000000-0005-0000-0000-00006DAC0000}"/>
    <cellStyle name="Normal 58 6 4 3 2 5" xfId="29511" xr:uid="{00000000-0005-0000-0000-00006EAC0000}"/>
    <cellStyle name="Normal 58 6 4 3 3" xfId="5083" xr:uid="{00000000-0005-0000-0000-00006FAC0000}"/>
    <cellStyle name="Normal 58 6 4 3 3 2" xfId="13920" xr:uid="{00000000-0005-0000-0000-000070AC0000}"/>
    <cellStyle name="Normal 58 6 4 3 3 2 2" xfId="24171" xr:uid="{00000000-0005-0000-0000-000071AC0000}"/>
    <cellStyle name="Normal 58 6 4 3 3 2 2 2" xfId="49724" xr:uid="{00000000-0005-0000-0000-000072AC0000}"/>
    <cellStyle name="Normal 58 6 4 3 3 2 3" xfId="39475" xr:uid="{00000000-0005-0000-0000-000073AC0000}"/>
    <cellStyle name="Normal 58 6 4 3 3 3" xfId="10341" xr:uid="{00000000-0005-0000-0000-000074AC0000}"/>
    <cellStyle name="Normal 58 6 4 3 3 3 2" xfId="35898" xr:uid="{00000000-0005-0000-0000-000075AC0000}"/>
    <cellStyle name="Normal 58 6 4 3 3 4" xfId="19164" xr:uid="{00000000-0005-0000-0000-000076AC0000}"/>
    <cellStyle name="Normal 58 6 4 3 3 4 2" xfId="44717" xr:uid="{00000000-0005-0000-0000-000077AC0000}"/>
    <cellStyle name="Normal 58 6 4 3 3 5" xfId="30654" xr:uid="{00000000-0005-0000-0000-000078AC0000}"/>
    <cellStyle name="Normal 58 6 4 3 4" xfId="2067" xr:uid="{00000000-0005-0000-0000-000079AC0000}"/>
    <cellStyle name="Normal 58 6 4 3 4 2" xfId="11432" xr:uid="{00000000-0005-0000-0000-00007AAC0000}"/>
    <cellStyle name="Normal 58 6 4 3 4 2 2" xfId="36987" xr:uid="{00000000-0005-0000-0000-00007BAC0000}"/>
    <cellStyle name="Normal 58 6 4 3 4 3" xfId="21436" xr:uid="{00000000-0005-0000-0000-00007CAC0000}"/>
    <cellStyle name="Normal 58 6 4 3 4 3 2" xfId="46989" xr:uid="{00000000-0005-0000-0000-00007DAC0000}"/>
    <cellStyle name="Normal 58 6 4 3 4 4" xfId="27919" xr:uid="{00000000-0005-0000-0000-00007EAC0000}"/>
    <cellStyle name="Normal 58 6 4 3 5" xfId="6538" xr:uid="{00000000-0005-0000-0000-00007FAC0000}"/>
    <cellStyle name="Normal 58 6 4 3 5 2" xfId="15365" xr:uid="{00000000-0005-0000-0000-000080AC0000}"/>
    <cellStyle name="Normal 58 6 4 3 5 2 2" xfId="40920" xr:uid="{00000000-0005-0000-0000-000081AC0000}"/>
    <cellStyle name="Normal 58 6 4 3 5 3" xfId="25616" xr:uid="{00000000-0005-0000-0000-000082AC0000}"/>
    <cellStyle name="Normal 58 6 4 3 5 3 2" xfId="51169" xr:uid="{00000000-0005-0000-0000-000083AC0000}"/>
    <cellStyle name="Normal 58 6 4 3 5 4" xfId="32099" xr:uid="{00000000-0005-0000-0000-000084AC0000}"/>
    <cellStyle name="Normal 58 6 4 3 6" xfId="7984" xr:uid="{00000000-0005-0000-0000-000085AC0000}"/>
    <cellStyle name="Normal 58 6 4 3 6 2" xfId="20627" xr:uid="{00000000-0005-0000-0000-000086AC0000}"/>
    <cellStyle name="Normal 58 6 4 3 6 2 2" xfId="46180" xr:uid="{00000000-0005-0000-0000-000087AC0000}"/>
    <cellStyle name="Normal 58 6 4 3 6 3" xfId="33541" xr:uid="{00000000-0005-0000-0000-000088AC0000}"/>
    <cellStyle name="Normal 58 6 4 3 7" xfId="16429" xr:uid="{00000000-0005-0000-0000-000089AC0000}"/>
    <cellStyle name="Normal 58 6 4 3 7 2" xfId="41982" xr:uid="{00000000-0005-0000-0000-00008AAC0000}"/>
    <cellStyle name="Normal 58 6 4 3 8" xfId="27110" xr:uid="{00000000-0005-0000-0000-00008BAC0000}"/>
    <cellStyle name="Normal 58 6 4 4" xfId="2958" xr:uid="{00000000-0005-0000-0000-00008CAC0000}"/>
    <cellStyle name="Normal 58 6 4 4 2" xfId="5336" xr:uid="{00000000-0005-0000-0000-00008DAC0000}"/>
    <cellStyle name="Normal 58 6 4 4 2 2" xfId="14173" xr:uid="{00000000-0005-0000-0000-00008EAC0000}"/>
    <cellStyle name="Normal 58 6 4 4 2 2 2" xfId="24424" xr:uid="{00000000-0005-0000-0000-00008FAC0000}"/>
    <cellStyle name="Normal 58 6 4 4 2 2 2 2" xfId="49977" xr:uid="{00000000-0005-0000-0000-000090AC0000}"/>
    <cellStyle name="Normal 58 6 4 4 2 2 3" xfId="39728" xr:uid="{00000000-0005-0000-0000-000091AC0000}"/>
    <cellStyle name="Normal 58 6 4 4 2 3" xfId="10594" xr:uid="{00000000-0005-0000-0000-000092AC0000}"/>
    <cellStyle name="Normal 58 6 4 4 2 3 2" xfId="36151" xr:uid="{00000000-0005-0000-0000-000093AC0000}"/>
    <cellStyle name="Normal 58 6 4 4 2 4" xfId="19417" xr:uid="{00000000-0005-0000-0000-000094AC0000}"/>
    <cellStyle name="Normal 58 6 4 4 2 4 2" xfId="44970" xr:uid="{00000000-0005-0000-0000-000095AC0000}"/>
    <cellStyle name="Normal 58 6 4 4 2 5" xfId="30907" xr:uid="{00000000-0005-0000-0000-000096AC0000}"/>
    <cellStyle name="Normal 58 6 4 4 3" xfId="6791" xr:uid="{00000000-0005-0000-0000-000097AC0000}"/>
    <cellStyle name="Normal 58 6 4 4 3 2" xfId="15618" xr:uid="{00000000-0005-0000-0000-000098AC0000}"/>
    <cellStyle name="Normal 58 6 4 4 3 2 2" xfId="41173" xr:uid="{00000000-0005-0000-0000-000099AC0000}"/>
    <cellStyle name="Normal 58 6 4 4 3 3" xfId="25869" xr:uid="{00000000-0005-0000-0000-00009AAC0000}"/>
    <cellStyle name="Normal 58 6 4 4 3 3 2" xfId="51422" xr:uid="{00000000-0005-0000-0000-00009BAC0000}"/>
    <cellStyle name="Normal 58 6 4 4 3 4" xfId="32352" xr:uid="{00000000-0005-0000-0000-00009CAC0000}"/>
    <cellStyle name="Normal 58 6 4 4 4" xfId="8237" xr:uid="{00000000-0005-0000-0000-00009DAC0000}"/>
    <cellStyle name="Normal 58 6 4 4 4 2" xfId="22319" xr:uid="{00000000-0005-0000-0000-00009EAC0000}"/>
    <cellStyle name="Normal 58 6 4 4 4 2 2" xfId="47872" xr:uid="{00000000-0005-0000-0000-00009FAC0000}"/>
    <cellStyle name="Normal 58 6 4 4 4 3" xfId="33794" xr:uid="{00000000-0005-0000-0000-0000A0AC0000}"/>
    <cellStyle name="Normal 58 6 4 4 5" xfId="17312" xr:uid="{00000000-0005-0000-0000-0000A1AC0000}"/>
    <cellStyle name="Normal 58 6 4 4 5 2" xfId="42865" xr:uid="{00000000-0005-0000-0000-0000A2AC0000}"/>
    <cellStyle name="Normal 58 6 4 4 6" xfId="28802" xr:uid="{00000000-0005-0000-0000-0000A3AC0000}"/>
    <cellStyle name="Normal 58 6 4 5" xfId="4292" xr:uid="{00000000-0005-0000-0000-0000A4AC0000}"/>
    <cellStyle name="Normal 58 6 4 5 2" xfId="13130" xr:uid="{00000000-0005-0000-0000-0000A5AC0000}"/>
    <cellStyle name="Normal 58 6 4 5 2 2" xfId="23381" xr:uid="{00000000-0005-0000-0000-0000A6AC0000}"/>
    <cellStyle name="Normal 58 6 4 5 2 2 2" xfId="48934" xr:uid="{00000000-0005-0000-0000-0000A7AC0000}"/>
    <cellStyle name="Normal 58 6 4 5 2 3" xfId="38685" xr:uid="{00000000-0005-0000-0000-0000A8AC0000}"/>
    <cellStyle name="Normal 58 6 4 5 3" xfId="9551" xr:uid="{00000000-0005-0000-0000-0000A9AC0000}"/>
    <cellStyle name="Normal 58 6 4 5 3 2" xfId="35108" xr:uid="{00000000-0005-0000-0000-0000AAAC0000}"/>
    <cellStyle name="Normal 58 6 4 5 4" xfId="18374" xr:uid="{00000000-0005-0000-0000-0000ABAC0000}"/>
    <cellStyle name="Normal 58 6 4 5 4 2" xfId="43927" xr:uid="{00000000-0005-0000-0000-0000ACAC0000}"/>
    <cellStyle name="Normal 58 6 4 5 5" xfId="29864" xr:uid="{00000000-0005-0000-0000-0000ADAC0000}"/>
    <cellStyle name="Normal 58 6 4 6" xfId="1564" xr:uid="{00000000-0005-0000-0000-0000AEAC0000}"/>
    <cellStyle name="Normal 58 6 4 6 2" xfId="10941" xr:uid="{00000000-0005-0000-0000-0000AFAC0000}"/>
    <cellStyle name="Normal 58 6 4 6 2 2" xfId="36496" xr:uid="{00000000-0005-0000-0000-0000B0AC0000}"/>
    <cellStyle name="Normal 58 6 4 6 3" xfId="20945" xr:uid="{00000000-0005-0000-0000-0000B1AC0000}"/>
    <cellStyle name="Normal 58 6 4 6 3 2" xfId="46498" xr:uid="{00000000-0005-0000-0000-0000B2AC0000}"/>
    <cellStyle name="Normal 58 6 4 6 4" xfId="27428" xr:uid="{00000000-0005-0000-0000-0000B3AC0000}"/>
    <cellStyle name="Normal 58 6 4 7" xfId="5748" xr:uid="{00000000-0005-0000-0000-0000B4AC0000}"/>
    <cellStyle name="Normal 58 6 4 7 2" xfId="14575" xr:uid="{00000000-0005-0000-0000-0000B5AC0000}"/>
    <cellStyle name="Normal 58 6 4 7 2 2" xfId="40130" xr:uid="{00000000-0005-0000-0000-0000B6AC0000}"/>
    <cellStyle name="Normal 58 6 4 7 3" xfId="24826" xr:uid="{00000000-0005-0000-0000-0000B7AC0000}"/>
    <cellStyle name="Normal 58 6 4 7 3 2" xfId="50379" xr:uid="{00000000-0005-0000-0000-0000B8AC0000}"/>
    <cellStyle name="Normal 58 6 4 7 4" xfId="31309" xr:uid="{00000000-0005-0000-0000-0000B9AC0000}"/>
    <cellStyle name="Normal 58 6 4 8" xfId="7192" xr:uid="{00000000-0005-0000-0000-0000BAAC0000}"/>
    <cellStyle name="Normal 58 6 4 8 2" xfId="19918" xr:uid="{00000000-0005-0000-0000-0000BBAC0000}"/>
    <cellStyle name="Normal 58 6 4 8 2 2" xfId="45471" xr:uid="{00000000-0005-0000-0000-0000BCAC0000}"/>
    <cellStyle name="Normal 58 6 4 8 3" xfId="32749" xr:uid="{00000000-0005-0000-0000-0000BDAC0000}"/>
    <cellStyle name="Normal 58 6 4 9" xfId="15938" xr:uid="{00000000-0005-0000-0000-0000BEAC0000}"/>
    <cellStyle name="Normal 58 6 4 9 2" xfId="41491" xr:uid="{00000000-0005-0000-0000-0000BFAC0000}"/>
    <cellStyle name="Normal 58 6 4_Degree data" xfId="4026" xr:uid="{00000000-0005-0000-0000-0000C0AC0000}"/>
    <cellStyle name="Normal 58 6 5" xfId="313" xr:uid="{00000000-0005-0000-0000-0000C1AC0000}"/>
    <cellStyle name="Normal 58 6 5 2" xfId="2799" xr:uid="{00000000-0005-0000-0000-0000C2AC0000}"/>
    <cellStyle name="Normal 58 6 5 2 2" xfId="12103" xr:uid="{00000000-0005-0000-0000-0000C3AC0000}"/>
    <cellStyle name="Normal 58 6 5 2 2 2" xfId="22160" xr:uid="{00000000-0005-0000-0000-0000C4AC0000}"/>
    <cellStyle name="Normal 58 6 5 2 2 2 2" xfId="47713" xr:uid="{00000000-0005-0000-0000-0000C5AC0000}"/>
    <cellStyle name="Normal 58 6 5 2 2 3" xfId="37658" xr:uid="{00000000-0005-0000-0000-0000C6AC0000}"/>
    <cellStyle name="Normal 58 6 5 2 3" xfId="8622" xr:uid="{00000000-0005-0000-0000-0000C7AC0000}"/>
    <cellStyle name="Normal 58 6 5 2 3 2" xfId="34179" xr:uid="{00000000-0005-0000-0000-0000C8AC0000}"/>
    <cellStyle name="Normal 58 6 5 2 4" xfId="17153" xr:uid="{00000000-0005-0000-0000-0000C9AC0000}"/>
    <cellStyle name="Normal 58 6 5 2 4 2" xfId="42706" xr:uid="{00000000-0005-0000-0000-0000CAAC0000}"/>
    <cellStyle name="Normal 58 6 5 2 5" xfId="28643" xr:uid="{00000000-0005-0000-0000-0000CBAC0000}"/>
    <cellStyle name="Normal 58 6 5 3" xfId="4729" xr:uid="{00000000-0005-0000-0000-0000CCAC0000}"/>
    <cellStyle name="Normal 58 6 5 3 2" xfId="13567" xr:uid="{00000000-0005-0000-0000-0000CDAC0000}"/>
    <cellStyle name="Normal 58 6 5 3 2 2" xfId="23818" xr:uid="{00000000-0005-0000-0000-0000CEAC0000}"/>
    <cellStyle name="Normal 58 6 5 3 2 2 2" xfId="49371" xr:uid="{00000000-0005-0000-0000-0000CFAC0000}"/>
    <cellStyle name="Normal 58 6 5 3 2 3" xfId="39122" xr:uid="{00000000-0005-0000-0000-0000D0AC0000}"/>
    <cellStyle name="Normal 58 6 5 3 3" xfId="9988" xr:uid="{00000000-0005-0000-0000-0000D1AC0000}"/>
    <cellStyle name="Normal 58 6 5 3 3 2" xfId="35545" xr:uid="{00000000-0005-0000-0000-0000D2AC0000}"/>
    <cellStyle name="Normal 58 6 5 3 4" xfId="18811" xr:uid="{00000000-0005-0000-0000-0000D3AC0000}"/>
    <cellStyle name="Normal 58 6 5 3 4 2" xfId="44364" xr:uid="{00000000-0005-0000-0000-0000D4AC0000}"/>
    <cellStyle name="Normal 58 6 5 3 5" xfId="30301" xr:uid="{00000000-0005-0000-0000-0000D5AC0000}"/>
    <cellStyle name="Normal 58 6 5 4" xfId="1908" xr:uid="{00000000-0005-0000-0000-0000D6AC0000}"/>
    <cellStyle name="Normal 58 6 5 4 2" xfId="11273" xr:uid="{00000000-0005-0000-0000-0000D7AC0000}"/>
    <cellStyle name="Normal 58 6 5 4 2 2" xfId="36828" xr:uid="{00000000-0005-0000-0000-0000D8AC0000}"/>
    <cellStyle name="Normal 58 6 5 4 3" xfId="21277" xr:uid="{00000000-0005-0000-0000-0000D9AC0000}"/>
    <cellStyle name="Normal 58 6 5 4 3 2" xfId="46830" xr:uid="{00000000-0005-0000-0000-0000DAAC0000}"/>
    <cellStyle name="Normal 58 6 5 4 4" xfId="27760" xr:uid="{00000000-0005-0000-0000-0000DBAC0000}"/>
    <cellStyle name="Normal 58 6 5 5" xfId="6185" xr:uid="{00000000-0005-0000-0000-0000DCAC0000}"/>
    <cellStyle name="Normal 58 6 5 5 2" xfId="15012" xr:uid="{00000000-0005-0000-0000-0000DDAC0000}"/>
    <cellStyle name="Normal 58 6 5 5 2 2" xfId="40567" xr:uid="{00000000-0005-0000-0000-0000DEAC0000}"/>
    <cellStyle name="Normal 58 6 5 5 3" xfId="25263" xr:uid="{00000000-0005-0000-0000-0000DFAC0000}"/>
    <cellStyle name="Normal 58 6 5 5 3 2" xfId="50816" xr:uid="{00000000-0005-0000-0000-0000E0AC0000}"/>
    <cellStyle name="Normal 58 6 5 5 4" xfId="31746" xr:uid="{00000000-0005-0000-0000-0000E1AC0000}"/>
    <cellStyle name="Normal 58 6 5 6" xfId="7630" xr:uid="{00000000-0005-0000-0000-0000E2AC0000}"/>
    <cellStyle name="Normal 58 6 5 6 2" xfId="19759" xr:uid="{00000000-0005-0000-0000-0000E3AC0000}"/>
    <cellStyle name="Normal 58 6 5 6 2 2" xfId="45312" xr:uid="{00000000-0005-0000-0000-0000E4AC0000}"/>
    <cellStyle name="Normal 58 6 5 6 3" xfId="33187" xr:uid="{00000000-0005-0000-0000-0000E5AC0000}"/>
    <cellStyle name="Normal 58 6 5 7" xfId="16270" xr:uid="{00000000-0005-0000-0000-0000E6AC0000}"/>
    <cellStyle name="Normal 58 6 5 7 2" xfId="41823" xr:uid="{00000000-0005-0000-0000-0000E7AC0000}"/>
    <cellStyle name="Normal 58 6 5 8" xfId="26242" xr:uid="{00000000-0005-0000-0000-0000E8AC0000}"/>
    <cellStyle name="Normal 58 6 6" xfId="915" xr:uid="{00000000-0005-0000-0000-0000E9AC0000}"/>
    <cellStyle name="Normal 58 6 6 2" xfId="3400" xr:uid="{00000000-0005-0000-0000-0000EAAC0000}"/>
    <cellStyle name="Normal 58 6 6 2 2" xfId="12542" xr:uid="{00000000-0005-0000-0000-0000EBAC0000}"/>
    <cellStyle name="Normal 58 6 6 2 2 2" xfId="22761" xr:uid="{00000000-0005-0000-0000-0000ECAC0000}"/>
    <cellStyle name="Normal 58 6 6 2 2 2 2" xfId="48314" xr:uid="{00000000-0005-0000-0000-0000EDAC0000}"/>
    <cellStyle name="Normal 58 6 6 2 2 3" xfId="38097" xr:uid="{00000000-0005-0000-0000-0000EEAC0000}"/>
    <cellStyle name="Normal 58 6 6 2 3" xfId="8964" xr:uid="{00000000-0005-0000-0000-0000EFAC0000}"/>
    <cellStyle name="Normal 58 6 6 2 3 2" xfId="34521" xr:uid="{00000000-0005-0000-0000-0000F0AC0000}"/>
    <cellStyle name="Normal 58 6 6 2 4" xfId="17754" xr:uid="{00000000-0005-0000-0000-0000F1AC0000}"/>
    <cellStyle name="Normal 58 6 6 2 4 2" xfId="43307" xr:uid="{00000000-0005-0000-0000-0000F2AC0000}"/>
    <cellStyle name="Normal 58 6 6 2 5" xfId="29244" xr:uid="{00000000-0005-0000-0000-0000F3AC0000}"/>
    <cellStyle name="Normal 58 6 6 3" xfId="5078" xr:uid="{00000000-0005-0000-0000-0000F4AC0000}"/>
    <cellStyle name="Normal 58 6 6 3 2" xfId="13915" xr:uid="{00000000-0005-0000-0000-0000F5AC0000}"/>
    <cellStyle name="Normal 58 6 6 3 2 2" xfId="24166" xr:uid="{00000000-0005-0000-0000-0000F6AC0000}"/>
    <cellStyle name="Normal 58 6 6 3 2 2 2" xfId="49719" xr:uid="{00000000-0005-0000-0000-0000F7AC0000}"/>
    <cellStyle name="Normal 58 6 6 3 2 3" xfId="39470" xr:uid="{00000000-0005-0000-0000-0000F8AC0000}"/>
    <cellStyle name="Normal 58 6 6 3 3" xfId="10336" xr:uid="{00000000-0005-0000-0000-0000F9AC0000}"/>
    <cellStyle name="Normal 58 6 6 3 3 2" xfId="35893" xr:uid="{00000000-0005-0000-0000-0000FAAC0000}"/>
    <cellStyle name="Normal 58 6 6 3 4" xfId="19159" xr:uid="{00000000-0005-0000-0000-0000FBAC0000}"/>
    <cellStyle name="Normal 58 6 6 3 4 2" xfId="44712" xr:uid="{00000000-0005-0000-0000-0000FCAC0000}"/>
    <cellStyle name="Normal 58 6 6 3 5" xfId="30649" xr:uid="{00000000-0005-0000-0000-0000FDAC0000}"/>
    <cellStyle name="Normal 58 6 6 4" xfId="2509" xr:uid="{00000000-0005-0000-0000-0000FEAC0000}"/>
    <cellStyle name="Normal 58 6 6 4 2" xfId="11874" xr:uid="{00000000-0005-0000-0000-0000FFAC0000}"/>
    <cellStyle name="Normal 58 6 6 4 2 2" xfId="37429" xr:uid="{00000000-0005-0000-0000-000000AD0000}"/>
    <cellStyle name="Normal 58 6 6 4 3" xfId="21878" xr:uid="{00000000-0005-0000-0000-000001AD0000}"/>
    <cellStyle name="Normal 58 6 6 4 3 2" xfId="47431" xr:uid="{00000000-0005-0000-0000-000002AD0000}"/>
    <cellStyle name="Normal 58 6 6 4 4" xfId="28361" xr:uid="{00000000-0005-0000-0000-000003AD0000}"/>
    <cellStyle name="Normal 58 6 6 5" xfId="6533" xr:uid="{00000000-0005-0000-0000-000004AD0000}"/>
    <cellStyle name="Normal 58 6 6 5 2" xfId="15360" xr:uid="{00000000-0005-0000-0000-000005AD0000}"/>
    <cellStyle name="Normal 58 6 6 5 2 2" xfId="40915" xr:uid="{00000000-0005-0000-0000-000006AD0000}"/>
    <cellStyle name="Normal 58 6 6 5 3" xfId="25611" xr:uid="{00000000-0005-0000-0000-000007AD0000}"/>
    <cellStyle name="Normal 58 6 6 5 3 2" xfId="51164" xr:uid="{00000000-0005-0000-0000-000008AD0000}"/>
    <cellStyle name="Normal 58 6 6 5 4" xfId="32094" xr:uid="{00000000-0005-0000-0000-000009AD0000}"/>
    <cellStyle name="Normal 58 6 6 6" xfId="7979" xr:uid="{00000000-0005-0000-0000-00000AAD0000}"/>
    <cellStyle name="Normal 58 6 6 6 2" xfId="20360" xr:uid="{00000000-0005-0000-0000-00000BAD0000}"/>
    <cellStyle name="Normal 58 6 6 6 2 2" xfId="45913" xr:uid="{00000000-0005-0000-0000-00000CAD0000}"/>
    <cellStyle name="Normal 58 6 6 6 3" xfId="33536" xr:uid="{00000000-0005-0000-0000-00000DAD0000}"/>
    <cellStyle name="Normal 58 6 6 7" xfId="16871" xr:uid="{00000000-0005-0000-0000-00000EAD0000}"/>
    <cellStyle name="Normal 58 6 6 7 2" xfId="42424" xr:uid="{00000000-0005-0000-0000-00000FAD0000}"/>
    <cellStyle name="Normal 58 6 6 8" xfId="26843" xr:uid="{00000000-0005-0000-0000-000010AD0000}"/>
    <cellStyle name="Normal 58 6 7" xfId="1085" xr:uid="{00000000-0005-0000-0000-000011AD0000}"/>
    <cellStyle name="Normal 58 6 7 2" xfId="3514" xr:uid="{00000000-0005-0000-0000-000012AD0000}"/>
    <cellStyle name="Normal 58 6 7 2 2" xfId="12650" xr:uid="{00000000-0005-0000-0000-000013AD0000}"/>
    <cellStyle name="Normal 58 6 7 2 2 2" xfId="22869" xr:uid="{00000000-0005-0000-0000-000014AD0000}"/>
    <cellStyle name="Normal 58 6 7 2 2 2 2" xfId="48422" xr:uid="{00000000-0005-0000-0000-000015AD0000}"/>
    <cellStyle name="Normal 58 6 7 2 2 3" xfId="38205" xr:uid="{00000000-0005-0000-0000-000016AD0000}"/>
    <cellStyle name="Normal 58 6 7 2 3" xfId="9072" xr:uid="{00000000-0005-0000-0000-000017AD0000}"/>
    <cellStyle name="Normal 58 6 7 2 3 2" xfId="34629" xr:uid="{00000000-0005-0000-0000-000018AD0000}"/>
    <cellStyle name="Normal 58 6 7 2 4" xfId="17862" xr:uid="{00000000-0005-0000-0000-000019AD0000}"/>
    <cellStyle name="Normal 58 6 7 2 4 2" xfId="43415" xr:uid="{00000000-0005-0000-0000-00001AAD0000}"/>
    <cellStyle name="Normal 58 6 7 2 5" xfId="29352" xr:uid="{00000000-0005-0000-0000-00001BAD0000}"/>
    <cellStyle name="Normal 58 6 7 3" xfId="5177" xr:uid="{00000000-0005-0000-0000-00001CAD0000}"/>
    <cellStyle name="Normal 58 6 7 3 2" xfId="14014" xr:uid="{00000000-0005-0000-0000-00001DAD0000}"/>
    <cellStyle name="Normal 58 6 7 3 2 2" xfId="24265" xr:uid="{00000000-0005-0000-0000-00001EAD0000}"/>
    <cellStyle name="Normal 58 6 7 3 2 2 2" xfId="49818" xr:uid="{00000000-0005-0000-0000-00001FAD0000}"/>
    <cellStyle name="Normal 58 6 7 3 2 3" xfId="39569" xr:uid="{00000000-0005-0000-0000-000020AD0000}"/>
    <cellStyle name="Normal 58 6 7 3 3" xfId="10435" xr:uid="{00000000-0005-0000-0000-000021AD0000}"/>
    <cellStyle name="Normal 58 6 7 3 3 2" xfId="35992" xr:uid="{00000000-0005-0000-0000-000022AD0000}"/>
    <cellStyle name="Normal 58 6 7 3 4" xfId="19258" xr:uid="{00000000-0005-0000-0000-000023AD0000}"/>
    <cellStyle name="Normal 58 6 7 3 4 2" xfId="44811" xr:uid="{00000000-0005-0000-0000-000024AD0000}"/>
    <cellStyle name="Normal 58 6 7 3 5" xfId="30748" xr:uid="{00000000-0005-0000-0000-000025AD0000}"/>
    <cellStyle name="Normal 58 6 7 4" xfId="1743" xr:uid="{00000000-0005-0000-0000-000026AD0000}"/>
    <cellStyle name="Normal 58 6 7 4 2" xfId="11114" xr:uid="{00000000-0005-0000-0000-000027AD0000}"/>
    <cellStyle name="Normal 58 6 7 4 2 2" xfId="36669" xr:uid="{00000000-0005-0000-0000-000028AD0000}"/>
    <cellStyle name="Normal 58 6 7 4 3" xfId="21118" xr:uid="{00000000-0005-0000-0000-000029AD0000}"/>
    <cellStyle name="Normal 58 6 7 4 3 2" xfId="46671" xr:uid="{00000000-0005-0000-0000-00002AAD0000}"/>
    <cellStyle name="Normal 58 6 7 4 4" xfId="27601" xr:uid="{00000000-0005-0000-0000-00002BAD0000}"/>
    <cellStyle name="Normal 58 6 7 5" xfId="6632" xr:uid="{00000000-0005-0000-0000-00002CAD0000}"/>
    <cellStyle name="Normal 58 6 7 5 2" xfId="15459" xr:uid="{00000000-0005-0000-0000-00002DAD0000}"/>
    <cellStyle name="Normal 58 6 7 5 2 2" xfId="41014" xr:uid="{00000000-0005-0000-0000-00002EAD0000}"/>
    <cellStyle name="Normal 58 6 7 5 3" xfId="25710" xr:uid="{00000000-0005-0000-0000-00002FAD0000}"/>
    <cellStyle name="Normal 58 6 7 5 3 2" xfId="51263" xr:uid="{00000000-0005-0000-0000-000030AD0000}"/>
    <cellStyle name="Normal 58 6 7 5 4" xfId="32193" xr:uid="{00000000-0005-0000-0000-000031AD0000}"/>
    <cellStyle name="Normal 58 6 7 6" xfId="8078" xr:uid="{00000000-0005-0000-0000-000032AD0000}"/>
    <cellStyle name="Normal 58 6 7 6 2" xfId="20468" xr:uid="{00000000-0005-0000-0000-000033AD0000}"/>
    <cellStyle name="Normal 58 6 7 6 2 2" xfId="46021" xr:uid="{00000000-0005-0000-0000-000034AD0000}"/>
    <cellStyle name="Normal 58 6 7 6 3" xfId="33635" xr:uid="{00000000-0005-0000-0000-000035AD0000}"/>
    <cellStyle name="Normal 58 6 7 7" xfId="16111" xr:uid="{00000000-0005-0000-0000-000036AD0000}"/>
    <cellStyle name="Normal 58 6 7 7 2" xfId="41664" xr:uid="{00000000-0005-0000-0000-000037AD0000}"/>
    <cellStyle name="Normal 58 6 7 8" xfId="26951" xr:uid="{00000000-0005-0000-0000-000038AD0000}"/>
    <cellStyle name="Normal 58 6 8" xfId="2641" xr:uid="{00000000-0005-0000-0000-000039AD0000}"/>
    <cellStyle name="Normal 58 6 8 2" xfId="5589" xr:uid="{00000000-0005-0000-0000-00003AAD0000}"/>
    <cellStyle name="Normal 58 6 8 2 2" xfId="14416" xr:uid="{00000000-0005-0000-0000-00003BAD0000}"/>
    <cellStyle name="Normal 58 6 8 2 2 2" xfId="39971" xr:uid="{00000000-0005-0000-0000-00003CAD0000}"/>
    <cellStyle name="Normal 58 6 8 2 3" xfId="24667" xr:uid="{00000000-0005-0000-0000-00003DAD0000}"/>
    <cellStyle name="Normal 58 6 8 2 3 2" xfId="50220" xr:uid="{00000000-0005-0000-0000-00003EAD0000}"/>
    <cellStyle name="Normal 58 6 8 2 4" xfId="31150" xr:uid="{00000000-0005-0000-0000-00003FAD0000}"/>
    <cellStyle name="Normal 58 6 8 3" xfId="7033" xr:uid="{00000000-0005-0000-0000-000040AD0000}"/>
    <cellStyle name="Normal 58 6 8 3 2" xfId="22002" xr:uid="{00000000-0005-0000-0000-000041AD0000}"/>
    <cellStyle name="Normal 58 6 8 3 2 2" xfId="47555" xr:uid="{00000000-0005-0000-0000-000042AD0000}"/>
    <cellStyle name="Normal 58 6 8 3 3" xfId="32590" xr:uid="{00000000-0005-0000-0000-000043AD0000}"/>
    <cellStyle name="Normal 58 6 8 4" xfId="16995" xr:uid="{00000000-0005-0000-0000-000044AD0000}"/>
    <cellStyle name="Normal 58 6 8 4 2" xfId="42548" xr:uid="{00000000-0005-0000-0000-000045AD0000}"/>
    <cellStyle name="Normal 58 6 8 5" xfId="28485" xr:uid="{00000000-0005-0000-0000-000046AD0000}"/>
    <cellStyle name="Normal 58 6 9" xfId="4131" xr:uid="{00000000-0005-0000-0000-000047AD0000}"/>
    <cellStyle name="Normal 58 6 9 2" xfId="12969" xr:uid="{00000000-0005-0000-0000-000048AD0000}"/>
    <cellStyle name="Normal 58 6 9 2 2" xfId="23220" xr:uid="{00000000-0005-0000-0000-000049AD0000}"/>
    <cellStyle name="Normal 58 6 9 2 2 2" xfId="48773" xr:uid="{00000000-0005-0000-0000-00004AAD0000}"/>
    <cellStyle name="Normal 58 6 9 2 3" xfId="38524" xr:uid="{00000000-0005-0000-0000-00004BAD0000}"/>
    <cellStyle name="Normal 58 6 9 3" xfId="9390" xr:uid="{00000000-0005-0000-0000-00004CAD0000}"/>
    <cellStyle name="Normal 58 6 9 3 2" xfId="34947" xr:uid="{00000000-0005-0000-0000-00004DAD0000}"/>
    <cellStyle name="Normal 58 6 9 4" xfId="18213" xr:uid="{00000000-0005-0000-0000-00004EAD0000}"/>
    <cellStyle name="Normal 58 6 9 4 2" xfId="43766" xr:uid="{00000000-0005-0000-0000-00004FAD0000}"/>
    <cellStyle name="Normal 58 6 9 5" xfId="29703" xr:uid="{00000000-0005-0000-0000-000050AD0000}"/>
    <cellStyle name="Normal 58 6_Degree data" xfId="4021" xr:uid="{00000000-0005-0000-0000-000051AD0000}"/>
    <cellStyle name="Normal 58 7" xfId="170" xr:uid="{00000000-0005-0000-0000-000052AD0000}"/>
    <cellStyle name="Normal 58 7 10" xfId="7118" xr:uid="{00000000-0005-0000-0000-000053AD0000}"/>
    <cellStyle name="Normal 58 7 10 2" xfId="19627" xr:uid="{00000000-0005-0000-0000-000054AD0000}"/>
    <cellStyle name="Normal 58 7 10 2 2" xfId="45180" xr:uid="{00000000-0005-0000-0000-000055AD0000}"/>
    <cellStyle name="Normal 58 7 10 3" xfId="32675" xr:uid="{00000000-0005-0000-0000-000056AD0000}"/>
    <cellStyle name="Normal 58 7 11" xfId="15864" xr:uid="{00000000-0005-0000-0000-000057AD0000}"/>
    <cellStyle name="Normal 58 7 11 2" xfId="41417" xr:uid="{00000000-0005-0000-0000-000058AD0000}"/>
    <cellStyle name="Normal 58 7 12" xfId="26110" xr:uid="{00000000-0005-0000-0000-000059AD0000}"/>
    <cellStyle name="Normal 58 7 2" xfId="498" xr:uid="{00000000-0005-0000-0000-00005AAD0000}"/>
    <cellStyle name="Normal 58 7 2 10" xfId="26427" xr:uid="{00000000-0005-0000-0000-00005BAD0000}"/>
    <cellStyle name="Normal 58 7 2 2" xfId="922" xr:uid="{00000000-0005-0000-0000-00005CAD0000}"/>
    <cellStyle name="Normal 58 7 2 2 2" xfId="3407" xr:uid="{00000000-0005-0000-0000-00005DAD0000}"/>
    <cellStyle name="Normal 58 7 2 2 2 2" xfId="12549" xr:uid="{00000000-0005-0000-0000-00005EAD0000}"/>
    <cellStyle name="Normal 58 7 2 2 2 2 2" xfId="22768" xr:uid="{00000000-0005-0000-0000-00005FAD0000}"/>
    <cellStyle name="Normal 58 7 2 2 2 2 2 2" xfId="48321" xr:uid="{00000000-0005-0000-0000-000060AD0000}"/>
    <cellStyle name="Normal 58 7 2 2 2 2 3" xfId="38104" xr:uid="{00000000-0005-0000-0000-000061AD0000}"/>
    <cellStyle name="Normal 58 7 2 2 2 3" xfId="8971" xr:uid="{00000000-0005-0000-0000-000062AD0000}"/>
    <cellStyle name="Normal 58 7 2 2 2 3 2" xfId="34528" xr:uid="{00000000-0005-0000-0000-000063AD0000}"/>
    <cellStyle name="Normal 58 7 2 2 2 4" xfId="17761" xr:uid="{00000000-0005-0000-0000-000064AD0000}"/>
    <cellStyle name="Normal 58 7 2 2 2 4 2" xfId="43314" xr:uid="{00000000-0005-0000-0000-000065AD0000}"/>
    <cellStyle name="Normal 58 7 2 2 2 5" xfId="29251" xr:uid="{00000000-0005-0000-0000-000066AD0000}"/>
    <cellStyle name="Normal 58 7 2 2 3" xfId="4736" xr:uid="{00000000-0005-0000-0000-000067AD0000}"/>
    <cellStyle name="Normal 58 7 2 2 3 2" xfId="13574" xr:uid="{00000000-0005-0000-0000-000068AD0000}"/>
    <cellStyle name="Normal 58 7 2 2 3 2 2" xfId="23825" xr:uid="{00000000-0005-0000-0000-000069AD0000}"/>
    <cellStyle name="Normal 58 7 2 2 3 2 2 2" xfId="49378" xr:uid="{00000000-0005-0000-0000-00006AAD0000}"/>
    <cellStyle name="Normal 58 7 2 2 3 2 3" xfId="39129" xr:uid="{00000000-0005-0000-0000-00006BAD0000}"/>
    <cellStyle name="Normal 58 7 2 2 3 3" xfId="9995" xr:uid="{00000000-0005-0000-0000-00006CAD0000}"/>
    <cellStyle name="Normal 58 7 2 2 3 3 2" xfId="35552" xr:uid="{00000000-0005-0000-0000-00006DAD0000}"/>
    <cellStyle name="Normal 58 7 2 2 3 4" xfId="18818" xr:uid="{00000000-0005-0000-0000-00006EAD0000}"/>
    <cellStyle name="Normal 58 7 2 2 3 4 2" xfId="44371" xr:uid="{00000000-0005-0000-0000-00006FAD0000}"/>
    <cellStyle name="Normal 58 7 2 2 3 5" xfId="30308" xr:uid="{00000000-0005-0000-0000-000070AD0000}"/>
    <cellStyle name="Normal 58 7 2 2 4" xfId="2516" xr:uid="{00000000-0005-0000-0000-000071AD0000}"/>
    <cellStyle name="Normal 58 7 2 2 4 2" xfId="11881" xr:uid="{00000000-0005-0000-0000-000072AD0000}"/>
    <cellStyle name="Normal 58 7 2 2 4 2 2" xfId="37436" xr:uid="{00000000-0005-0000-0000-000073AD0000}"/>
    <cellStyle name="Normal 58 7 2 2 4 3" xfId="21885" xr:uid="{00000000-0005-0000-0000-000074AD0000}"/>
    <cellStyle name="Normal 58 7 2 2 4 3 2" xfId="47438" xr:uid="{00000000-0005-0000-0000-000075AD0000}"/>
    <cellStyle name="Normal 58 7 2 2 4 4" xfId="28368" xr:uid="{00000000-0005-0000-0000-000076AD0000}"/>
    <cellStyle name="Normal 58 7 2 2 5" xfId="6192" xr:uid="{00000000-0005-0000-0000-000077AD0000}"/>
    <cellStyle name="Normal 58 7 2 2 5 2" xfId="15019" xr:uid="{00000000-0005-0000-0000-000078AD0000}"/>
    <cellStyle name="Normal 58 7 2 2 5 2 2" xfId="40574" xr:uid="{00000000-0005-0000-0000-000079AD0000}"/>
    <cellStyle name="Normal 58 7 2 2 5 3" xfId="25270" xr:uid="{00000000-0005-0000-0000-00007AAD0000}"/>
    <cellStyle name="Normal 58 7 2 2 5 3 2" xfId="50823" xr:uid="{00000000-0005-0000-0000-00007BAD0000}"/>
    <cellStyle name="Normal 58 7 2 2 5 4" xfId="31753" xr:uid="{00000000-0005-0000-0000-00007CAD0000}"/>
    <cellStyle name="Normal 58 7 2 2 6" xfId="7637" xr:uid="{00000000-0005-0000-0000-00007DAD0000}"/>
    <cellStyle name="Normal 58 7 2 2 6 2" xfId="20367" xr:uid="{00000000-0005-0000-0000-00007EAD0000}"/>
    <cellStyle name="Normal 58 7 2 2 6 2 2" xfId="45920" xr:uid="{00000000-0005-0000-0000-00007FAD0000}"/>
    <cellStyle name="Normal 58 7 2 2 6 3" xfId="33194" xr:uid="{00000000-0005-0000-0000-000080AD0000}"/>
    <cellStyle name="Normal 58 7 2 2 7" xfId="16878" xr:uid="{00000000-0005-0000-0000-000081AD0000}"/>
    <cellStyle name="Normal 58 7 2 2 7 2" xfId="42431" xr:uid="{00000000-0005-0000-0000-000082AD0000}"/>
    <cellStyle name="Normal 58 7 2 2 8" xfId="26850" xr:uid="{00000000-0005-0000-0000-000083AD0000}"/>
    <cellStyle name="Normal 58 7 2 3" xfId="1270" xr:uid="{00000000-0005-0000-0000-000084AD0000}"/>
    <cellStyle name="Normal 58 7 2 3 2" xfId="3699" xr:uid="{00000000-0005-0000-0000-000085AD0000}"/>
    <cellStyle name="Normal 58 7 2 3 2 2" xfId="12835" xr:uid="{00000000-0005-0000-0000-000086AD0000}"/>
    <cellStyle name="Normal 58 7 2 3 2 2 2" xfId="23054" xr:uid="{00000000-0005-0000-0000-000087AD0000}"/>
    <cellStyle name="Normal 58 7 2 3 2 2 2 2" xfId="48607" xr:uid="{00000000-0005-0000-0000-000088AD0000}"/>
    <cellStyle name="Normal 58 7 2 3 2 2 3" xfId="38390" xr:uid="{00000000-0005-0000-0000-000089AD0000}"/>
    <cellStyle name="Normal 58 7 2 3 2 3" xfId="9256" xr:uid="{00000000-0005-0000-0000-00008AAD0000}"/>
    <cellStyle name="Normal 58 7 2 3 2 3 2" xfId="34813" xr:uid="{00000000-0005-0000-0000-00008BAD0000}"/>
    <cellStyle name="Normal 58 7 2 3 2 4" xfId="18047" xr:uid="{00000000-0005-0000-0000-00008CAD0000}"/>
    <cellStyle name="Normal 58 7 2 3 2 4 2" xfId="43600" xr:uid="{00000000-0005-0000-0000-00008DAD0000}"/>
    <cellStyle name="Normal 58 7 2 3 2 5" xfId="29537" xr:uid="{00000000-0005-0000-0000-00008EAD0000}"/>
    <cellStyle name="Normal 58 7 2 3 3" xfId="5085" xr:uid="{00000000-0005-0000-0000-00008FAD0000}"/>
    <cellStyle name="Normal 58 7 2 3 3 2" xfId="13922" xr:uid="{00000000-0005-0000-0000-000090AD0000}"/>
    <cellStyle name="Normal 58 7 2 3 3 2 2" xfId="24173" xr:uid="{00000000-0005-0000-0000-000091AD0000}"/>
    <cellStyle name="Normal 58 7 2 3 3 2 2 2" xfId="49726" xr:uid="{00000000-0005-0000-0000-000092AD0000}"/>
    <cellStyle name="Normal 58 7 2 3 3 2 3" xfId="39477" xr:uid="{00000000-0005-0000-0000-000093AD0000}"/>
    <cellStyle name="Normal 58 7 2 3 3 3" xfId="10343" xr:uid="{00000000-0005-0000-0000-000094AD0000}"/>
    <cellStyle name="Normal 58 7 2 3 3 3 2" xfId="35900" xr:uid="{00000000-0005-0000-0000-000095AD0000}"/>
    <cellStyle name="Normal 58 7 2 3 3 4" xfId="19166" xr:uid="{00000000-0005-0000-0000-000096AD0000}"/>
    <cellStyle name="Normal 58 7 2 3 3 4 2" xfId="44719" xr:uid="{00000000-0005-0000-0000-000097AD0000}"/>
    <cellStyle name="Normal 58 7 2 3 3 5" xfId="30656" xr:uid="{00000000-0005-0000-0000-000098AD0000}"/>
    <cellStyle name="Normal 58 7 2 3 4" xfId="2093" xr:uid="{00000000-0005-0000-0000-000099AD0000}"/>
    <cellStyle name="Normal 58 7 2 3 4 2" xfId="11458" xr:uid="{00000000-0005-0000-0000-00009AAD0000}"/>
    <cellStyle name="Normal 58 7 2 3 4 2 2" xfId="37013" xr:uid="{00000000-0005-0000-0000-00009BAD0000}"/>
    <cellStyle name="Normal 58 7 2 3 4 3" xfId="21462" xr:uid="{00000000-0005-0000-0000-00009CAD0000}"/>
    <cellStyle name="Normal 58 7 2 3 4 3 2" xfId="47015" xr:uid="{00000000-0005-0000-0000-00009DAD0000}"/>
    <cellStyle name="Normal 58 7 2 3 4 4" xfId="27945" xr:uid="{00000000-0005-0000-0000-00009EAD0000}"/>
    <cellStyle name="Normal 58 7 2 3 5" xfId="6540" xr:uid="{00000000-0005-0000-0000-00009FAD0000}"/>
    <cellStyle name="Normal 58 7 2 3 5 2" xfId="15367" xr:uid="{00000000-0005-0000-0000-0000A0AD0000}"/>
    <cellStyle name="Normal 58 7 2 3 5 2 2" xfId="40922" xr:uid="{00000000-0005-0000-0000-0000A1AD0000}"/>
    <cellStyle name="Normal 58 7 2 3 5 3" xfId="25618" xr:uid="{00000000-0005-0000-0000-0000A2AD0000}"/>
    <cellStyle name="Normal 58 7 2 3 5 3 2" xfId="51171" xr:uid="{00000000-0005-0000-0000-0000A3AD0000}"/>
    <cellStyle name="Normal 58 7 2 3 5 4" xfId="32101" xr:uid="{00000000-0005-0000-0000-0000A4AD0000}"/>
    <cellStyle name="Normal 58 7 2 3 6" xfId="7986" xr:uid="{00000000-0005-0000-0000-0000A5AD0000}"/>
    <cellStyle name="Normal 58 7 2 3 6 2" xfId="20653" xr:uid="{00000000-0005-0000-0000-0000A6AD0000}"/>
    <cellStyle name="Normal 58 7 2 3 6 2 2" xfId="46206" xr:uid="{00000000-0005-0000-0000-0000A7AD0000}"/>
    <cellStyle name="Normal 58 7 2 3 6 3" xfId="33543" xr:uid="{00000000-0005-0000-0000-0000A8AD0000}"/>
    <cellStyle name="Normal 58 7 2 3 7" xfId="16455" xr:uid="{00000000-0005-0000-0000-0000A9AD0000}"/>
    <cellStyle name="Normal 58 7 2 3 7 2" xfId="42008" xr:uid="{00000000-0005-0000-0000-0000AAAD0000}"/>
    <cellStyle name="Normal 58 7 2 3 8" xfId="27136" xr:uid="{00000000-0005-0000-0000-0000ABAD0000}"/>
    <cellStyle name="Normal 58 7 2 4" xfId="2984" xr:uid="{00000000-0005-0000-0000-0000ACAD0000}"/>
    <cellStyle name="Normal 58 7 2 4 2" xfId="5362" xr:uid="{00000000-0005-0000-0000-0000ADAD0000}"/>
    <cellStyle name="Normal 58 7 2 4 2 2" xfId="14199" xr:uid="{00000000-0005-0000-0000-0000AEAD0000}"/>
    <cellStyle name="Normal 58 7 2 4 2 2 2" xfId="24450" xr:uid="{00000000-0005-0000-0000-0000AFAD0000}"/>
    <cellStyle name="Normal 58 7 2 4 2 2 2 2" xfId="50003" xr:uid="{00000000-0005-0000-0000-0000B0AD0000}"/>
    <cellStyle name="Normal 58 7 2 4 2 2 3" xfId="39754" xr:uid="{00000000-0005-0000-0000-0000B1AD0000}"/>
    <cellStyle name="Normal 58 7 2 4 2 3" xfId="10620" xr:uid="{00000000-0005-0000-0000-0000B2AD0000}"/>
    <cellStyle name="Normal 58 7 2 4 2 3 2" xfId="36177" xr:uid="{00000000-0005-0000-0000-0000B3AD0000}"/>
    <cellStyle name="Normal 58 7 2 4 2 4" xfId="19443" xr:uid="{00000000-0005-0000-0000-0000B4AD0000}"/>
    <cellStyle name="Normal 58 7 2 4 2 4 2" xfId="44996" xr:uid="{00000000-0005-0000-0000-0000B5AD0000}"/>
    <cellStyle name="Normal 58 7 2 4 2 5" xfId="30933" xr:uid="{00000000-0005-0000-0000-0000B6AD0000}"/>
    <cellStyle name="Normal 58 7 2 4 3" xfId="6817" xr:uid="{00000000-0005-0000-0000-0000B7AD0000}"/>
    <cellStyle name="Normal 58 7 2 4 3 2" xfId="15644" xr:uid="{00000000-0005-0000-0000-0000B8AD0000}"/>
    <cellStyle name="Normal 58 7 2 4 3 2 2" xfId="41199" xr:uid="{00000000-0005-0000-0000-0000B9AD0000}"/>
    <cellStyle name="Normal 58 7 2 4 3 3" xfId="25895" xr:uid="{00000000-0005-0000-0000-0000BAAD0000}"/>
    <cellStyle name="Normal 58 7 2 4 3 3 2" xfId="51448" xr:uid="{00000000-0005-0000-0000-0000BBAD0000}"/>
    <cellStyle name="Normal 58 7 2 4 3 4" xfId="32378" xr:uid="{00000000-0005-0000-0000-0000BCAD0000}"/>
    <cellStyle name="Normal 58 7 2 4 4" xfId="8263" xr:uid="{00000000-0005-0000-0000-0000BDAD0000}"/>
    <cellStyle name="Normal 58 7 2 4 4 2" xfId="22345" xr:uid="{00000000-0005-0000-0000-0000BEAD0000}"/>
    <cellStyle name="Normal 58 7 2 4 4 2 2" xfId="47898" xr:uid="{00000000-0005-0000-0000-0000BFAD0000}"/>
    <cellStyle name="Normal 58 7 2 4 4 3" xfId="33820" xr:uid="{00000000-0005-0000-0000-0000C0AD0000}"/>
    <cellStyle name="Normal 58 7 2 4 5" xfId="17338" xr:uid="{00000000-0005-0000-0000-0000C1AD0000}"/>
    <cellStyle name="Normal 58 7 2 4 5 2" xfId="42891" xr:uid="{00000000-0005-0000-0000-0000C2AD0000}"/>
    <cellStyle name="Normal 58 7 2 4 6" xfId="28828" xr:uid="{00000000-0005-0000-0000-0000C3AD0000}"/>
    <cellStyle name="Normal 58 7 2 5" xfId="4318" xr:uid="{00000000-0005-0000-0000-0000C4AD0000}"/>
    <cellStyle name="Normal 58 7 2 5 2" xfId="13156" xr:uid="{00000000-0005-0000-0000-0000C5AD0000}"/>
    <cellStyle name="Normal 58 7 2 5 2 2" xfId="23407" xr:uid="{00000000-0005-0000-0000-0000C6AD0000}"/>
    <cellStyle name="Normal 58 7 2 5 2 2 2" xfId="48960" xr:uid="{00000000-0005-0000-0000-0000C7AD0000}"/>
    <cellStyle name="Normal 58 7 2 5 2 3" xfId="38711" xr:uid="{00000000-0005-0000-0000-0000C8AD0000}"/>
    <cellStyle name="Normal 58 7 2 5 3" xfId="9577" xr:uid="{00000000-0005-0000-0000-0000C9AD0000}"/>
    <cellStyle name="Normal 58 7 2 5 3 2" xfId="35134" xr:uid="{00000000-0005-0000-0000-0000CAAD0000}"/>
    <cellStyle name="Normal 58 7 2 5 4" xfId="18400" xr:uid="{00000000-0005-0000-0000-0000CBAD0000}"/>
    <cellStyle name="Normal 58 7 2 5 4 2" xfId="43953" xr:uid="{00000000-0005-0000-0000-0000CCAD0000}"/>
    <cellStyle name="Normal 58 7 2 5 5" xfId="29890" xr:uid="{00000000-0005-0000-0000-0000CDAD0000}"/>
    <cellStyle name="Normal 58 7 2 6" xfId="1590" xr:uid="{00000000-0005-0000-0000-0000CEAD0000}"/>
    <cellStyle name="Normal 58 7 2 6 2" xfId="10967" xr:uid="{00000000-0005-0000-0000-0000CFAD0000}"/>
    <cellStyle name="Normal 58 7 2 6 2 2" xfId="36522" xr:uid="{00000000-0005-0000-0000-0000D0AD0000}"/>
    <cellStyle name="Normal 58 7 2 6 3" xfId="20971" xr:uid="{00000000-0005-0000-0000-0000D1AD0000}"/>
    <cellStyle name="Normal 58 7 2 6 3 2" xfId="46524" xr:uid="{00000000-0005-0000-0000-0000D2AD0000}"/>
    <cellStyle name="Normal 58 7 2 6 4" xfId="27454" xr:uid="{00000000-0005-0000-0000-0000D3AD0000}"/>
    <cellStyle name="Normal 58 7 2 7" xfId="5774" xr:uid="{00000000-0005-0000-0000-0000D4AD0000}"/>
    <cellStyle name="Normal 58 7 2 7 2" xfId="14601" xr:uid="{00000000-0005-0000-0000-0000D5AD0000}"/>
    <cellStyle name="Normal 58 7 2 7 2 2" xfId="40156" xr:uid="{00000000-0005-0000-0000-0000D6AD0000}"/>
    <cellStyle name="Normal 58 7 2 7 3" xfId="24852" xr:uid="{00000000-0005-0000-0000-0000D7AD0000}"/>
    <cellStyle name="Normal 58 7 2 7 3 2" xfId="50405" xr:uid="{00000000-0005-0000-0000-0000D8AD0000}"/>
    <cellStyle name="Normal 58 7 2 7 4" xfId="31335" xr:uid="{00000000-0005-0000-0000-0000D9AD0000}"/>
    <cellStyle name="Normal 58 7 2 8" xfId="7218" xr:uid="{00000000-0005-0000-0000-0000DAAD0000}"/>
    <cellStyle name="Normal 58 7 2 8 2" xfId="19944" xr:uid="{00000000-0005-0000-0000-0000DBAD0000}"/>
    <cellStyle name="Normal 58 7 2 8 2 2" xfId="45497" xr:uid="{00000000-0005-0000-0000-0000DCAD0000}"/>
    <cellStyle name="Normal 58 7 2 8 3" xfId="32775" xr:uid="{00000000-0005-0000-0000-0000DDAD0000}"/>
    <cellStyle name="Normal 58 7 2 9" xfId="15964" xr:uid="{00000000-0005-0000-0000-0000DEAD0000}"/>
    <cellStyle name="Normal 58 7 2 9 2" xfId="41517" xr:uid="{00000000-0005-0000-0000-0000DFAD0000}"/>
    <cellStyle name="Normal 58 7 2_Degree data" xfId="4028" xr:uid="{00000000-0005-0000-0000-0000E0AD0000}"/>
    <cellStyle name="Normal 58 7 3" xfId="398" xr:uid="{00000000-0005-0000-0000-0000E1AD0000}"/>
    <cellStyle name="Normal 58 7 3 2" xfId="2884" xr:uid="{00000000-0005-0000-0000-0000E2AD0000}"/>
    <cellStyle name="Normal 58 7 3 2 2" xfId="12172" xr:uid="{00000000-0005-0000-0000-0000E3AD0000}"/>
    <cellStyle name="Normal 58 7 3 2 2 2" xfId="22245" xr:uid="{00000000-0005-0000-0000-0000E4AD0000}"/>
    <cellStyle name="Normal 58 7 3 2 2 2 2" xfId="47798" xr:uid="{00000000-0005-0000-0000-0000E5AD0000}"/>
    <cellStyle name="Normal 58 7 3 2 2 3" xfId="37727" xr:uid="{00000000-0005-0000-0000-0000E6AD0000}"/>
    <cellStyle name="Normal 58 7 3 2 3" xfId="8398" xr:uid="{00000000-0005-0000-0000-0000E7AD0000}"/>
    <cellStyle name="Normal 58 7 3 2 3 2" xfId="33955" xr:uid="{00000000-0005-0000-0000-0000E8AD0000}"/>
    <cellStyle name="Normal 58 7 3 2 4" xfId="17238" xr:uid="{00000000-0005-0000-0000-0000E9AD0000}"/>
    <cellStyle name="Normal 58 7 3 2 4 2" xfId="42791" xr:uid="{00000000-0005-0000-0000-0000EAAD0000}"/>
    <cellStyle name="Normal 58 7 3 2 5" xfId="28728" xr:uid="{00000000-0005-0000-0000-0000EBAD0000}"/>
    <cellStyle name="Normal 58 7 3 3" xfId="4735" xr:uid="{00000000-0005-0000-0000-0000ECAD0000}"/>
    <cellStyle name="Normal 58 7 3 3 2" xfId="13573" xr:uid="{00000000-0005-0000-0000-0000EDAD0000}"/>
    <cellStyle name="Normal 58 7 3 3 2 2" xfId="23824" xr:uid="{00000000-0005-0000-0000-0000EEAD0000}"/>
    <cellStyle name="Normal 58 7 3 3 2 2 2" xfId="49377" xr:uid="{00000000-0005-0000-0000-0000EFAD0000}"/>
    <cellStyle name="Normal 58 7 3 3 2 3" xfId="39128" xr:uid="{00000000-0005-0000-0000-0000F0AD0000}"/>
    <cellStyle name="Normal 58 7 3 3 3" xfId="9994" xr:uid="{00000000-0005-0000-0000-0000F1AD0000}"/>
    <cellStyle name="Normal 58 7 3 3 3 2" xfId="35551" xr:uid="{00000000-0005-0000-0000-0000F2AD0000}"/>
    <cellStyle name="Normal 58 7 3 3 4" xfId="18817" xr:uid="{00000000-0005-0000-0000-0000F3AD0000}"/>
    <cellStyle name="Normal 58 7 3 3 4 2" xfId="44370" xr:uid="{00000000-0005-0000-0000-0000F4AD0000}"/>
    <cellStyle name="Normal 58 7 3 3 5" xfId="30307" xr:uid="{00000000-0005-0000-0000-0000F5AD0000}"/>
    <cellStyle name="Normal 58 7 3 4" xfId="1993" xr:uid="{00000000-0005-0000-0000-0000F6AD0000}"/>
    <cellStyle name="Normal 58 7 3 4 2" xfId="11358" xr:uid="{00000000-0005-0000-0000-0000F7AD0000}"/>
    <cellStyle name="Normal 58 7 3 4 2 2" xfId="36913" xr:uid="{00000000-0005-0000-0000-0000F8AD0000}"/>
    <cellStyle name="Normal 58 7 3 4 3" xfId="21362" xr:uid="{00000000-0005-0000-0000-0000F9AD0000}"/>
    <cellStyle name="Normal 58 7 3 4 3 2" xfId="46915" xr:uid="{00000000-0005-0000-0000-0000FAAD0000}"/>
    <cellStyle name="Normal 58 7 3 4 4" xfId="27845" xr:uid="{00000000-0005-0000-0000-0000FBAD0000}"/>
    <cellStyle name="Normal 58 7 3 5" xfId="6191" xr:uid="{00000000-0005-0000-0000-0000FCAD0000}"/>
    <cellStyle name="Normal 58 7 3 5 2" xfId="15018" xr:uid="{00000000-0005-0000-0000-0000FDAD0000}"/>
    <cellStyle name="Normal 58 7 3 5 2 2" xfId="40573" xr:uid="{00000000-0005-0000-0000-0000FEAD0000}"/>
    <cellStyle name="Normal 58 7 3 5 3" xfId="25269" xr:uid="{00000000-0005-0000-0000-0000FFAD0000}"/>
    <cellStyle name="Normal 58 7 3 5 3 2" xfId="50822" xr:uid="{00000000-0005-0000-0000-000000AE0000}"/>
    <cellStyle name="Normal 58 7 3 5 4" xfId="31752" xr:uid="{00000000-0005-0000-0000-000001AE0000}"/>
    <cellStyle name="Normal 58 7 3 6" xfId="7636" xr:uid="{00000000-0005-0000-0000-000002AE0000}"/>
    <cellStyle name="Normal 58 7 3 6 2" xfId="19844" xr:uid="{00000000-0005-0000-0000-000003AE0000}"/>
    <cellStyle name="Normal 58 7 3 6 2 2" xfId="45397" xr:uid="{00000000-0005-0000-0000-000004AE0000}"/>
    <cellStyle name="Normal 58 7 3 6 3" xfId="33193" xr:uid="{00000000-0005-0000-0000-000005AE0000}"/>
    <cellStyle name="Normal 58 7 3 7" xfId="16355" xr:uid="{00000000-0005-0000-0000-000006AE0000}"/>
    <cellStyle name="Normal 58 7 3 7 2" xfId="41908" xr:uid="{00000000-0005-0000-0000-000007AE0000}"/>
    <cellStyle name="Normal 58 7 3 8" xfId="26327" xr:uid="{00000000-0005-0000-0000-000008AE0000}"/>
    <cellStyle name="Normal 58 7 4" xfId="921" xr:uid="{00000000-0005-0000-0000-000009AE0000}"/>
    <cellStyle name="Normal 58 7 4 2" xfId="3406" xr:uid="{00000000-0005-0000-0000-00000AAE0000}"/>
    <cellStyle name="Normal 58 7 4 2 2" xfId="12548" xr:uid="{00000000-0005-0000-0000-00000BAE0000}"/>
    <cellStyle name="Normal 58 7 4 2 2 2" xfId="22767" xr:uid="{00000000-0005-0000-0000-00000CAE0000}"/>
    <cellStyle name="Normal 58 7 4 2 2 2 2" xfId="48320" xr:uid="{00000000-0005-0000-0000-00000DAE0000}"/>
    <cellStyle name="Normal 58 7 4 2 2 3" xfId="38103" xr:uid="{00000000-0005-0000-0000-00000EAE0000}"/>
    <cellStyle name="Normal 58 7 4 2 3" xfId="8970" xr:uid="{00000000-0005-0000-0000-00000FAE0000}"/>
    <cellStyle name="Normal 58 7 4 2 3 2" xfId="34527" xr:uid="{00000000-0005-0000-0000-000010AE0000}"/>
    <cellStyle name="Normal 58 7 4 2 4" xfId="17760" xr:uid="{00000000-0005-0000-0000-000011AE0000}"/>
    <cellStyle name="Normal 58 7 4 2 4 2" xfId="43313" xr:uid="{00000000-0005-0000-0000-000012AE0000}"/>
    <cellStyle name="Normal 58 7 4 2 5" xfId="29250" xr:uid="{00000000-0005-0000-0000-000013AE0000}"/>
    <cellStyle name="Normal 58 7 4 3" xfId="5084" xr:uid="{00000000-0005-0000-0000-000014AE0000}"/>
    <cellStyle name="Normal 58 7 4 3 2" xfId="13921" xr:uid="{00000000-0005-0000-0000-000015AE0000}"/>
    <cellStyle name="Normal 58 7 4 3 2 2" xfId="24172" xr:uid="{00000000-0005-0000-0000-000016AE0000}"/>
    <cellStyle name="Normal 58 7 4 3 2 2 2" xfId="49725" xr:uid="{00000000-0005-0000-0000-000017AE0000}"/>
    <cellStyle name="Normal 58 7 4 3 2 3" xfId="39476" xr:uid="{00000000-0005-0000-0000-000018AE0000}"/>
    <cellStyle name="Normal 58 7 4 3 3" xfId="10342" xr:uid="{00000000-0005-0000-0000-000019AE0000}"/>
    <cellStyle name="Normal 58 7 4 3 3 2" xfId="35899" xr:uid="{00000000-0005-0000-0000-00001AAE0000}"/>
    <cellStyle name="Normal 58 7 4 3 4" xfId="19165" xr:uid="{00000000-0005-0000-0000-00001BAE0000}"/>
    <cellStyle name="Normal 58 7 4 3 4 2" xfId="44718" xr:uid="{00000000-0005-0000-0000-00001CAE0000}"/>
    <cellStyle name="Normal 58 7 4 3 5" xfId="30655" xr:uid="{00000000-0005-0000-0000-00001DAE0000}"/>
    <cellStyle name="Normal 58 7 4 4" xfId="2515" xr:uid="{00000000-0005-0000-0000-00001EAE0000}"/>
    <cellStyle name="Normal 58 7 4 4 2" xfId="11880" xr:uid="{00000000-0005-0000-0000-00001FAE0000}"/>
    <cellStyle name="Normal 58 7 4 4 2 2" xfId="37435" xr:uid="{00000000-0005-0000-0000-000020AE0000}"/>
    <cellStyle name="Normal 58 7 4 4 3" xfId="21884" xr:uid="{00000000-0005-0000-0000-000021AE0000}"/>
    <cellStyle name="Normal 58 7 4 4 3 2" xfId="47437" xr:uid="{00000000-0005-0000-0000-000022AE0000}"/>
    <cellStyle name="Normal 58 7 4 4 4" xfId="28367" xr:uid="{00000000-0005-0000-0000-000023AE0000}"/>
    <cellStyle name="Normal 58 7 4 5" xfId="6539" xr:uid="{00000000-0005-0000-0000-000024AE0000}"/>
    <cellStyle name="Normal 58 7 4 5 2" xfId="15366" xr:uid="{00000000-0005-0000-0000-000025AE0000}"/>
    <cellStyle name="Normal 58 7 4 5 2 2" xfId="40921" xr:uid="{00000000-0005-0000-0000-000026AE0000}"/>
    <cellStyle name="Normal 58 7 4 5 3" xfId="25617" xr:uid="{00000000-0005-0000-0000-000027AE0000}"/>
    <cellStyle name="Normal 58 7 4 5 3 2" xfId="51170" xr:uid="{00000000-0005-0000-0000-000028AE0000}"/>
    <cellStyle name="Normal 58 7 4 5 4" xfId="32100" xr:uid="{00000000-0005-0000-0000-000029AE0000}"/>
    <cellStyle name="Normal 58 7 4 6" xfId="7985" xr:uid="{00000000-0005-0000-0000-00002AAE0000}"/>
    <cellStyle name="Normal 58 7 4 6 2" xfId="20366" xr:uid="{00000000-0005-0000-0000-00002BAE0000}"/>
    <cellStyle name="Normal 58 7 4 6 2 2" xfId="45919" xr:uid="{00000000-0005-0000-0000-00002CAE0000}"/>
    <cellStyle name="Normal 58 7 4 6 3" xfId="33542" xr:uid="{00000000-0005-0000-0000-00002DAE0000}"/>
    <cellStyle name="Normal 58 7 4 7" xfId="16877" xr:uid="{00000000-0005-0000-0000-00002EAE0000}"/>
    <cellStyle name="Normal 58 7 4 7 2" xfId="42430" xr:uid="{00000000-0005-0000-0000-00002FAE0000}"/>
    <cellStyle name="Normal 58 7 4 8" xfId="26849" xr:uid="{00000000-0005-0000-0000-000030AE0000}"/>
    <cellStyle name="Normal 58 7 5" xfId="1170" xr:uid="{00000000-0005-0000-0000-000031AE0000}"/>
    <cellStyle name="Normal 58 7 5 2" xfId="3599" xr:uid="{00000000-0005-0000-0000-000032AE0000}"/>
    <cellStyle name="Normal 58 7 5 2 2" xfId="12735" xr:uid="{00000000-0005-0000-0000-000033AE0000}"/>
    <cellStyle name="Normal 58 7 5 2 2 2" xfId="22954" xr:uid="{00000000-0005-0000-0000-000034AE0000}"/>
    <cellStyle name="Normal 58 7 5 2 2 2 2" xfId="48507" xr:uid="{00000000-0005-0000-0000-000035AE0000}"/>
    <cellStyle name="Normal 58 7 5 2 2 3" xfId="38290" xr:uid="{00000000-0005-0000-0000-000036AE0000}"/>
    <cellStyle name="Normal 58 7 5 2 3" xfId="9156" xr:uid="{00000000-0005-0000-0000-000037AE0000}"/>
    <cellStyle name="Normal 58 7 5 2 3 2" xfId="34713" xr:uid="{00000000-0005-0000-0000-000038AE0000}"/>
    <cellStyle name="Normal 58 7 5 2 4" xfId="17947" xr:uid="{00000000-0005-0000-0000-000039AE0000}"/>
    <cellStyle name="Normal 58 7 5 2 4 2" xfId="43500" xr:uid="{00000000-0005-0000-0000-00003AAE0000}"/>
    <cellStyle name="Normal 58 7 5 2 5" xfId="29437" xr:uid="{00000000-0005-0000-0000-00003BAE0000}"/>
    <cellStyle name="Normal 58 7 5 3" xfId="5262" xr:uid="{00000000-0005-0000-0000-00003CAE0000}"/>
    <cellStyle name="Normal 58 7 5 3 2" xfId="14099" xr:uid="{00000000-0005-0000-0000-00003DAE0000}"/>
    <cellStyle name="Normal 58 7 5 3 2 2" xfId="24350" xr:uid="{00000000-0005-0000-0000-00003EAE0000}"/>
    <cellStyle name="Normal 58 7 5 3 2 2 2" xfId="49903" xr:uid="{00000000-0005-0000-0000-00003FAE0000}"/>
    <cellStyle name="Normal 58 7 5 3 2 3" xfId="39654" xr:uid="{00000000-0005-0000-0000-000040AE0000}"/>
    <cellStyle name="Normal 58 7 5 3 3" xfId="10520" xr:uid="{00000000-0005-0000-0000-000041AE0000}"/>
    <cellStyle name="Normal 58 7 5 3 3 2" xfId="36077" xr:uid="{00000000-0005-0000-0000-000042AE0000}"/>
    <cellStyle name="Normal 58 7 5 3 4" xfId="19343" xr:uid="{00000000-0005-0000-0000-000043AE0000}"/>
    <cellStyle name="Normal 58 7 5 3 4 2" xfId="44896" xr:uid="{00000000-0005-0000-0000-000044AE0000}"/>
    <cellStyle name="Normal 58 7 5 3 5" xfId="30833" xr:uid="{00000000-0005-0000-0000-000045AE0000}"/>
    <cellStyle name="Normal 58 7 5 4" xfId="1772" xr:uid="{00000000-0005-0000-0000-000046AE0000}"/>
    <cellStyle name="Normal 58 7 5 4 2" xfId="11141" xr:uid="{00000000-0005-0000-0000-000047AE0000}"/>
    <cellStyle name="Normal 58 7 5 4 2 2" xfId="36696" xr:uid="{00000000-0005-0000-0000-000048AE0000}"/>
    <cellStyle name="Normal 58 7 5 4 3" xfId="21145" xr:uid="{00000000-0005-0000-0000-000049AE0000}"/>
    <cellStyle name="Normal 58 7 5 4 3 2" xfId="46698" xr:uid="{00000000-0005-0000-0000-00004AAE0000}"/>
    <cellStyle name="Normal 58 7 5 4 4" xfId="27628" xr:uid="{00000000-0005-0000-0000-00004BAE0000}"/>
    <cellStyle name="Normal 58 7 5 5" xfId="6717" xr:uid="{00000000-0005-0000-0000-00004CAE0000}"/>
    <cellStyle name="Normal 58 7 5 5 2" xfId="15544" xr:uid="{00000000-0005-0000-0000-00004DAE0000}"/>
    <cellStyle name="Normal 58 7 5 5 2 2" xfId="41099" xr:uid="{00000000-0005-0000-0000-00004EAE0000}"/>
    <cellStyle name="Normal 58 7 5 5 3" xfId="25795" xr:uid="{00000000-0005-0000-0000-00004FAE0000}"/>
    <cellStyle name="Normal 58 7 5 5 3 2" xfId="51348" xr:uid="{00000000-0005-0000-0000-000050AE0000}"/>
    <cellStyle name="Normal 58 7 5 5 4" xfId="32278" xr:uid="{00000000-0005-0000-0000-000051AE0000}"/>
    <cellStyle name="Normal 58 7 5 6" xfId="8163" xr:uid="{00000000-0005-0000-0000-000052AE0000}"/>
    <cellStyle name="Normal 58 7 5 6 2" xfId="20553" xr:uid="{00000000-0005-0000-0000-000053AE0000}"/>
    <cellStyle name="Normal 58 7 5 6 2 2" xfId="46106" xr:uid="{00000000-0005-0000-0000-000054AE0000}"/>
    <cellStyle name="Normal 58 7 5 6 3" xfId="33720" xr:uid="{00000000-0005-0000-0000-000055AE0000}"/>
    <cellStyle name="Normal 58 7 5 7" xfId="16138" xr:uid="{00000000-0005-0000-0000-000056AE0000}"/>
    <cellStyle name="Normal 58 7 5 7 2" xfId="41691" xr:uid="{00000000-0005-0000-0000-000057AE0000}"/>
    <cellStyle name="Normal 58 7 5 8" xfId="27036" xr:uid="{00000000-0005-0000-0000-000058AE0000}"/>
    <cellStyle name="Normal 58 7 6" xfId="2667" xr:uid="{00000000-0005-0000-0000-000059AE0000}"/>
    <cellStyle name="Normal 58 7 6 2" xfId="11984" xr:uid="{00000000-0005-0000-0000-00005AAE0000}"/>
    <cellStyle name="Normal 58 7 6 2 2" xfId="22028" xr:uid="{00000000-0005-0000-0000-00005BAE0000}"/>
    <cellStyle name="Normal 58 7 6 2 2 2" xfId="47581" xr:uid="{00000000-0005-0000-0000-00005CAE0000}"/>
    <cellStyle name="Normal 58 7 6 2 3" xfId="37539" xr:uid="{00000000-0005-0000-0000-00005DAE0000}"/>
    <cellStyle name="Normal 58 7 6 3" xfId="8621" xr:uid="{00000000-0005-0000-0000-00005EAE0000}"/>
    <cellStyle name="Normal 58 7 6 3 2" xfId="34178" xr:uid="{00000000-0005-0000-0000-00005FAE0000}"/>
    <cellStyle name="Normal 58 7 6 4" xfId="17021" xr:uid="{00000000-0005-0000-0000-000060AE0000}"/>
    <cellStyle name="Normal 58 7 6 4 2" xfId="42574" xr:uid="{00000000-0005-0000-0000-000061AE0000}"/>
    <cellStyle name="Normal 58 7 6 5" xfId="28511" xr:uid="{00000000-0005-0000-0000-000062AE0000}"/>
    <cellStyle name="Normal 58 7 7" xfId="4218" xr:uid="{00000000-0005-0000-0000-000063AE0000}"/>
    <cellStyle name="Normal 58 7 7 2" xfId="13056" xr:uid="{00000000-0005-0000-0000-000064AE0000}"/>
    <cellStyle name="Normal 58 7 7 2 2" xfId="23307" xr:uid="{00000000-0005-0000-0000-000065AE0000}"/>
    <cellStyle name="Normal 58 7 7 2 2 2" xfId="48860" xr:uid="{00000000-0005-0000-0000-000066AE0000}"/>
    <cellStyle name="Normal 58 7 7 2 3" xfId="38611" xr:uid="{00000000-0005-0000-0000-000067AE0000}"/>
    <cellStyle name="Normal 58 7 7 3" xfId="9477" xr:uid="{00000000-0005-0000-0000-000068AE0000}"/>
    <cellStyle name="Normal 58 7 7 3 2" xfId="35034" xr:uid="{00000000-0005-0000-0000-000069AE0000}"/>
    <cellStyle name="Normal 58 7 7 4" xfId="18300" xr:uid="{00000000-0005-0000-0000-00006AAE0000}"/>
    <cellStyle name="Normal 58 7 7 4 2" xfId="43853" xr:uid="{00000000-0005-0000-0000-00006BAE0000}"/>
    <cellStyle name="Normal 58 7 7 5" xfId="29790" xr:uid="{00000000-0005-0000-0000-00006CAE0000}"/>
    <cellStyle name="Normal 58 7 8" xfId="1490" xr:uid="{00000000-0005-0000-0000-00006DAE0000}"/>
    <cellStyle name="Normal 58 7 8 2" xfId="10867" xr:uid="{00000000-0005-0000-0000-00006EAE0000}"/>
    <cellStyle name="Normal 58 7 8 2 2" xfId="36422" xr:uid="{00000000-0005-0000-0000-00006FAE0000}"/>
    <cellStyle name="Normal 58 7 8 3" xfId="20871" xr:uid="{00000000-0005-0000-0000-000070AE0000}"/>
    <cellStyle name="Normal 58 7 8 3 2" xfId="46424" xr:uid="{00000000-0005-0000-0000-000071AE0000}"/>
    <cellStyle name="Normal 58 7 8 4" xfId="27354" xr:uid="{00000000-0005-0000-0000-000072AE0000}"/>
    <cellStyle name="Normal 58 7 9" xfId="5674" xr:uid="{00000000-0005-0000-0000-000073AE0000}"/>
    <cellStyle name="Normal 58 7 9 2" xfId="14501" xr:uid="{00000000-0005-0000-0000-000074AE0000}"/>
    <cellStyle name="Normal 58 7 9 2 2" xfId="40056" xr:uid="{00000000-0005-0000-0000-000075AE0000}"/>
    <cellStyle name="Normal 58 7 9 3" xfId="24752" xr:uid="{00000000-0005-0000-0000-000076AE0000}"/>
    <cellStyle name="Normal 58 7 9 3 2" xfId="50305" xr:uid="{00000000-0005-0000-0000-000077AE0000}"/>
    <cellStyle name="Normal 58 7 9 4" xfId="31235" xr:uid="{00000000-0005-0000-0000-000078AE0000}"/>
    <cellStyle name="Normal 58 7_Degree data" xfId="4027" xr:uid="{00000000-0005-0000-0000-000079AE0000}"/>
    <cellStyle name="Normal 58 8" xfId="223" xr:uid="{00000000-0005-0000-0000-00007AAE0000}"/>
    <cellStyle name="Normal 58 8 10" xfId="7061" xr:uid="{00000000-0005-0000-0000-00007BAE0000}"/>
    <cellStyle name="Normal 58 8 10 2" xfId="19675" xr:uid="{00000000-0005-0000-0000-00007CAE0000}"/>
    <cellStyle name="Normal 58 8 10 2 2" xfId="45228" xr:uid="{00000000-0005-0000-0000-00007DAE0000}"/>
    <cellStyle name="Normal 58 8 10 3" xfId="32618" xr:uid="{00000000-0005-0000-0000-00007EAE0000}"/>
    <cellStyle name="Normal 58 8 11" xfId="15807" xr:uid="{00000000-0005-0000-0000-00007FAE0000}"/>
    <cellStyle name="Normal 58 8 11 2" xfId="41360" xr:uid="{00000000-0005-0000-0000-000080AE0000}"/>
    <cellStyle name="Normal 58 8 12" xfId="26158" xr:uid="{00000000-0005-0000-0000-000081AE0000}"/>
    <cellStyle name="Normal 58 8 2" xfId="546" xr:uid="{00000000-0005-0000-0000-000082AE0000}"/>
    <cellStyle name="Normal 58 8 2 10" xfId="26475" xr:uid="{00000000-0005-0000-0000-000083AE0000}"/>
    <cellStyle name="Normal 58 8 2 2" xfId="924" xr:uid="{00000000-0005-0000-0000-000084AE0000}"/>
    <cellStyle name="Normal 58 8 2 2 2" xfId="3409" xr:uid="{00000000-0005-0000-0000-000085AE0000}"/>
    <cellStyle name="Normal 58 8 2 2 2 2" xfId="12551" xr:uid="{00000000-0005-0000-0000-000086AE0000}"/>
    <cellStyle name="Normal 58 8 2 2 2 2 2" xfId="22770" xr:uid="{00000000-0005-0000-0000-000087AE0000}"/>
    <cellStyle name="Normal 58 8 2 2 2 2 2 2" xfId="48323" xr:uid="{00000000-0005-0000-0000-000088AE0000}"/>
    <cellStyle name="Normal 58 8 2 2 2 2 3" xfId="38106" xr:uid="{00000000-0005-0000-0000-000089AE0000}"/>
    <cellStyle name="Normal 58 8 2 2 2 3" xfId="8973" xr:uid="{00000000-0005-0000-0000-00008AAE0000}"/>
    <cellStyle name="Normal 58 8 2 2 2 3 2" xfId="34530" xr:uid="{00000000-0005-0000-0000-00008BAE0000}"/>
    <cellStyle name="Normal 58 8 2 2 2 4" xfId="17763" xr:uid="{00000000-0005-0000-0000-00008CAE0000}"/>
    <cellStyle name="Normal 58 8 2 2 2 4 2" xfId="43316" xr:uid="{00000000-0005-0000-0000-00008DAE0000}"/>
    <cellStyle name="Normal 58 8 2 2 2 5" xfId="29253" xr:uid="{00000000-0005-0000-0000-00008EAE0000}"/>
    <cellStyle name="Normal 58 8 2 2 3" xfId="4738" xr:uid="{00000000-0005-0000-0000-00008FAE0000}"/>
    <cellStyle name="Normal 58 8 2 2 3 2" xfId="13576" xr:uid="{00000000-0005-0000-0000-000090AE0000}"/>
    <cellStyle name="Normal 58 8 2 2 3 2 2" xfId="23827" xr:uid="{00000000-0005-0000-0000-000091AE0000}"/>
    <cellStyle name="Normal 58 8 2 2 3 2 2 2" xfId="49380" xr:uid="{00000000-0005-0000-0000-000092AE0000}"/>
    <cellStyle name="Normal 58 8 2 2 3 2 3" xfId="39131" xr:uid="{00000000-0005-0000-0000-000093AE0000}"/>
    <cellStyle name="Normal 58 8 2 2 3 3" xfId="9997" xr:uid="{00000000-0005-0000-0000-000094AE0000}"/>
    <cellStyle name="Normal 58 8 2 2 3 3 2" xfId="35554" xr:uid="{00000000-0005-0000-0000-000095AE0000}"/>
    <cellStyle name="Normal 58 8 2 2 3 4" xfId="18820" xr:uid="{00000000-0005-0000-0000-000096AE0000}"/>
    <cellStyle name="Normal 58 8 2 2 3 4 2" xfId="44373" xr:uid="{00000000-0005-0000-0000-000097AE0000}"/>
    <cellStyle name="Normal 58 8 2 2 3 5" xfId="30310" xr:uid="{00000000-0005-0000-0000-000098AE0000}"/>
    <cellStyle name="Normal 58 8 2 2 4" xfId="2518" xr:uid="{00000000-0005-0000-0000-000099AE0000}"/>
    <cellStyle name="Normal 58 8 2 2 4 2" xfId="11883" xr:uid="{00000000-0005-0000-0000-00009AAE0000}"/>
    <cellStyle name="Normal 58 8 2 2 4 2 2" xfId="37438" xr:uid="{00000000-0005-0000-0000-00009BAE0000}"/>
    <cellStyle name="Normal 58 8 2 2 4 3" xfId="21887" xr:uid="{00000000-0005-0000-0000-00009CAE0000}"/>
    <cellStyle name="Normal 58 8 2 2 4 3 2" xfId="47440" xr:uid="{00000000-0005-0000-0000-00009DAE0000}"/>
    <cellStyle name="Normal 58 8 2 2 4 4" xfId="28370" xr:uid="{00000000-0005-0000-0000-00009EAE0000}"/>
    <cellStyle name="Normal 58 8 2 2 5" xfId="6194" xr:uid="{00000000-0005-0000-0000-00009FAE0000}"/>
    <cellStyle name="Normal 58 8 2 2 5 2" xfId="15021" xr:uid="{00000000-0005-0000-0000-0000A0AE0000}"/>
    <cellStyle name="Normal 58 8 2 2 5 2 2" xfId="40576" xr:uid="{00000000-0005-0000-0000-0000A1AE0000}"/>
    <cellStyle name="Normal 58 8 2 2 5 3" xfId="25272" xr:uid="{00000000-0005-0000-0000-0000A2AE0000}"/>
    <cellStyle name="Normal 58 8 2 2 5 3 2" xfId="50825" xr:uid="{00000000-0005-0000-0000-0000A3AE0000}"/>
    <cellStyle name="Normal 58 8 2 2 5 4" xfId="31755" xr:uid="{00000000-0005-0000-0000-0000A4AE0000}"/>
    <cellStyle name="Normal 58 8 2 2 6" xfId="7639" xr:uid="{00000000-0005-0000-0000-0000A5AE0000}"/>
    <cellStyle name="Normal 58 8 2 2 6 2" xfId="20369" xr:uid="{00000000-0005-0000-0000-0000A6AE0000}"/>
    <cellStyle name="Normal 58 8 2 2 6 2 2" xfId="45922" xr:uid="{00000000-0005-0000-0000-0000A7AE0000}"/>
    <cellStyle name="Normal 58 8 2 2 6 3" xfId="33196" xr:uid="{00000000-0005-0000-0000-0000A8AE0000}"/>
    <cellStyle name="Normal 58 8 2 2 7" xfId="16880" xr:uid="{00000000-0005-0000-0000-0000A9AE0000}"/>
    <cellStyle name="Normal 58 8 2 2 7 2" xfId="42433" xr:uid="{00000000-0005-0000-0000-0000AAAE0000}"/>
    <cellStyle name="Normal 58 8 2 2 8" xfId="26852" xr:uid="{00000000-0005-0000-0000-0000ABAE0000}"/>
    <cellStyle name="Normal 58 8 2 3" xfId="1318" xr:uid="{00000000-0005-0000-0000-0000ACAE0000}"/>
    <cellStyle name="Normal 58 8 2 3 2" xfId="3747" xr:uid="{00000000-0005-0000-0000-0000ADAE0000}"/>
    <cellStyle name="Normal 58 8 2 3 2 2" xfId="12883" xr:uid="{00000000-0005-0000-0000-0000AEAE0000}"/>
    <cellStyle name="Normal 58 8 2 3 2 2 2" xfId="23102" xr:uid="{00000000-0005-0000-0000-0000AFAE0000}"/>
    <cellStyle name="Normal 58 8 2 3 2 2 2 2" xfId="48655" xr:uid="{00000000-0005-0000-0000-0000B0AE0000}"/>
    <cellStyle name="Normal 58 8 2 3 2 2 3" xfId="38438" xr:uid="{00000000-0005-0000-0000-0000B1AE0000}"/>
    <cellStyle name="Normal 58 8 2 3 2 3" xfId="9304" xr:uid="{00000000-0005-0000-0000-0000B2AE0000}"/>
    <cellStyle name="Normal 58 8 2 3 2 3 2" xfId="34861" xr:uid="{00000000-0005-0000-0000-0000B3AE0000}"/>
    <cellStyle name="Normal 58 8 2 3 2 4" xfId="18095" xr:uid="{00000000-0005-0000-0000-0000B4AE0000}"/>
    <cellStyle name="Normal 58 8 2 3 2 4 2" xfId="43648" xr:uid="{00000000-0005-0000-0000-0000B5AE0000}"/>
    <cellStyle name="Normal 58 8 2 3 2 5" xfId="29585" xr:uid="{00000000-0005-0000-0000-0000B6AE0000}"/>
    <cellStyle name="Normal 58 8 2 3 3" xfId="5087" xr:uid="{00000000-0005-0000-0000-0000B7AE0000}"/>
    <cellStyle name="Normal 58 8 2 3 3 2" xfId="13924" xr:uid="{00000000-0005-0000-0000-0000B8AE0000}"/>
    <cellStyle name="Normal 58 8 2 3 3 2 2" xfId="24175" xr:uid="{00000000-0005-0000-0000-0000B9AE0000}"/>
    <cellStyle name="Normal 58 8 2 3 3 2 2 2" xfId="49728" xr:uid="{00000000-0005-0000-0000-0000BAAE0000}"/>
    <cellStyle name="Normal 58 8 2 3 3 2 3" xfId="39479" xr:uid="{00000000-0005-0000-0000-0000BBAE0000}"/>
    <cellStyle name="Normal 58 8 2 3 3 3" xfId="10345" xr:uid="{00000000-0005-0000-0000-0000BCAE0000}"/>
    <cellStyle name="Normal 58 8 2 3 3 3 2" xfId="35902" xr:uid="{00000000-0005-0000-0000-0000BDAE0000}"/>
    <cellStyle name="Normal 58 8 2 3 3 4" xfId="19168" xr:uid="{00000000-0005-0000-0000-0000BEAE0000}"/>
    <cellStyle name="Normal 58 8 2 3 3 4 2" xfId="44721" xr:uid="{00000000-0005-0000-0000-0000BFAE0000}"/>
    <cellStyle name="Normal 58 8 2 3 3 5" xfId="30658" xr:uid="{00000000-0005-0000-0000-0000C0AE0000}"/>
    <cellStyle name="Normal 58 8 2 3 4" xfId="2141" xr:uid="{00000000-0005-0000-0000-0000C1AE0000}"/>
    <cellStyle name="Normal 58 8 2 3 4 2" xfId="11506" xr:uid="{00000000-0005-0000-0000-0000C2AE0000}"/>
    <cellStyle name="Normal 58 8 2 3 4 2 2" xfId="37061" xr:uid="{00000000-0005-0000-0000-0000C3AE0000}"/>
    <cellStyle name="Normal 58 8 2 3 4 3" xfId="21510" xr:uid="{00000000-0005-0000-0000-0000C4AE0000}"/>
    <cellStyle name="Normal 58 8 2 3 4 3 2" xfId="47063" xr:uid="{00000000-0005-0000-0000-0000C5AE0000}"/>
    <cellStyle name="Normal 58 8 2 3 4 4" xfId="27993" xr:uid="{00000000-0005-0000-0000-0000C6AE0000}"/>
    <cellStyle name="Normal 58 8 2 3 5" xfId="6542" xr:uid="{00000000-0005-0000-0000-0000C7AE0000}"/>
    <cellStyle name="Normal 58 8 2 3 5 2" xfId="15369" xr:uid="{00000000-0005-0000-0000-0000C8AE0000}"/>
    <cellStyle name="Normal 58 8 2 3 5 2 2" xfId="40924" xr:uid="{00000000-0005-0000-0000-0000C9AE0000}"/>
    <cellStyle name="Normal 58 8 2 3 5 3" xfId="25620" xr:uid="{00000000-0005-0000-0000-0000CAAE0000}"/>
    <cellStyle name="Normal 58 8 2 3 5 3 2" xfId="51173" xr:uid="{00000000-0005-0000-0000-0000CBAE0000}"/>
    <cellStyle name="Normal 58 8 2 3 5 4" xfId="32103" xr:uid="{00000000-0005-0000-0000-0000CCAE0000}"/>
    <cellStyle name="Normal 58 8 2 3 6" xfId="7988" xr:uid="{00000000-0005-0000-0000-0000CDAE0000}"/>
    <cellStyle name="Normal 58 8 2 3 6 2" xfId="20701" xr:uid="{00000000-0005-0000-0000-0000CEAE0000}"/>
    <cellStyle name="Normal 58 8 2 3 6 2 2" xfId="46254" xr:uid="{00000000-0005-0000-0000-0000CFAE0000}"/>
    <cellStyle name="Normal 58 8 2 3 6 3" xfId="33545" xr:uid="{00000000-0005-0000-0000-0000D0AE0000}"/>
    <cellStyle name="Normal 58 8 2 3 7" xfId="16503" xr:uid="{00000000-0005-0000-0000-0000D1AE0000}"/>
    <cellStyle name="Normal 58 8 2 3 7 2" xfId="42056" xr:uid="{00000000-0005-0000-0000-0000D2AE0000}"/>
    <cellStyle name="Normal 58 8 2 3 8" xfId="27184" xr:uid="{00000000-0005-0000-0000-0000D3AE0000}"/>
    <cellStyle name="Normal 58 8 2 4" xfId="3032" xr:uid="{00000000-0005-0000-0000-0000D4AE0000}"/>
    <cellStyle name="Normal 58 8 2 4 2" xfId="5410" xr:uid="{00000000-0005-0000-0000-0000D5AE0000}"/>
    <cellStyle name="Normal 58 8 2 4 2 2" xfId="14247" xr:uid="{00000000-0005-0000-0000-0000D6AE0000}"/>
    <cellStyle name="Normal 58 8 2 4 2 2 2" xfId="24498" xr:uid="{00000000-0005-0000-0000-0000D7AE0000}"/>
    <cellStyle name="Normal 58 8 2 4 2 2 2 2" xfId="50051" xr:uid="{00000000-0005-0000-0000-0000D8AE0000}"/>
    <cellStyle name="Normal 58 8 2 4 2 2 3" xfId="39802" xr:uid="{00000000-0005-0000-0000-0000D9AE0000}"/>
    <cellStyle name="Normal 58 8 2 4 2 3" xfId="10668" xr:uid="{00000000-0005-0000-0000-0000DAAE0000}"/>
    <cellStyle name="Normal 58 8 2 4 2 3 2" xfId="36225" xr:uid="{00000000-0005-0000-0000-0000DBAE0000}"/>
    <cellStyle name="Normal 58 8 2 4 2 4" xfId="19491" xr:uid="{00000000-0005-0000-0000-0000DCAE0000}"/>
    <cellStyle name="Normal 58 8 2 4 2 4 2" xfId="45044" xr:uid="{00000000-0005-0000-0000-0000DDAE0000}"/>
    <cellStyle name="Normal 58 8 2 4 2 5" xfId="30981" xr:uid="{00000000-0005-0000-0000-0000DEAE0000}"/>
    <cellStyle name="Normal 58 8 2 4 3" xfId="6865" xr:uid="{00000000-0005-0000-0000-0000DFAE0000}"/>
    <cellStyle name="Normal 58 8 2 4 3 2" xfId="15692" xr:uid="{00000000-0005-0000-0000-0000E0AE0000}"/>
    <cellStyle name="Normal 58 8 2 4 3 2 2" xfId="41247" xr:uid="{00000000-0005-0000-0000-0000E1AE0000}"/>
    <cellStyle name="Normal 58 8 2 4 3 3" xfId="25943" xr:uid="{00000000-0005-0000-0000-0000E2AE0000}"/>
    <cellStyle name="Normal 58 8 2 4 3 3 2" xfId="51496" xr:uid="{00000000-0005-0000-0000-0000E3AE0000}"/>
    <cellStyle name="Normal 58 8 2 4 3 4" xfId="32426" xr:uid="{00000000-0005-0000-0000-0000E4AE0000}"/>
    <cellStyle name="Normal 58 8 2 4 4" xfId="8311" xr:uid="{00000000-0005-0000-0000-0000E5AE0000}"/>
    <cellStyle name="Normal 58 8 2 4 4 2" xfId="22393" xr:uid="{00000000-0005-0000-0000-0000E6AE0000}"/>
    <cellStyle name="Normal 58 8 2 4 4 2 2" xfId="47946" xr:uid="{00000000-0005-0000-0000-0000E7AE0000}"/>
    <cellStyle name="Normal 58 8 2 4 4 3" xfId="33868" xr:uid="{00000000-0005-0000-0000-0000E8AE0000}"/>
    <cellStyle name="Normal 58 8 2 4 5" xfId="17386" xr:uid="{00000000-0005-0000-0000-0000E9AE0000}"/>
    <cellStyle name="Normal 58 8 2 4 5 2" xfId="42939" xr:uid="{00000000-0005-0000-0000-0000EAAE0000}"/>
    <cellStyle name="Normal 58 8 2 4 6" xfId="28876" xr:uid="{00000000-0005-0000-0000-0000EBAE0000}"/>
    <cellStyle name="Normal 58 8 2 5" xfId="4366" xr:uid="{00000000-0005-0000-0000-0000ECAE0000}"/>
    <cellStyle name="Normal 58 8 2 5 2" xfId="13204" xr:uid="{00000000-0005-0000-0000-0000EDAE0000}"/>
    <cellStyle name="Normal 58 8 2 5 2 2" xfId="23455" xr:uid="{00000000-0005-0000-0000-0000EEAE0000}"/>
    <cellStyle name="Normal 58 8 2 5 2 2 2" xfId="49008" xr:uid="{00000000-0005-0000-0000-0000EFAE0000}"/>
    <cellStyle name="Normal 58 8 2 5 2 3" xfId="38759" xr:uid="{00000000-0005-0000-0000-0000F0AE0000}"/>
    <cellStyle name="Normal 58 8 2 5 3" xfId="9625" xr:uid="{00000000-0005-0000-0000-0000F1AE0000}"/>
    <cellStyle name="Normal 58 8 2 5 3 2" xfId="35182" xr:uid="{00000000-0005-0000-0000-0000F2AE0000}"/>
    <cellStyle name="Normal 58 8 2 5 4" xfId="18448" xr:uid="{00000000-0005-0000-0000-0000F3AE0000}"/>
    <cellStyle name="Normal 58 8 2 5 4 2" xfId="44001" xr:uid="{00000000-0005-0000-0000-0000F4AE0000}"/>
    <cellStyle name="Normal 58 8 2 5 5" xfId="29938" xr:uid="{00000000-0005-0000-0000-0000F5AE0000}"/>
    <cellStyle name="Normal 58 8 2 6" xfId="1638" xr:uid="{00000000-0005-0000-0000-0000F6AE0000}"/>
    <cellStyle name="Normal 58 8 2 6 2" xfId="11015" xr:uid="{00000000-0005-0000-0000-0000F7AE0000}"/>
    <cellStyle name="Normal 58 8 2 6 2 2" xfId="36570" xr:uid="{00000000-0005-0000-0000-0000F8AE0000}"/>
    <cellStyle name="Normal 58 8 2 6 3" xfId="21019" xr:uid="{00000000-0005-0000-0000-0000F9AE0000}"/>
    <cellStyle name="Normal 58 8 2 6 3 2" xfId="46572" xr:uid="{00000000-0005-0000-0000-0000FAAE0000}"/>
    <cellStyle name="Normal 58 8 2 6 4" xfId="27502" xr:uid="{00000000-0005-0000-0000-0000FBAE0000}"/>
    <cellStyle name="Normal 58 8 2 7" xfId="5822" xr:uid="{00000000-0005-0000-0000-0000FCAE0000}"/>
    <cellStyle name="Normal 58 8 2 7 2" xfId="14649" xr:uid="{00000000-0005-0000-0000-0000FDAE0000}"/>
    <cellStyle name="Normal 58 8 2 7 2 2" xfId="40204" xr:uid="{00000000-0005-0000-0000-0000FEAE0000}"/>
    <cellStyle name="Normal 58 8 2 7 3" xfId="24900" xr:uid="{00000000-0005-0000-0000-0000FFAE0000}"/>
    <cellStyle name="Normal 58 8 2 7 3 2" xfId="50453" xr:uid="{00000000-0005-0000-0000-000000AF0000}"/>
    <cellStyle name="Normal 58 8 2 7 4" xfId="31383" xr:uid="{00000000-0005-0000-0000-000001AF0000}"/>
    <cellStyle name="Normal 58 8 2 8" xfId="7266" xr:uid="{00000000-0005-0000-0000-000002AF0000}"/>
    <cellStyle name="Normal 58 8 2 8 2" xfId="19992" xr:uid="{00000000-0005-0000-0000-000003AF0000}"/>
    <cellStyle name="Normal 58 8 2 8 2 2" xfId="45545" xr:uid="{00000000-0005-0000-0000-000004AF0000}"/>
    <cellStyle name="Normal 58 8 2 8 3" xfId="32823" xr:uid="{00000000-0005-0000-0000-000005AF0000}"/>
    <cellStyle name="Normal 58 8 2 9" xfId="16012" xr:uid="{00000000-0005-0000-0000-000006AF0000}"/>
    <cellStyle name="Normal 58 8 2 9 2" xfId="41565" xr:uid="{00000000-0005-0000-0000-000007AF0000}"/>
    <cellStyle name="Normal 58 8 2_Degree data" xfId="4030" xr:uid="{00000000-0005-0000-0000-000008AF0000}"/>
    <cellStyle name="Normal 58 8 3" xfId="341" xr:uid="{00000000-0005-0000-0000-000009AF0000}"/>
    <cellStyle name="Normal 58 8 3 2" xfId="2827" xr:uid="{00000000-0005-0000-0000-00000AAF0000}"/>
    <cellStyle name="Normal 58 8 3 2 2" xfId="12115" xr:uid="{00000000-0005-0000-0000-00000BAF0000}"/>
    <cellStyle name="Normal 58 8 3 2 2 2" xfId="22188" xr:uid="{00000000-0005-0000-0000-00000CAF0000}"/>
    <cellStyle name="Normal 58 8 3 2 2 2 2" xfId="47741" xr:uid="{00000000-0005-0000-0000-00000DAF0000}"/>
    <cellStyle name="Normal 58 8 3 2 2 3" xfId="37670" xr:uid="{00000000-0005-0000-0000-00000EAF0000}"/>
    <cellStyle name="Normal 58 8 3 2 3" xfId="8627" xr:uid="{00000000-0005-0000-0000-00000FAF0000}"/>
    <cellStyle name="Normal 58 8 3 2 3 2" xfId="34184" xr:uid="{00000000-0005-0000-0000-000010AF0000}"/>
    <cellStyle name="Normal 58 8 3 2 4" xfId="17181" xr:uid="{00000000-0005-0000-0000-000011AF0000}"/>
    <cellStyle name="Normal 58 8 3 2 4 2" xfId="42734" xr:uid="{00000000-0005-0000-0000-000012AF0000}"/>
    <cellStyle name="Normal 58 8 3 2 5" xfId="28671" xr:uid="{00000000-0005-0000-0000-000013AF0000}"/>
    <cellStyle name="Normal 58 8 3 3" xfId="4737" xr:uid="{00000000-0005-0000-0000-000014AF0000}"/>
    <cellStyle name="Normal 58 8 3 3 2" xfId="13575" xr:uid="{00000000-0005-0000-0000-000015AF0000}"/>
    <cellStyle name="Normal 58 8 3 3 2 2" xfId="23826" xr:uid="{00000000-0005-0000-0000-000016AF0000}"/>
    <cellStyle name="Normal 58 8 3 3 2 2 2" xfId="49379" xr:uid="{00000000-0005-0000-0000-000017AF0000}"/>
    <cellStyle name="Normal 58 8 3 3 2 3" xfId="39130" xr:uid="{00000000-0005-0000-0000-000018AF0000}"/>
    <cellStyle name="Normal 58 8 3 3 3" xfId="9996" xr:uid="{00000000-0005-0000-0000-000019AF0000}"/>
    <cellStyle name="Normal 58 8 3 3 3 2" xfId="35553" xr:uid="{00000000-0005-0000-0000-00001AAF0000}"/>
    <cellStyle name="Normal 58 8 3 3 4" xfId="18819" xr:uid="{00000000-0005-0000-0000-00001BAF0000}"/>
    <cellStyle name="Normal 58 8 3 3 4 2" xfId="44372" xr:uid="{00000000-0005-0000-0000-00001CAF0000}"/>
    <cellStyle name="Normal 58 8 3 3 5" xfId="30309" xr:uid="{00000000-0005-0000-0000-00001DAF0000}"/>
    <cellStyle name="Normal 58 8 3 4" xfId="1936" xr:uid="{00000000-0005-0000-0000-00001EAF0000}"/>
    <cellStyle name="Normal 58 8 3 4 2" xfId="11301" xr:uid="{00000000-0005-0000-0000-00001FAF0000}"/>
    <cellStyle name="Normal 58 8 3 4 2 2" xfId="36856" xr:uid="{00000000-0005-0000-0000-000020AF0000}"/>
    <cellStyle name="Normal 58 8 3 4 3" xfId="21305" xr:uid="{00000000-0005-0000-0000-000021AF0000}"/>
    <cellStyle name="Normal 58 8 3 4 3 2" xfId="46858" xr:uid="{00000000-0005-0000-0000-000022AF0000}"/>
    <cellStyle name="Normal 58 8 3 4 4" xfId="27788" xr:uid="{00000000-0005-0000-0000-000023AF0000}"/>
    <cellStyle name="Normal 58 8 3 5" xfId="6193" xr:uid="{00000000-0005-0000-0000-000024AF0000}"/>
    <cellStyle name="Normal 58 8 3 5 2" xfId="15020" xr:uid="{00000000-0005-0000-0000-000025AF0000}"/>
    <cellStyle name="Normal 58 8 3 5 2 2" xfId="40575" xr:uid="{00000000-0005-0000-0000-000026AF0000}"/>
    <cellStyle name="Normal 58 8 3 5 3" xfId="25271" xr:uid="{00000000-0005-0000-0000-000027AF0000}"/>
    <cellStyle name="Normal 58 8 3 5 3 2" xfId="50824" xr:uid="{00000000-0005-0000-0000-000028AF0000}"/>
    <cellStyle name="Normal 58 8 3 5 4" xfId="31754" xr:uid="{00000000-0005-0000-0000-000029AF0000}"/>
    <cellStyle name="Normal 58 8 3 6" xfId="7638" xr:uid="{00000000-0005-0000-0000-00002AAF0000}"/>
    <cellStyle name="Normal 58 8 3 6 2" xfId="19787" xr:uid="{00000000-0005-0000-0000-00002BAF0000}"/>
    <cellStyle name="Normal 58 8 3 6 2 2" xfId="45340" xr:uid="{00000000-0005-0000-0000-00002CAF0000}"/>
    <cellStyle name="Normal 58 8 3 6 3" xfId="33195" xr:uid="{00000000-0005-0000-0000-00002DAF0000}"/>
    <cellStyle name="Normal 58 8 3 7" xfId="16298" xr:uid="{00000000-0005-0000-0000-00002EAF0000}"/>
    <cellStyle name="Normal 58 8 3 7 2" xfId="41851" xr:uid="{00000000-0005-0000-0000-00002FAF0000}"/>
    <cellStyle name="Normal 58 8 3 8" xfId="26270" xr:uid="{00000000-0005-0000-0000-000030AF0000}"/>
    <cellStyle name="Normal 58 8 4" xfId="923" xr:uid="{00000000-0005-0000-0000-000031AF0000}"/>
    <cellStyle name="Normal 58 8 4 2" xfId="3408" xr:uid="{00000000-0005-0000-0000-000032AF0000}"/>
    <cellStyle name="Normal 58 8 4 2 2" xfId="12550" xr:uid="{00000000-0005-0000-0000-000033AF0000}"/>
    <cellStyle name="Normal 58 8 4 2 2 2" xfId="22769" xr:uid="{00000000-0005-0000-0000-000034AF0000}"/>
    <cellStyle name="Normal 58 8 4 2 2 2 2" xfId="48322" xr:uid="{00000000-0005-0000-0000-000035AF0000}"/>
    <cellStyle name="Normal 58 8 4 2 2 3" xfId="38105" xr:uid="{00000000-0005-0000-0000-000036AF0000}"/>
    <cellStyle name="Normal 58 8 4 2 3" xfId="8972" xr:uid="{00000000-0005-0000-0000-000037AF0000}"/>
    <cellStyle name="Normal 58 8 4 2 3 2" xfId="34529" xr:uid="{00000000-0005-0000-0000-000038AF0000}"/>
    <cellStyle name="Normal 58 8 4 2 4" xfId="17762" xr:uid="{00000000-0005-0000-0000-000039AF0000}"/>
    <cellStyle name="Normal 58 8 4 2 4 2" xfId="43315" xr:uid="{00000000-0005-0000-0000-00003AAF0000}"/>
    <cellStyle name="Normal 58 8 4 2 5" xfId="29252" xr:uid="{00000000-0005-0000-0000-00003BAF0000}"/>
    <cellStyle name="Normal 58 8 4 3" xfId="5086" xr:uid="{00000000-0005-0000-0000-00003CAF0000}"/>
    <cellStyle name="Normal 58 8 4 3 2" xfId="13923" xr:uid="{00000000-0005-0000-0000-00003DAF0000}"/>
    <cellStyle name="Normal 58 8 4 3 2 2" xfId="24174" xr:uid="{00000000-0005-0000-0000-00003EAF0000}"/>
    <cellStyle name="Normal 58 8 4 3 2 2 2" xfId="49727" xr:uid="{00000000-0005-0000-0000-00003FAF0000}"/>
    <cellStyle name="Normal 58 8 4 3 2 3" xfId="39478" xr:uid="{00000000-0005-0000-0000-000040AF0000}"/>
    <cellStyle name="Normal 58 8 4 3 3" xfId="10344" xr:uid="{00000000-0005-0000-0000-000041AF0000}"/>
    <cellStyle name="Normal 58 8 4 3 3 2" xfId="35901" xr:uid="{00000000-0005-0000-0000-000042AF0000}"/>
    <cellStyle name="Normal 58 8 4 3 4" xfId="19167" xr:uid="{00000000-0005-0000-0000-000043AF0000}"/>
    <cellStyle name="Normal 58 8 4 3 4 2" xfId="44720" xr:uid="{00000000-0005-0000-0000-000044AF0000}"/>
    <cellStyle name="Normal 58 8 4 3 5" xfId="30657" xr:uid="{00000000-0005-0000-0000-000045AF0000}"/>
    <cellStyle name="Normal 58 8 4 4" xfId="2517" xr:uid="{00000000-0005-0000-0000-000046AF0000}"/>
    <cellStyle name="Normal 58 8 4 4 2" xfId="11882" xr:uid="{00000000-0005-0000-0000-000047AF0000}"/>
    <cellStyle name="Normal 58 8 4 4 2 2" xfId="37437" xr:uid="{00000000-0005-0000-0000-000048AF0000}"/>
    <cellStyle name="Normal 58 8 4 4 3" xfId="21886" xr:uid="{00000000-0005-0000-0000-000049AF0000}"/>
    <cellStyle name="Normal 58 8 4 4 3 2" xfId="47439" xr:uid="{00000000-0005-0000-0000-00004AAF0000}"/>
    <cellStyle name="Normal 58 8 4 4 4" xfId="28369" xr:uid="{00000000-0005-0000-0000-00004BAF0000}"/>
    <cellStyle name="Normal 58 8 4 5" xfId="6541" xr:uid="{00000000-0005-0000-0000-00004CAF0000}"/>
    <cellStyle name="Normal 58 8 4 5 2" xfId="15368" xr:uid="{00000000-0005-0000-0000-00004DAF0000}"/>
    <cellStyle name="Normal 58 8 4 5 2 2" xfId="40923" xr:uid="{00000000-0005-0000-0000-00004EAF0000}"/>
    <cellStyle name="Normal 58 8 4 5 3" xfId="25619" xr:uid="{00000000-0005-0000-0000-00004FAF0000}"/>
    <cellStyle name="Normal 58 8 4 5 3 2" xfId="51172" xr:uid="{00000000-0005-0000-0000-000050AF0000}"/>
    <cellStyle name="Normal 58 8 4 5 4" xfId="32102" xr:uid="{00000000-0005-0000-0000-000051AF0000}"/>
    <cellStyle name="Normal 58 8 4 6" xfId="7987" xr:uid="{00000000-0005-0000-0000-000052AF0000}"/>
    <cellStyle name="Normal 58 8 4 6 2" xfId="20368" xr:uid="{00000000-0005-0000-0000-000053AF0000}"/>
    <cellStyle name="Normal 58 8 4 6 2 2" xfId="45921" xr:uid="{00000000-0005-0000-0000-000054AF0000}"/>
    <cellStyle name="Normal 58 8 4 6 3" xfId="33544" xr:uid="{00000000-0005-0000-0000-000055AF0000}"/>
    <cellStyle name="Normal 58 8 4 7" xfId="16879" xr:uid="{00000000-0005-0000-0000-000056AF0000}"/>
    <cellStyle name="Normal 58 8 4 7 2" xfId="42432" xr:uid="{00000000-0005-0000-0000-000057AF0000}"/>
    <cellStyle name="Normal 58 8 4 8" xfId="26851" xr:uid="{00000000-0005-0000-0000-000058AF0000}"/>
    <cellStyle name="Normal 58 8 5" xfId="1113" xr:uid="{00000000-0005-0000-0000-000059AF0000}"/>
    <cellStyle name="Normal 58 8 5 2" xfId="3542" xr:uid="{00000000-0005-0000-0000-00005AAF0000}"/>
    <cellStyle name="Normal 58 8 5 2 2" xfId="12678" xr:uid="{00000000-0005-0000-0000-00005BAF0000}"/>
    <cellStyle name="Normal 58 8 5 2 2 2" xfId="22897" xr:uid="{00000000-0005-0000-0000-00005CAF0000}"/>
    <cellStyle name="Normal 58 8 5 2 2 2 2" xfId="48450" xr:uid="{00000000-0005-0000-0000-00005DAF0000}"/>
    <cellStyle name="Normal 58 8 5 2 2 3" xfId="38233" xr:uid="{00000000-0005-0000-0000-00005EAF0000}"/>
    <cellStyle name="Normal 58 8 5 2 3" xfId="9099" xr:uid="{00000000-0005-0000-0000-00005FAF0000}"/>
    <cellStyle name="Normal 58 8 5 2 3 2" xfId="34656" xr:uid="{00000000-0005-0000-0000-000060AF0000}"/>
    <cellStyle name="Normal 58 8 5 2 4" xfId="17890" xr:uid="{00000000-0005-0000-0000-000061AF0000}"/>
    <cellStyle name="Normal 58 8 5 2 4 2" xfId="43443" xr:uid="{00000000-0005-0000-0000-000062AF0000}"/>
    <cellStyle name="Normal 58 8 5 2 5" xfId="29380" xr:uid="{00000000-0005-0000-0000-000063AF0000}"/>
    <cellStyle name="Normal 58 8 5 3" xfId="5205" xr:uid="{00000000-0005-0000-0000-000064AF0000}"/>
    <cellStyle name="Normal 58 8 5 3 2" xfId="14042" xr:uid="{00000000-0005-0000-0000-000065AF0000}"/>
    <cellStyle name="Normal 58 8 5 3 2 2" xfId="24293" xr:uid="{00000000-0005-0000-0000-000066AF0000}"/>
    <cellStyle name="Normal 58 8 5 3 2 2 2" xfId="49846" xr:uid="{00000000-0005-0000-0000-000067AF0000}"/>
    <cellStyle name="Normal 58 8 5 3 2 3" xfId="39597" xr:uid="{00000000-0005-0000-0000-000068AF0000}"/>
    <cellStyle name="Normal 58 8 5 3 3" xfId="10463" xr:uid="{00000000-0005-0000-0000-000069AF0000}"/>
    <cellStyle name="Normal 58 8 5 3 3 2" xfId="36020" xr:uid="{00000000-0005-0000-0000-00006AAF0000}"/>
    <cellStyle name="Normal 58 8 5 3 4" xfId="19286" xr:uid="{00000000-0005-0000-0000-00006BAF0000}"/>
    <cellStyle name="Normal 58 8 5 3 4 2" xfId="44839" xr:uid="{00000000-0005-0000-0000-00006CAF0000}"/>
    <cellStyle name="Normal 58 8 5 3 5" xfId="30776" xr:uid="{00000000-0005-0000-0000-00006DAF0000}"/>
    <cellStyle name="Normal 58 8 5 4" xfId="1821" xr:uid="{00000000-0005-0000-0000-00006EAF0000}"/>
    <cellStyle name="Normal 58 8 5 4 2" xfId="11189" xr:uid="{00000000-0005-0000-0000-00006FAF0000}"/>
    <cellStyle name="Normal 58 8 5 4 2 2" xfId="36744" xr:uid="{00000000-0005-0000-0000-000070AF0000}"/>
    <cellStyle name="Normal 58 8 5 4 3" xfId="21193" xr:uid="{00000000-0005-0000-0000-000071AF0000}"/>
    <cellStyle name="Normal 58 8 5 4 3 2" xfId="46746" xr:uid="{00000000-0005-0000-0000-000072AF0000}"/>
    <cellStyle name="Normal 58 8 5 4 4" xfId="27676" xr:uid="{00000000-0005-0000-0000-000073AF0000}"/>
    <cellStyle name="Normal 58 8 5 5" xfId="6660" xr:uid="{00000000-0005-0000-0000-000074AF0000}"/>
    <cellStyle name="Normal 58 8 5 5 2" xfId="15487" xr:uid="{00000000-0005-0000-0000-000075AF0000}"/>
    <cellStyle name="Normal 58 8 5 5 2 2" xfId="41042" xr:uid="{00000000-0005-0000-0000-000076AF0000}"/>
    <cellStyle name="Normal 58 8 5 5 3" xfId="25738" xr:uid="{00000000-0005-0000-0000-000077AF0000}"/>
    <cellStyle name="Normal 58 8 5 5 3 2" xfId="51291" xr:uid="{00000000-0005-0000-0000-000078AF0000}"/>
    <cellStyle name="Normal 58 8 5 5 4" xfId="32221" xr:uid="{00000000-0005-0000-0000-000079AF0000}"/>
    <cellStyle name="Normal 58 8 5 6" xfId="8106" xr:uid="{00000000-0005-0000-0000-00007AAF0000}"/>
    <cellStyle name="Normal 58 8 5 6 2" xfId="20496" xr:uid="{00000000-0005-0000-0000-00007BAF0000}"/>
    <cellStyle name="Normal 58 8 5 6 2 2" xfId="46049" xr:uid="{00000000-0005-0000-0000-00007CAF0000}"/>
    <cellStyle name="Normal 58 8 5 6 3" xfId="33663" xr:uid="{00000000-0005-0000-0000-00007DAF0000}"/>
    <cellStyle name="Normal 58 8 5 7" xfId="16186" xr:uid="{00000000-0005-0000-0000-00007EAF0000}"/>
    <cellStyle name="Normal 58 8 5 7 2" xfId="41739" xr:uid="{00000000-0005-0000-0000-00007FAF0000}"/>
    <cellStyle name="Normal 58 8 5 8" xfId="26979" xr:uid="{00000000-0005-0000-0000-000080AF0000}"/>
    <cellStyle name="Normal 58 8 6" xfId="2715" xr:uid="{00000000-0005-0000-0000-000081AF0000}"/>
    <cellStyle name="Normal 58 8 6 2" xfId="12032" xr:uid="{00000000-0005-0000-0000-000082AF0000}"/>
    <cellStyle name="Normal 58 8 6 2 2" xfId="22076" xr:uid="{00000000-0005-0000-0000-000083AF0000}"/>
    <cellStyle name="Normal 58 8 6 2 2 2" xfId="47629" xr:uid="{00000000-0005-0000-0000-000084AF0000}"/>
    <cellStyle name="Normal 58 8 6 2 3" xfId="37587" xr:uid="{00000000-0005-0000-0000-000085AF0000}"/>
    <cellStyle name="Normal 58 8 6 3" xfId="8550" xr:uid="{00000000-0005-0000-0000-000086AF0000}"/>
    <cellStyle name="Normal 58 8 6 3 2" xfId="34107" xr:uid="{00000000-0005-0000-0000-000087AF0000}"/>
    <cellStyle name="Normal 58 8 6 4" xfId="17069" xr:uid="{00000000-0005-0000-0000-000088AF0000}"/>
    <cellStyle name="Normal 58 8 6 4 2" xfId="42622" xr:uid="{00000000-0005-0000-0000-000089AF0000}"/>
    <cellStyle name="Normal 58 8 6 5" xfId="28559" xr:uid="{00000000-0005-0000-0000-00008AAF0000}"/>
    <cellStyle name="Normal 58 8 7" xfId="4161" xr:uid="{00000000-0005-0000-0000-00008BAF0000}"/>
    <cellStyle name="Normal 58 8 7 2" xfId="12999" xr:uid="{00000000-0005-0000-0000-00008CAF0000}"/>
    <cellStyle name="Normal 58 8 7 2 2" xfId="23250" xr:uid="{00000000-0005-0000-0000-00008DAF0000}"/>
    <cellStyle name="Normal 58 8 7 2 2 2" xfId="48803" xr:uid="{00000000-0005-0000-0000-00008EAF0000}"/>
    <cellStyle name="Normal 58 8 7 2 3" xfId="38554" xr:uid="{00000000-0005-0000-0000-00008FAF0000}"/>
    <cellStyle name="Normal 58 8 7 3" xfId="9420" xr:uid="{00000000-0005-0000-0000-000090AF0000}"/>
    <cellStyle name="Normal 58 8 7 3 2" xfId="34977" xr:uid="{00000000-0005-0000-0000-000091AF0000}"/>
    <cellStyle name="Normal 58 8 7 4" xfId="18243" xr:uid="{00000000-0005-0000-0000-000092AF0000}"/>
    <cellStyle name="Normal 58 8 7 4 2" xfId="43796" xr:uid="{00000000-0005-0000-0000-000093AF0000}"/>
    <cellStyle name="Normal 58 8 7 5" xfId="29733" xr:uid="{00000000-0005-0000-0000-000094AF0000}"/>
    <cellStyle name="Normal 58 8 8" xfId="1433" xr:uid="{00000000-0005-0000-0000-000095AF0000}"/>
    <cellStyle name="Normal 58 8 8 2" xfId="10810" xr:uid="{00000000-0005-0000-0000-000096AF0000}"/>
    <cellStyle name="Normal 58 8 8 2 2" xfId="36365" xr:uid="{00000000-0005-0000-0000-000097AF0000}"/>
    <cellStyle name="Normal 58 8 8 3" xfId="20814" xr:uid="{00000000-0005-0000-0000-000098AF0000}"/>
    <cellStyle name="Normal 58 8 8 3 2" xfId="46367" xr:uid="{00000000-0005-0000-0000-000099AF0000}"/>
    <cellStyle name="Normal 58 8 8 4" xfId="27297" xr:uid="{00000000-0005-0000-0000-00009AAF0000}"/>
    <cellStyle name="Normal 58 8 9" xfId="5617" xr:uid="{00000000-0005-0000-0000-00009BAF0000}"/>
    <cellStyle name="Normal 58 8 9 2" xfId="14444" xr:uid="{00000000-0005-0000-0000-00009CAF0000}"/>
    <cellStyle name="Normal 58 8 9 2 2" xfId="39999" xr:uid="{00000000-0005-0000-0000-00009DAF0000}"/>
    <cellStyle name="Normal 58 8 9 3" xfId="24695" xr:uid="{00000000-0005-0000-0000-00009EAF0000}"/>
    <cellStyle name="Normal 58 8 9 3 2" xfId="50248" xr:uid="{00000000-0005-0000-0000-00009FAF0000}"/>
    <cellStyle name="Normal 58 8 9 4" xfId="31178" xr:uid="{00000000-0005-0000-0000-0000A0AF0000}"/>
    <cellStyle name="Normal 58 8_Degree data" xfId="4029" xr:uid="{00000000-0005-0000-0000-0000A1AF0000}"/>
    <cellStyle name="Normal 58 9" xfId="280" xr:uid="{00000000-0005-0000-0000-0000A2AF0000}"/>
    <cellStyle name="Normal 58 9 10" xfId="16068" xr:uid="{00000000-0005-0000-0000-0000A3AF0000}"/>
    <cellStyle name="Normal 58 9 10 2" xfId="41621" xr:uid="{00000000-0005-0000-0000-0000A4AF0000}"/>
    <cellStyle name="Normal 58 9 11" xfId="26214" xr:uid="{00000000-0005-0000-0000-0000A5AF0000}"/>
    <cellStyle name="Normal 58 9 2" xfId="602" xr:uid="{00000000-0005-0000-0000-0000A6AF0000}"/>
    <cellStyle name="Normal 58 9 2 2" xfId="3088" xr:uid="{00000000-0005-0000-0000-0000A7AF0000}"/>
    <cellStyle name="Normal 58 9 2 2 2" xfId="12231" xr:uid="{00000000-0005-0000-0000-0000A8AF0000}"/>
    <cellStyle name="Normal 58 9 2 2 2 2" xfId="22449" xr:uid="{00000000-0005-0000-0000-0000A9AF0000}"/>
    <cellStyle name="Normal 58 9 2 2 2 2 2" xfId="48002" xr:uid="{00000000-0005-0000-0000-0000AAAF0000}"/>
    <cellStyle name="Normal 58 9 2 2 2 3" xfId="37786" xr:uid="{00000000-0005-0000-0000-0000ABAF0000}"/>
    <cellStyle name="Normal 58 9 2 2 3" xfId="8653" xr:uid="{00000000-0005-0000-0000-0000ACAF0000}"/>
    <cellStyle name="Normal 58 9 2 2 3 2" xfId="34210" xr:uid="{00000000-0005-0000-0000-0000ADAF0000}"/>
    <cellStyle name="Normal 58 9 2 2 4" xfId="17442" xr:uid="{00000000-0005-0000-0000-0000AEAF0000}"/>
    <cellStyle name="Normal 58 9 2 2 4 2" xfId="42995" xr:uid="{00000000-0005-0000-0000-0000AFAF0000}"/>
    <cellStyle name="Normal 58 9 2 2 5" xfId="28932" xr:uid="{00000000-0005-0000-0000-0000B0AF0000}"/>
    <cellStyle name="Normal 58 9 2 3" xfId="4739" xr:uid="{00000000-0005-0000-0000-0000B1AF0000}"/>
    <cellStyle name="Normal 58 9 2 3 2" xfId="13577" xr:uid="{00000000-0005-0000-0000-0000B2AF0000}"/>
    <cellStyle name="Normal 58 9 2 3 2 2" xfId="23828" xr:uid="{00000000-0005-0000-0000-0000B3AF0000}"/>
    <cellStyle name="Normal 58 9 2 3 2 2 2" xfId="49381" xr:uid="{00000000-0005-0000-0000-0000B4AF0000}"/>
    <cellStyle name="Normal 58 9 2 3 2 3" xfId="39132" xr:uid="{00000000-0005-0000-0000-0000B5AF0000}"/>
    <cellStyle name="Normal 58 9 2 3 3" xfId="9998" xr:uid="{00000000-0005-0000-0000-0000B6AF0000}"/>
    <cellStyle name="Normal 58 9 2 3 3 2" xfId="35555" xr:uid="{00000000-0005-0000-0000-0000B7AF0000}"/>
    <cellStyle name="Normal 58 9 2 3 4" xfId="18821" xr:uid="{00000000-0005-0000-0000-0000B8AF0000}"/>
    <cellStyle name="Normal 58 9 2 3 4 2" xfId="44374" xr:uid="{00000000-0005-0000-0000-0000B9AF0000}"/>
    <cellStyle name="Normal 58 9 2 3 5" xfId="30311" xr:uid="{00000000-0005-0000-0000-0000BAAF0000}"/>
    <cellStyle name="Normal 58 9 2 4" xfId="2197" xr:uid="{00000000-0005-0000-0000-0000BBAF0000}"/>
    <cellStyle name="Normal 58 9 2 4 2" xfId="11562" xr:uid="{00000000-0005-0000-0000-0000BCAF0000}"/>
    <cellStyle name="Normal 58 9 2 4 2 2" xfId="37117" xr:uid="{00000000-0005-0000-0000-0000BDAF0000}"/>
    <cellStyle name="Normal 58 9 2 4 3" xfId="21566" xr:uid="{00000000-0005-0000-0000-0000BEAF0000}"/>
    <cellStyle name="Normal 58 9 2 4 3 2" xfId="47119" xr:uid="{00000000-0005-0000-0000-0000BFAF0000}"/>
    <cellStyle name="Normal 58 9 2 4 4" xfId="28049" xr:uid="{00000000-0005-0000-0000-0000C0AF0000}"/>
    <cellStyle name="Normal 58 9 2 5" xfId="6195" xr:uid="{00000000-0005-0000-0000-0000C1AF0000}"/>
    <cellStyle name="Normal 58 9 2 5 2" xfId="15022" xr:uid="{00000000-0005-0000-0000-0000C2AF0000}"/>
    <cellStyle name="Normal 58 9 2 5 2 2" xfId="40577" xr:uid="{00000000-0005-0000-0000-0000C3AF0000}"/>
    <cellStyle name="Normal 58 9 2 5 3" xfId="25273" xr:uid="{00000000-0005-0000-0000-0000C4AF0000}"/>
    <cellStyle name="Normal 58 9 2 5 3 2" xfId="50826" xr:uid="{00000000-0005-0000-0000-0000C5AF0000}"/>
    <cellStyle name="Normal 58 9 2 5 4" xfId="31756" xr:uid="{00000000-0005-0000-0000-0000C6AF0000}"/>
    <cellStyle name="Normal 58 9 2 6" xfId="7640" xr:uid="{00000000-0005-0000-0000-0000C7AF0000}"/>
    <cellStyle name="Normal 58 9 2 6 2" xfId="20048" xr:uid="{00000000-0005-0000-0000-0000C8AF0000}"/>
    <cellStyle name="Normal 58 9 2 6 2 2" xfId="45601" xr:uid="{00000000-0005-0000-0000-0000C9AF0000}"/>
    <cellStyle name="Normal 58 9 2 6 3" xfId="33197" xr:uid="{00000000-0005-0000-0000-0000CAAF0000}"/>
    <cellStyle name="Normal 58 9 2 7" xfId="16559" xr:uid="{00000000-0005-0000-0000-0000CBAF0000}"/>
    <cellStyle name="Normal 58 9 2 7 2" xfId="42112" xr:uid="{00000000-0005-0000-0000-0000CCAF0000}"/>
    <cellStyle name="Normal 58 9 2 8" xfId="26531" xr:uid="{00000000-0005-0000-0000-0000CDAF0000}"/>
    <cellStyle name="Normal 58 9 3" xfId="925" xr:uid="{00000000-0005-0000-0000-0000CEAF0000}"/>
    <cellStyle name="Normal 58 9 3 2" xfId="3410" xr:uid="{00000000-0005-0000-0000-0000CFAF0000}"/>
    <cellStyle name="Normal 58 9 3 2 2" xfId="12552" xr:uid="{00000000-0005-0000-0000-0000D0AF0000}"/>
    <cellStyle name="Normal 58 9 3 2 2 2" xfId="22771" xr:uid="{00000000-0005-0000-0000-0000D1AF0000}"/>
    <cellStyle name="Normal 58 9 3 2 2 2 2" xfId="48324" xr:uid="{00000000-0005-0000-0000-0000D2AF0000}"/>
    <cellStyle name="Normal 58 9 3 2 2 3" xfId="38107" xr:uid="{00000000-0005-0000-0000-0000D3AF0000}"/>
    <cellStyle name="Normal 58 9 3 2 3" xfId="8974" xr:uid="{00000000-0005-0000-0000-0000D4AF0000}"/>
    <cellStyle name="Normal 58 9 3 2 3 2" xfId="34531" xr:uid="{00000000-0005-0000-0000-0000D5AF0000}"/>
    <cellStyle name="Normal 58 9 3 2 4" xfId="17764" xr:uid="{00000000-0005-0000-0000-0000D6AF0000}"/>
    <cellStyle name="Normal 58 9 3 2 4 2" xfId="43317" xr:uid="{00000000-0005-0000-0000-0000D7AF0000}"/>
    <cellStyle name="Normal 58 9 3 2 5" xfId="29254" xr:uid="{00000000-0005-0000-0000-0000D8AF0000}"/>
    <cellStyle name="Normal 58 9 3 3" xfId="5088" xr:uid="{00000000-0005-0000-0000-0000D9AF0000}"/>
    <cellStyle name="Normal 58 9 3 3 2" xfId="13925" xr:uid="{00000000-0005-0000-0000-0000DAAF0000}"/>
    <cellStyle name="Normal 58 9 3 3 2 2" xfId="24176" xr:uid="{00000000-0005-0000-0000-0000DBAF0000}"/>
    <cellStyle name="Normal 58 9 3 3 2 2 2" xfId="49729" xr:uid="{00000000-0005-0000-0000-0000DCAF0000}"/>
    <cellStyle name="Normal 58 9 3 3 2 3" xfId="39480" xr:uid="{00000000-0005-0000-0000-0000DDAF0000}"/>
    <cellStyle name="Normal 58 9 3 3 3" xfId="10346" xr:uid="{00000000-0005-0000-0000-0000DEAF0000}"/>
    <cellStyle name="Normal 58 9 3 3 3 2" xfId="35903" xr:uid="{00000000-0005-0000-0000-0000DFAF0000}"/>
    <cellStyle name="Normal 58 9 3 3 4" xfId="19169" xr:uid="{00000000-0005-0000-0000-0000E0AF0000}"/>
    <cellStyle name="Normal 58 9 3 3 4 2" xfId="44722" xr:uid="{00000000-0005-0000-0000-0000E1AF0000}"/>
    <cellStyle name="Normal 58 9 3 3 5" xfId="30659" xr:uid="{00000000-0005-0000-0000-0000E2AF0000}"/>
    <cellStyle name="Normal 58 9 3 4" xfId="2519" xr:uid="{00000000-0005-0000-0000-0000E3AF0000}"/>
    <cellStyle name="Normal 58 9 3 4 2" xfId="11884" xr:uid="{00000000-0005-0000-0000-0000E4AF0000}"/>
    <cellStyle name="Normal 58 9 3 4 2 2" xfId="37439" xr:uid="{00000000-0005-0000-0000-0000E5AF0000}"/>
    <cellStyle name="Normal 58 9 3 4 3" xfId="21888" xr:uid="{00000000-0005-0000-0000-0000E6AF0000}"/>
    <cellStyle name="Normal 58 9 3 4 3 2" xfId="47441" xr:uid="{00000000-0005-0000-0000-0000E7AF0000}"/>
    <cellStyle name="Normal 58 9 3 4 4" xfId="28371" xr:uid="{00000000-0005-0000-0000-0000E8AF0000}"/>
    <cellStyle name="Normal 58 9 3 5" xfId="6543" xr:uid="{00000000-0005-0000-0000-0000E9AF0000}"/>
    <cellStyle name="Normal 58 9 3 5 2" xfId="15370" xr:uid="{00000000-0005-0000-0000-0000EAAF0000}"/>
    <cellStyle name="Normal 58 9 3 5 2 2" xfId="40925" xr:uid="{00000000-0005-0000-0000-0000EBAF0000}"/>
    <cellStyle name="Normal 58 9 3 5 3" xfId="25621" xr:uid="{00000000-0005-0000-0000-0000ECAF0000}"/>
    <cellStyle name="Normal 58 9 3 5 3 2" xfId="51174" xr:uid="{00000000-0005-0000-0000-0000EDAF0000}"/>
    <cellStyle name="Normal 58 9 3 5 4" xfId="32104" xr:uid="{00000000-0005-0000-0000-0000EEAF0000}"/>
    <cellStyle name="Normal 58 9 3 6" xfId="7989" xr:uid="{00000000-0005-0000-0000-0000EFAF0000}"/>
    <cellStyle name="Normal 58 9 3 6 2" xfId="20370" xr:uid="{00000000-0005-0000-0000-0000F0AF0000}"/>
    <cellStyle name="Normal 58 9 3 6 2 2" xfId="45923" xr:uid="{00000000-0005-0000-0000-0000F1AF0000}"/>
    <cellStyle name="Normal 58 9 3 6 3" xfId="33546" xr:uid="{00000000-0005-0000-0000-0000F2AF0000}"/>
    <cellStyle name="Normal 58 9 3 7" xfId="16881" xr:uid="{00000000-0005-0000-0000-0000F3AF0000}"/>
    <cellStyle name="Normal 58 9 3 7 2" xfId="42434" xr:uid="{00000000-0005-0000-0000-0000F4AF0000}"/>
    <cellStyle name="Normal 58 9 3 8" xfId="26853" xr:uid="{00000000-0005-0000-0000-0000F5AF0000}"/>
    <cellStyle name="Normal 58 9 4" xfId="1374" xr:uid="{00000000-0005-0000-0000-0000F6AF0000}"/>
    <cellStyle name="Normal 58 9 4 2" xfId="3803" xr:uid="{00000000-0005-0000-0000-0000F7AF0000}"/>
    <cellStyle name="Normal 58 9 4 2 2" xfId="12939" xr:uid="{00000000-0005-0000-0000-0000F8AF0000}"/>
    <cellStyle name="Normal 58 9 4 2 2 2" xfId="23158" xr:uid="{00000000-0005-0000-0000-0000F9AF0000}"/>
    <cellStyle name="Normal 58 9 4 2 2 2 2" xfId="48711" xr:uid="{00000000-0005-0000-0000-0000FAAF0000}"/>
    <cellStyle name="Normal 58 9 4 2 2 3" xfId="38494" xr:uid="{00000000-0005-0000-0000-0000FBAF0000}"/>
    <cellStyle name="Normal 58 9 4 2 3" xfId="9360" xr:uid="{00000000-0005-0000-0000-0000FCAF0000}"/>
    <cellStyle name="Normal 58 9 4 2 3 2" xfId="34917" xr:uid="{00000000-0005-0000-0000-0000FDAF0000}"/>
    <cellStyle name="Normal 58 9 4 2 4" xfId="18151" xr:uid="{00000000-0005-0000-0000-0000FEAF0000}"/>
    <cellStyle name="Normal 58 9 4 2 4 2" xfId="43704" xr:uid="{00000000-0005-0000-0000-0000FFAF0000}"/>
    <cellStyle name="Normal 58 9 4 2 5" xfId="29641" xr:uid="{00000000-0005-0000-0000-000000B00000}"/>
    <cellStyle name="Normal 58 9 4 3" xfId="5466" xr:uid="{00000000-0005-0000-0000-000001B00000}"/>
    <cellStyle name="Normal 58 9 4 3 2" xfId="14303" xr:uid="{00000000-0005-0000-0000-000002B00000}"/>
    <cellStyle name="Normal 58 9 4 3 2 2" xfId="24554" xr:uid="{00000000-0005-0000-0000-000003B00000}"/>
    <cellStyle name="Normal 58 9 4 3 2 2 2" xfId="50107" xr:uid="{00000000-0005-0000-0000-000004B00000}"/>
    <cellStyle name="Normal 58 9 4 3 2 3" xfId="39858" xr:uid="{00000000-0005-0000-0000-000005B00000}"/>
    <cellStyle name="Normal 58 9 4 3 3" xfId="10724" xr:uid="{00000000-0005-0000-0000-000006B00000}"/>
    <cellStyle name="Normal 58 9 4 3 3 2" xfId="36281" xr:uid="{00000000-0005-0000-0000-000007B00000}"/>
    <cellStyle name="Normal 58 9 4 3 4" xfId="19547" xr:uid="{00000000-0005-0000-0000-000008B00000}"/>
    <cellStyle name="Normal 58 9 4 3 4 2" xfId="45100" xr:uid="{00000000-0005-0000-0000-000009B00000}"/>
    <cellStyle name="Normal 58 9 4 3 5" xfId="31037" xr:uid="{00000000-0005-0000-0000-00000AB00000}"/>
    <cellStyle name="Normal 58 9 4 4" xfId="1877" xr:uid="{00000000-0005-0000-0000-00000BB00000}"/>
    <cellStyle name="Normal 58 9 4 4 2" xfId="11245" xr:uid="{00000000-0005-0000-0000-00000CB00000}"/>
    <cellStyle name="Normal 58 9 4 4 2 2" xfId="36800" xr:uid="{00000000-0005-0000-0000-00000DB00000}"/>
    <cellStyle name="Normal 58 9 4 4 3" xfId="21249" xr:uid="{00000000-0005-0000-0000-00000EB00000}"/>
    <cellStyle name="Normal 58 9 4 4 3 2" xfId="46802" xr:uid="{00000000-0005-0000-0000-00000FB00000}"/>
    <cellStyle name="Normal 58 9 4 4 4" xfId="27732" xr:uid="{00000000-0005-0000-0000-000010B00000}"/>
    <cellStyle name="Normal 58 9 4 5" xfId="6921" xr:uid="{00000000-0005-0000-0000-000011B00000}"/>
    <cellStyle name="Normal 58 9 4 5 2" xfId="15748" xr:uid="{00000000-0005-0000-0000-000012B00000}"/>
    <cellStyle name="Normal 58 9 4 5 2 2" xfId="41303" xr:uid="{00000000-0005-0000-0000-000013B00000}"/>
    <cellStyle name="Normal 58 9 4 5 3" xfId="25999" xr:uid="{00000000-0005-0000-0000-000014B00000}"/>
    <cellStyle name="Normal 58 9 4 5 3 2" xfId="51552" xr:uid="{00000000-0005-0000-0000-000015B00000}"/>
    <cellStyle name="Normal 58 9 4 5 4" xfId="32482" xr:uid="{00000000-0005-0000-0000-000016B00000}"/>
    <cellStyle name="Normal 58 9 4 6" xfId="8367" xr:uid="{00000000-0005-0000-0000-000017B00000}"/>
    <cellStyle name="Normal 58 9 4 6 2" xfId="20757" xr:uid="{00000000-0005-0000-0000-000018B00000}"/>
    <cellStyle name="Normal 58 9 4 6 2 2" xfId="46310" xr:uid="{00000000-0005-0000-0000-000019B00000}"/>
    <cellStyle name="Normal 58 9 4 6 3" xfId="33924" xr:uid="{00000000-0005-0000-0000-00001AB00000}"/>
    <cellStyle name="Normal 58 9 4 7" xfId="16242" xr:uid="{00000000-0005-0000-0000-00001BB00000}"/>
    <cellStyle name="Normal 58 9 4 7 2" xfId="41795" xr:uid="{00000000-0005-0000-0000-00001CB00000}"/>
    <cellStyle name="Normal 58 9 4 8" xfId="27240" xr:uid="{00000000-0005-0000-0000-00001DB00000}"/>
    <cellStyle name="Normal 58 9 5" xfId="2771" xr:uid="{00000000-0005-0000-0000-00001EB00000}"/>
    <cellStyle name="Normal 58 9 5 2" xfId="12088" xr:uid="{00000000-0005-0000-0000-00001FB00000}"/>
    <cellStyle name="Normal 58 9 5 2 2" xfId="22132" xr:uid="{00000000-0005-0000-0000-000020B00000}"/>
    <cellStyle name="Normal 58 9 5 2 2 2" xfId="47685" xr:uid="{00000000-0005-0000-0000-000021B00000}"/>
    <cellStyle name="Normal 58 9 5 2 3" xfId="37643" xr:uid="{00000000-0005-0000-0000-000022B00000}"/>
    <cellStyle name="Normal 58 9 5 3" xfId="8392" xr:uid="{00000000-0005-0000-0000-000023B00000}"/>
    <cellStyle name="Normal 58 9 5 3 2" xfId="33949" xr:uid="{00000000-0005-0000-0000-000024B00000}"/>
    <cellStyle name="Normal 58 9 5 4" xfId="17125" xr:uid="{00000000-0005-0000-0000-000025B00000}"/>
    <cellStyle name="Normal 58 9 5 4 2" xfId="42678" xr:uid="{00000000-0005-0000-0000-000026B00000}"/>
    <cellStyle name="Normal 58 9 5 5" xfId="28615" xr:uid="{00000000-0005-0000-0000-000027B00000}"/>
    <cellStyle name="Normal 58 9 6" xfId="4422" xr:uid="{00000000-0005-0000-0000-000028B00000}"/>
    <cellStyle name="Normal 58 9 6 2" xfId="13260" xr:uid="{00000000-0005-0000-0000-000029B00000}"/>
    <cellStyle name="Normal 58 9 6 2 2" xfId="23511" xr:uid="{00000000-0005-0000-0000-00002AB00000}"/>
    <cellStyle name="Normal 58 9 6 2 2 2" xfId="49064" xr:uid="{00000000-0005-0000-0000-00002BB00000}"/>
    <cellStyle name="Normal 58 9 6 2 3" xfId="38815" xr:uid="{00000000-0005-0000-0000-00002CB00000}"/>
    <cellStyle name="Normal 58 9 6 3" xfId="9681" xr:uid="{00000000-0005-0000-0000-00002DB00000}"/>
    <cellStyle name="Normal 58 9 6 3 2" xfId="35238" xr:uid="{00000000-0005-0000-0000-00002EB00000}"/>
    <cellStyle name="Normal 58 9 6 4" xfId="18504" xr:uid="{00000000-0005-0000-0000-00002FB00000}"/>
    <cellStyle name="Normal 58 9 6 4 2" xfId="44057" xr:uid="{00000000-0005-0000-0000-000030B00000}"/>
    <cellStyle name="Normal 58 9 6 5" xfId="29994" xr:uid="{00000000-0005-0000-0000-000031B00000}"/>
    <cellStyle name="Normal 58 9 7" xfId="1694" xr:uid="{00000000-0005-0000-0000-000032B00000}"/>
    <cellStyle name="Normal 58 9 7 2" xfId="11071" xr:uid="{00000000-0005-0000-0000-000033B00000}"/>
    <cellStyle name="Normal 58 9 7 2 2" xfId="36626" xr:uid="{00000000-0005-0000-0000-000034B00000}"/>
    <cellStyle name="Normal 58 9 7 3" xfId="21075" xr:uid="{00000000-0005-0000-0000-000035B00000}"/>
    <cellStyle name="Normal 58 9 7 3 2" xfId="46628" xr:uid="{00000000-0005-0000-0000-000036B00000}"/>
    <cellStyle name="Normal 58 9 7 4" xfId="27558" xr:uid="{00000000-0005-0000-0000-000037B00000}"/>
    <cellStyle name="Normal 58 9 8" xfId="5878" xr:uid="{00000000-0005-0000-0000-000038B00000}"/>
    <cellStyle name="Normal 58 9 8 2" xfId="14705" xr:uid="{00000000-0005-0000-0000-000039B00000}"/>
    <cellStyle name="Normal 58 9 8 2 2" xfId="40260" xr:uid="{00000000-0005-0000-0000-00003AB00000}"/>
    <cellStyle name="Normal 58 9 8 3" xfId="24956" xr:uid="{00000000-0005-0000-0000-00003BB00000}"/>
    <cellStyle name="Normal 58 9 8 3 2" xfId="50509" xr:uid="{00000000-0005-0000-0000-00003CB00000}"/>
    <cellStyle name="Normal 58 9 8 4" xfId="31439" xr:uid="{00000000-0005-0000-0000-00003DB00000}"/>
    <cellStyle name="Normal 58 9 9" xfId="7322" xr:uid="{00000000-0005-0000-0000-00003EB00000}"/>
    <cellStyle name="Normal 58 9 9 2" xfId="19731" xr:uid="{00000000-0005-0000-0000-00003FB00000}"/>
    <cellStyle name="Normal 58 9 9 2 2" xfId="45284" xr:uid="{00000000-0005-0000-0000-000040B00000}"/>
    <cellStyle name="Normal 58 9 9 3" xfId="32879" xr:uid="{00000000-0005-0000-0000-000041B00000}"/>
    <cellStyle name="Normal 58 9_Degree data" xfId="4031" xr:uid="{00000000-0005-0000-0000-000042B00000}"/>
    <cellStyle name="Normal 58_Degree data" xfId="3989" xr:uid="{00000000-0005-0000-0000-000043B00000}"/>
    <cellStyle name="Normal 59" xfId="45" xr:uid="{00000000-0005-0000-0000-000044B00000}"/>
    <cellStyle name="Normal 6" xfId="27" xr:uid="{00000000-0005-0000-0000-000045B00000}"/>
    <cellStyle name="Normal 6 2 2" xfId="44" xr:uid="{00000000-0005-0000-0000-000046B00000}"/>
    <cellStyle name="Normal 6_sreb progression tab 2 redo" xfId="34" xr:uid="{00000000-0005-0000-0000-000047B00000}"/>
    <cellStyle name="Normal 60" xfId="56" xr:uid="{00000000-0005-0000-0000-000048B00000}"/>
    <cellStyle name="Normal 60 2" xfId="926" xr:uid="{00000000-0005-0000-0000-000049B00000}"/>
    <cellStyle name="Normal 60 3" xfId="1711" xr:uid="{00000000-0005-0000-0000-00004AB00000}"/>
    <cellStyle name="Normal 60_Degree data" xfId="4032" xr:uid="{00000000-0005-0000-0000-00004BB00000}"/>
    <cellStyle name="Normal 61" xfId="57" xr:uid="{00000000-0005-0000-0000-00004CB00000}"/>
    <cellStyle name="Normal 61 2" xfId="927" xr:uid="{00000000-0005-0000-0000-00004DB00000}"/>
    <cellStyle name="Normal 61 3" xfId="1712" xr:uid="{00000000-0005-0000-0000-00004EB00000}"/>
    <cellStyle name="Normal 61_Degree data" xfId="4033" xr:uid="{00000000-0005-0000-0000-00004FB00000}"/>
    <cellStyle name="Normal 62" xfId="92" xr:uid="{00000000-0005-0000-0000-000050B00000}"/>
    <cellStyle name="Normal 62 2" xfId="928" xr:uid="{00000000-0005-0000-0000-000051B00000}"/>
    <cellStyle name="Normal 62 3" xfId="1713" xr:uid="{00000000-0005-0000-0000-000052B00000}"/>
    <cellStyle name="Normal 62_Degree data" xfId="4034" xr:uid="{00000000-0005-0000-0000-000053B00000}"/>
    <cellStyle name="Normal 63" xfId="122" xr:uid="{00000000-0005-0000-0000-000054B00000}"/>
    <cellStyle name="Normal 63 10" xfId="1416" xr:uid="{00000000-0005-0000-0000-000055B00000}"/>
    <cellStyle name="Normal 63 10 2" xfId="10793" xr:uid="{00000000-0005-0000-0000-000056B00000}"/>
    <cellStyle name="Normal 63 10 2 2" xfId="36348" xr:uid="{00000000-0005-0000-0000-000057B00000}"/>
    <cellStyle name="Normal 63 10 3" xfId="20797" xr:uid="{00000000-0005-0000-0000-000058B00000}"/>
    <cellStyle name="Normal 63 10 3 2" xfId="46350" xr:uid="{00000000-0005-0000-0000-000059B00000}"/>
    <cellStyle name="Normal 63 10 4" xfId="27280" xr:uid="{00000000-0005-0000-0000-00005AB00000}"/>
    <cellStyle name="Normal 63 11" xfId="5600" xr:uid="{00000000-0005-0000-0000-00005BB00000}"/>
    <cellStyle name="Normal 63 11 2" xfId="14427" xr:uid="{00000000-0005-0000-0000-00005CB00000}"/>
    <cellStyle name="Normal 63 11 2 2" xfId="39982" xr:uid="{00000000-0005-0000-0000-00005DB00000}"/>
    <cellStyle name="Normal 63 11 3" xfId="24678" xr:uid="{00000000-0005-0000-0000-00005EB00000}"/>
    <cellStyle name="Normal 63 11 3 2" xfId="50231" xr:uid="{00000000-0005-0000-0000-00005FB00000}"/>
    <cellStyle name="Normal 63 11 4" xfId="31161" xr:uid="{00000000-0005-0000-0000-000060B00000}"/>
    <cellStyle name="Normal 63 12" xfId="7044" xr:uid="{00000000-0005-0000-0000-000061B00000}"/>
    <cellStyle name="Normal 63 12 2" xfId="19589" xr:uid="{00000000-0005-0000-0000-000062B00000}"/>
    <cellStyle name="Normal 63 12 2 2" xfId="45142" xr:uid="{00000000-0005-0000-0000-000063B00000}"/>
    <cellStyle name="Normal 63 12 3" xfId="32601" xr:uid="{00000000-0005-0000-0000-000064B00000}"/>
    <cellStyle name="Normal 63 13" xfId="15790" xr:uid="{00000000-0005-0000-0000-000065B00000}"/>
    <cellStyle name="Normal 63 13 2" xfId="41343" xr:uid="{00000000-0005-0000-0000-000066B00000}"/>
    <cellStyle name="Normal 63 14" xfId="26072" xr:uid="{00000000-0005-0000-0000-000067B00000}"/>
    <cellStyle name="Normal 63 2" xfId="242" xr:uid="{00000000-0005-0000-0000-000068B00000}"/>
    <cellStyle name="Normal 63 2 10" xfId="7080" xr:uid="{00000000-0005-0000-0000-000069B00000}"/>
    <cellStyle name="Normal 63 2 10 2" xfId="19694" xr:uid="{00000000-0005-0000-0000-00006AB00000}"/>
    <cellStyle name="Normal 63 2 10 2 2" xfId="45247" xr:uid="{00000000-0005-0000-0000-00006BB00000}"/>
    <cellStyle name="Normal 63 2 10 3" xfId="32637" xr:uid="{00000000-0005-0000-0000-00006CB00000}"/>
    <cellStyle name="Normal 63 2 11" xfId="15826" xr:uid="{00000000-0005-0000-0000-00006DB00000}"/>
    <cellStyle name="Normal 63 2 11 2" xfId="41379" xr:uid="{00000000-0005-0000-0000-00006EB00000}"/>
    <cellStyle name="Normal 63 2 12" xfId="26177" xr:uid="{00000000-0005-0000-0000-00006FB00000}"/>
    <cellStyle name="Normal 63 2 2" xfId="565" xr:uid="{00000000-0005-0000-0000-000070B00000}"/>
    <cellStyle name="Normal 63 2 2 10" xfId="26494" xr:uid="{00000000-0005-0000-0000-000071B00000}"/>
    <cellStyle name="Normal 63 2 2 2" xfId="931" xr:uid="{00000000-0005-0000-0000-000072B00000}"/>
    <cellStyle name="Normal 63 2 2 2 2" xfId="3413" xr:uid="{00000000-0005-0000-0000-000073B00000}"/>
    <cellStyle name="Normal 63 2 2 2 2 2" xfId="12555" xr:uid="{00000000-0005-0000-0000-000074B00000}"/>
    <cellStyle name="Normal 63 2 2 2 2 2 2" xfId="22774" xr:uid="{00000000-0005-0000-0000-000075B00000}"/>
    <cellStyle name="Normal 63 2 2 2 2 2 2 2" xfId="48327" xr:uid="{00000000-0005-0000-0000-000076B00000}"/>
    <cellStyle name="Normal 63 2 2 2 2 2 3" xfId="38110" xr:uid="{00000000-0005-0000-0000-000077B00000}"/>
    <cellStyle name="Normal 63 2 2 2 2 3" xfId="8977" xr:uid="{00000000-0005-0000-0000-000078B00000}"/>
    <cellStyle name="Normal 63 2 2 2 2 3 2" xfId="34534" xr:uid="{00000000-0005-0000-0000-000079B00000}"/>
    <cellStyle name="Normal 63 2 2 2 2 4" xfId="17767" xr:uid="{00000000-0005-0000-0000-00007AB00000}"/>
    <cellStyle name="Normal 63 2 2 2 2 4 2" xfId="43320" xr:uid="{00000000-0005-0000-0000-00007BB00000}"/>
    <cellStyle name="Normal 63 2 2 2 2 5" xfId="29257" xr:uid="{00000000-0005-0000-0000-00007CB00000}"/>
    <cellStyle name="Normal 63 2 2 2 3" xfId="4742" xr:uid="{00000000-0005-0000-0000-00007DB00000}"/>
    <cellStyle name="Normal 63 2 2 2 3 2" xfId="13580" xr:uid="{00000000-0005-0000-0000-00007EB00000}"/>
    <cellStyle name="Normal 63 2 2 2 3 2 2" xfId="23831" xr:uid="{00000000-0005-0000-0000-00007FB00000}"/>
    <cellStyle name="Normal 63 2 2 2 3 2 2 2" xfId="49384" xr:uid="{00000000-0005-0000-0000-000080B00000}"/>
    <cellStyle name="Normal 63 2 2 2 3 2 3" xfId="39135" xr:uid="{00000000-0005-0000-0000-000081B00000}"/>
    <cellStyle name="Normal 63 2 2 2 3 3" xfId="10001" xr:uid="{00000000-0005-0000-0000-000082B00000}"/>
    <cellStyle name="Normal 63 2 2 2 3 3 2" xfId="35558" xr:uid="{00000000-0005-0000-0000-000083B00000}"/>
    <cellStyle name="Normal 63 2 2 2 3 4" xfId="18824" xr:uid="{00000000-0005-0000-0000-000084B00000}"/>
    <cellStyle name="Normal 63 2 2 2 3 4 2" xfId="44377" xr:uid="{00000000-0005-0000-0000-000085B00000}"/>
    <cellStyle name="Normal 63 2 2 2 3 5" xfId="30314" xr:uid="{00000000-0005-0000-0000-000086B00000}"/>
    <cellStyle name="Normal 63 2 2 2 4" xfId="2522" xr:uid="{00000000-0005-0000-0000-000087B00000}"/>
    <cellStyle name="Normal 63 2 2 2 4 2" xfId="11887" xr:uid="{00000000-0005-0000-0000-000088B00000}"/>
    <cellStyle name="Normal 63 2 2 2 4 2 2" xfId="37442" xr:uid="{00000000-0005-0000-0000-000089B00000}"/>
    <cellStyle name="Normal 63 2 2 2 4 3" xfId="21891" xr:uid="{00000000-0005-0000-0000-00008AB00000}"/>
    <cellStyle name="Normal 63 2 2 2 4 3 2" xfId="47444" xr:uid="{00000000-0005-0000-0000-00008BB00000}"/>
    <cellStyle name="Normal 63 2 2 2 4 4" xfId="28374" xr:uid="{00000000-0005-0000-0000-00008CB00000}"/>
    <cellStyle name="Normal 63 2 2 2 5" xfId="6198" xr:uid="{00000000-0005-0000-0000-00008DB00000}"/>
    <cellStyle name="Normal 63 2 2 2 5 2" xfId="15025" xr:uid="{00000000-0005-0000-0000-00008EB00000}"/>
    <cellStyle name="Normal 63 2 2 2 5 2 2" xfId="40580" xr:uid="{00000000-0005-0000-0000-00008FB00000}"/>
    <cellStyle name="Normal 63 2 2 2 5 3" xfId="25276" xr:uid="{00000000-0005-0000-0000-000090B00000}"/>
    <cellStyle name="Normal 63 2 2 2 5 3 2" xfId="50829" xr:uid="{00000000-0005-0000-0000-000091B00000}"/>
    <cellStyle name="Normal 63 2 2 2 5 4" xfId="31759" xr:uid="{00000000-0005-0000-0000-000092B00000}"/>
    <cellStyle name="Normal 63 2 2 2 6" xfId="7644" xr:uid="{00000000-0005-0000-0000-000093B00000}"/>
    <cellStyle name="Normal 63 2 2 2 6 2" xfId="20373" xr:uid="{00000000-0005-0000-0000-000094B00000}"/>
    <cellStyle name="Normal 63 2 2 2 6 2 2" xfId="45926" xr:uid="{00000000-0005-0000-0000-000095B00000}"/>
    <cellStyle name="Normal 63 2 2 2 6 3" xfId="33201" xr:uid="{00000000-0005-0000-0000-000096B00000}"/>
    <cellStyle name="Normal 63 2 2 2 7" xfId="16884" xr:uid="{00000000-0005-0000-0000-000097B00000}"/>
    <cellStyle name="Normal 63 2 2 2 7 2" xfId="42437" xr:uid="{00000000-0005-0000-0000-000098B00000}"/>
    <cellStyle name="Normal 63 2 2 2 8" xfId="26856" xr:uid="{00000000-0005-0000-0000-000099B00000}"/>
    <cellStyle name="Normal 63 2 2 3" xfId="1337" xr:uid="{00000000-0005-0000-0000-00009AB00000}"/>
    <cellStyle name="Normal 63 2 2 3 2" xfId="3766" xr:uid="{00000000-0005-0000-0000-00009BB00000}"/>
    <cellStyle name="Normal 63 2 2 3 2 2" xfId="12902" xr:uid="{00000000-0005-0000-0000-00009CB00000}"/>
    <cellStyle name="Normal 63 2 2 3 2 2 2" xfId="23121" xr:uid="{00000000-0005-0000-0000-00009DB00000}"/>
    <cellStyle name="Normal 63 2 2 3 2 2 2 2" xfId="48674" xr:uid="{00000000-0005-0000-0000-00009EB00000}"/>
    <cellStyle name="Normal 63 2 2 3 2 2 3" xfId="38457" xr:uid="{00000000-0005-0000-0000-00009FB00000}"/>
    <cellStyle name="Normal 63 2 2 3 2 3" xfId="9323" xr:uid="{00000000-0005-0000-0000-0000A0B00000}"/>
    <cellStyle name="Normal 63 2 2 3 2 3 2" xfId="34880" xr:uid="{00000000-0005-0000-0000-0000A1B00000}"/>
    <cellStyle name="Normal 63 2 2 3 2 4" xfId="18114" xr:uid="{00000000-0005-0000-0000-0000A2B00000}"/>
    <cellStyle name="Normal 63 2 2 3 2 4 2" xfId="43667" xr:uid="{00000000-0005-0000-0000-0000A3B00000}"/>
    <cellStyle name="Normal 63 2 2 3 2 5" xfId="29604" xr:uid="{00000000-0005-0000-0000-0000A4B00000}"/>
    <cellStyle name="Normal 63 2 2 3 3" xfId="5091" xr:uid="{00000000-0005-0000-0000-0000A5B00000}"/>
    <cellStyle name="Normal 63 2 2 3 3 2" xfId="13928" xr:uid="{00000000-0005-0000-0000-0000A6B00000}"/>
    <cellStyle name="Normal 63 2 2 3 3 2 2" xfId="24179" xr:uid="{00000000-0005-0000-0000-0000A7B00000}"/>
    <cellStyle name="Normal 63 2 2 3 3 2 2 2" xfId="49732" xr:uid="{00000000-0005-0000-0000-0000A8B00000}"/>
    <cellStyle name="Normal 63 2 2 3 3 2 3" xfId="39483" xr:uid="{00000000-0005-0000-0000-0000A9B00000}"/>
    <cellStyle name="Normal 63 2 2 3 3 3" xfId="10349" xr:uid="{00000000-0005-0000-0000-0000AAB00000}"/>
    <cellStyle name="Normal 63 2 2 3 3 3 2" xfId="35906" xr:uid="{00000000-0005-0000-0000-0000ABB00000}"/>
    <cellStyle name="Normal 63 2 2 3 3 4" xfId="19172" xr:uid="{00000000-0005-0000-0000-0000ACB00000}"/>
    <cellStyle name="Normal 63 2 2 3 3 4 2" xfId="44725" xr:uid="{00000000-0005-0000-0000-0000ADB00000}"/>
    <cellStyle name="Normal 63 2 2 3 3 5" xfId="30662" xr:uid="{00000000-0005-0000-0000-0000AEB00000}"/>
    <cellStyle name="Normal 63 2 2 3 4" xfId="2160" xr:uid="{00000000-0005-0000-0000-0000AFB00000}"/>
    <cellStyle name="Normal 63 2 2 3 4 2" xfId="11525" xr:uid="{00000000-0005-0000-0000-0000B0B00000}"/>
    <cellStyle name="Normal 63 2 2 3 4 2 2" xfId="37080" xr:uid="{00000000-0005-0000-0000-0000B1B00000}"/>
    <cellStyle name="Normal 63 2 2 3 4 3" xfId="21529" xr:uid="{00000000-0005-0000-0000-0000B2B00000}"/>
    <cellStyle name="Normal 63 2 2 3 4 3 2" xfId="47082" xr:uid="{00000000-0005-0000-0000-0000B3B00000}"/>
    <cellStyle name="Normal 63 2 2 3 4 4" xfId="28012" xr:uid="{00000000-0005-0000-0000-0000B4B00000}"/>
    <cellStyle name="Normal 63 2 2 3 5" xfId="6546" xr:uid="{00000000-0005-0000-0000-0000B5B00000}"/>
    <cellStyle name="Normal 63 2 2 3 5 2" xfId="15373" xr:uid="{00000000-0005-0000-0000-0000B6B00000}"/>
    <cellStyle name="Normal 63 2 2 3 5 2 2" xfId="40928" xr:uid="{00000000-0005-0000-0000-0000B7B00000}"/>
    <cellStyle name="Normal 63 2 2 3 5 3" xfId="25624" xr:uid="{00000000-0005-0000-0000-0000B8B00000}"/>
    <cellStyle name="Normal 63 2 2 3 5 3 2" xfId="51177" xr:uid="{00000000-0005-0000-0000-0000B9B00000}"/>
    <cellStyle name="Normal 63 2 2 3 5 4" xfId="32107" xr:uid="{00000000-0005-0000-0000-0000BAB00000}"/>
    <cellStyle name="Normal 63 2 2 3 6" xfId="7992" xr:uid="{00000000-0005-0000-0000-0000BBB00000}"/>
    <cellStyle name="Normal 63 2 2 3 6 2" xfId="20720" xr:uid="{00000000-0005-0000-0000-0000BCB00000}"/>
    <cellStyle name="Normal 63 2 2 3 6 2 2" xfId="46273" xr:uid="{00000000-0005-0000-0000-0000BDB00000}"/>
    <cellStyle name="Normal 63 2 2 3 6 3" xfId="33549" xr:uid="{00000000-0005-0000-0000-0000BEB00000}"/>
    <cellStyle name="Normal 63 2 2 3 7" xfId="16522" xr:uid="{00000000-0005-0000-0000-0000BFB00000}"/>
    <cellStyle name="Normal 63 2 2 3 7 2" xfId="42075" xr:uid="{00000000-0005-0000-0000-0000C0B00000}"/>
    <cellStyle name="Normal 63 2 2 3 8" xfId="27203" xr:uid="{00000000-0005-0000-0000-0000C1B00000}"/>
    <cellStyle name="Normal 63 2 2 4" xfId="3051" xr:uid="{00000000-0005-0000-0000-0000C2B00000}"/>
    <cellStyle name="Normal 63 2 2 4 2" xfId="5429" xr:uid="{00000000-0005-0000-0000-0000C3B00000}"/>
    <cellStyle name="Normal 63 2 2 4 2 2" xfId="14266" xr:uid="{00000000-0005-0000-0000-0000C4B00000}"/>
    <cellStyle name="Normal 63 2 2 4 2 2 2" xfId="24517" xr:uid="{00000000-0005-0000-0000-0000C5B00000}"/>
    <cellStyle name="Normal 63 2 2 4 2 2 2 2" xfId="50070" xr:uid="{00000000-0005-0000-0000-0000C6B00000}"/>
    <cellStyle name="Normal 63 2 2 4 2 2 3" xfId="39821" xr:uid="{00000000-0005-0000-0000-0000C7B00000}"/>
    <cellStyle name="Normal 63 2 2 4 2 3" xfId="10687" xr:uid="{00000000-0005-0000-0000-0000C8B00000}"/>
    <cellStyle name="Normal 63 2 2 4 2 3 2" xfId="36244" xr:uid="{00000000-0005-0000-0000-0000C9B00000}"/>
    <cellStyle name="Normal 63 2 2 4 2 4" xfId="19510" xr:uid="{00000000-0005-0000-0000-0000CAB00000}"/>
    <cellStyle name="Normal 63 2 2 4 2 4 2" xfId="45063" xr:uid="{00000000-0005-0000-0000-0000CBB00000}"/>
    <cellStyle name="Normal 63 2 2 4 2 5" xfId="31000" xr:uid="{00000000-0005-0000-0000-0000CCB00000}"/>
    <cellStyle name="Normal 63 2 2 4 3" xfId="6884" xr:uid="{00000000-0005-0000-0000-0000CDB00000}"/>
    <cellStyle name="Normal 63 2 2 4 3 2" xfId="15711" xr:uid="{00000000-0005-0000-0000-0000CEB00000}"/>
    <cellStyle name="Normal 63 2 2 4 3 2 2" xfId="41266" xr:uid="{00000000-0005-0000-0000-0000CFB00000}"/>
    <cellStyle name="Normal 63 2 2 4 3 3" xfId="25962" xr:uid="{00000000-0005-0000-0000-0000D0B00000}"/>
    <cellStyle name="Normal 63 2 2 4 3 3 2" xfId="51515" xr:uid="{00000000-0005-0000-0000-0000D1B00000}"/>
    <cellStyle name="Normal 63 2 2 4 3 4" xfId="32445" xr:uid="{00000000-0005-0000-0000-0000D2B00000}"/>
    <cellStyle name="Normal 63 2 2 4 4" xfId="8330" xr:uid="{00000000-0005-0000-0000-0000D3B00000}"/>
    <cellStyle name="Normal 63 2 2 4 4 2" xfId="22412" xr:uid="{00000000-0005-0000-0000-0000D4B00000}"/>
    <cellStyle name="Normal 63 2 2 4 4 2 2" xfId="47965" xr:uid="{00000000-0005-0000-0000-0000D5B00000}"/>
    <cellStyle name="Normal 63 2 2 4 4 3" xfId="33887" xr:uid="{00000000-0005-0000-0000-0000D6B00000}"/>
    <cellStyle name="Normal 63 2 2 4 5" xfId="17405" xr:uid="{00000000-0005-0000-0000-0000D7B00000}"/>
    <cellStyle name="Normal 63 2 2 4 5 2" xfId="42958" xr:uid="{00000000-0005-0000-0000-0000D8B00000}"/>
    <cellStyle name="Normal 63 2 2 4 6" xfId="28895" xr:uid="{00000000-0005-0000-0000-0000D9B00000}"/>
    <cellStyle name="Normal 63 2 2 5" xfId="4385" xr:uid="{00000000-0005-0000-0000-0000DAB00000}"/>
    <cellStyle name="Normal 63 2 2 5 2" xfId="13223" xr:uid="{00000000-0005-0000-0000-0000DBB00000}"/>
    <cellStyle name="Normal 63 2 2 5 2 2" xfId="23474" xr:uid="{00000000-0005-0000-0000-0000DCB00000}"/>
    <cellStyle name="Normal 63 2 2 5 2 2 2" xfId="49027" xr:uid="{00000000-0005-0000-0000-0000DDB00000}"/>
    <cellStyle name="Normal 63 2 2 5 2 3" xfId="38778" xr:uid="{00000000-0005-0000-0000-0000DEB00000}"/>
    <cellStyle name="Normal 63 2 2 5 3" xfId="9644" xr:uid="{00000000-0005-0000-0000-0000DFB00000}"/>
    <cellStyle name="Normal 63 2 2 5 3 2" xfId="35201" xr:uid="{00000000-0005-0000-0000-0000E0B00000}"/>
    <cellStyle name="Normal 63 2 2 5 4" xfId="18467" xr:uid="{00000000-0005-0000-0000-0000E1B00000}"/>
    <cellStyle name="Normal 63 2 2 5 4 2" xfId="44020" xr:uid="{00000000-0005-0000-0000-0000E2B00000}"/>
    <cellStyle name="Normal 63 2 2 5 5" xfId="29957" xr:uid="{00000000-0005-0000-0000-0000E3B00000}"/>
    <cellStyle name="Normal 63 2 2 6" xfId="1657" xr:uid="{00000000-0005-0000-0000-0000E4B00000}"/>
    <cellStyle name="Normal 63 2 2 6 2" xfId="11034" xr:uid="{00000000-0005-0000-0000-0000E5B00000}"/>
    <cellStyle name="Normal 63 2 2 6 2 2" xfId="36589" xr:uid="{00000000-0005-0000-0000-0000E6B00000}"/>
    <cellStyle name="Normal 63 2 2 6 3" xfId="21038" xr:uid="{00000000-0005-0000-0000-0000E7B00000}"/>
    <cellStyle name="Normal 63 2 2 6 3 2" xfId="46591" xr:uid="{00000000-0005-0000-0000-0000E8B00000}"/>
    <cellStyle name="Normal 63 2 2 6 4" xfId="27521" xr:uid="{00000000-0005-0000-0000-0000E9B00000}"/>
    <cellStyle name="Normal 63 2 2 7" xfId="5841" xr:uid="{00000000-0005-0000-0000-0000EAB00000}"/>
    <cellStyle name="Normal 63 2 2 7 2" xfId="14668" xr:uid="{00000000-0005-0000-0000-0000EBB00000}"/>
    <cellStyle name="Normal 63 2 2 7 2 2" xfId="40223" xr:uid="{00000000-0005-0000-0000-0000ECB00000}"/>
    <cellStyle name="Normal 63 2 2 7 3" xfId="24919" xr:uid="{00000000-0005-0000-0000-0000EDB00000}"/>
    <cellStyle name="Normal 63 2 2 7 3 2" xfId="50472" xr:uid="{00000000-0005-0000-0000-0000EEB00000}"/>
    <cellStyle name="Normal 63 2 2 7 4" xfId="31402" xr:uid="{00000000-0005-0000-0000-0000EFB00000}"/>
    <cellStyle name="Normal 63 2 2 8" xfId="7285" xr:uid="{00000000-0005-0000-0000-0000F0B00000}"/>
    <cellStyle name="Normal 63 2 2 8 2" xfId="20011" xr:uid="{00000000-0005-0000-0000-0000F1B00000}"/>
    <cellStyle name="Normal 63 2 2 8 2 2" xfId="45564" xr:uid="{00000000-0005-0000-0000-0000F2B00000}"/>
    <cellStyle name="Normal 63 2 2 8 3" xfId="32842" xr:uid="{00000000-0005-0000-0000-0000F3B00000}"/>
    <cellStyle name="Normal 63 2 2 9" xfId="16031" xr:uid="{00000000-0005-0000-0000-0000F4B00000}"/>
    <cellStyle name="Normal 63 2 2 9 2" xfId="41584" xr:uid="{00000000-0005-0000-0000-0000F5B00000}"/>
    <cellStyle name="Normal 63 2 2_Degree data" xfId="4037" xr:uid="{00000000-0005-0000-0000-0000F6B00000}"/>
    <cellStyle name="Normal 63 2 3" xfId="360" xr:uid="{00000000-0005-0000-0000-0000F7B00000}"/>
    <cellStyle name="Normal 63 2 3 2" xfId="2846" xr:uid="{00000000-0005-0000-0000-0000F8B00000}"/>
    <cellStyle name="Normal 63 2 3 2 2" xfId="12134" xr:uid="{00000000-0005-0000-0000-0000F9B00000}"/>
    <cellStyle name="Normal 63 2 3 2 2 2" xfId="22207" xr:uid="{00000000-0005-0000-0000-0000FAB00000}"/>
    <cellStyle name="Normal 63 2 3 2 2 2 2" xfId="47760" xr:uid="{00000000-0005-0000-0000-0000FBB00000}"/>
    <cellStyle name="Normal 63 2 3 2 2 3" xfId="37689" xr:uid="{00000000-0005-0000-0000-0000FCB00000}"/>
    <cellStyle name="Normal 63 2 3 2 3" xfId="8577" xr:uid="{00000000-0005-0000-0000-0000FDB00000}"/>
    <cellStyle name="Normal 63 2 3 2 3 2" xfId="34134" xr:uid="{00000000-0005-0000-0000-0000FEB00000}"/>
    <cellStyle name="Normal 63 2 3 2 4" xfId="17200" xr:uid="{00000000-0005-0000-0000-0000FFB00000}"/>
    <cellStyle name="Normal 63 2 3 2 4 2" xfId="42753" xr:uid="{00000000-0005-0000-0000-000000B10000}"/>
    <cellStyle name="Normal 63 2 3 2 5" xfId="28690" xr:uid="{00000000-0005-0000-0000-000001B10000}"/>
    <cellStyle name="Normal 63 2 3 3" xfId="4741" xr:uid="{00000000-0005-0000-0000-000002B10000}"/>
    <cellStyle name="Normal 63 2 3 3 2" xfId="13579" xr:uid="{00000000-0005-0000-0000-000003B10000}"/>
    <cellStyle name="Normal 63 2 3 3 2 2" xfId="23830" xr:uid="{00000000-0005-0000-0000-000004B10000}"/>
    <cellStyle name="Normal 63 2 3 3 2 2 2" xfId="49383" xr:uid="{00000000-0005-0000-0000-000005B10000}"/>
    <cellStyle name="Normal 63 2 3 3 2 3" xfId="39134" xr:uid="{00000000-0005-0000-0000-000006B10000}"/>
    <cellStyle name="Normal 63 2 3 3 3" xfId="10000" xr:uid="{00000000-0005-0000-0000-000007B10000}"/>
    <cellStyle name="Normal 63 2 3 3 3 2" xfId="35557" xr:uid="{00000000-0005-0000-0000-000008B10000}"/>
    <cellStyle name="Normal 63 2 3 3 4" xfId="18823" xr:uid="{00000000-0005-0000-0000-000009B10000}"/>
    <cellStyle name="Normal 63 2 3 3 4 2" xfId="44376" xr:uid="{00000000-0005-0000-0000-00000AB10000}"/>
    <cellStyle name="Normal 63 2 3 3 5" xfId="30313" xr:uid="{00000000-0005-0000-0000-00000BB10000}"/>
    <cellStyle name="Normal 63 2 3 4" xfId="1955" xr:uid="{00000000-0005-0000-0000-00000CB10000}"/>
    <cellStyle name="Normal 63 2 3 4 2" xfId="11320" xr:uid="{00000000-0005-0000-0000-00000DB10000}"/>
    <cellStyle name="Normal 63 2 3 4 2 2" xfId="36875" xr:uid="{00000000-0005-0000-0000-00000EB10000}"/>
    <cellStyle name="Normal 63 2 3 4 3" xfId="21324" xr:uid="{00000000-0005-0000-0000-00000FB10000}"/>
    <cellStyle name="Normal 63 2 3 4 3 2" xfId="46877" xr:uid="{00000000-0005-0000-0000-000010B10000}"/>
    <cellStyle name="Normal 63 2 3 4 4" xfId="27807" xr:uid="{00000000-0005-0000-0000-000011B10000}"/>
    <cellStyle name="Normal 63 2 3 5" xfId="6197" xr:uid="{00000000-0005-0000-0000-000012B10000}"/>
    <cellStyle name="Normal 63 2 3 5 2" xfId="15024" xr:uid="{00000000-0005-0000-0000-000013B10000}"/>
    <cellStyle name="Normal 63 2 3 5 2 2" xfId="40579" xr:uid="{00000000-0005-0000-0000-000014B10000}"/>
    <cellStyle name="Normal 63 2 3 5 3" xfId="25275" xr:uid="{00000000-0005-0000-0000-000015B10000}"/>
    <cellStyle name="Normal 63 2 3 5 3 2" xfId="50828" xr:uid="{00000000-0005-0000-0000-000016B10000}"/>
    <cellStyle name="Normal 63 2 3 5 4" xfId="31758" xr:uid="{00000000-0005-0000-0000-000017B10000}"/>
    <cellStyle name="Normal 63 2 3 6" xfId="7643" xr:uid="{00000000-0005-0000-0000-000018B10000}"/>
    <cellStyle name="Normal 63 2 3 6 2" xfId="19806" xr:uid="{00000000-0005-0000-0000-000019B10000}"/>
    <cellStyle name="Normal 63 2 3 6 2 2" xfId="45359" xr:uid="{00000000-0005-0000-0000-00001AB10000}"/>
    <cellStyle name="Normal 63 2 3 6 3" xfId="33200" xr:uid="{00000000-0005-0000-0000-00001BB10000}"/>
    <cellStyle name="Normal 63 2 3 7" xfId="16317" xr:uid="{00000000-0005-0000-0000-00001CB10000}"/>
    <cellStyle name="Normal 63 2 3 7 2" xfId="41870" xr:uid="{00000000-0005-0000-0000-00001DB10000}"/>
    <cellStyle name="Normal 63 2 3 8" xfId="26289" xr:uid="{00000000-0005-0000-0000-00001EB10000}"/>
    <cellStyle name="Normal 63 2 4" xfId="930" xr:uid="{00000000-0005-0000-0000-00001FB10000}"/>
    <cellStyle name="Normal 63 2 4 2" xfId="3412" xr:uid="{00000000-0005-0000-0000-000020B10000}"/>
    <cellStyle name="Normal 63 2 4 2 2" xfId="12554" xr:uid="{00000000-0005-0000-0000-000021B10000}"/>
    <cellStyle name="Normal 63 2 4 2 2 2" xfId="22773" xr:uid="{00000000-0005-0000-0000-000022B10000}"/>
    <cellStyle name="Normal 63 2 4 2 2 2 2" xfId="48326" xr:uid="{00000000-0005-0000-0000-000023B10000}"/>
    <cellStyle name="Normal 63 2 4 2 2 3" xfId="38109" xr:uid="{00000000-0005-0000-0000-000024B10000}"/>
    <cellStyle name="Normal 63 2 4 2 3" xfId="8976" xr:uid="{00000000-0005-0000-0000-000025B10000}"/>
    <cellStyle name="Normal 63 2 4 2 3 2" xfId="34533" xr:uid="{00000000-0005-0000-0000-000026B10000}"/>
    <cellStyle name="Normal 63 2 4 2 4" xfId="17766" xr:uid="{00000000-0005-0000-0000-000027B10000}"/>
    <cellStyle name="Normal 63 2 4 2 4 2" xfId="43319" xr:uid="{00000000-0005-0000-0000-000028B10000}"/>
    <cellStyle name="Normal 63 2 4 2 5" xfId="29256" xr:uid="{00000000-0005-0000-0000-000029B10000}"/>
    <cellStyle name="Normal 63 2 4 3" xfId="5090" xr:uid="{00000000-0005-0000-0000-00002AB10000}"/>
    <cellStyle name="Normal 63 2 4 3 2" xfId="13927" xr:uid="{00000000-0005-0000-0000-00002BB10000}"/>
    <cellStyle name="Normal 63 2 4 3 2 2" xfId="24178" xr:uid="{00000000-0005-0000-0000-00002CB10000}"/>
    <cellStyle name="Normal 63 2 4 3 2 2 2" xfId="49731" xr:uid="{00000000-0005-0000-0000-00002DB10000}"/>
    <cellStyle name="Normal 63 2 4 3 2 3" xfId="39482" xr:uid="{00000000-0005-0000-0000-00002EB10000}"/>
    <cellStyle name="Normal 63 2 4 3 3" xfId="10348" xr:uid="{00000000-0005-0000-0000-00002FB10000}"/>
    <cellStyle name="Normal 63 2 4 3 3 2" xfId="35905" xr:uid="{00000000-0005-0000-0000-000030B10000}"/>
    <cellStyle name="Normal 63 2 4 3 4" xfId="19171" xr:uid="{00000000-0005-0000-0000-000031B10000}"/>
    <cellStyle name="Normal 63 2 4 3 4 2" xfId="44724" xr:uid="{00000000-0005-0000-0000-000032B10000}"/>
    <cellStyle name="Normal 63 2 4 3 5" xfId="30661" xr:uid="{00000000-0005-0000-0000-000033B10000}"/>
    <cellStyle name="Normal 63 2 4 4" xfId="2521" xr:uid="{00000000-0005-0000-0000-000034B10000}"/>
    <cellStyle name="Normal 63 2 4 4 2" xfId="11886" xr:uid="{00000000-0005-0000-0000-000035B10000}"/>
    <cellStyle name="Normal 63 2 4 4 2 2" xfId="37441" xr:uid="{00000000-0005-0000-0000-000036B10000}"/>
    <cellStyle name="Normal 63 2 4 4 3" xfId="21890" xr:uid="{00000000-0005-0000-0000-000037B10000}"/>
    <cellStyle name="Normal 63 2 4 4 3 2" xfId="47443" xr:uid="{00000000-0005-0000-0000-000038B10000}"/>
    <cellStyle name="Normal 63 2 4 4 4" xfId="28373" xr:uid="{00000000-0005-0000-0000-000039B10000}"/>
    <cellStyle name="Normal 63 2 4 5" xfId="6545" xr:uid="{00000000-0005-0000-0000-00003AB10000}"/>
    <cellStyle name="Normal 63 2 4 5 2" xfId="15372" xr:uid="{00000000-0005-0000-0000-00003BB10000}"/>
    <cellStyle name="Normal 63 2 4 5 2 2" xfId="40927" xr:uid="{00000000-0005-0000-0000-00003CB10000}"/>
    <cellStyle name="Normal 63 2 4 5 3" xfId="25623" xr:uid="{00000000-0005-0000-0000-00003DB10000}"/>
    <cellStyle name="Normal 63 2 4 5 3 2" xfId="51176" xr:uid="{00000000-0005-0000-0000-00003EB10000}"/>
    <cellStyle name="Normal 63 2 4 5 4" xfId="32106" xr:uid="{00000000-0005-0000-0000-00003FB10000}"/>
    <cellStyle name="Normal 63 2 4 6" xfId="7991" xr:uid="{00000000-0005-0000-0000-000040B10000}"/>
    <cellStyle name="Normal 63 2 4 6 2" xfId="20372" xr:uid="{00000000-0005-0000-0000-000041B10000}"/>
    <cellStyle name="Normal 63 2 4 6 2 2" xfId="45925" xr:uid="{00000000-0005-0000-0000-000042B10000}"/>
    <cellStyle name="Normal 63 2 4 6 3" xfId="33548" xr:uid="{00000000-0005-0000-0000-000043B10000}"/>
    <cellStyle name="Normal 63 2 4 7" xfId="16883" xr:uid="{00000000-0005-0000-0000-000044B10000}"/>
    <cellStyle name="Normal 63 2 4 7 2" xfId="42436" xr:uid="{00000000-0005-0000-0000-000045B10000}"/>
    <cellStyle name="Normal 63 2 4 8" xfId="26855" xr:uid="{00000000-0005-0000-0000-000046B10000}"/>
    <cellStyle name="Normal 63 2 5" xfId="1132" xr:uid="{00000000-0005-0000-0000-000047B10000}"/>
    <cellStyle name="Normal 63 2 5 2" xfId="3561" xr:uid="{00000000-0005-0000-0000-000048B10000}"/>
    <cellStyle name="Normal 63 2 5 2 2" xfId="12697" xr:uid="{00000000-0005-0000-0000-000049B10000}"/>
    <cellStyle name="Normal 63 2 5 2 2 2" xfId="22916" xr:uid="{00000000-0005-0000-0000-00004AB10000}"/>
    <cellStyle name="Normal 63 2 5 2 2 2 2" xfId="48469" xr:uid="{00000000-0005-0000-0000-00004BB10000}"/>
    <cellStyle name="Normal 63 2 5 2 2 3" xfId="38252" xr:uid="{00000000-0005-0000-0000-00004CB10000}"/>
    <cellStyle name="Normal 63 2 5 2 3" xfId="9118" xr:uid="{00000000-0005-0000-0000-00004DB10000}"/>
    <cellStyle name="Normal 63 2 5 2 3 2" xfId="34675" xr:uid="{00000000-0005-0000-0000-00004EB10000}"/>
    <cellStyle name="Normal 63 2 5 2 4" xfId="17909" xr:uid="{00000000-0005-0000-0000-00004FB10000}"/>
    <cellStyle name="Normal 63 2 5 2 4 2" xfId="43462" xr:uid="{00000000-0005-0000-0000-000050B10000}"/>
    <cellStyle name="Normal 63 2 5 2 5" xfId="29399" xr:uid="{00000000-0005-0000-0000-000051B10000}"/>
    <cellStyle name="Normal 63 2 5 3" xfId="5224" xr:uid="{00000000-0005-0000-0000-000052B10000}"/>
    <cellStyle name="Normal 63 2 5 3 2" xfId="14061" xr:uid="{00000000-0005-0000-0000-000053B10000}"/>
    <cellStyle name="Normal 63 2 5 3 2 2" xfId="24312" xr:uid="{00000000-0005-0000-0000-000054B10000}"/>
    <cellStyle name="Normal 63 2 5 3 2 2 2" xfId="49865" xr:uid="{00000000-0005-0000-0000-000055B10000}"/>
    <cellStyle name="Normal 63 2 5 3 2 3" xfId="39616" xr:uid="{00000000-0005-0000-0000-000056B10000}"/>
    <cellStyle name="Normal 63 2 5 3 3" xfId="10482" xr:uid="{00000000-0005-0000-0000-000057B10000}"/>
    <cellStyle name="Normal 63 2 5 3 3 2" xfId="36039" xr:uid="{00000000-0005-0000-0000-000058B10000}"/>
    <cellStyle name="Normal 63 2 5 3 4" xfId="19305" xr:uid="{00000000-0005-0000-0000-000059B10000}"/>
    <cellStyle name="Normal 63 2 5 3 4 2" xfId="44858" xr:uid="{00000000-0005-0000-0000-00005AB10000}"/>
    <cellStyle name="Normal 63 2 5 3 5" xfId="30795" xr:uid="{00000000-0005-0000-0000-00005BB10000}"/>
    <cellStyle name="Normal 63 2 5 4" xfId="1840" xr:uid="{00000000-0005-0000-0000-00005CB10000}"/>
    <cellStyle name="Normal 63 2 5 4 2" xfId="11208" xr:uid="{00000000-0005-0000-0000-00005DB10000}"/>
    <cellStyle name="Normal 63 2 5 4 2 2" xfId="36763" xr:uid="{00000000-0005-0000-0000-00005EB10000}"/>
    <cellStyle name="Normal 63 2 5 4 3" xfId="21212" xr:uid="{00000000-0005-0000-0000-00005FB10000}"/>
    <cellStyle name="Normal 63 2 5 4 3 2" xfId="46765" xr:uid="{00000000-0005-0000-0000-000060B10000}"/>
    <cellStyle name="Normal 63 2 5 4 4" xfId="27695" xr:uid="{00000000-0005-0000-0000-000061B10000}"/>
    <cellStyle name="Normal 63 2 5 5" xfId="6679" xr:uid="{00000000-0005-0000-0000-000062B10000}"/>
    <cellStyle name="Normal 63 2 5 5 2" xfId="15506" xr:uid="{00000000-0005-0000-0000-000063B10000}"/>
    <cellStyle name="Normal 63 2 5 5 2 2" xfId="41061" xr:uid="{00000000-0005-0000-0000-000064B10000}"/>
    <cellStyle name="Normal 63 2 5 5 3" xfId="25757" xr:uid="{00000000-0005-0000-0000-000065B10000}"/>
    <cellStyle name="Normal 63 2 5 5 3 2" xfId="51310" xr:uid="{00000000-0005-0000-0000-000066B10000}"/>
    <cellStyle name="Normal 63 2 5 5 4" xfId="32240" xr:uid="{00000000-0005-0000-0000-000067B10000}"/>
    <cellStyle name="Normal 63 2 5 6" xfId="8125" xr:uid="{00000000-0005-0000-0000-000068B10000}"/>
    <cellStyle name="Normal 63 2 5 6 2" xfId="20515" xr:uid="{00000000-0005-0000-0000-000069B10000}"/>
    <cellStyle name="Normal 63 2 5 6 2 2" xfId="46068" xr:uid="{00000000-0005-0000-0000-00006AB10000}"/>
    <cellStyle name="Normal 63 2 5 6 3" xfId="33682" xr:uid="{00000000-0005-0000-0000-00006BB10000}"/>
    <cellStyle name="Normal 63 2 5 7" xfId="16205" xr:uid="{00000000-0005-0000-0000-00006CB10000}"/>
    <cellStyle name="Normal 63 2 5 7 2" xfId="41758" xr:uid="{00000000-0005-0000-0000-00006DB10000}"/>
    <cellStyle name="Normal 63 2 5 8" xfId="26998" xr:uid="{00000000-0005-0000-0000-00006EB10000}"/>
    <cellStyle name="Normal 63 2 6" xfId="2734" xr:uid="{00000000-0005-0000-0000-00006FB10000}"/>
    <cellStyle name="Normal 63 2 6 2" xfId="12051" xr:uid="{00000000-0005-0000-0000-000070B10000}"/>
    <cellStyle name="Normal 63 2 6 2 2" xfId="22095" xr:uid="{00000000-0005-0000-0000-000071B10000}"/>
    <cellStyle name="Normal 63 2 6 2 2 2" xfId="47648" xr:uid="{00000000-0005-0000-0000-000072B10000}"/>
    <cellStyle name="Normal 63 2 6 2 3" xfId="37606" xr:uid="{00000000-0005-0000-0000-000073B10000}"/>
    <cellStyle name="Normal 63 2 6 3" xfId="8582" xr:uid="{00000000-0005-0000-0000-000074B10000}"/>
    <cellStyle name="Normal 63 2 6 3 2" xfId="34139" xr:uid="{00000000-0005-0000-0000-000075B10000}"/>
    <cellStyle name="Normal 63 2 6 4" xfId="17088" xr:uid="{00000000-0005-0000-0000-000076B10000}"/>
    <cellStyle name="Normal 63 2 6 4 2" xfId="42641" xr:uid="{00000000-0005-0000-0000-000077B10000}"/>
    <cellStyle name="Normal 63 2 6 5" xfId="28578" xr:uid="{00000000-0005-0000-0000-000078B10000}"/>
    <cellStyle name="Normal 63 2 7" xfId="4180" xr:uid="{00000000-0005-0000-0000-000079B10000}"/>
    <cellStyle name="Normal 63 2 7 2" xfId="13018" xr:uid="{00000000-0005-0000-0000-00007AB10000}"/>
    <cellStyle name="Normal 63 2 7 2 2" xfId="23269" xr:uid="{00000000-0005-0000-0000-00007BB10000}"/>
    <cellStyle name="Normal 63 2 7 2 2 2" xfId="48822" xr:uid="{00000000-0005-0000-0000-00007CB10000}"/>
    <cellStyle name="Normal 63 2 7 2 3" xfId="38573" xr:uid="{00000000-0005-0000-0000-00007DB10000}"/>
    <cellStyle name="Normal 63 2 7 3" xfId="9439" xr:uid="{00000000-0005-0000-0000-00007EB10000}"/>
    <cellStyle name="Normal 63 2 7 3 2" xfId="34996" xr:uid="{00000000-0005-0000-0000-00007FB10000}"/>
    <cellStyle name="Normal 63 2 7 4" xfId="18262" xr:uid="{00000000-0005-0000-0000-000080B10000}"/>
    <cellStyle name="Normal 63 2 7 4 2" xfId="43815" xr:uid="{00000000-0005-0000-0000-000081B10000}"/>
    <cellStyle name="Normal 63 2 7 5" xfId="29752" xr:uid="{00000000-0005-0000-0000-000082B10000}"/>
    <cellStyle name="Normal 63 2 8" xfId="1452" xr:uid="{00000000-0005-0000-0000-000083B10000}"/>
    <cellStyle name="Normal 63 2 8 2" xfId="10829" xr:uid="{00000000-0005-0000-0000-000084B10000}"/>
    <cellStyle name="Normal 63 2 8 2 2" xfId="36384" xr:uid="{00000000-0005-0000-0000-000085B10000}"/>
    <cellStyle name="Normal 63 2 8 3" xfId="20833" xr:uid="{00000000-0005-0000-0000-000086B10000}"/>
    <cellStyle name="Normal 63 2 8 3 2" xfId="46386" xr:uid="{00000000-0005-0000-0000-000087B10000}"/>
    <cellStyle name="Normal 63 2 8 4" xfId="27316" xr:uid="{00000000-0005-0000-0000-000088B10000}"/>
    <cellStyle name="Normal 63 2 9" xfId="5636" xr:uid="{00000000-0005-0000-0000-000089B10000}"/>
    <cellStyle name="Normal 63 2 9 2" xfId="14463" xr:uid="{00000000-0005-0000-0000-00008AB10000}"/>
    <cellStyle name="Normal 63 2 9 2 2" xfId="40018" xr:uid="{00000000-0005-0000-0000-00008BB10000}"/>
    <cellStyle name="Normal 63 2 9 3" xfId="24714" xr:uid="{00000000-0005-0000-0000-00008CB10000}"/>
    <cellStyle name="Normal 63 2 9 3 2" xfId="50267" xr:uid="{00000000-0005-0000-0000-00008DB10000}"/>
    <cellStyle name="Normal 63 2 9 4" xfId="31197" xr:uid="{00000000-0005-0000-0000-00008EB10000}"/>
    <cellStyle name="Normal 63 2_Degree data" xfId="4036" xr:uid="{00000000-0005-0000-0000-00008FB10000}"/>
    <cellStyle name="Normal 63 3" xfId="217" xr:uid="{00000000-0005-0000-0000-000090B10000}"/>
    <cellStyle name="Normal 63 3 10" xfId="16008" xr:uid="{00000000-0005-0000-0000-000091B10000}"/>
    <cellStyle name="Normal 63 3 10 2" xfId="41561" xr:uid="{00000000-0005-0000-0000-000092B10000}"/>
    <cellStyle name="Normal 63 3 11" xfId="26154" xr:uid="{00000000-0005-0000-0000-000093B10000}"/>
    <cellStyle name="Normal 63 3 2" xfId="542" xr:uid="{00000000-0005-0000-0000-000094B10000}"/>
    <cellStyle name="Normal 63 3 2 2" xfId="3028" xr:uid="{00000000-0005-0000-0000-000095B10000}"/>
    <cellStyle name="Normal 63 3 2 2 2" xfId="12216" xr:uid="{00000000-0005-0000-0000-000096B10000}"/>
    <cellStyle name="Normal 63 3 2 2 2 2" xfId="22389" xr:uid="{00000000-0005-0000-0000-000097B10000}"/>
    <cellStyle name="Normal 63 3 2 2 2 2 2" xfId="47942" xr:uid="{00000000-0005-0000-0000-000098B10000}"/>
    <cellStyle name="Normal 63 3 2 2 2 3" xfId="37771" xr:uid="{00000000-0005-0000-0000-000099B10000}"/>
    <cellStyle name="Normal 63 3 2 2 3" xfId="8574" xr:uid="{00000000-0005-0000-0000-00009AB10000}"/>
    <cellStyle name="Normal 63 3 2 2 3 2" xfId="34131" xr:uid="{00000000-0005-0000-0000-00009BB10000}"/>
    <cellStyle name="Normal 63 3 2 2 4" xfId="17382" xr:uid="{00000000-0005-0000-0000-00009CB10000}"/>
    <cellStyle name="Normal 63 3 2 2 4 2" xfId="42935" xr:uid="{00000000-0005-0000-0000-00009DB10000}"/>
    <cellStyle name="Normal 63 3 2 2 5" xfId="28872" xr:uid="{00000000-0005-0000-0000-00009EB10000}"/>
    <cellStyle name="Normal 63 3 2 3" xfId="4743" xr:uid="{00000000-0005-0000-0000-00009FB10000}"/>
    <cellStyle name="Normal 63 3 2 3 2" xfId="13581" xr:uid="{00000000-0005-0000-0000-0000A0B10000}"/>
    <cellStyle name="Normal 63 3 2 3 2 2" xfId="23832" xr:uid="{00000000-0005-0000-0000-0000A1B10000}"/>
    <cellStyle name="Normal 63 3 2 3 2 2 2" xfId="49385" xr:uid="{00000000-0005-0000-0000-0000A2B10000}"/>
    <cellStyle name="Normal 63 3 2 3 2 3" xfId="39136" xr:uid="{00000000-0005-0000-0000-0000A3B10000}"/>
    <cellStyle name="Normal 63 3 2 3 3" xfId="10002" xr:uid="{00000000-0005-0000-0000-0000A4B10000}"/>
    <cellStyle name="Normal 63 3 2 3 3 2" xfId="35559" xr:uid="{00000000-0005-0000-0000-0000A5B10000}"/>
    <cellStyle name="Normal 63 3 2 3 4" xfId="18825" xr:uid="{00000000-0005-0000-0000-0000A6B10000}"/>
    <cellStyle name="Normal 63 3 2 3 4 2" xfId="44378" xr:uid="{00000000-0005-0000-0000-0000A7B10000}"/>
    <cellStyle name="Normal 63 3 2 3 5" xfId="30315" xr:uid="{00000000-0005-0000-0000-0000A8B10000}"/>
    <cellStyle name="Normal 63 3 2 4" xfId="2137" xr:uid="{00000000-0005-0000-0000-0000A9B10000}"/>
    <cellStyle name="Normal 63 3 2 4 2" xfId="11502" xr:uid="{00000000-0005-0000-0000-0000AAB10000}"/>
    <cellStyle name="Normal 63 3 2 4 2 2" xfId="37057" xr:uid="{00000000-0005-0000-0000-0000ABB10000}"/>
    <cellStyle name="Normal 63 3 2 4 3" xfId="21506" xr:uid="{00000000-0005-0000-0000-0000ACB10000}"/>
    <cellStyle name="Normal 63 3 2 4 3 2" xfId="47059" xr:uid="{00000000-0005-0000-0000-0000ADB10000}"/>
    <cellStyle name="Normal 63 3 2 4 4" xfId="27989" xr:uid="{00000000-0005-0000-0000-0000AEB10000}"/>
    <cellStyle name="Normal 63 3 2 5" xfId="6199" xr:uid="{00000000-0005-0000-0000-0000AFB10000}"/>
    <cellStyle name="Normal 63 3 2 5 2" xfId="15026" xr:uid="{00000000-0005-0000-0000-0000B0B10000}"/>
    <cellStyle name="Normal 63 3 2 5 2 2" xfId="40581" xr:uid="{00000000-0005-0000-0000-0000B1B10000}"/>
    <cellStyle name="Normal 63 3 2 5 3" xfId="25277" xr:uid="{00000000-0005-0000-0000-0000B2B10000}"/>
    <cellStyle name="Normal 63 3 2 5 3 2" xfId="50830" xr:uid="{00000000-0005-0000-0000-0000B3B10000}"/>
    <cellStyle name="Normal 63 3 2 5 4" xfId="31760" xr:uid="{00000000-0005-0000-0000-0000B4B10000}"/>
    <cellStyle name="Normal 63 3 2 6" xfId="7645" xr:uid="{00000000-0005-0000-0000-0000B5B10000}"/>
    <cellStyle name="Normal 63 3 2 6 2" xfId="19988" xr:uid="{00000000-0005-0000-0000-0000B6B10000}"/>
    <cellStyle name="Normal 63 3 2 6 2 2" xfId="45541" xr:uid="{00000000-0005-0000-0000-0000B7B10000}"/>
    <cellStyle name="Normal 63 3 2 6 3" xfId="33202" xr:uid="{00000000-0005-0000-0000-0000B8B10000}"/>
    <cellStyle name="Normal 63 3 2 7" xfId="16499" xr:uid="{00000000-0005-0000-0000-0000B9B10000}"/>
    <cellStyle name="Normal 63 3 2 7 2" xfId="42052" xr:uid="{00000000-0005-0000-0000-0000BAB10000}"/>
    <cellStyle name="Normal 63 3 2 8" xfId="26471" xr:uid="{00000000-0005-0000-0000-0000BBB10000}"/>
    <cellStyle name="Normal 63 3 3" xfId="932" xr:uid="{00000000-0005-0000-0000-0000BCB10000}"/>
    <cellStyle name="Normal 63 3 3 2" xfId="3414" xr:uid="{00000000-0005-0000-0000-0000BDB10000}"/>
    <cellStyle name="Normal 63 3 3 2 2" xfId="12556" xr:uid="{00000000-0005-0000-0000-0000BEB10000}"/>
    <cellStyle name="Normal 63 3 3 2 2 2" xfId="22775" xr:uid="{00000000-0005-0000-0000-0000BFB10000}"/>
    <cellStyle name="Normal 63 3 3 2 2 2 2" xfId="48328" xr:uid="{00000000-0005-0000-0000-0000C0B10000}"/>
    <cellStyle name="Normal 63 3 3 2 2 3" xfId="38111" xr:uid="{00000000-0005-0000-0000-0000C1B10000}"/>
    <cellStyle name="Normal 63 3 3 2 3" xfId="8978" xr:uid="{00000000-0005-0000-0000-0000C2B10000}"/>
    <cellStyle name="Normal 63 3 3 2 3 2" xfId="34535" xr:uid="{00000000-0005-0000-0000-0000C3B10000}"/>
    <cellStyle name="Normal 63 3 3 2 4" xfId="17768" xr:uid="{00000000-0005-0000-0000-0000C4B10000}"/>
    <cellStyle name="Normal 63 3 3 2 4 2" xfId="43321" xr:uid="{00000000-0005-0000-0000-0000C5B10000}"/>
    <cellStyle name="Normal 63 3 3 2 5" xfId="29258" xr:uid="{00000000-0005-0000-0000-0000C6B10000}"/>
    <cellStyle name="Normal 63 3 3 3" xfId="5092" xr:uid="{00000000-0005-0000-0000-0000C7B10000}"/>
    <cellStyle name="Normal 63 3 3 3 2" xfId="13929" xr:uid="{00000000-0005-0000-0000-0000C8B10000}"/>
    <cellStyle name="Normal 63 3 3 3 2 2" xfId="24180" xr:uid="{00000000-0005-0000-0000-0000C9B10000}"/>
    <cellStyle name="Normal 63 3 3 3 2 2 2" xfId="49733" xr:uid="{00000000-0005-0000-0000-0000CAB10000}"/>
    <cellStyle name="Normal 63 3 3 3 2 3" xfId="39484" xr:uid="{00000000-0005-0000-0000-0000CBB10000}"/>
    <cellStyle name="Normal 63 3 3 3 3" xfId="10350" xr:uid="{00000000-0005-0000-0000-0000CCB10000}"/>
    <cellStyle name="Normal 63 3 3 3 3 2" xfId="35907" xr:uid="{00000000-0005-0000-0000-0000CDB10000}"/>
    <cellStyle name="Normal 63 3 3 3 4" xfId="19173" xr:uid="{00000000-0005-0000-0000-0000CEB10000}"/>
    <cellStyle name="Normal 63 3 3 3 4 2" xfId="44726" xr:uid="{00000000-0005-0000-0000-0000CFB10000}"/>
    <cellStyle name="Normal 63 3 3 3 5" xfId="30663" xr:uid="{00000000-0005-0000-0000-0000D0B10000}"/>
    <cellStyle name="Normal 63 3 3 4" xfId="2523" xr:uid="{00000000-0005-0000-0000-0000D1B10000}"/>
    <cellStyle name="Normal 63 3 3 4 2" xfId="11888" xr:uid="{00000000-0005-0000-0000-0000D2B10000}"/>
    <cellStyle name="Normal 63 3 3 4 2 2" xfId="37443" xr:uid="{00000000-0005-0000-0000-0000D3B10000}"/>
    <cellStyle name="Normal 63 3 3 4 3" xfId="21892" xr:uid="{00000000-0005-0000-0000-0000D4B10000}"/>
    <cellStyle name="Normal 63 3 3 4 3 2" xfId="47445" xr:uid="{00000000-0005-0000-0000-0000D5B10000}"/>
    <cellStyle name="Normal 63 3 3 4 4" xfId="28375" xr:uid="{00000000-0005-0000-0000-0000D6B10000}"/>
    <cellStyle name="Normal 63 3 3 5" xfId="6547" xr:uid="{00000000-0005-0000-0000-0000D7B10000}"/>
    <cellStyle name="Normal 63 3 3 5 2" xfId="15374" xr:uid="{00000000-0005-0000-0000-0000D8B10000}"/>
    <cellStyle name="Normal 63 3 3 5 2 2" xfId="40929" xr:uid="{00000000-0005-0000-0000-0000D9B10000}"/>
    <cellStyle name="Normal 63 3 3 5 3" xfId="25625" xr:uid="{00000000-0005-0000-0000-0000DAB10000}"/>
    <cellStyle name="Normal 63 3 3 5 3 2" xfId="51178" xr:uid="{00000000-0005-0000-0000-0000DBB10000}"/>
    <cellStyle name="Normal 63 3 3 5 4" xfId="32108" xr:uid="{00000000-0005-0000-0000-0000DCB10000}"/>
    <cellStyle name="Normal 63 3 3 6" xfId="7993" xr:uid="{00000000-0005-0000-0000-0000DDB10000}"/>
    <cellStyle name="Normal 63 3 3 6 2" xfId="20374" xr:uid="{00000000-0005-0000-0000-0000DEB10000}"/>
    <cellStyle name="Normal 63 3 3 6 2 2" xfId="45927" xr:uid="{00000000-0005-0000-0000-0000DFB10000}"/>
    <cellStyle name="Normal 63 3 3 6 3" xfId="33550" xr:uid="{00000000-0005-0000-0000-0000E0B10000}"/>
    <cellStyle name="Normal 63 3 3 7" xfId="16885" xr:uid="{00000000-0005-0000-0000-0000E1B10000}"/>
    <cellStyle name="Normal 63 3 3 7 2" xfId="42438" xr:uid="{00000000-0005-0000-0000-0000E2B10000}"/>
    <cellStyle name="Normal 63 3 3 8" xfId="26857" xr:uid="{00000000-0005-0000-0000-0000E3B10000}"/>
    <cellStyle name="Normal 63 3 4" xfId="1314" xr:uid="{00000000-0005-0000-0000-0000E4B10000}"/>
    <cellStyle name="Normal 63 3 4 2" xfId="3743" xr:uid="{00000000-0005-0000-0000-0000E5B10000}"/>
    <cellStyle name="Normal 63 3 4 2 2" xfId="12879" xr:uid="{00000000-0005-0000-0000-0000E6B10000}"/>
    <cellStyle name="Normal 63 3 4 2 2 2" xfId="23098" xr:uid="{00000000-0005-0000-0000-0000E7B10000}"/>
    <cellStyle name="Normal 63 3 4 2 2 2 2" xfId="48651" xr:uid="{00000000-0005-0000-0000-0000E8B10000}"/>
    <cellStyle name="Normal 63 3 4 2 2 3" xfId="38434" xr:uid="{00000000-0005-0000-0000-0000E9B10000}"/>
    <cellStyle name="Normal 63 3 4 2 3" xfId="9300" xr:uid="{00000000-0005-0000-0000-0000EAB10000}"/>
    <cellStyle name="Normal 63 3 4 2 3 2" xfId="34857" xr:uid="{00000000-0005-0000-0000-0000EBB10000}"/>
    <cellStyle name="Normal 63 3 4 2 4" xfId="18091" xr:uid="{00000000-0005-0000-0000-0000ECB10000}"/>
    <cellStyle name="Normal 63 3 4 2 4 2" xfId="43644" xr:uid="{00000000-0005-0000-0000-0000EDB10000}"/>
    <cellStyle name="Normal 63 3 4 2 5" xfId="29581" xr:uid="{00000000-0005-0000-0000-0000EEB10000}"/>
    <cellStyle name="Normal 63 3 4 3" xfId="5406" xr:uid="{00000000-0005-0000-0000-0000EFB10000}"/>
    <cellStyle name="Normal 63 3 4 3 2" xfId="14243" xr:uid="{00000000-0005-0000-0000-0000F0B10000}"/>
    <cellStyle name="Normal 63 3 4 3 2 2" xfId="24494" xr:uid="{00000000-0005-0000-0000-0000F1B10000}"/>
    <cellStyle name="Normal 63 3 4 3 2 2 2" xfId="50047" xr:uid="{00000000-0005-0000-0000-0000F2B10000}"/>
    <cellStyle name="Normal 63 3 4 3 2 3" xfId="39798" xr:uid="{00000000-0005-0000-0000-0000F3B10000}"/>
    <cellStyle name="Normal 63 3 4 3 3" xfId="10664" xr:uid="{00000000-0005-0000-0000-0000F4B10000}"/>
    <cellStyle name="Normal 63 3 4 3 3 2" xfId="36221" xr:uid="{00000000-0005-0000-0000-0000F5B10000}"/>
    <cellStyle name="Normal 63 3 4 3 4" xfId="19487" xr:uid="{00000000-0005-0000-0000-0000F6B10000}"/>
    <cellStyle name="Normal 63 3 4 3 4 2" xfId="45040" xr:uid="{00000000-0005-0000-0000-0000F7B10000}"/>
    <cellStyle name="Normal 63 3 4 3 5" xfId="30977" xr:uid="{00000000-0005-0000-0000-0000F8B10000}"/>
    <cellStyle name="Normal 63 3 4 4" xfId="1817" xr:uid="{00000000-0005-0000-0000-0000F9B10000}"/>
    <cellStyle name="Normal 63 3 4 4 2" xfId="11185" xr:uid="{00000000-0005-0000-0000-0000FAB10000}"/>
    <cellStyle name="Normal 63 3 4 4 2 2" xfId="36740" xr:uid="{00000000-0005-0000-0000-0000FBB10000}"/>
    <cellStyle name="Normal 63 3 4 4 3" xfId="21189" xr:uid="{00000000-0005-0000-0000-0000FCB10000}"/>
    <cellStyle name="Normal 63 3 4 4 3 2" xfId="46742" xr:uid="{00000000-0005-0000-0000-0000FDB10000}"/>
    <cellStyle name="Normal 63 3 4 4 4" xfId="27672" xr:uid="{00000000-0005-0000-0000-0000FEB10000}"/>
    <cellStyle name="Normal 63 3 4 5" xfId="6861" xr:uid="{00000000-0005-0000-0000-0000FFB10000}"/>
    <cellStyle name="Normal 63 3 4 5 2" xfId="15688" xr:uid="{00000000-0005-0000-0000-000000B20000}"/>
    <cellStyle name="Normal 63 3 4 5 2 2" xfId="41243" xr:uid="{00000000-0005-0000-0000-000001B20000}"/>
    <cellStyle name="Normal 63 3 4 5 3" xfId="25939" xr:uid="{00000000-0005-0000-0000-000002B20000}"/>
    <cellStyle name="Normal 63 3 4 5 3 2" xfId="51492" xr:uid="{00000000-0005-0000-0000-000003B20000}"/>
    <cellStyle name="Normal 63 3 4 5 4" xfId="32422" xr:uid="{00000000-0005-0000-0000-000004B20000}"/>
    <cellStyle name="Normal 63 3 4 6" xfId="8307" xr:uid="{00000000-0005-0000-0000-000005B20000}"/>
    <cellStyle name="Normal 63 3 4 6 2" xfId="20697" xr:uid="{00000000-0005-0000-0000-000006B20000}"/>
    <cellStyle name="Normal 63 3 4 6 2 2" xfId="46250" xr:uid="{00000000-0005-0000-0000-000007B20000}"/>
    <cellStyle name="Normal 63 3 4 6 3" xfId="33864" xr:uid="{00000000-0005-0000-0000-000008B20000}"/>
    <cellStyle name="Normal 63 3 4 7" xfId="16182" xr:uid="{00000000-0005-0000-0000-000009B20000}"/>
    <cellStyle name="Normal 63 3 4 7 2" xfId="41735" xr:uid="{00000000-0005-0000-0000-00000AB20000}"/>
    <cellStyle name="Normal 63 3 4 8" xfId="27180" xr:uid="{00000000-0005-0000-0000-00000BB20000}"/>
    <cellStyle name="Normal 63 3 5" xfId="2711" xr:uid="{00000000-0005-0000-0000-00000CB20000}"/>
    <cellStyle name="Normal 63 3 5 2" xfId="12028" xr:uid="{00000000-0005-0000-0000-00000DB20000}"/>
    <cellStyle name="Normal 63 3 5 2 2" xfId="22072" xr:uid="{00000000-0005-0000-0000-00000EB20000}"/>
    <cellStyle name="Normal 63 3 5 2 2 2" xfId="47625" xr:uid="{00000000-0005-0000-0000-00000FB20000}"/>
    <cellStyle name="Normal 63 3 5 2 3" xfId="37583" xr:uid="{00000000-0005-0000-0000-000010B20000}"/>
    <cellStyle name="Normal 63 3 5 3" xfId="8551" xr:uid="{00000000-0005-0000-0000-000011B20000}"/>
    <cellStyle name="Normal 63 3 5 3 2" xfId="34108" xr:uid="{00000000-0005-0000-0000-000012B20000}"/>
    <cellStyle name="Normal 63 3 5 4" xfId="17065" xr:uid="{00000000-0005-0000-0000-000013B20000}"/>
    <cellStyle name="Normal 63 3 5 4 2" xfId="42618" xr:uid="{00000000-0005-0000-0000-000014B20000}"/>
    <cellStyle name="Normal 63 3 5 5" xfId="28555" xr:uid="{00000000-0005-0000-0000-000015B20000}"/>
    <cellStyle name="Normal 63 3 6" xfId="4362" xr:uid="{00000000-0005-0000-0000-000016B20000}"/>
    <cellStyle name="Normal 63 3 6 2" xfId="13200" xr:uid="{00000000-0005-0000-0000-000017B20000}"/>
    <cellStyle name="Normal 63 3 6 2 2" xfId="23451" xr:uid="{00000000-0005-0000-0000-000018B20000}"/>
    <cellStyle name="Normal 63 3 6 2 2 2" xfId="49004" xr:uid="{00000000-0005-0000-0000-000019B20000}"/>
    <cellStyle name="Normal 63 3 6 2 3" xfId="38755" xr:uid="{00000000-0005-0000-0000-00001AB20000}"/>
    <cellStyle name="Normal 63 3 6 3" xfId="9621" xr:uid="{00000000-0005-0000-0000-00001BB20000}"/>
    <cellStyle name="Normal 63 3 6 3 2" xfId="35178" xr:uid="{00000000-0005-0000-0000-00001CB20000}"/>
    <cellStyle name="Normal 63 3 6 4" xfId="18444" xr:uid="{00000000-0005-0000-0000-00001DB20000}"/>
    <cellStyle name="Normal 63 3 6 4 2" xfId="43997" xr:uid="{00000000-0005-0000-0000-00001EB20000}"/>
    <cellStyle name="Normal 63 3 6 5" xfId="29934" xr:uid="{00000000-0005-0000-0000-00001FB20000}"/>
    <cellStyle name="Normal 63 3 7" xfId="1634" xr:uid="{00000000-0005-0000-0000-000020B20000}"/>
    <cellStyle name="Normal 63 3 7 2" xfId="11011" xr:uid="{00000000-0005-0000-0000-000021B20000}"/>
    <cellStyle name="Normal 63 3 7 2 2" xfId="36566" xr:uid="{00000000-0005-0000-0000-000022B20000}"/>
    <cellStyle name="Normal 63 3 7 3" xfId="21015" xr:uid="{00000000-0005-0000-0000-000023B20000}"/>
    <cellStyle name="Normal 63 3 7 3 2" xfId="46568" xr:uid="{00000000-0005-0000-0000-000024B20000}"/>
    <cellStyle name="Normal 63 3 7 4" xfId="27498" xr:uid="{00000000-0005-0000-0000-000025B20000}"/>
    <cellStyle name="Normal 63 3 8" xfId="5818" xr:uid="{00000000-0005-0000-0000-000026B20000}"/>
    <cellStyle name="Normal 63 3 8 2" xfId="14645" xr:uid="{00000000-0005-0000-0000-000027B20000}"/>
    <cellStyle name="Normal 63 3 8 2 2" xfId="40200" xr:uid="{00000000-0005-0000-0000-000028B20000}"/>
    <cellStyle name="Normal 63 3 8 3" xfId="24896" xr:uid="{00000000-0005-0000-0000-000029B20000}"/>
    <cellStyle name="Normal 63 3 8 3 2" xfId="50449" xr:uid="{00000000-0005-0000-0000-00002AB20000}"/>
    <cellStyle name="Normal 63 3 8 4" xfId="31379" xr:uid="{00000000-0005-0000-0000-00002BB20000}"/>
    <cellStyle name="Normal 63 3 9" xfId="7262" xr:uid="{00000000-0005-0000-0000-00002CB20000}"/>
    <cellStyle name="Normal 63 3 9 2" xfId="19671" xr:uid="{00000000-0005-0000-0000-00002DB20000}"/>
    <cellStyle name="Normal 63 3 9 2 2" xfId="45224" xr:uid="{00000000-0005-0000-0000-00002EB20000}"/>
    <cellStyle name="Normal 63 3 9 3" xfId="32819" xr:uid="{00000000-0005-0000-0000-00002FB20000}"/>
    <cellStyle name="Normal 63 3_Degree data" xfId="4038" xr:uid="{00000000-0005-0000-0000-000030B20000}"/>
    <cellStyle name="Normal 63 4" xfId="460" xr:uid="{00000000-0005-0000-0000-000031B20000}"/>
    <cellStyle name="Normal 63 4 10" xfId="26389" xr:uid="{00000000-0005-0000-0000-000032B20000}"/>
    <cellStyle name="Normal 63 4 2" xfId="933" xr:uid="{00000000-0005-0000-0000-000033B20000}"/>
    <cellStyle name="Normal 63 4 2 2" xfId="3415" xr:uid="{00000000-0005-0000-0000-000034B20000}"/>
    <cellStyle name="Normal 63 4 2 2 2" xfId="12557" xr:uid="{00000000-0005-0000-0000-000035B20000}"/>
    <cellStyle name="Normal 63 4 2 2 2 2" xfId="22776" xr:uid="{00000000-0005-0000-0000-000036B20000}"/>
    <cellStyle name="Normal 63 4 2 2 2 2 2" xfId="48329" xr:uid="{00000000-0005-0000-0000-000037B20000}"/>
    <cellStyle name="Normal 63 4 2 2 2 3" xfId="38112" xr:uid="{00000000-0005-0000-0000-000038B20000}"/>
    <cellStyle name="Normal 63 4 2 2 3" xfId="8979" xr:uid="{00000000-0005-0000-0000-000039B20000}"/>
    <cellStyle name="Normal 63 4 2 2 3 2" xfId="34536" xr:uid="{00000000-0005-0000-0000-00003AB20000}"/>
    <cellStyle name="Normal 63 4 2 2 4" xfId="17769" xr:uid="{00000000-0005-0000-0000-00003BB20000}"/>
    <cellStyle name="Normal 63 4 2 2 4 2" xfId="43322" xr:uid="{00000000-0005-0000-0000-00003CB20000}"/>
    <cellStyle name="Normal 63 4 2 2 5" xfId="29259" xr:uid="{00000000-0005-0000-0000-00003DB20000}"/>
    <cellStyle name="Normal 63 4 2 3" xfId="4744" xr:uid="{00000000-0005-0000-0000-00003EB20000}"/>
    <cellStyle name="Normal 63 4 2 3 2" xfId="13582" xr:uid="{00000000-0005-0000-0000-00003FB20000}"/>
    <cellStyle name="Normal 63 4 2 3 2 2" xfId="23833" xr:uid="{00000000-0005-0000-0000-000040B20000}"/>
    <cellStyle name="Normal 63 4 2 3 2 2 2" xfId="49386" xr:uid="{00000000-0005-0000-0000-000041B20000}"/>
    <cellStyle name="Normal 63 4 2 3 2 3" xfId="39137" xr:uid="{00000000-0005-0000-0000-000042B20000}"/>
    <cellStyle name="Normal 63 4 2 3 3" xfId="10003" xr:uid="{00000000-0005-0000-0000-000043B20000}"/>
    <cellStyle name="Normal 63 4 2 3 3 2" xfId="35560" xr:uid="{00000000-0005-0000-0000-000044B20000}"/>
    <cellStyle name="Normal 63 4 2 3 4" xfId="18826" xr:uid="{00000000-0005-0000-0000-000045B20000}"/>
    <cellStyle name="Normal 63 4 2 3 4 2" xfId="44379" xr:uid="{00000000-0005-0000-0000-000046B20000}"/>
    <cellStyle name="Normal 63 4 2 3 5" xfId="30316" xr:uid="{00000000-0005-0000-0000-000047B20000}"/>
    <cellStyle name="Normal 63 4 2 4" xfId="2524" xr:uid="{00000000-0005-0000-0000-000048B20000}"/>
    <cellStyle name="Normal 63 4 2 4 2" xfId="11889" xr:uid="{00000000-0005-0000-0000-000049B20000}"/>
    <cellStyle name="Normal 63 4 2 4 2 2" xfId="37444" xr:uid="{00000000-0005-0000-0000-00004AB20000}"/>
    <cellStyle name="Normal 63 4 2 4 3" xfId="21893" xr:uid="{00000000-0005-0000-0000-00004BB20000}"/>
    <cellStyle name="Normal 63 4 2 4 3 2" xfId="47446" xr:uid="{00000000-0005-0000-0000-00004CB20000}"/>
    <cellStyle name="Normal 63 4 2 4 4" xfId="28376" xr:uid="{00000000-0005-0000-0000-00004DB20000}"/>
    <cellStyle name="Normal 63 4 2 5" xfId="6200" xr:uid="{00000000-0005-0000-0000-00004EB20000}"/>
    <cellStyle name="Normal 63 4 2 5 2" xfId="15027" xr:uid="{00000000-0005-0000-0000-00004FB20000}"/>
    <cellStyle name="Normal 63 4 2 5 2 2" xfId="40582" xr:uid="{00000000-0005-0000-0000-000050B20000}"/>
    <cellStyle name="Normal 63 4 2 5 3" xfId="25278" xr:uid="{00000000-0005-0000-0000-000051B20000}"/>
    <cellStyle name="Normal 63 4 2 5 3 2" xfId="50831" xr:uid="{00000000-0005-0000-0000-000052B20000}"/>
    <cellStyle name="Normal 63 4 2 5 4" xfId="31761" xr:uid="{00000000-0005-0000-0000-000053B20000}"/>
    <cellStyle name="Normal 63 4 2 6" xfId="7646" xr:uid="{00000000-0005-0000-0000-000054B20000}"/>
    <cellStyle name="Normal 63 4 2 6 2" xfId="20375" xr:uid="{00000000-0005-0000-0000-000055B20000}"/>
    <cellStyle name="Normal 63 4 2 6 2 2" xfId="45928" xr:uid="{00000000-0005-0000-0000-000056B20000}"/>
    <cellStyle name="Normal 63 4 2 6 3" xfId="33203" xr:uid="{00000000-0005-0000-0000-000057B20000}"/>
    <cellStyle name="Normal 63 4 2 7" xfId="16886" xr:uid="{00000000-0005-0000-0000-000058B20000}"/>
    <cellStyle name="Normal 63 4 2 7 2" xfId="42439" xr:uid="{00000000-0005-0000-0000-000059B20000}"/>
    <cellStyle name="Normal 63 4 2 8" xfId="26858" xr:uid="{00000000-0005-0000-0000-00005AB20000}"/>
    <cellStyle name="Normal 63 4 3" xfId="1232" xr:uid="{00000000-0005-0000-0000-00005BB20000}"/>
    <cellStyle name="Normal 63 4 3 2" xfId="3661" xr:uid="{00000000-0005-0000-0000-00005CB20000}"/>
    <cellStyle name="Normal 63 4 3 2 2" xfId="12797" xr:uid="{00000000-0005-0000-0000-00005DB20000}"/>
    <cellStyle name="Normal 63 4 3 2 2 2" xfId="23016" xr:uid="{00000000-0005-0000-0000-00005EB20000}"/>
    <cellStyle name="Normal 63 4 3 2 2 2 2" xfId="48569" xr:uid="{00000000-0005-0000-0000-00005FB20000}"/>
    <cellStyle name="Normal 63 4 3 2 2 3" xfId="38352" xr:uid="{00000000-0005-0000-0000-000060B20000}"/>
    <cellStyle name="Normal 63 4 3 2 3" xfId="9218" xr:uid="{00000000-0005-0000-0000-000061B20000}"/>
    <cellStyle name="Normal 63 4 3 2 3 2" xfId="34775" xr:uid="{00000000-0005-0000-0000-000062B20000}"/>
    <cellStyle name="Normal 63 4 3 2 4" xfId="18009" xr:uid="{00000000-0005-0000-0000-000063B20000}"/>
    <cellStyle name="Normal 63 4 3 2 4 2" xfId="43562" xr:uid="{00000000-0005-0000-0000-000064B20000}"/>
    <cellStyle name="Normal 63 4 3 2 5" xfId="29499" xr:uid="{00000000-0005-0000-0000-000065B20000}"/>
    <cellStyle name="Normal 63 4 3 3" xfId="5093" xr:uid="{00000000-0005-0000-0000-000066B20000}"/>
    <cellStyle name="Normal 63 4 3 3 2" xfId="13930" xr:uid="{00000000-0005-0000-0000-000067B20000}"/>
    <cellStyle name="Normal 63 4 3 3 2 2" xfId="24181" xr:uid="{00000000-0005-0000-0000-000068B20000}"/>
    <cellStyle name="Normal 63 4 3 3 2 2 2" xfId="49734" xr:uid="{00000000-0005-0000-0000-000069B20000}"/>
    <cellStyle name="Normal 63 4 3 3 2 3" xfId="39485" xr:uid="{00000000-0005-0000-0000-00006AB20000}"/>
    <cellStyle name="Normal 63 4 3 3 3" xfId="10351" xr:uid="{00000000-0005-0000-0000-00006BB20000}"/>
    <cellStyle name="Normal 63 4 3 3 3 2" xfId="35908" xr:uid="{00000000-0005-0000-0000-00006CB20000}"/>
    <cellStyle name="Normal 63 4 3 3 4" xfId="19174" xr:uid="{00000000-0005-0000-0000-00006DB20000}"/>
    <cellStyle name="Normal 63 4 3 3 4 2" xfId="44727" xr:uid="{00000000-0005-0000-0000-00006EB20000}"/>
    <cellStyle name="Normal 63 4 3 3 5" xfId="30664" xr:uid="{00000000-0005-0000-0000-00006FB20000}"/>
    <cellStyle name="Normal 63 4 3 4" xfId="2055" xr:uid="{00000000-0005-0000-0000-000070B20000}"/>
    <cellStyle name="Normal 63 4 3 4 2" xfId="11420" xr:uid="{00000000-0005-0000-0000-000071B20000}"/>
    <cellStyle name="Normal 63 4 3 4 2 2" xfId="36975" xr:uid="{00000000-0005-0000-0000-000072B20000}"/>
    <cellStyle name="Normal 63 4 3 4 3" xfId="21424" xr:uid="{00000000-0005-0000-0000-000073B20000}"/>
    <cellStyle name="Normal 63 4 3 4 3 2" xfId="46977" xr:uid="{00000000-0005-0000-0000-000074B20000}"/>
    <cellStyle name="Normal 63 4 3 4 4" xfId="27907" xr:uid="{00000000-0005-0000-0000-000075B20000}"/>
    <cellStyle name="Normal 63 4 3 5" xfId="6548" xr:uid="{00000000-0005-0000-0000-000076B20000}"/>
    <cellStyle name="Normal 63 4 3 5 2" xfId="15375" xr:uid="{00000000-0005-0000-0000-000077B20000}"/>
    <cellStyle name="Normal 63 4 3 5 2 2" xfId="40930" xr:uid="{00000000-0005-0000-0000-000078B20000}"/>
    <cellStyle name="Normal 63 4 3 5 3" xfId="25626" xr:uid="{00000000-0005-0000-0000-000079B20000}"/>
    <cellStyle name="Normal 63 4 3 5 3 2" xfId="51179" xr:uid="{00000000-0005-0000-0000-00007AB20000}"/>
    <cellStyle name="Normal 63 4 3 5 4" xfId="32109" xr:uid="{00000000-0005-0000-0000-00007BB20000}"/>
    <cellStyle name="Normal 63 4 3 6" xfId="7994" xr:uid="{00000000-0005-0000-0000-00007CB20000}"/>
    <cellStyle name="Normal 63 4 3 6 2" xfId="20615" xr:uid="{00000000-0005-0000-0000-00007DB20000}"/>
    <cellStyle name="Normal 63 4 3 6 2 2" xfId="46168" xr:uid="{00000000-0005-0000-0000-00007EB20000}"/>
    <cellStyle name="Normal 63 4 3 6 3" xfId="33551" xr:uid="{00000000-0005-0000-0000-00007FB20000}"/>
    <cellStyle name="Normal 63 4 3 7" xfId="16417" xr:uid="{00000000-0005-0000-0000-000080B20000}"/>
    <cellStyle name="Normal 63 4 3 7 2" xfId="41970" xr:uid="{00000000-0005-0000-0000-000081B20000}"/>
    <cellStyle name="Normal 63 4 3 8" xfId="27098" xr:uid="{00000000-0005-0000-0000-000082B20000}"/>
    <cellStyle name="Normal 63 4 4" xfId="2946" xr:uid="{00000000-0005-0000-0000-000083B20000}"/>
    <cellStyle name="Normal 63 4 4 2" xfId="5324" xr:uid="{00000000-0005-0000-0000-000084B20000}"/>
    <cellStyle name="Normal 63 4 4 2 2" xfId="14161" xr:uid="{00000000-0005-0000-0000-000085B20000}"/>
    <cellStyle name="Normal 63 4 4 2 2 2" xfId="24412" xr:uid="{00000000-0005-0000-0000-000086B20000}"/>
    <cellStyle name="Normal 63 4 4 2 2 2 2" xfId="49965" xr:uid="{00000000-0005-0000-0000-000087B20000}"/>
    <cellStyle name="Normal 63 4 4 2 2 3" xfId="39716" xr:uid="{00000000-0005-0000-0000-000088B20000}"/>
    <cellStyle name="Normal 63 4 4 2 3" xfId="10582" xr:uid="{00000000-0005-0000-0000-000089B20000}"/>
    <cellStyle name="Normal 63 4 4 2 3 2" xfId="36139" xr:uid="{00000000-0005-0000-0000-00008AB20000}"/>
    <cellStyle name="Normal 63 4 4 2 4" xfId="19405" xr:uid="{00000000-0005-0000-0000-00008BB20000}"/>
    <cellStyle name="Normal 63 4 4 2 4 2" xfId="44958" xr:uid="{00000000-0005-0000-0000-00008CB20000}"/>
    <cellStyle name="Normal 63 4 4 2 5" xfId="30895" xr:uid="{00000000-0005-0000-0000-00008DB20000}"/>
    <cellStyle name="Normal 63 4 4 3" xfId="6779" xr:uid="{00000000-0005-0000-0000-00008EB20000}"/>
    <cellStyle name="Normal 63 4 4 3 2" xfId="15606" xr:uid="{00000000-0005-0000-0000-00008FB20000}"/>
    <cellStyle name="Normal 63 4 4 3 2 2" xfId="41161" xr:uid="{00000000-0005-0000-0000-000090B20000}"/>
    <cellStyle name="Normal 63 4 4 3 3" xfId="25857" xr:uid="{00000000-0005-0000-0000-000091B20000}"/>
    <cellStyle name="Normal 63 4 4 3 3 2" xfId="51410" xr:uid="{00000000-0005-0000-0000-000092B20000}"/>
    <cellStyle name="Normal 63 4 4 3 4" xfId="32340" xr:uid="{00000000-0005-0000-0000-000093B20000}"/>
    <cellStyle name="Normal 63 4 4 4" xfId="8225" xr:uid="{00000000-0005-0000-0000-000094B20000}"/>
    <cellStyle name="Normal 63 4 4 4 2" xfId="22307" xr:uid="{00000000-0005-0000-0000-000095B20000}"/>
    <cellStyle name="Normal 63 4 4 4 2 2" xfId="47860" xr:uid="{00000000-0005-0000-0000-000096B20000}"/>
    <cellStyle name="Normal 63 4 4 4 3" xfId="33782" xr:uid="{00000000-0005-0000-0000-000097B20000}"/>
    <cellStyle name="Normal 63 4 4 5" xfId="17300" xr:uid="{00000000-0005-0000-0000-000098B20000}"/>
    <cellStyle name="Normal 63 4 4 5 2" xfId="42853" xr:uid="{00000000-0005-0000-0000-000099B20000}"/>
    <cellStyle name="Normal 63 4 4 6" xfId="28790" xr:uid="{00000000-0005-0000-0000-00009AB20000}"/>
    <cellStyle name="Normal 63 4 5" xfId="4280" xr:uid="{00000000-0005-0000-0000-00009BB20000}"/>
    <cellStyle name="Normal 63 4 5 2" xfId="13118" xr:uid="{00000000-0005-0000-0000-00009CB20000}"/>
    <cellStyle name="Normal 63 4 5 2 2" xfId="23369" xr:uid="{00000000-0005-0000-0000-00009DB20000}"/>
    <cellStyle name="Normal 63 4 5 2 2 2" xfId="48922" xr:uid="{00000000-0005-0000-0000-00009EB20000}"/>
    <cellStyle name="Normal 63 4 5 2 3" xfId="38673" xr:uid="{00000000-0005-0000-0000-00009FB20000}"/>
    <cellStyle name="Normal 63 4 5 3" xfId="9539" xr:uid="{00000000-0005-0000-0000-0000A0B20000}"/>
    <cellStyle name="Normal 63 4 5 3 2" xfId="35096" xr:uid="{00000000-0005-0000-0000-0000A1B20000}"/>
    <cellStyle name="Normal 63 4 5 4" xfId="18362" xr:uid="{00000000-0005-0000-0000-0000A2B20000}"/>
    <cellStyle name="Normal 63 4 5 4 2" xfId="43915" xr:uid="{00000000-0005-0000-0000-0000A3B20000}"/>
    <cellStyle name="Normal 63 4 5 5" xfId="29852" xr:uid="{00000000-0005-0000-0000-0000A4B20000}"/>
    <cellStyle name="Normal 63 4 6" xfId="1552" xr:uid="{00000000-0005-0000-0000-0000A5B20000}"/>
    <cellStyle name="Normal 63 4 6 2" xfId="10929" xr:uid="{00000000-0005-0000-0000-0000A6B20000}"/>
    <cellStyle name="Normal 63 4 6 2 2" xfId="36484" xr:uid="{00000000-0005-0000-0000-0000A7B20000}"/>
    <cellStyle name="Normal 63 4 6 3" xfId="20933" xr:uid="{00000000-0005-0000-0000-0000A8B20000}"/>
    <cellStyle name="Normal 63 4 6 3 2" xfId="46486" xr:uid="{00000000-0005-0000-0000-0000A9B20000}"/>
    <cellStyle name="Normal 63 4 6 4" xfId="27416" xr:uid="{00000000-0005-0000-0000-0000AAB20000}"/>
    <cellStyle name="Normal 63 4 7" xfId="5736" xr:uid="{00000000-0005-0000-0000-0000ABB20000}"/>
    <cellStyle name="Normal 63 4 7 2" xfId="14563" xr:uid="{00000000-0005-0000-0000-0000ACB20000}"/>
    <cellStyle name="Normal 63 4 7 2 2" xfId="40118" xr:uid="{00000000-0005-0000-0000-0000ADB20000}"/>
    <cellStyle name="Normal 63 4 7 3" xfId="24814" xr:uid="{00000000-0005-0000-0000-0000AEB20000}"/>
    <cellStyle name="Normal 63 4 7 3 2" xfId="50367" xr:uid="{00000000-0005-0000-0000-0000AFB20000}"/>
    <cellStyle name="Normal 63 4 7 4" xfId="31297" xr:uid="{00000000-0005-0000-0000-0000B0B20000}"/>
    <cellStyle name="Normal 63 4 8" xfId="7180" xr:uid="{00000000-0005-0000-0000-0000B1B20000}"/>
    <cellStyle name="Normal 63 4 8 2" xfId="19906" xr:uid="{00000000-0005-0000-0000-0000B2B20000}"/>
    <cellStyle name="Normal 63 4 8 2 2" xfId="45459" xr:uid="{00000000-0005-0000-0000-0000B3B20000}"/>
    <cellStyle name="Normal 63 4 8 3" xfId="32737" xr:uid="{00000000-0005-0000-0000-0000B4B20000}"/>
    <cellStyle name="Normal 63 4 9" xfId="15926" xr:uid="{00000000-0005-0000-0000-0000B5B20000}"/>
    <cellStyle name="Normal 63 4 9 2" xfId="41479" xr:uid="{00000000-0005-0000-0000-0000B6B20000}"/>
    <cellStyle name="Normal 63 4_Degree data" xfId="4039" xr:uid="{00000000-0005-0000-0000-0000B7B20000}"/>
    <cellStyle name="Normal 63 5" xfId="324" xr:uid="{00000000-0005-0000-0000-0000B8B20000}"/>
    <cellStyle name="Normal 63 5 2" xfId="2810" xr:uid="{00000000-0005-0000-0000-0000B9B20000}"/>
    <cellStyle name="Normal 63 5 2 2" xfId="12110" xr:uid="{00000000-0005-0000-0000-0000BAB20000}"/>
    <cellStyle name="Normal 63 5 2 2 2" xfId="22171" xr:uid="{00000000-0005-0000-0000-0000BBB20000}"/>
    <cellStyle name="Normal 63 5 2 2 2 2" xfId="47724" xr:uid="{00000000-0005-0000-0000-0000BCB20000}"/>
    <cellStyle name="Normal 63 5 2 2 3" xfId="37665" xr:uid="{00000000-0005-0000-0000-0000BDB20000}"/>
    <cellStyle name="Normal 63 5 2 3" xfId="8470" xr:uid="{00000000-0005-0000-0000-0000BEB20000}"/>
    <cellStyle name="Normal 63 5 2 3 2" xfId="34027" xr:uid="{00000000-0005-0000-0000-0000BFB20000}"/>
    <cellStyle name="Normal 63 5 2 4" xfId="17164" xr:uid="{00000000-0005-0000-0000-0000C0B20000}"/>
    <cellStyle name="Normal 63 5 2 4 2" xfId="42717" xr:uid="{00000000-0005-0000-0000-0000C1B20000}"/>
    <cellStyle name="Normal 63 5 2 5" xfId="28654" xr:uid="{00000000-0005-0000-0000-0000C2B20000}"/>
    <cellStyle name="Normal 63 5 3" xfId="4740" xr:uid="{00000000-0005-0000-0000-0000C3B20000}"/>
    <cellStyle name="Normal 63 5 3 2" xfId="13578" xr:uid="{00000000-0005-0000-0000-0000C4B20000}"/>
    <cellStyle name="Normal 63 5 3 2 2" xfId="23829" xr:uid="{00000000-0005-0000-0000-0000C5B20000}"/>
    <cellStyle name="Normal 63 5 3 2 2 2" xfId="49382" xr:uid="{00000000-0005-0000-0000-0000C6B20000}"/>
    <cellStyle name="Normal 63 5 3 2 3" xfId="39133" xr:uid="{00000000-0005-0000-0000-0000C7B20000}"/>
    <cellStyle name="Normal 63 5 3 3" xfId="9999" xr:uid="{00000000-0005-0000-0000-0000C8B20000}"/>
    <cellStyle name="Normal 63 5 3 3 2" xfId="35556" xr:uid="{00000000-0005-0000-0000-0000C9B20000}"/>
    <cellStyle name="Normal 63 5 3 4" xfId="18822" xr:uid="{00000000-0005-0000-0000-0000CAB20000}"/>
    <cellStyle name="Normal 63 5 3 4 2" xfId="44375" xr:uid="{00000000-0005-0000-0000-0000CBB20000}"/>
    <cellStyle name="Normal 63 5 3 5" xfId="30312" xr:uid="{00000000-0005-0000-0000-0000CCB20000}"/>
    <cellStyle name="Normal 63 5 4" xfId="1919" xr:uid="{00000000-0005-0000-0000-0000CDB20000}"/>
    <cellStyle name="Normal 63 5 4 2" xfId="11284" xr:uid="{00000000-0005-0000-0000-0000CEB20000}"/>
    <cellStyle name="Normal 63 5 4 2 2" xfId="36839" xr:uid="{00000000-0005-0000-0000-0000CFB20000}"/>
    <cellStyle name="Normal 63 5 4 3" xfId="21288" xr:uid="{00000000-0005-0000-0000-0000D0B20000}"/>
    <cellStyle name="Normal 63 5 4 3 2" xfId="46841" xr:uid="{00000000-0005-0000-0000-0000D1B20000}"/>
    <cellStyle name="Normal 63 5 4 4" xfId="27771" xr:uid="{00000000-0005-0000-0000-0000D2B20000}"/>
    <cellStyle name="Normal 63 5 5" xfId="6196" xr:uid="{00000000-0005-0000-0000-0000D3B20000}"/>
    <cellStyle name="Normal 63 5 5 2" xfId="15023" xr:uid="{00000000-0005-0000-0000-0000D4B20000}"/>
    <cellStyle name="Normal 63 5 5 2 2" xfId="40578" xr:uid="{00000000-0005-0000-0000-0000D5B20000}"/>
    <cellStyle name="Normal 63 5 5 3" xfId="25274" xr:uid="{00000000-0005-0000-0000-0000D6B20000}"/>
    <cellStyle name="Normal 63 5 5 3 2" xfId="50827" xr:uid="{00000000-0005-0000-0000-0000D7B20000}"/>
    <cellStyle name="Normal 63 5 5 4" xfId="31757" xr:uid="{00000000-0005-0000-0000-0000D8B20000}"/>
    <cellStyle name="Normal 63 5 6" xfId="7642" xr:uid="{00000000-0005-0000-0000-0000D9B20000}"/>
    <cellStyle name="Normal 63 5 6 2" xfId="19770" xr:uid="{00000000-0005-0000-0000-0000DAB20000}"/>
    <cellStyle name="Normal 63 5 6 2 2" xfId="45323" xr:uid="{00000000-0005-0000-0000-0000DBB20000}"/>
    <cellStyle name="Normal 63 5 6 3" xfId="33199" xr:uid="{00000000-0005-0000-0000-0000DCB20000}"/>
    <cellStyle name="Normal 63 5 7" xfId="16281" xr:uid="{00000000-0005-0000-0000-0000DDB20000}"/>
    <cellStyle name="Normal 63 5 7 2" xfId="41834" xr:uid="{00000000-0005-0000-0000-0000DEB20000}"/>
    <cellStyle name="Normal 63 5 8" xfId="26253" xr:uid="{00000000-0005-0000-0000-0000DFB20000}"/>
    <cellStyle name="Normal 63 6" xfId="929" xr:uid="{00000000-0005-0000-0000-0000E0B20000}"/>
    <cellStyle name="Normal 63 6 2" xfId="3411" xr:uid="{00000000-0005-0000-0000-0000E1B20000}"/>
    <cellStyle name="Normal 63 6 2 2" xfId="12553" xr:uid="{00000000-0005-0000-0000-0000E2B20000}"/>
    <cellStyle name="Normal 63 6 2 2 2" xfId="22772" xr:uid="{00000000-0005-0000-0000-0000E3B20000}"/>
    <cellStyle name="Normal 63 6 2 2 2 2" xfId="48325" xr:uid="{00000000-0005-0000-0000-0000E4B20000}"/>
    <cellStyle name="Normal 63 6 2 2 3" xfId="38108" xr:uid="{00000000-0005-0000-0000-0000E5B20000}"/>
    <cellStyle name="Normal 63 6 2 3" xfId="8975" xr:uid="{00000000-0005-0000-0000-0000E6B20000}"/>
    <cellStyle name="Normal 63 6 2 3 2" xfId="34532" xr:uid="{00000000-0005-0000-0000-0000E7B20000}"/>
    <cellStyle name="Normal 63 6 2 4" xfId="17765" xr:uid="{00000000-0005-0000-0000-0000E8B20000}"/>
    <cellStyle name="Normal 63 6 2 4 2" xfId="43318" xr:uid="{00000000-0005-0000-0000-0000E9B20000}"/>
    <cellStyle name="Normal 63 6 2 5" xfId="29255" xr:uid="{00000000-0005-0000-0000-0000EAB20000}"/>
    <cellStyle name="Normal 63 6 3" xfId="5089" xr:uid="{00000000-0005-0000-0000-0000EBB20000}"/>
    <cellStyle name="Normal 63 6 3 2" xfId="13926" xr:uid="{00000000-0005-0000-0000-0000ECB20000}"/>
    <cellStyle name="Normal 63 6 3 2 2" xfId="24177" xr:uid="{00000000-0005-0000-0000-0000EDB20000}"/>
    <cellStyle name="Normal 63 6 3 2 2 2" xfId="49730" xr:uid="{00000000-0005-0000-0000-0000EEB20000}"/>
    <cellStyle name="Normal 63 6 3 2 3" xfId="39481" xr:uid="{00000000-0005-0000-0000-0000EFB20000}"/>
    <cellStyle name="Normal 63 6 3 3" xfId="10347" xr:uid="{00000000-0005-0000-0000-0000F0B20000}"/>
    <cellStyle name="Normal 63 6 3 3 2" xfId="35904" xr:uid="{00000000-0005-0000-0000-0000F1B20000}"/>
    <cellStyle name="Normal 63 6 3 4" xfId="19170" xr:uid="{00000000-0005-0000-0000-0000F2B20000}"/>
    <cellStyle name="Normal 63 6 3 4 2" xfId="44723" xr:uid="{00000000-0005-0000-0000-0000F3B20000}"/>
    <cellStyle name="Normal 63 6 3 5" xfId="30660" xr:uid="{00000000-0005-0000-0000-0000F4B20000}"/>
    <cellStyle name="Normal 63 6 4" xfId="2520" xr:uid="{00000000-0005-0000-0000-0000F5B20000}"/>
    <cellStyle name="Normal 63 6 4 2" xfId="11885" xr:uid="{00000000-0005-0000-0000-0000F6B20000}"/>
    <cellStyle name="Normal 63 6 4 2 2" xfId="37440" xr:uid="{00000000-0005-0000-0000-0000F7B20000}"/>
    <cellStyle name="Normal 63 6 4 3" xfId="21889" xr:uid="{00000000-0005-0000-0000-0000F8B20000}"/>
    <cellStyle name="Normal 63 6 4 3 2" xfId="47442" xr:uid="{00000000-0005-0000-0000-0000F9B20000}"/>
    <cellStyle name="Normal 63 6 4 4" xfId="28372" xr:uid="{00000000-0005-0000-0000-0000FAB20000}"/>
    <cellStyle name="Normal 63 6 5" xfId="6544" xr:uid="{00000000-0005-0000-0000-0000FBB20000}"/>
    <cellStyle name="Normal 63 6 5 2" xfId="15371" xr:uid="{00000000-0005-0000-0000-0000FCB20000}"/>
    <cellStyle name="Normal 63 6 5 2 2" xfId="40926" xr:uid="{00000000-0005-0000-0000-0000FDB20000}"/>
    <cellStyle name="Normal 63 6 5 3" xfId="25622" xr:uid="{00000000-0005-0000-0000-0000FEB20000}"/>
    <cellStyle name="Normal 63 6 5 3 2" xfId="51175" xr:uid="{00000000-0005-0000-0000-0000FFB20000}"/>
    <cellStyle name="Normal 63 6 5 4" xfId="32105" xr:uid="{00000000-0005-0000-0000-000000B30000}"/>
    <cellStyle name="Normal 63 6 6" xfId="7990" xr:uid="{00000000-0005-0000-0000-000001B30000}"/>
    <cellStyle name="Normal 63 6 6 2" xfId="20371" xr:uid="{00000000-0005-0000-0000-000002B30000}"/>
    <cellStyle name="Normal 63 6 6 2 2" xfId="45924" xr:uid="{00000000-0005-0000-0000-000003B30000}"/>
    <cellStyle name="Normal 63 6 6 3" xfId="33547" xr:uid="{00000000-0005-0000-0000-000004B30000}"/>
    <cellStyle name="Normal 63 6 7" xfId="16882" xr:uid="{00000000-0005-0000-0000-000005B30000}"/>
    <cellStyle name="Normal 63 6 7 2" xfId="42435" xr:uid="{00000000-0005-0000-0000-000006B30000}"/>
    <cellStyle name="Normal 63 6 8" xfId="26854" xr:uid="{00000000-0005-0000-0000-000007B30000}"/>
    <cellStyle name="Normal 63 7" xfId="1096" xr:uid="{00000000-0005-0000-0000-000008B30000}"/>
    <cellStyle name="Normal 63 7 2" xfId="3525" xr:uid="{00000000-0005-0000-0000-000009B30000}"/>
    <cellStyle name="Normal 63 7 2 2" xfId="12661" xr:uid="{00000000-0005-0000-0000-00000AB30000}"/>
    <cellStyle name="Normal 63 7 2 2 2" xfId="22880" xr:uid="{00000000-0005-0000-0000-00000BB30000}"/>
    <cellStyle name="Normal 63 7 2 2 2 2" xfId="48433" xr:uid="{00000000-0005-0000-0000-00000CB30000}"/>
    <cellStyle name="Normal 63 7 2 2 3" xfId="38216" xr:uid="{00000000-0005-0000-0000-00000DB30000}"/>
    <cellStyle name="Normal 63 7 2 3" xfId="9082" xr:uid="{00000000-0005-0000-0000-00000EB30000}"/>
    <cellStyle name="Normal 63 7 2 3 2" xfId="34639" xr:uid="{00000000-0005-0000-0000-00000FB30000}"/>
    <cellStyle name="Normal 63 7 2 4" xfId="17873" xr:uid="{00000000-0005-0000-0000-000010B30000}"/>
    <cellStyle name="Normal 63 7 2 4 2" xfId="43426" xr:uid="{00000000-0005-0000-0000-000011B30000}"/>
    <cellStyle name="Normal 63 7 2 5" xfId="29363" xr:uid="{00000000-0005-0000-0000-000012B30000}"/>
    <cellStyle name="Normal 63 7 3" xfId="5188" xr:uid="{00000000-0005-0000-0000-000013B30000}"/>
    <cellStyle name="Normal 63 7 3 2" xfId="14025" xr:uid="{00000000-0005-0000-0000-000014B30000}"/>
    <cellStyle name="Normal 63 7 3 2 2" xfId="24276" xr:uid="{00000000-0005-0000-0000-000015B30000}"/>
    <cellStyle name="Normal 63 7 3 2 2 2" xfId="49829" xr:uid="{00000000-0005-0000-0000-000016B30000}"/>
    <cellStyle name="Normal 63 7 3 2 3" xfId="39580" xr:uid="{00000000-0005-0000-0000-000017B30000}"/>
    <cellStyle name="Normal 63 7 3 3" xfId="10446" xr:uid="{00000000-0005-0000-0000-000018B30000}"/>
    <cellStyle name="Normal 63 7 3 3 2" xfId="36003" xr:uid="{00000000-0005-0000-0000-000019B30000}"/>
    <cellStyle name="Normal 63 7 3 4" xfId="19269" xr:uid="{00000000-0005-0000-0000-00001AB30000}"/>
    <cellStyle name="Normal 63 7 3 4 2" xfId="44822" xr:uid="{00000000-0005-0000-0000-00001BB30000}"/>
    <cellStyle name="Normal 63 7 3 5" xfId="30759" xr:uid="{00000000-0005-0000-0000-00001CB30000}"/>
    <cellStyle name="Normal 63 7 4" xfId="1728" xr:uid="{00000000-0005-0000-0000-00001DB30000}"/>
    <cellStyle name="Normal 63 7 4 2" xfId="11102" xr:uid="{00000000-0005-0000-0000-00001EB30000}"/>
    <cellStyle name="Normal 63 7 4 2 2" xfId="36657" xr:uid="{00000000-0005-0000-0000-00001FB30000}"/>
    <cellStyle name="Normal 63 7 4 3" xfId="21106" xr:uid="{00000000-0005-0000-0000-000020B30000}"/>
    <cellStyle name="Normal 63 7 4 3 2" xfId="46659" xr:uid="{00000000-0005-0000-0000-000021B30000}"/>
    <cellStyle name="Normal 63 7 4 4" xfId="27589" xr:uid="{00000000-0005-0000-0000-000022B30000}"/>
    <cellStyle name="Normal 63 7 5" xfId="6643" xr:uid="{00000000-0005-0000-0000-000023B30000}"/>
    <cellStyle name="Normal 63 7 5 2" xfId="15470" xr:uid="{00000000-0005-0000-0000-000024B30000}"/>
    <cellStyle name="Normal 63 7 5 2 2" xfId="41025" xr:uid="{00000000-0005-0000-0000-000025B30000}"/>
    <cellStyle name="Normal 63 7 5 3" xfId="25721" xr:uid="{00000000-0005-0000-0000-000026B30000}"/>
    <cellStyle name="Normal 63 7 5 3 2" xfId="51274" xr:uid="{00000000-0005-0000-0000-000027B30000}"/>
    <cellStyle name="Normal 63 7 5 4" xfId="32204" xr:uid="{00000000-0005-0000-0000-000028B30000}"/>
    <cellStyle name="Normal 63 7 6" xfId="8089" xr:uid="{00000000-0005-0000-0000-000029B30000}"/>
    <cellStyle name="Normal 63 7 6 2" xfId="20479" xr:uid="{00000000-0005-0000-0000-00002AB30000}"/>
    <cellStyle name="Normal 63 7 6 2 2" xfId="46032" xr:uid="{00000000-0005-0000-0000-00002BB30000}"/>
    <cellStyle name="Normal 63 7 6 3" xfId="33646" xr:uid="{00000000-0005-0000-0000-00002CB30000}"/>
    <cellStyle name="Normal 63 7 7" xfId="16099" xr:uid="{00000000-0005-0000-0000-00002DB30000}"/>
    <cellStyle name="Normal 63 7 7 2" xfId="41652" xr:uid="{00000000-0005-0000-0000-00002EB30000}"/>
    <cellStyle name="Normal 63 7 8" xfId="26962" xr:uid="{00000000-0005-0000-0000-00002FB30000}"/>
    <cellStyle name="Normal 63 8" xfId="2628" xr:uid="{00000000-0005-0000-0000-000030B30000}"/>
    <cellStyle name="Normal 63 8 2" xfId="11967" xr:uid="{00000000-0005-0000-0000-000031B30000}"/>
    <cellStyle name="Normal 63 8 2 2" xfId="21990" xr:uid="{00000000-0005-0000-0000-000032B30000}"/>
    <cellStyle name="Normal 63 8 2 2 2" xfId="47543" xr:uid="{00000000-0005-0000-0000-000033B30000}"/>
    <cellStyle name="Normal 63 8 2 3" xfId="37522" xr:uid="{00000000-0005-0000-0000-000034B30000}"/>
    <cellStyle name="Normal 63 8 3" xfId="8562" xr:uid="{00000000-0005-0000-0000-000035B30000}"/>
    <cellStyle name="Normal 63 8 3 2" xfId="34119" xr:uid="{00000000-0005-0000-0000-000036B30000}"/>
    <cellStyle name="Normal 63 8 4" xfId="16983" xr:uid="{00000000-0005-0000-0000-000037B30000}"/>
    <cellStyle name="Normal 63 8 4 2" xfId="42536" xr:uid="{00000000-0005-0000-0000-000038B30000}"/>
    <cellStyle name="Normal 63 8 5" xfId="28473" xr:uid="{00000000-0005-0000-0000-000039B30000}"/>
    <cellStyle name="Normal 63 9" xfId="4142" xr:uid="{00000000-0005-0000-0000-00003AB30000}"/>
    <cellStyle name="Normal 63 9 2" xfId="12980" xr:uid="{00000000-0005-0000-0000-00003BB30000}"/>
    <cellStyle name="Normal 63 9 2 2" xfId="23231" xr:uid="{00000000-0005-0000-0000-00003CB30000}"/>
    <cellStyle name="Normal 63 9 2 2 2" xfId="48784" xr:uid="{00000000-0005-0000-0000-00003DB30000}"/>
    <cellStyle name="Normal 63 9 2 3" xfId="38535" xr:uid="{00000000-0005-0000-0000-00003EB30000}"/>
    <cellStyle name="Normal 63 9 3" xfId="9401" xr:uid="{00000000-0005-0000-0000-00003FB30000}"/>
    <cellStyle name="Normal 63 9 3 2" xfId="34958" xr:uid="{00000000-0005-0000-0000-000040B30000}"/>
    <cellStyle name="Normal 63 9 4" xfId="18224" xr:uid="{00000000-0005-0000-0000-000041B30000}"/>
    <cellStyle name="Normal 63 9 4 2" xfId="43777" xr:uid="{00000000-0005-0000-0000-000042B30000}"/>
    <cellStyle name="Normal 63 9 5" xfId="29714" xr:uid="{00000000-0005-0000-0000-000043B30000}"/>
    <cellStyle name="Normal 63_Degree data" xfId="4035" xr:uid="{00000000-0005-0000-0000-000044B30000}"/>
    <cellStyle name="Normal 64" xfId="129" xr:uid="{00000000-0005-0000-0000-000045B30000}"/>
    <cellStyle name="Normal 64 2" xfId="934" xr:uid="{00000000-0005-0000-0000-000046B30000}"/>
    <cellStyle name="Normal 64 3" xfId="1735" xr:uid="{00000000-0005-0000-0000-000047B30000}"/>
    <cellStyle name="Normal 64_Degree data" xfId="4040" xr:uid="{00000000-0005-0000-0000-000048B30000}"/>
    <cellStyle name="Normal 65" xfId="131" xr:uid="{00000000-0005-0000-0000-000049B30000}"/>
    <cellStyle name="Normal 65 2" xfId="935" xr:uid="{00000000-0005-0000-0000-00004AB30000}"/>
    <cellStyle name="Normal 65 3" xfId="1737" xr:uid="{00000000-0005-0000-0000-00004BB30000}"/>
    <cellStyle name="Normal 65_Degree data" xfId="4041" xr:uid="{00000000-0005-0000-0000-00004CB30000}"/>
    <cellStyle name="Normal 66" xfId="130" xr:uid="{00000000-0005-0000-0000-00004DB30000}"/>
    <cellStyle name="Normal 66 2" xfId="936" xr:uid="{00000000-0005-0000-0000-00004EB30000}"/>
    <cellStyle name="Normal 66 3" xfId="1736" xr:uid="{00000000-0005-0000-0000-00004FB30000}"/>
    <cellStyle name="Normal 66_Degree data" xfId="4042" xr:uid="{00000000-0005-0000-0000-000050B30000}"/>
    <cellStyle name="Normal 67" xfId="167" xr:uid="{00000000-0005-0000-0000-000051B30000}"/>
    <cellStyle name="Normal 67 2" xfId="937" xr:uid="{00000000-0005-0000-0000-000052B30000}"/>
    <cellStyle name="Normal 67 3" xfId="1769" xr:uid="{00000000-0005-0000-0000-000053B30000}"/>
    <cellStyle name="Normal 67_Degree data" xfId="4043" xr:uid="{00000000-0005-0000-0000-000054B30000}"/>
    <cellStyle name="Normal 68" xfId="168" xr:uid="{00000000-0005-0000-0000-000055B30000}"/>
    <cellStyle name="Normal 68 2" xfId="938" xr:uid="{00000000-0005-0000-0000-000056B30000}"/>
    <cellStyle name="Normal 68 3" xfId="1770" xr:uid="{00000000-0005-0000-0000-000057B30000}"/>
    <cellStyle name="Normal 68_Degree data" xfId="4044" xr:uid="{00000000-0005-0000-0000-000058B30000}"/>
    <cellStyle name="Normal 69" xfId="198" xr:uid="{00000000-0005-0000-0000-000059B30000}"/>
    <cellStyle name="Normal 69 2" xfId="939" xr:uid="{00000000-0005-0000-0000-00005AB30000}"/>
    <cellStyle name="Normal 69 3" xfId="1799" xr:uid="{00000000-0005-0000-0000-00005BB30000}"/>
    <cellStyle name="Normal 69_Degree data" xfId="4045" xr:uid="{00000000-0005-0000-0000-00005CB30000}"/>
    <cellStyle name="Normal 7" xfId="42" xr:uid="{00000000-0005-0000-0000-00005DB30000}"/>
    <cellStyle name="Normal 7 10" xfId="940" xr:uid="{00000000-0005-0000-0000-00005EB30000}"/>
    <cellStyle name="Normal 7 10 2" xfId="3416" xr:uid="{00000000-0005-0000-0000-00005FB30000}"/>
    <cellStyle name="Normal 7 10 2 2" xfId="12558" xr:uid="{00000000-0005-0000-0000-000060B30000}"/>
    <cellStyle name="Normal 7 10 2 2 2" xfId="22777" xr:uid="{00000000-0005-0000-0000-000061B30000}"/>
    <cellStyle name="Normal 7 10 2 2 2 2" xfId="48330" xr:uid="{00000000-0005-0000-0000-000062B30000}"/>
    <cellStyle name="Normal 7 10 2 2 3" xfId="38113" xr:uid="{00000000-0005-0000-0000-000063B30000}"/>
    <cellStyle name="Normal 7 10 2 3" xfId="8980" xr:uid="{00000000-0005-0000-0000-000064B30000}"/>
    <cellStyle name="Normal 7 10 2 3 2" xfId="34537" xr:uid="{00000000-0005-0000-0000-000065B30000}"/>
    <cellStyle name="Normal 7 10 2 4" xfId="17770" xr:uid="{00000000-0005-0000-0000-000066B30000}"/>
    <cellStyle name="Normal 7 10 2 4 2" xfId="43323" xr:uid="{00000000-0005-0000-0000-000067B30000}"/>
    <cellStyle name="Normal 7 10 2 5" xfId="29260" xr:uid="{00000000-0005-0000-0000-000068B30000}"/>
    <cellStyle name="Normal 7 10 3" xfId="4746" xr:uid="{00000000-0005-0000-0000-000069B30000}"/>
    <cellStyle name="Normal 7 10 3 2" xfId="13583" xr:uid="{00000000-0005-0000-0000-00006AB30000}"/>
    <cellStyle name="Normal 7 10 3 2 2" xfId="23834" xr:uid="{00000000-0005-0000-0000-00006BB30000}"/>
    <cellStyle name="Normal 7 10 3 2 2 2" xfId="49387" xr:uid="{00000000-0005-0000-0000-00006CB30000}"/>
    <cellStyle name="Normal 7 10 3 2 3" xfId="39138" xr:uid="{00000000-0005-0000-0000-00006DB30000}"/>
    <cellStyle name="Normal 7 10 3 3" xfId="10004" xr:uid="{00000000-0005-0000-0000-00006EB30000}"/>
    <cellStyle name="Normal 7 10 3 3 2" xfId="35561" xr:uid="{00000000-0005-0000-0000-00006FB30000}"/>
    <cellStyle name="Normal 7 10 3 4" xfId="18827" xr:uid="{00000000-0005-0000-0000-000070B30000}"/>
    <cellStyle name="Normal 7 10 3 4 2" xfId="44380" xr:uid="{00000000-0005-0000-0000-000071B30000}"/>
    <cellStyle name="Normal 7 10 3 5" xfId="30317" xr:uid="{00000000-0005-0000-0000-000072B30000}"/>
    <cellStyle name="Normal 7 10 4" xfId="2525" xr:uid="{00000000-0005-0000-0000-000073B30000}"/>
    <cellStyle name="Normal 7 10 4 2" xfId="11890" xr:uid="{00000000-0005-0000-0000-000074B30000}"/>
    <cellStyle name="Normal 7 10 4 2 2" xfId="37445" xr:uid="{00000000-0005-0000-0000-000075B30000}"/>
    <cellStyle name="Normal 7 10 4 3" xfId="21894" xr:uid="{00000000-0005-0000-0000-000076B30000}"/>
    <cellStyle name="Normal 7 10 4 3 2" xfId="47447" xr:uid="{00000000-0005-0000-0000-000077B30000}"/>
    <cellStyle name="Normal 7 10 4 4" xfId="28377" xr:uid="{00000000-0005-0000-0000-000078B30000}"/>
    <cellStyle name="Normal 7 10 5" xfId="6201" xr:uid="{00000000-0005-0000-0000-000079B30000}"/>
    <cellStyle name="Normal 7 10 5 2" xfId="15028" xr:uid="{00000000-0005-0000-0000-00007AB30000}"/>
    <cellStyle name="Normal 7 10 5 2 2" xfId="40583" xr:uid="{00000000-0005-0000-0000-00007BB30000}"/>
    <cellStyle name="Normal 7 10 5 3" xfId="25279" xr:uid="{00000000-0005-0000-0000-00007CB30000}"/>
    <cellStyle name="Normal 7 10 5 3 2" xfId="50832" xr:uid="{00000000-0005-0000-0000-00007DB30000}"/>
    <cellStyle name="Normal 7 10 5 4" xfId="31762" xr:uid="{00000000-0005-0000-0000-00007EB30000}"/>
    <cellStyle name="Normal 7 10 6" xfId="7647" xr:uid="{00000000-0005-0000-0000-00007FB30000}"/>
    <cellStyle name="Normal 7 10 6 2" xfId="20376" xr:uid="{00000000-0005-0000-0000-000080B30000}"/>
    <cellStyle name="Normal 7 10 6 2 2" xfId="45929" xr:uid="{00000000-0005-0000-0000-000081B30000}"/>
    <cellStyle name="Normal 7 10 6 3" xfId="33204" xr:uid="{00000000-0005-0000-0000-000082B30000}"/>
    <cellStyle name="Normal 7 10 7" xfId="16887" xr:uid="{00000000-0005-0000-0000-000083B30000}"/>
    <cellStyle name="Normal 7 10 7 2" xfId="42440" xr:uid="{00000000-0005-0000-0000-000084B30000}"/>
    <cellStyle name="Normal 7 10 8" xfId="26859" xr:uid="{00000000-0005-0000-0000-000085B30000}"/>
    <cellStyle name="Normal 7 11" xfId="1045" xr:uid="{00000000-0005-0000-0000-000086B30000}"/>
    <cellStyle name="Normal 7 11 2" xfId="3474" xr:uid="{00000000-0005-0000-0000-000087B30000}"/>
    <cellStyle name="Normal 7 11 2 2" xfId="12610" xr:uid="{00000000-0005-0000-0000-000088B30000}"/>
    <cellStyle name="Normal 7 11 2 2 2" xfId="22829" xr:uid="{00000000-0005-0000-0000-000089B30000}"/>
    <cellStyle name="Normal 7 11 2 2 2 2" xfId="48382" xr:uid="{00000000-0005-0000-0000-00008AB30000}"/>
    <cellStyle name="Normal 7 11 2 2 3" xfId="38165" xr:uid="{00000000-0005-0000-0000-00008BB30000}"/>
    <cellStyle name="Normal 7 11 2 3" xfId="9032" xr:uid="{00000000-0005-0000-0000-00008CB30000}"/>
    <cellStyle name="Normal 7 11 2 3 2" xfId="34589" xr:uid="{00000000-0005-0000-0000-00008DB30000}"/>
    <cellStyle name="Normal 7 11 2 4" xfId="17822" xr:uid="{00000000-0005-0000-0000-00008EB30000}"/>
    <cellStyle name="Normal 7 11 2 4 2" xfId="43375" xr:uid="{00000000-0005-0000-0000-00008FB30000}"/>
    <cellStyle name="Normal 7 11 2 5" xfId="29312" xr:uid="{00000000-0005-0000-0000-000090B30000}"/>
    <cellStyle name="Normal 7 11 3" xfId="5094" xr:uid="{00000000-0005-0000-0000-000091B30000}"/>
    <cellStyle name="Normal 7 11 3 2" xfId="13931" xr:uid="{00000000-0005-0000-0000-000092B30000}"/>
    <cellStyle name="Normal 7 11 3 2 2" xfId="24182" xr:uid="{00000000-0005-0000-0000-000093B30000}"/>
    <cellStyle name="Normal 7 11 3 2 2 2" xfId="49735" xr:uid="{00000000-0005-0000-0000-000094B30000}"/>
    <cellStyle name="Normal 7 11 3 2 3" xfId="39486" xr:uid="{00000000-0005-0000-0000-000095B30000}"/>
    <cellStyle name="Normal 7 11 3 3" xfId="10352" xr:uid="{00000000-0005-0000-0000-000096B30000}"/>
    <cellStyle name="Normal 7 11 3 3 2" xfId="35909" xr:uid="{00000000-0005-0000-0000-000097B30000}"/>
    <cellStyle name="Normal 7 11 3 4" xfId="19175" xr:uid="{00000000-0005-0000-0000-000098B30000}"/>
    <cellStyle name="Normal 7 11 3 4 2" xfId="44728" xr:uid="{00000000-0005-0000-0000-000099B30000}"/>
    <cellStyle name="Normal 7 11 3 5" xfId="30665" xr:uid="{00000000-0005-0000-0000-00009AB30000}"/>
    <cellStyle name="Normal 7 11 4" xfId="1709" xr:uid="{00000000-0005-0000-0000-00009BB30000}"/>
    <cellStyle name="Normal 7 11 4 2" xfId="11086" xr:uid="{00000000-0005-0000-0000-00009CB30000}"/>
    <cellStyle name="Normal 7 11 4 2 2" xfId="36641" xr:uid="{00000000-0005-0000-0000-00009DB30000}"/>
    <cellStyle name="Normal 7 11 4 3" xfId="21090" xr:uid="{00000000-0005-0000-0000-00009EB30000}"/>
    <cellStyle name="Normal 7 11 4 3 2" xfId="46643" xr:uid="{00000000-0005-0000-0000-00009FB30000}"/>
    <cellStyle name="Normal 7 11 4 4" xfId="27573" xr:uid="{00000000-0005-0000-0000-0000A0B30000}"/>
    <cellStyle name="Normal 7 11 5" xfId="6549" xr:uid="{00000000-0005-0000-0000-0000A1B30000}"/>
    <cellStyle name="Normal 7 11 5 2" xfId="15376" xr:uid="{00000000-0005-0000-0000-0000A2B30000}"/>
    <cellStyle name="Normal 7 11 5 2 2" xfId="40931" xr:uid="{00000000-0005-0000-0000-0000A3B30000}"/>
    <cellStyle name="Normal 7 11 5 3" xfId="25627" xr:uid="{00000000-0005-0000-0000-0000A4B30000}"/>
    <cellStyle name="Normal 7 11 5 3 2" xfId="51180" xr:uid="{00000000-0005-0000-0000-0000A5B30000}"/>
    <cellStyle name="Normal 7 11 5 4" xfId="32110" xr:uid="{00000000-0005-0000-0000-0000A6B30000}"/>
    <cellStyle name="Normal 7 11 6" xfId="7995" xr:uid="{00000000-0005-0000-0000-0000A7B30000}"/>
    <cellStyle name="Normal 7 11 6 2" xfId="20428" xr:uid="{00000000-0005-0000-0000-0000A8B30000}"/>
    <cellStyle name="Normal 7 11 6 2 2" xfId="45981" xr:uid="{00000000-0005-0000-0000-0000A9B30000}"/>
    <cellStyle name="Normal 7 11 6 3" xfId="33552" xr:uid="{00000000-0005-0000-0000-0000AAB30000}"/>
    <cellStyle name="Normal 7 11 7" xfId="16083" xr:uid="{00000000-0005-0000-0000-0000ABB30000}"/>
    <cellStyle name="Normal 7 11 7 2" xfId="41636" xr:uid="{00000000-0005-0000-0000-0000ACB30000}"/>
    <cellStyle name="Normal 7 11 8" xfId="26911" xr:uid="{00000000-0005-0000-0000-0000ADB30000}"/>
    <cellStyle name="Normal 7 12" xfId="2609" xr:uid="{00000000-0005-0000-0000-0000AEB30000}"/>
    <cellStyle name="Normal 7 12 2" xfId="5137" xr:uid="{00000000-0005-0000-0000-0000AFB30000}"/>
    <cellStyle name="Normal 7 12 2 2" xfId="13974" xr:uid="{00000000-0005-0000-0000-0000B0B30000}"/>
    <cellStyle name="Normal 7 12 2 2 2" xfId="24225" xr:uid="{00000000-0005-0000-0000-0000B1B30000}"/>
    <cellStyle name="Normal 7 12 2 2 2 2" xfId="49778" xr:uid="{00000000-0005-0000-0000-0000B2B30000}"/>
    <cellStyle name="Normal 7 12 2 2 3" xfId="39529" xr:uid="{00000000-0005-0000-0000-0000B3B30000}"/>
    <cellStyle name="Normal 7 12 2 3" xfId="10395" xr:uid="{00000000-0005-0000-0000-0000B4B30000}"/>
    <cellStyle name="Normal 7 12 2 3 2" xfId="35952" xr:uid="{00000000-0005-0000-0000-0000B5B30000}"/>
    <cellStyle name="Normal 7 12 2 4" xfId="19218" xr:uid="{00000000-0005-0000-0000-0000B6B30000}"/>
    <cellStyle name="Normal 7 12 2 4 2" xfId="44771" xr:uid="{00000000-0005-0000-0000-0000B7B30000}"/>
    <cellStyle name="Normal 7 12 2 5" xfId="30708" xr:uid="{00000000-0005-0000-0000-0000B8B30000}"/>
    <cellStyle name="Normal 7 12 3" xfId="6592" xr:uid="{00000000-0005-0000-0000-0000B9B30000}"/>
    <cellStyle name="Normal 7 12 3 2" xfId="15419" xr:uid="{00000000-0005-0000-0000-0000BAB30000}"/>
    <cellStyle name="Normal 7 12 3 2 2" xfId="40974" xr:uid="{00000000-0005-0000-0000-0000BBB30000}"/>
    <cellStyle name="Normal 7 12 3 3" xfId="25670" xr:uid="{00000000-0005-0000-0000-0000BCB30000}"/>
    <cellStyle name="Normal 7 12 3 3 2" xfId="51223" xr:uid="{00000000-0005-0000-0000-0000BDB30000}"/>
    <cellStyle name="Normal 7 12 3 4" xfId="32153" xr:uid="{00000000-0005-0000-0000-0000BEB30000}"/>
    <cellStyle name="Normal 7 12 4" xfId="8038" xr:uid="{00000000-0005-0000-0000-0000BFB30000}"/>
    <cellStyle name="Normal 7 12 4 2" xfId="21973" xr:uid="{00000000-0005-0000-0000-0000C0B30000}"/>
    <cellStyle name="Normal 7 12 4 2 2" xfId="47526" xr:uid="{00000000-0005-0000-0000-0000C1B30000}"/>
    <cellStyle name="Normal 7 12 4 3" xfId="33595" xr:uid="{00000000-0005-0000-0000-0000C2B30000}"/>
    <cellStyle name="Normal 7 12 5" xfId="16966" xr:uid="{00000000-0005-0000-0000-0000C3B30000}"/>
    <cellStyle name="Normal 7 12 5 2" xfId="42519" xr:uid="{00000000-0005-0000-0000-0000C4B30000}"/>
    <cellStyle name="Normal 7 12 6" xfId="28456" xr:uid="{00000000-0005-0000-0000-0000C5B30000}"/>
    <cellStyle name="Normal 7 13" xfId="4091" xr:uid="{00000000-0005-0000-0000-0000C6B30000}"/>
    <cellStyle name="Normal 7 13 2" xfId="5549" xr:uid="{00000000-0005-0000-0000-0000C7B30000}"/>
    <cellStyle name="Normal 7 13 2 2" xfId="14376" xr:uid="{00000000-0005-0000-0000-0000C8B30000}"/>
    <cellStyle name="Normal 7 13 2 2 2" xfId="39931" xr:uid="{00000000-0005-0000-0000-0000C9B30000}"/>
    <cellStyle name="Normal 7 13 2 3" xfId="24627" xr:uid="{00000000-0005-0000-0000-0000CAB30000}"/>
    <cellStyle name="Normal 7 13 2 3 2" xfId="50180" xr:uid="{00000000-0005-0000-0000-0000CBB30000}"/>
    <cellStyle name="Normal 7 13 2 4" xfId="31110" xr:uid="{00000000-0005-0000-0000-0000CCB30000}"/>
    <cellStyle name="Normal 7 13 3" xfId="6993" xr:uid="{00000000-0005-0000-0000-0000CDB30000}"/>
    <cellStyle name="Normal 7 13 3 2" xfId="23180" xr:uid="{00000000-0005-0000-0000-0000CEB30000}"/>
    <cellStyle name="Normal 7 13 3 2 2" xfId="48733" xr:uid="{00000000-0005-0000-0000-0000CFB30000}"/>
    <cellStyle name="Normal 7 13 3 3" xfId="32550" xr:uid="{00000000-0005-0000-0000-0000D0B30000}"/>
    <cellStyle name="Normal 7 13 4" xfId="18173" xr:uid="{00000000-0005-0000-0000-0000D1B30000}"/>
    <cellStyle name="Normal 7 13 4 2" xfId="43726" xr:uid="{00000000-0005-0000-0000-0000D2B30000}"/>
    <cellStyle name="Normal 7 13 5" xfId="29663" xr:uid="{00000000-0005-0000-0000-0000D3B30000}"/>
    <cellStyle name="Normal 7 14" xfId="1397" xr:uid="{00000000-0005-0000-0000-0000D4B30000}"/>
    <cellStyle name="Normal 7 14 2" xfId="10774" xr:uid="{00000000-0005-0000-0000-0000D5B30000}"/>
    <cellStyle name="Normal 7 14 2 2" xfId="36329" xr:uid="{00000000-0005-0000-0000-0000D6B30000}"/>
    <cellStyle name="Normal 7 14 3" xfId="20778" xr:uid="{00000000-0005-0000-0000-0000D7B30000}"/>
    <cellStyle name="Normal 7 14 3 2" xfId="46331" xr:uid="{00000000-0005-0000-0000-0000D8B30000}"/>
    <cellStyle name="Normal 7 14 4" xfId="27261" xr:uid="{00000000-0005-0000-0000-0000D9B30000}"/>
    <cellStyle name="Normal 7 15" xfId="5509" xr:uid="{00000000-0005-0000-0000-0000DAB30000}"/>
    <cellStyle name="Normal 7 15 2" xfId="14336" xr:uid="{00000000-0005-0000-0000-0000DBB30000}"/>
    <cellStyle name="Normal 7 15 2 2" xfId="39891" xr:uid="{00000000-0005-0000-0000-0000DCB30000}"/>
    <cellStyle name="Normal 7 15 3" xfId="24587" xr:uid="{00000000-0005-0000-0000-0000DDB30000}"/>
    <cellStyle name="Normal 7 15 3 2" xfId="50140" xr:uid="{00000000-0005-0000-0000-0000DEB30000}"/>
    <cellStyle name="Normal 7 15 4" xfId="31070" xr:uid="{00000000-0005-0000-0000-0000DFB30000}"/>
    <cellStyle name="Normal 7 16" xfId="6948" xr:uid="{00000000-0005-0000-0000-0000E0B30000}"/>
    <cellStyle name="Normal 7 16 2" xfId="19573" xr:uid="{00000000-0005-0000-0000-0000E1B30000}"/>
    <cellStyle name="Normal 7 16 2 2" xfId="45126" xr:uid="{00000000-0005-0000-0000-0000E2B30000}"/>
    <cellStyle name="Normal 7 16 3" xfId="32506" xr:uid="{00000000-0005-0000-0000-0000E3B30000}"/>
    <cellStyle name="Normal 7 17" xfId="15771" xr:uid="{00000000-0005-0000-0000-0000E4B30000}"/>
    <cellStyle name="Normal 7 17 2" xfId="41324" xr:uid="{00000000-0005-0000-0000-0000E5B30000}"/>
    <cellStyle name="Normal 7 18" xfId="26056" xr:uid="{00000000-0005-0000-0000-0000E6B30000}"/>
    <cellStyle name="Normal 7 2" xfId="113" xr:uid="{00000000-0005-0000-0000-0000E7B30000}"/>
    <cellStyle name="Normal 7 2 10" xfId="4103" xr:uid="{00000000-0005-0000-0000-0000E8B30000}"/>
    <cellStyle name="Normal 7 2 10 2" xfId="5561" xr:uid="{00000000-0005-0000-0000-0000E9B30000}"/>
    <cellStyle name="Normal 7 2 10 2 2" xfId="14388" xr:uid="{00000000-0005-0000-0000-0000EAB30000}"/>
    <cellStyle name="Normal 7 2 10 2 2 2" xfId="39943" xr:uid="{00000000-0005-0000-0000-0000EBB30000}"/>
    <cellStyle name="Normal 7 2 10 2 3" xfId="24639" xr:uid="{00000000-0005-0000-0000-0000ECB30000}"/>
    <cellStyle name="Normal 7 2 10 2 3 2" xfId="50192" xr:uid="{00000000-0005-0000-0000-0000EDB30000}"/>
    <cellStyle name="Normal 7 2 10 2 4" xfId="31122" xr:uid="{00000000-0005-0000-0000-0000EEB30000}"/>
    <cellStyle name="Normal 7 2 10 3" xfId="7005" xr:uid="{00000000-0005-0000-0000-0000EFB30000}"/>
    <cellStyle name="Normal 7 2 10 3 2" xfId="23192" xr:uid="{00000000-0005-0000-0000-0000F0B30000}"/>
    <cellStyle name="Normal 7 2 10 3 2 2" xfId="48745" xr:uid="{00000000-0005-0000-0000-0000F1B30000}"/>
    <cellStyle name="Normal 7 2 10 3 3" xfId="32562" xr:uid="{00000000-0005-0000-0000-0000F2B30000}"/>
    <cellStyle name="Normal 7 2 10 4" xfId="18185" xr:uid="{00000000-0005-0000-0000-0000F3B30000}"/>
    <cellStyle name="Normal 7 2 10 4 2" xfId="43738" xr:uid="{00000000-0005-0000-0000-0000F4B30000}"/>
    <cellStyle name="Normal 7 2 10 5" xfId="29675" xr:uid="{00000000-0005-0000-0000-0000F5B30000}"/>
    <cellStyle name="Normal 7 2 11" xfId="1422" xr:uid="{00000000-0005-0000-0000-0000F6B30000}"/>
    <cellStyle name="Normal 7 2 11 2" xfId="10799" xr:uid="{00000000-0005-0000-0000-0000F7B30000}"/>
    <cellStyle name="Normal 7 2 11 2 2" xfId="36354" xr:uid="{00000000-0005-0000-0000-0000F8B30000}"/>
    <cellStyle name="Normal 7 2 11 3" xfId="20803" xr:uid="{00000000-0005-0000-0000-0000F9B30000}"/>
    <cellStyle name="Normal 7 2 11 3 2" xfId="46356" xr:uid="{00000000-0005-0000-0000-0000FAB30000}"/>
    <cellStyle name="Normal 7 2 11 4" xfId="27286" xr:uid="{00000000-0005-0000-0000-0000FBB30000}"/>
    <cellStyle name="Normal 7 2 12" xfId="5531" xr:uid="{00000000-0005-0000-0000-0000FCB30000}"/>
    <cellStyle name="Normal 7 2 12 2" xfId="14358" xr:uid="{00000000-0005-0000-0000-0000FDB30000}"/>
    <cellStyle name="Normal 7 2 12 2 2" xfId="39913" xr:uid="{00000000-0005-0000-0000-0000FEB30000}"/>
    <cellStyle name="Normal 7 2 12 3" xfId="24609" xr:uid="{00000000-0005-0000-0000-0000FFB30000}"/>
    <cellStyle name="Normal 7 2 12 3 2" xfId="50162" xr:uid="{00000000-0005-0000-0000-000000B40000}"/>
    <cellStyle name="Normal 7 2 12 4" xfId="31092" xr:uid="{00000000-0005-0000-0000-000001B40000}"/>
    <cellStyle name="Normal 7 2 13" xfId="6975" xr:uid="{00000000-0005-0000-0000-000002B40000}"/>
    <cellStyle name="Normal 7 2 13 2" xfId="19586" xr:uid="{00000000-0005-0000-0000-000003B40000}"/>
    <cellStyle name="Normal 7 2 13 2 2" xfId="45139" xr:uid="{00000000-0005-0000-0000-000004B40000}"/>
    <cellStyle name="Normal 7 2 13 3" xfId="32532" xr:uid="{00000000-0005-0000-0000-000005B40000}"/>
    <cellStyle name="Normal 7 2 14" xfId="15796" xr:uid="{00000000-0005-0000-0000-000006B40000}"/>
    <cellStyle name="Normal 7 2 14 2" xfId="41349" xr:uid="{00000000-0005-0000-0000-000007B40000}"/>
    <cellStyle name="Normal 7 2 15" xfId="26069" xr:uid="{00000000-0005-0000-0000-000008B40000}"/>
    <cellStyle name="Normal 7 2 2" xfId="157" xr:uid="{00000000-0005-0000-0000-000009B40000}"/>
    <cellStyle name="Normal 7 2 2 10" xfId="5663" xr:uid="{00000000-0005-0000-0000-00000AB40000}"/>
    <cellStyle name="Normal 7 2 2 10 2" xfId="14490" xr:uid="{00000000-0005-0000-0000-00000BB40000}"/>
    <cellStyle name="Normal 7 2 2 10 2 2" xfId="40045" xr:uid="{00000000-0005-0000-0000-00000CB40000}"/>
    <cellStyle name="Normal 7 2 2 10 3" xfId="24741" xr:uid="{00000000-0005-0000-0000-00000DB40000}"/>
    <cellStyle name="Normal 7 2 2 10 3 2" xfId="50294" xr:uid="{00000000-0005-0000-0000-00000EB40000}"/>
    <cellStyle name="Normal 7 2 2 10 4" xfId="31224" xr:uid="{00000000-0005-0000-0000-00000FB40000}"/>
    <cellStyle name="Normal 7 2 2 11" xfId="7107" xr:uid="{00000000-0005-0000-0000-000010B40000}"/>
    <cellStyle name="Normal 7 2 2 11 2" xfId="19616" xr:uid="{00000000-0005-0000-0000-000011B40000}"/>
    <cellStyle name="Normal 7 2 2 11 2 2" xfId="45169" xr:uid="{00000000-0005-0000-0000-000012B40000}"/>
    <cellStyle name="Normal 7 2 2 11 3" xfId="32664" xr:uid="{00000000-0005-0000-0000-000013B40000}"/>
    <cellStyle name="Normal 7 2 2 12" xfId="15853" xr:uid="{00000000-0005-0000-0000-000014B40000}"/>
    <cellStyle name="Normal 7 2 2 12 2" xfId="41406" xr:uid="{00000000-0005-0000-0000-000015B40000}"/>
    <cellStyle name="Normal 7 2 2 13" xfId="26099" xr:uid="{00000000-0005-0000-0000-000016B40000}"/>
    <cellStyle name="Normal 7 2 2 2" xfId="269" xr:uid="{00000000-0005-0000-0000-000017B40000}"/>
    <cellStyle name="Normal 7 2 2 2 10" xfId="16057" xr:uid="{00000000-0005-0000-0000-000018B40000}"/>
    <cellStyle name="Normal 7 2 2 2 10 2" xfId="41610" xr:uid="{00000000-0005-0000-0000-000019B40000}"/>
    <cellStyle name="Normal 7 2 2 2 11" xfId="26203" xr:uid="{00000000-0005-0000-0000-00001AB40000}"/>
    <cellStyle name="Normal 7 2 2 2 2" xfId="591" xr:uid="{00000000-0005-0000-0000-00001BB40000}"/>
    <cellStyle name="Normal 7 2 2 2 2 2" xfId="3077" xr:uid="{00000000-0005-0000-0000-00001CB40000}"/>
    <cellStyle name="Normal 7 2 2 2 2 2 2" xfId="12224" xr:uid="{00000000-0005-0000-0000-00001DB40000}"/>
    <cellStyle name="Normal 7 2 2 2 2 2 2 2" xfId="22438" xr:uid="{00000000-0005-0000-0000-00001EB40000}"/>
    <cellStyle name="Normal 7 2 2 2 2 2 2 2 2" xfId="47991" xr:uid="{00000000-0005-0000-0000-00001FB40000}"/>
    <cellStyle name="Normal 7 2 2 2 2 2 2 3" xfId="37779" xr:uid="{00000000-0005-0000-0000-000020B40000}"/>
    <cellStyle name="Normal 7 2 2 2 2 2 3" xfId="8646" xr:uid="{00000000-0005-0000-0000-000021B40000}"/>
    <cellStyle name="Normal 7 2 2 2 2 2 3 2" xfId="34203" xr:uid="{00000000-0005-0000-0000-000022B40000}"/>
    <cellStyle name="Normal 7 2 2 2 2 2 4" xfId="17431" xr:uid="{00000000-0005-0000-0000-000023B40000}"/>
    <cellStyle name="Normal 7 2 2 2 2 2 4 2" xfId="42984" xr:uid="{00000000-0005-0000-0000-000024B40000}"/>
    <cellStyle name="Normal 7 2 2 2 2 2 5" xfId="28921" xr:uid="{00000000-0005-0000-0000-000025B40000}"/>
    <cellStyle name="Normal 7 2 2 2 2 3" xfId="4749" xr:uid="{00000000-0005-0000-0000-000026B40000}"/>
    <cellStyle name="Normal 7 2 2 2 2 3 2" xfId="13586" xr:uid="{00000000-0005-0000-0000-000027B40000}"/>
    <cellStyle name="Normal 7 2 2 2 2 3 2 2" xfId="23837" xr:uid="{00000000-0005-0000-0000-000028B40000}"/>
    <cellStyle name="Normal 7 2 2 2 2 3 2 2 2" xfId="49390" xr:uid="{00000000-0005-0000-0000-000029B40000}"/>
    <cellStyle name="Normal 7 2 2 2 2 3 2 3" xfId="39141" xr:uid="{00000000-0005-0000-0000-00002AB40000}"/>
    <cellStyle name="Normal 7 2 2 2 2 3 3" xfId="10007" xr:uid="{00000000-0005-0000-0000-00002BB40000}"/>
    <cellStyle name="Normal 7 2 2 2 2 3 3 2" xfId="35564" xr:uid="{00000000-0005-0000-0000-00002CB40000}"/>
    <cellStyle name="Normal 7 2 2 2 2 3 4" xfId="18830" xr:uid="{00000000-0005-0000-0000-00002DB40000}"/>
    <cellStyle name="Normal 7 2 2 2 2 3 4 2" xfId="44383" xr:uid="{00000000-0005-0000-0000-00002EB40000}"/>
    <cellStyle name="Normal 7 2 2 2 2 3 5" xfId="30320" xr:uid="{00000000-0005-0000-0000-00002FB40000}"/>
    <cellStyle name="Normal 7 2 2 2 2 4" xfId="2186" xr:uid="{00000000-0005-0000-0000-000030B40000}"/>
    <cellStyle name="Normal 7 2 2 2 2 4 2" xfId="11551" xr:uid="{00000000-0005-0000-0000-000031B40000}"/>
    <cellStyle name="Normal 7 2 2 2 2 4 2 2" xfId="37106" xr:uid="{00000000-0005-0000-0000-000032B40000}"/>
    <cellStyle name="Normal 7 2 2 2 2 4 3" xfId="21555" xr:uid="{00000000-0005-0000-0000-000033B40000}"/>
    <cellStyle name="Normal 7 2 2 2 2 4 3 2" xfId="47108" xr:uid="{00000000-0005-0000-0000-000034B40000}"/>
    <cellStyle name="Normal 7 2 2 2 2 4 4" xfId="28038" xr:uid="{00000000-0005-0000-0000-000035B40000}"/>
    <cellStyle name="Normal 7 2 2 2 2 5" xfId="6204" xr:uid="{00000000-0005-0000-0000-000036B40000}"/>
    <cellStyle name="Normal 7 2 2 2 2 5 2" xfId="15031" xr:uid="{00000000-0005-0000-0000-000037B40000}"/>
    <cellStyle name="Normal 7 2 2 2 2 5 2 2" xfId="40586" xr:uid="{00000000-0005-0000-0000-000038B40000}"/>
    <cellStyle name="Normal 7 2 2 2 2 5 3" xfId="25282" xr:uid="{00000000-0005-0000-0000-000039B40000}"/>
    <cellStyle name="Normal 7 2 2 2 2 5 3 2" xfId="50835" xr:uid="{00000000-0005-0000-0000-00003AB40000}"/>
    <cellStyle name="Normal 7 2 2 2 2 5 4" xfId="31765" xr:uid="{00000000-0005-0000-0000-00003BB40000}"/>
    <cellStyle name="Normal 7 2 2 2 2 6" xfId="7650" xr:uid="{00000000-0005-0000-0000-00003CB40000}"/>
    <cellStyle name="Normal 7 2 2 2 2 6 2" xfId="20037" xr:uid="{00000000-0005-0000-0000-00003DB40000}"/>
    <cellStyle name="Normal 7 2 2 2 2 6 2 2" xfId="45590" xr:uid="{00000000-0005-0000-0000-00003EB40000}"/>
    <cellStyle name="Normal 7 2 2 2 2 6 3" xfId="33207" xr:uid="{00000000-0005-0000-0000-00003FB40000}"/>
    <cellStyle name="Normal 7 2 2 2 2 7" xfId="16548" xr:uid="{00000000-0005-0000-0000-000040B40000}"/>
    <cellStyle name="Normal 7 2 2 2 2 7 2" xfId="42101" xr:uid="{00000000-0005-0000-0000-000041B40000}"/>
    <cellStyle name="Normal 7 2 2 2 2 8" xfId="26520" xr:uid="{00000000-0005-0000-0000-000042B40000}"/>
    <cellStyle name="Normal 7 2 2 2 3" xfId="943" xr:uid="{00000000-0005-0000-0000-000043B40000}"/>
    <cellStyle name="Normal 7 2 2 2 3 2" xfId="3419" xr:uid="{00000000-0005-0000-0000-000044B40000}"/>
    <cellStyle name="Normal 7 2 2 2 3 2 2" xfId="12561" xr:uid="{00000000-0005-0000-0000-000045B40000}"/>
    <cellStyle name="Normal 7 2 2 2 3 2 2 2" xfId="22780" xr:uid="{00000000-0005-0000-0000-000046B40000}"/>
    <cellStyle name="Normal 7 2 2 2 3 2 2 2 2" xfId="48333" xr:uid="{00000000-0005-0000-0000-000047B40000}"/>
    <cellStyle name="Normal 7 2 2 2 3 2 2 3" xfId="38116" xr:uid="{00000000-0005-0000-0000-000048B40000}"/>
    <cellStyle name="Normal 7 2 2 2 3 2 3" xfId="8983" xr:uid="{00000000-0005-0000-0000-000049B40000}"/>
    <cellStyle name="Normal 7 2 2 2 3 2 3 2" xfId="34540" xr:uid="{00000000-0005-0000-0000-00004AB40000}"/>
    <cellStyle name="Normal 7 2 2 2 3 2 4" xfId="17773" xr:uid="{00000000-0005-0000-0000-00004BB40000}"/>
    <cellStyle name="Normal 7 2 2 2 3 2 4 2" xfId="43326" xr:uid="{00000000-0005-0000-0000-00004CB40000}"/>
    <cellStyle name="Normal 7 2 2 2 3 2 5" xfId="29263" xr:uid="{00000000-0005-0000-0000-00004DB40000}"/>
    <cellStyle name="Normal 7 2 2 2 3 3" xfId="5097" xr:uid="{00000000-0005-0000-0000-00004EB40000}"/>
    <cellStyle name="Normal 7 2 2 2 3 3 2" xfId="13934" xr:uid="{00000000-0005-0000-0000-00004FB40000}"/>
    <cellStyle name="Normal 7 2 2 2 3 3 2 2" xfId="24185" xr:uid="{00000000-0005-0000-0000-000050B40000}"/>
    <cellStyle name="Normal 7 2 2 2 3 3 2 2 2" xfId="49738" xr:uid="{00000000-0005-0000-0000-000051B40000}"/>
    <cellStyle name="Normal 7 2 2 2 3 3 2 3" xfId="39489" xr:uid="{00000000-0005-0000-0000-000052B40000}"/>
    <cellStyle name="Normal 7 2 2 2 3 3 3" xfId="10355" xr:uid="{00000000-0005-0000-0000-000053B40000}"/>
    <cellStyle name="Normal 7 2 2 2 3 3 3 2" xfId="35912" xr:uid="{00000000-0005-0000-0000-000054B40000}"/>
    <cellStyle name="Normal 7 2 2 2 3 3 4" xfId="19178" xr:uid="{00000000-0005-0000-0000-000055B40000}"/>
    <cellStyle name="Normal 7 2 2 2 3 3 4 2" xfId="44731" xr:uid="{00000000-0005-0000-0000-000056B40000}"/>
    <cellStyle name="Normal 7 2 2 2 3 3 5" xfId="30668" xr:uid="{00000000-0005-0000-0000-000057B40000}"/>
    <cellStyle name="Normal 7 2 2 2 3 4" xfId="2528" xr:uid="{00000000-0005-0000-0000-000058B40000}"/>
    <cellStyle name="Normal 7 2 2 2 3 4 2" xfId="11893" xr:uid="{00000000-0005-0000-0000-000059B40000}"/>
    <cellStyle name="Normal 7 2 2 2 3 4 2 2" xfId="37448" xr:uid="{00000000-0005-0000-0000-00005AB40000}"/>
    <cellStyle name="Normal 7 2 2 2 3 4 3" xfId="21897" xr:uid="{00000000-0005-0000-0000-00005BB40000}"/>
    <cellStyle name="Normal 7 2 2 2 3 4 3 2" xfId="47450" xr:uid="{00000000-0005-0000-0000-00005CB40000}"/>
    <cellStyle name="Normal 7 2 2 2 3 4 4" xfId="28380" xr:uid="{00000000-0005-0000-0000-00005DB40000}"/>
    <cellStyle name="Normal 7 2 2 2 3 5" xfId="6552" xr:uid="{00000000-0005-0000-0000-00005EB40000}"/>
    <cellStyle name="Normal 7 2 2 2 3 5 2" xfId="15379" xr:uid="{00000000-0005-0000-0000-00005FB40000}"/>
    <cellStyle name="Normal 7 2 2 2 3 5 2 2" xfId="40934" xr:uid="{00000000-0005-0000-0000-000060B40000}"/>
    <cellStyle name="Normal 7 2 2 2 3 5 3" xfId="25630" xr:uid="{00000000-0005-0000-0000-000061B40000}"/>
    <cellStyle name="Normal 7 2 2 2 3 5 3 2" xfId="51183" xr:uid="{00000000-0005-0000-0000-000062B40000}"/>
    <cellStyle name="Normal 7 2 2 2 3 5 4" xfId="32113" xr:uid="{00000000-0005-0000-0000-000063B40000}"/>
    <cellStyle name="Normal 7 2 2 2 3 6" xfId="7998" xr:uid="{00000000-0005-0000-0000-000064B40000}"/>
    <cellStyle name="Normal 7 2 2 2 3 6 2" xfId="20379" xr:uid="{00000000-0005-0000-0000-000065B40000}"/>
    <cellStyle name="Normal 7 2 2 2 3 6 2 2" xfId="45932" xr:uid="{00000000-0005-0000-0000-000066B40000}"/>
    <cellStyle name="Normal 7 2 2 2 3 6 3" xfId="33555" xr:uid="{00000000-0005-0000-0000-000067B40000}"/>
    <cellStyle name="Normal 7 2 2 2 3 7" xfId="16890" xr:uid="{00000000-0005-0000-0000-000068B40000}"/>
    <cellStyle name="Normal 7 2 2 2 3 7 2" xfId="42443" xr:uid="{00000000-0005-0000-0000-000069B40000}"/>
    <cellStyle name="Normal 7 2 2 2 3 8" xfId="26862" xr:uid="{00000000-0005-0000-0000-00006AB40000}"/>
    <cellStyle name="Normal 7 2 2 2 4" xfId="1363" xr:uid="{00000000-0005-0000-0000-00006BB40000}"/>
    <cellStyle name="Normal 7 2 2 2 4 2" xfId="3792" xr:uid="{00000000-0005-0000-0000-00006CB40000}"/>
    <cellStyle name="Normal 7 2 2 2 4 2 2" xfId="12928" xr:uid="{00000000-0005-0000-0000-00006DB40000}"/>
    <cellStyle name="Normal 7 2 2 2 4 2 2 2" xfId="23147" xr:uid="{00000000-0005-0000-0000-00006EB40000}"/>
    <cellStyle name="Normal 7 2 2 2 4 2 2 2 2" xfId="48700" xr:uid="{00000000-0005-0000-0000-00006FB40000}"/>
    <cellStyle name="Normal 7 2 2 2 4 2 2 3" xfId="38483" xr:uid="{00000000-0005-0000-0000-000070B40000}"/>
    <cellStyle name="Normal 7 2 2 2 4 2 3" xfId="9349" xr:uid="{00000000-0005-0000-0000-000071B40000}"/>
    <cellStyle name="Normal 7 2 2 2 4 2 3 2" xfId="34906" xr:uid="{00000000-0005-0000-0000-000072B40000}"/>
    <cellStyle name="Normal 7 2 2 2 4 2 4" xfId="18140" xr:uid="{00000000-0005-0000-0000-000073B40000}"/>
    <cellStyle name="Normal 7 2 2 2 4 2 4 2" xfId="43693" xr:uid="{00000000-0005-0000-0000-000074B40000}"/>
    <cellStyle name="Normal 7 2 2 2 4 2 5" xfId="29630" xr:uid="{00000000-0005-0000-0000-000075B40000}"/>
    <cellStyle name="Normal 7 2 2 2 4 3" xfId="5455" xr:uid="{00000000-0005-0000-0000-000076B40000}"/>
    <cellStyle name="Normal 7 2 2 2 4 3 2" xfId="14292" xr:uid="{00000000-0005-0000-0000-000077B40000}"/>
    <cellStyle name="Normal 7 2 2 2 4 3 2 2" xfId="24543" xr:uid="{00000000-0005-0000-0000-000078B40000}"/>
    <cellStyle name="Normal 7 2 2 2 4 3 2 2 2" xfId="50096" xr:uid="{00000000-0005-0000-0000-000079B40000}"/>
    <cellStyle name="Normal 7 2 2 2 4 3 2 3" xfId="39847" xr:uid="{00000000-0005-0000-0000-00007AB40000}"/>
    <cellStyle name="Normal 7 2 2 2 4 3 3" xfId="10713" xr:uid="{00000000-0005-0000-0000-00007BB40000}"/>
    <cellStyle name="Normal 7 2 2 2 4 3 3 2" xfId="36270" xr:uid="{00000000-0005-0000-0000-00007CB40000}"/>
    <cellStyle name="Normal 7 2 2 2 4 3 4" xfId="19536" xr:uid="{00000000-0005-0000-0000-00007DB40000}"/>
    <cellStyle name="Normal 7 2 2 2 4 3 4 2" xfId="45089" xr:uid="{00000000-0005-0000-0000-00007EB40000}"/>
    <cellStyle name="Normal 7 2 2 2 4 3 5" xfId="31026" xr:uid="{00000000-0005-0000-0000-00007FB40000}"/>
    <cellStyle name="Normal 7 2 2 2 4 4" xfId="1866" xr:uid="{00000000-0005-0000-0000-000080B40000}"/>
    <cellStyle name="Normal 7 2 2 2 4 4 2" xfId="11234" xr:uid="{00000000-0005-0000-0000-000081B40000}"/>
    <cellStyle name="Normal 7 2 2 2 4 4 2 2" xfId="36789" xr:uid="{00000000-0005-0000-0000-000082B40000}"/>
    <cellStyle name="Normal 7 2 2 2 4 4 3" xfId="21238" xr:uid="{00000000-0005-0000-0000-000083B40000}"/>
    <cellStyle name="Normal 7 2 2 2 4 4 3 2" xfId="46791" xr:uid="{00000000-0005-0000-0000-000084B40000}"/>
    <cellStyle name="Normal 7 2 2 2 4 4 4" xfId="27721" xr:uid="{00000000-0005-0000-0000-000085B40000}"/>
    <cellStyle name="Normal 7 2 2 2 4 5" xfId="6910" xr:uid="{00000000-0005-0000-0000-000086B40000}"/>
    <cellStyle name="Normal 7 2 2 2 4 5 2" xfId="15737" xr:uid="{00000000-0005-0000-0000-000087B40000}"/>
    <cellStyle name="Normal 7 2 2 2 4 5 2 2" xfId="41292" xr:uid="{00000000-0005-0000-0000-000088B40000}"/>
    <cellStyle name="Normal 7 2 2 2 4 5 3" xfId="25988" xr:uid="{00000000-0005-0000-0000-000089B40000}"/>
    <cellStyle name="Normal 7 2 2 2 4 5 3 2" xfId="51541" xr:uid="{00000000-0005-0000-0000-00008AB40000}"/>
    <cellStyle name="Normal 7 2 2 2 4 5 4" xfId="32471" xr:uid="{00000000-0005-0000-0000-00008BB40000}"/>
    <cellStyle name="Normal 7 2 2 2 4 6" xfId="8356" xr:uid="{00000000-0005-0000-0000-00008CB40000}"/>
    <cellStyle name="Normal 7 2 2 2 4 6 2" xfId="20746" xr:uid="{00000000-0005-0000-0000-00008DB40000}"/>
    <cellStyle name="Normal 7 2 2 2 4 6 2 2" xfId="46299" xr:uid="{00000000-0005-0000-0000-00008EB40000}"/>
    <cellStyle name="Normal 7 2 2 2 4 6 3" xfId="33913" xr:uid="{00000000-0005-0000-0000-00008FB40000}"/>
    <cellStyle name="Normal 7 2 2 2 4 7" xfId="16231" xr:uid="{00000000-0005-0000-0000-000090B40000}"/>
    <cellStyle name="Normal 7 2 2 2 4 7 2" xfId="41784" xr:uid="{00000000-0005-0000-0000-000091B40000}"/>
    <cellStyle name="Normal 7 2 2 2 4 8" xfId="27229" xr:uid="{00000000-0005-0000-0000-000092B40000}"/>
    <cellStyle name="Normal 7 2 2 2 5" xfId="2760" xr:uid="{00000000-0005-0000-0000-000093B40000}"/>
    <cellStyle name="Normal 7 2 2 2 5 2" xfId="12077" xr:uid="{00000000-0005-0000-0000-000094B40000}"/>
    <cellStyle name="Normal 7 2 2 2 5 2 2" xfId="22121" xr:uid="{00000000-0005-0000-0000-000095B40000}"/>
    <cellStyle name="Normal 7 2 2 2 5 2 2 2" xfId="47674" xr:uid="{00000000-0005-0000-0000-000096B40000}"/>
    <cellStyle name="Normal 7 2 2 2 5 2 3" xfId="37632" xr:uid="{00000000-0005-0000-0000-000097B40000}"/>
    <cellStyle name="Normal 7 2 2 2 5 3" xfId="8639" xr:uid="{00000000-0005-0000-0000-000098B40000}"/>
    <cellStyle name="Normal 7 2 2 2 5 3 2" xfId="34196" xr:uid="{00000000-0005-0000-0000-000099B40000}"/>
    <cellStyle name="Normal 7 2 2 2 5 4" xfId="17114" xr:uid="{00000000-0005-0000-0000-00009AB40000}"/>
    <cellStyle name="Normal 7 2 2 2 5 4 2" xfId="42667" xr:uid="{00000000-0005-0000-0000-00009BB40000}"/>
    <cellStyle name="Normal 7 2 2 2 5 5" xfId="28604" xr:uid="{00000000-0005-0000-0000-00009CB40000}"/>
    <cellStyle name="Normal 7 2 2 2 6" xfId="4411" xr:uid="{00000000-0005-0000-0000-00009DB40000}"/>
    <cellStyle name="Normal 7 2 2 2 6 2" xfId="13249" xr:uid="{00000000-0005-0000-0000-00009EB40000}"/>
    <cellStyle name="Normal 7 2 2 2 6 2 2" xfId="23500" xr:uid="{00000000-0005-0000-0000-00009FB40000}"/>
    <cellStyle name="Normal 7 2 2 2 6 2 2 2" xfId="49053" xr:uid="{00000000-0005-0000-0000-0000A0B40000}"/>
    <cellStyle name="Normal 7 2 2 2 6 2 3" xfId="38804" xr:uid="{00000000-0005-0000-0000-0000A1B40000}"/>
    <cellStyle name="Normal 7 2 2 2 6 3" xfId="9670" xr:uid="{00000000-0005-0000-0000-0000A2B40000}"/>
    <cellStyle name="Normal 7 2 2 2 6 3 2" xfId="35227" xr:uid="{00000000-0005-0000-0000-0000A3B40000}"/>
    <cellStyle name="Normal 7 2 2 2 6 4" xfId="18493" xr:uid="{00000000-0005-0000-0000-0000A4B40000}"/>
    <cellStyle name="Normal 7 2 2 2 6 4 2" xfId="44046" xr:uid="{00000000-0005-0000-0000-0000A5B40000}"/>
    <cellStyle name="Normal 7 2 2 2 6 5" xfId="29983" xr:uid="{00000000-0005-0000-0000-0000A6B40000}"/>
    <cellStyle name="Normal 7 2 2 2 7" xfId="1683" xr:uid="{00000000-0005-0000-0000-0000A7B40000}"/>
    <cellStyle name="Normal 7 2 2 2 7 2" xfId="11060" xr:uid="{00000000-0005-0000-0000-0000A8B40000}"/>
    <cellStyle name="Normal 7 2 2 2 7 2 2" xfId="36615" xr:uid="{00000000-0005-0000-0000-0000A9B40000}"/>
    <cellStyle name="Normal 7 2 2 2 7 3" xfId="21064" xr:uid="{00000000-0005-0000-0000-0000AAB40000}"/>
    <cellStyle name="Normal 7 2 2 2 7 3 2" xfId="46617" xr:uid="{00000000-0005-0000-0000-0000ABB40000}"/>
    <cellStyle name="Normal 7 2 2 2 7 4" xfId="27547" xr:uid="{00000000-0005-0000-0000-0000ACB40000}"/>
    <cellStyle name="Normal 7 2 2 2 8" xfId="5867" xr:uid="{00000000-0005-0000-0000-0000ADB40000}"/>
    <cellStyle name="Normal 7 2 2 2 8 2" xfId="14694" xr:uid="{00000000-0005-0000-0000-0000AEB40000}"/>
    <cellStyle name="Normal 7 2 2 2 8 2 2" xfId="40249" xr:uid="{00000000-0005-0000-0000-0000AFB40000}"/>
    <cellStyle name="Normal 7 2 2 2 8 3" xfId="24945" xr:uid="{00000000-0005-0000-0000-0000B0B40000}"/>
    <cellStyle name="Normal 7 2 2 2 8 3 2" xfId="50498" xr:uid="{00000000-0005-0000-0000-0000B1B40000}"/>
    <cellStyle name="Normal 7 2 2 2 8 4" xfId="31428" xr:uid="{00000000-0005-0000-0000-0000B2B40000}"/>
    <cellStyle name="Normal 7 2 2 2 9" xfId="7311" xr:uid="{00000000-0005-0000-0000-0000B3B40000}"/>
    <cellStyle name="Normal 7 2 2 2 9 2" xfId="19720" xr:uid="{00000000-0005-0000-0000-0000B4B40000}"/>
    <cellStyle name="Normal 7 2 2 2 9 2 2" xfId="45273" xr:uid="{00000000-0005-0000-0000-0000B5B40000}"/>
    <cellStyle name="Normal 7 2 2 2 9 3" xfId="32868" xr:uid="{00000000-0005-0000-0000-0000B6B40000}"/>
    <cellStyle name="Normal 7 2 2 2_Degree data" xfId="4049" xr:uid="{00000000-0005-0000-0000-0000B7B40000}"/>
    <cellStyle name="Normal 7 2 2 3" xfId="487" xr:uid="{00000000-0005-0000-0000-0000B8B40000}"/>
    <cellStyle name="Normal 7 2 2 3 10" xfId="26416" xr:uid="{00000000-0005-0000-0000-0000B9B40000}"/>
    <cellStyle name="Normal 7 2 2 3 2" xfId="944" xr:uid="{00000000-0005-0000-0000-0000BAB40000}"/>
    <cellStyle name="Normal 7 2 2 3 2 2" xfId="3420" xr:uid="{00000000-0005-0000-0000-0000BBB40000}"/>
    <cellStyle name="Normal 7 2 2 3 2 2 2" xfId="12562" xr:uid="{00000000-0005-0000-0000-0000BCB40000}"/>
    <cellStyle name="Normal 7 2 2 3 2 2 2 2" xfId="22781" xr:uid="{00000000-0005-0000-0000-0000BDB40000}"/>
    <cellStyle name="Normal 7 2 2 3 2 2 2 2 2" xfId="48334" xr:uid="{00000000-0005-0000-0000-0000BEB40000}"/>
    <cellStyle name="Normal 7 2 2 3 2 2 2 3" xfId="38117" xr:uid="{00000000-0005-0000-0000-0000BFB40000}"/>
    <cellStyle name="Normal 7 2 2 3 2 2 3" xfId="8984" xr:uid="{00000000-0005-0000-0000-0000C0B40000}"/>
    <cellStyle name="Normal 7 2 2 3 2 2 3 2" xfId="34541" xr:uid="{00000000-0005-0000-0000-0000C1B40000}"/>
    <cellStyle name="Normal 7 2 2 3 2 2 4" xfId="17774" xr:uid="{00000000-0005-0000-0000-0000C2B40000}"/>
    <cellStyle name="Normal 7 2 2 3 2 2 4 2" xfId="43327" xr:uid="{00000000-0005-0000-0000-0000C3B40000}"/>
    <cellStyle name="Normal 7 2 2 3 2 2 5" xfId="29264" xr:uid="{00000000-0005-0000-0000-0000C4B40000}"/>
    <cellStyle name="Normal 7 2 2 3 2 3" xfId="4750" xr:uid="{00000000-0005-0000-0000-0000C5B40000}"/>
    <cellStyle name="Normal 7 2 2 3 2 3 2" xfId="13587" xr:uid="{00000000-0005-0000-0000-0000C6B40000}"/>
    <cellStyle name="Normal 7 2 2 3 2 3 2 2" xfId="23838" xr:uid="{00000000-0005-0000-0000-0000C7B40000}"/>
    <cellStyle name="Normal 7 2 2 3 2 3 2 2 2" xfId="49391" xr:uid="{00000000-0005-0000-0000-0000C8B40000}"/>
    <cellStyle name="Normal 7 2 2 3 2 3 2 3" xfId="39142" xr:uid="{00000000-0005-0000-0000-0000C9B40000}"/>
    <cellStyle name="Normal 7 2 2 3 2 3 3" xfId="10008" xr:uid="{00000000-0005-0000-0000-0000CAB40000}"/>
    <cellStyle name="Normal 7 2 2 3 2 3 3 2" xfId="35565" xr:uid="{00000000-0005-0000-0000-0000CBB40000}"/>
    <cellStyle name="Normal 7 2 2 3 2 3 4" xfId="18831" xr:uid="{00000000-0005-0000-0000-0000CCB40000}"/>
    <cellStyle name="Normal 7 2 2 3 2 3 4 2" xfId="44384" xr:uid="{00000000-0005-0000-0000-0000CDB40000}"/>
    <cellStyle name="Normal 7 2 2 3 2 3 5" xfId="30321" xr:uid="{00000000-0005-0000-0000-0000CEB40000}"/>
    <cellStyle name="Normal 7 2 2 3 2 4" xfId="2529" xr:uid="{00000000-0005-0000-0000-0000CFB40000}"/>
    <cellStyle name="Normal 7 2 2 3 2 4 2" xfId="11894" xr:uid="{00000000-0005-0000-0000-0000D0B40000}"/>
    <cellStyle name="Normal 7 2 2 3 2 4 2 2" xfId="37449" xr:uid="{00000000-0005-0000-0000-0000D1B40000}"/>
    <cellStyle name="Normal 7 2 2 3 2 4 3" xfId="21898" xr:uid="{00000000-0005-0000-0000-0000D2B40000}"/>
    <cellStyle name="Normal 7 2 2 3 2 4 3 2" xfId="47451" xr:uid="{00000000-0005-0000-0000-0000D3B40000}"/>
    <cellStyle name="Normal 7 2 2 3 2 4 4" xfId="28381" xr:uid="{00000000-0005-0000-0000-0000D4B40000}"/>
    <cellStyle name="Normal 7 2 2 3 2 5" xfId="6205" xr:uid="{00000000-0005-0000-0000-0000D5B40000}"/>
    <cellStyle name="Normal 7 2 2 3 2 5 2" xfId="15032" xr:uid="{00000000-0005-0000-0000-0000D6B40000}"/>
    <cellStyle name="Normal 7 2 2 3 2 5 2 2" xfId="40587" xr:uid="{00000000-0005-0000-0000-0000D7B40000}"/>
    <cellStyle name="Normal 7 2 2 3 2 5 3" xfId="25283" xr:uid="{00000000-0005-0000-0000-0000D8B40000}"/>
    <cellStyle name="Normal 7 2 2 3 2 5 3 2" xfId="50836" xr:uid="{00000000-0005-0000-0000-0000D9B40000}"/>
    <cellStyle name="Normal 7 2 2 3 2 5 4" xfId="31766" xr:uid="{00000000-0005-0000-0000-0000DAB40000}"/>
    <cellStyle name="Normal 7 2 2 3 2 6" xfId="7651" xr:uid="{00000000-0005-0000-0000-0000DBB40000}"/>
    <cellStyle name="Normal 7 2 2 3 2 6 2" xfId="20380" xr:uid="{00000000-0005-0000-0000-0000DCB40000}"/>
    <cellStyle name="Normal 7 2 2 3 2 6 2 2" xfId="45933" xr:uid="{00000000-0005-0000-0000-0000DDB40000}"/>
    <cellStyle name="Normal 7 2 2 3 2 6 3" xfId="33208" xr:uid="{00000000-0005-0000-0000-0000DEB40000}"/>
    <cellStyle name="Normal 7 2 2 3 2 7" xfId="16891" xr:uid="{00000000-0005-0000-0000-0000DFB40000}"/>
    <cellStyle name="Normal 7 2 2 3 2 7 2" xfId="42444" xr:uid="{00000000-0005-0000-0000-0000E0B40000}"/>
    <cellStyle name="Normal 7 2 2 3 2 8" xfId="26863" xr:uid="{00000000-0005-0000-0000-0000E1B40000}"/>
    <cellStyle name="Normal 7 2 2 3 3" xfId="1259" xr:uid="{00000000-0005-0000-0000-0000E2B40000}"/>
    <cellStyle name="Normal 7 2 2 3 3 2" xfId="3688" xr:uid="{00000000-0005-0000-0000-0000E3B40000}"/>
    <cellStyle name="Normal 7 2 2 3 3 2 2" xfId="12824" xr:uid="{00000000-0005-0000-0000-0000E4B40000}"/>
    <cellStyle name="Normal 7 2 2 3 3 2 2 2" xfId="23043" xr:uid="{00000000-0005-0000-0000-0000E5B40000}"/>
    <cellStyle name="Normal 7 2 2 3 3 2 2 2 2" xfId="48596" xr:uid="{00000000-0005-0000-0000-0000E6B40000}"/>
    <cellStyle name="Normal 7 2 2 3 3 2 2 3" xfId="38379" xr:uid="{00000000-0005-0000-0000-0000E7B40000}"/>
    <cellStyle name="Normal 7 2 2 3 3 2 3" xfId="9245" xr:uid="{00000000-0005-0000-0000-0000E8B40000}"/>
    <cellStyle name="Normal 7 2 2 3 3 2 3 2" xfId="34802" xr:uid="{00000000-0005-0000-0000-0000E9B40000}"/>
    <cellStyle name="Normal 7 2 2 3 3 2 4" xfId="18036" xr:uid="{00000000-0005-0000-0000-0000EAB40000}"/>
    <cellStyle name="Normal 7 2 2 3 3 2 4 2" xfId="43589" xr:uid="{00000000-0005-0000-0000-0000EBB40000}"/>
    <cellStyle name="Normal 7 2 2 3 3 2 5" xfId="29526" xr:uid="{00000000-0005-0000-0000-0000ECB40000}"/>
    <cellStyle name="Normal 7 2 2 3 3 3" xfId="5098" xr:uid="{00000000-0005-0000-0000-0000EDB40000}"/>
    <cellStyle name="Normal 7 2 2 3 3 3 2" xfId="13935" xr:uid="{00000000-0005-0000-0000-0000EEB40000}"/>
    <cellStyle name="Normal 7 2 2 3 3 3 2 2" xfId="24186" xr:uid="{00000000-0005-0000-0000-0000EFB40000}"/>
    <cellStyle name="Normal 7 2 2 3 3 3 2 2 2" xfId="49739" xr:uid="{00000000-0005-0000-0000-0000F0B40000}"/>
    <cellStyle name="Normal 7 2 2 3 3 3 2 3" xfId="39490" xr:uid="{00000000-0005-0000-0000-0000F1B40000}"/>
    <cellStyle name="Normal 7 2 2 3 3 3 3" xfId="10356" xr:uid="{00000000-0005-0000-0000-0000F2B40000}"/>
    <cellStyle name="Normal 7 2 2 3 3 3 3 2" xfId="35913" xr:uid="{00000000-0005-0000-0000-0000F3B40000}"/>
    <cellStyle name="Normal 7 2 2 3 3 3 4" xfId="19179" xr:uid="{00000000-0005-0000-0000-0000F4B40000}"/>
    <cellStyle name="Normal 7 2 2 3 3 3 4 2" xfId="44732" xr:uid="{00000000-0005-0000-0000-0000F5B40000}"/>
    <cellStyle name="Normal 7 2 2 3 3 3 5" xfId="30669" xr:uid="{00000000-0005-0000-0000-0000F6B40000}"/>
    <cellStyle name="Normal 7 2 2 3 3 4" xfId="2082" xr:uid="{00000000-0005-0000-0000-0000F7B40000}"/>
    <cellStyle name="Normal 7 2 2 3 3 4 2" xfId="11447" xr:uid="{00000000-0005-0000-0000-0000F8B40000}"/>
    <cellStyle name="Normal 7 2 2 3 3 4 2 2" xfId="37002" xr:uid="{00000000-0005-0000-0000-0000F9B40000}"/>
    <cellStyle name="Normal 7 2 2 3 3 4 3" xfId="21451" xr:uid="{00000000-0005-0000-0000-0000FAB40000}"/>
    <cellStyle name="Normal 7 2 2 3 3 4 3 2" xfId="47004" xr:uid="{00000000-0005-0000-0000-0000FBB40000}"/>
    <cellStyle name="Normal 7 2 2 3 3 4 4" xfId="27934" xr:uid="{00000000-0005-0000-0000-0000FCB40000}"/>
    <cellStyle name="Normal 7 2 2 3 3 5" xfId="6553" xr:uid="{00000000-0005-0000-0000-0000FDB40000}"/>
    <cellStyle name="Normal 7 2 2 3 3 5 2" xfId="15380" xr:uid="{00000000-0005-0000-0000-0000FEB40000}"/>
    <cellStyle name="Normal 7 2 2 3 3 5 2 2" xfId="40935" xr:uid="{00000000-0005-0000-0000-0000FFB40000}"/>
    <cellStyle name="Normal 7 2 2 3 3 5 3" xfId="25631" xr:uid="{00000000-0005-0000-0000-000000B50000}"/>
    <cellStyle name="Normal 7 2 2 3 3 5 3 2" xfId="51184" xr:uid="{00000000-0005-0000-0000-000001B50000}"/>
    <cellStyle name="Normal 7 2 2 3 3 5 4" xfId="32114" xr:uid="{00000000-0005-0000-0000-000002B50000}"/>
    <cellStyle name="Normal 7 2 2 3 3 6" xfId="7999" xr:uid="{00000000-0005-0000-0000-000003B50000}"/>
    <cellStyle name="Normal 7 2 2 3 3 6 2" xfId="20642" xr:uid="{00000000-0005-0000-0000-000004B50000}"/>
    <cellStyle name="Normal 7 2 2 3 3 6 2 2" xfId="46195" xr:uid="{00000000-0005-0000-0000-000005B50000}"/>
    <cellStyle name="Normal 7 2 2 3 3 6 3" xfId="33556" xr:uid="{00000000-0005-0000-0000-000006B50000}"/>
    <cellStyle name="Normal 7 2 2 3 3 7" xfId="16444" xr:uid="{00000000-0005-0000-0000-000007B50000}"/>
    <cellStyle name="Normal 7 2 2 3 3 7 2" xfId="41997" xr:uid="{00000000-0005-0000-0000-000008B50000}"/>
    <cellStyle name="Normal 7 2 2 3 3 8" xfId="27125" xr:uid="{00000000-0005-0000-0000-000009B50000}"/>
    <cellStyle name="Normal 7 2 2 3 4" xfId="2973" xr:uid="{00000000-0005-0000-0000-00000AB50000}"/>
    <cellStyle name="Normal 7 2 2 3 4 2" xfId="5351" xr:uid="{00000000-0005-0000-0000-00000BB50000}"/>
    <cellStyle name="Normal 7 2 2 3 4 2 2" xfId="14188" xr:uid="{00000000-0005-0000-0000-00000CB50000}"/>
    <cellStyle name="Normal 7 2 2 3 4 2 2 2" xfId="24439" xr:uid="{00000000-0005-0000-0000-00000DB50000}"/>
    <cellStyle name="Normal 7 2 2 3 4 2 2 2 2" xfId="49992" xr:uid="{00000000-0005-0000-0000-00000EB50000}"/>
    <cellStyle name="Normal 7 2 2 3 4 2 2 3" xfId="39743" xr:uid="{00000000-0005-0000-0000-00000FB50000}"/>
    <cellStyle name="Normal 7 2 2 3 4 2 3" xfId="10609" xr:uid="{00000000-0005-0000-0000-000010B50000}"/>
    <cellStyle name="Normal 7 2 2 3 4 2 3 2" xfId="36166" xr:uid="{00000000-0005-0000-0000-000011B50000}"/>
    <cellStyle name="Normal 7 2 2 3 4 2 4" xfId="19432" xr:uid="{00000000-0005-0000-0000-000012B50000}"/>
    <cellStyle name="Normal 7 2 2 3 4 2 4 2" xfId="44985" xr:uid="{00000000-0005-0000-0000-000013B50000}"/>
    <cellStyle name="Normal 7 2 2 3 4 2 5" xfId="30922" xr:uid="{00000000-0005-0000-0000-000014B50000}"/>
    <cellStyle name="Normal 7 2 2 3 4 3" xfId="6806" xr:uid="{00000000-0005-0000-0000-000015B50000}"/>
    <cellStyle name="Normal 7 2 2 3 4 3 2" xfId="15633" xr:uid="{00000000-0005-0000-0000-000016B50000}"/>
    <cellStyle name="Normal 7 2 2 3 4 3 2 2" xfId="41188" xr:uid="{00000000-0005-0000-0000-000017B50000}"/>
    <cellStyle name="Normal 7 2 2 3 4 3 3" xfId="25884" xr:uid="{00000000-0005-0000-0000-000018B50000}"/>
    <cellStyle name="Normal 7 2 2 3 4 3 3 2" xfId="51437" xr:uid="{00000000-0005-0000-0000-000019B50000}"/>
    <cellStyle name="Normal 7 2 2 3 4 3 4" xfId="32367" xr:uid="{00000000-0005-0000-0000-00001AB50000}"/>
    <cellStyle name="Normal 7 2 2 3 4 4" xfId="8252" xr:uid="{00000000-0005-0000-0000-00001BB50000}"/>
    <cellStyle name="Normal 7 2 2 3 4 4 2" xfId="22334" xr:uid="{00000000-0005-0000-0000-00001CB50000}"/>
    <cellStyle name="Normal 7 2 2 3 4 4 2 2" xfId="47887" xr:uid="{00000000-0005-0000-0000-00001DB50000}"/>
    <cellStyle name="Normal 7 2 2 3 4 4 3" xfId="33809" xr:uid="{00000000-0005-0000-0000-00001EB50000}"/>
    <cellStyle name="Normal 7 2 2 3 4 5" xfId="17327" xr:uid="{00000000-0005-0000-0000-00001FB50000}"/>
    <cellStyle name="Normal 7 2 2 3 4 5 2" xfId="42880" xr:uid="{00000000-0005-0000-0000-000020B50000}"/>
    <cellStyle name="Normal 7 2 2 3 4 6" xfId="28817" xr:uid="{00000000-0005-0000-0000-000021B50000}"/>
    <cellStyle name="Normal 7 2 2 3 5" xfId="4307" xr:uid="{00000000-0005-0000-0000-000022B50000}"/>
    <cellStyle name="Normal 7 2 2 3 5 2" xfId="13145" xr:uid="{00000000-0005-0000-0000-000023B50000}"/>
    <cellStyle name="Normal 7 2 2 3 5 2 2" xfId="23396" xr:uid="{00000000-0005-0000-0000-000024B50000}"/>
    <cellStyle name="Normal 7 2 2 3 5 2 2 2" xfId="48949" xr:uid="{00000000-0005-0000-0000-000025B50000}"/>
    <cellStyle name="Normal 7 2 2 3 5 2 3" xfId="38700" xr:uid="{00000000-0005-0000-0000-000026B50000}"/>
    <cellStyle name="Normal 7 2 2 3 5 3" xfId="9566" xr:uid="{00000000-0005-0000-0000-000027B50000}"/>
    <cellStyle name="Normal 7 2 2 3 5 3 2" xfId="35123" xr:uid="{00000000-0005-0000-0000-000028B50000}"/>
    <cellStyle name="Normal 7 2 2 3 5 4" xfId="18389" xr:uid="{00000000-0005-0000-0000-000029B50000}"/>
    <cellStyle name="Normal 7 2 2 3 5 4 2" xfId="43942" xr:uid="{00000000-0005-0000-0000-00002AB50000}"/>
    <cellStyle name="Normal 7 2 2 3 5 5" xfId="29879" xr:uid="{00000000-0005-0000-0000-00002BB50000}"/>
    <cellStyle name="Normal 7 2 2 3 6" xfId="1579" xr:uid="{00000000-0005-0000-0000-00002CB50000}"/>
    <cellStyle name="Normal 7 2 2 3 6 2" xfId="10956" xr:uid="{00000000-0005-0000-0000-00002DB50000}"/>
    <cellStyle name="Normal 7 2 2 3 6 2 2" xfId="36511" xr:uid="{00000000-0005-0000-0000-00002EB50000}"/>
    <cellStyle name="Normal 7 2 2 3 6 3" xfId="20960" xr:uid="{00000000-0005-0000-0000-00002FB50000}"/>
    <cellStyle name="Normal 7 2 2 3 6 3 2" xfId="46513" xr:uid="{00000000-0005-0000-0000-000030B50000}"/>
    <cellStyle name="Normal 7 2 2 3 6 4" xfId="27443" xr:uid="{00000000-0005-0000-0000-000031B50000}"/>
    <cellStyle name="Normal 7 2 2 3 7" xfId="5763" xr:uid="{00000000-0005-0000-0000-000032B50000}"/>
    <cellStyle name="Normal 7 2 2 3 7 2" xfId="14590" xr:uid="{00000000-0005-0000-0000-000033B50000}"/>
    <cellStyle name="Normal 7 2 2 3 7 2 2" xfId="40145" xr:uid="{00000000-0005-0000-0000-000034B50000}"/>
    <cellStyle name="Normal 7 2 2 3 7 3" xfId="24841" xr:uid="{00000000-0005-0000-0000-000035B50000}"/>
    <cellStyle name="Normal 7 2 2 3 7 3 2" xfId="50394" xr:uid="{00000000-0005-0000-0000-000036B50000}"/>
    <cellStyle name="Normal 7 2 2 3 7 4" xfId="31324" xr:uid="{00000000-0005-0000-0000-000037B50000}"/>
    <cellStyle name="Normal 7 2 2 3 8" xfId="7207" xr:uid="{00000000-0005-0000-0000-000038B50000}"/>
    <cellStyle name="Normal 7 2 2 3 8 2" xfId="19933" xr:uid="{00000000-0005-0000-0000-000039B50000}"/>
    <cellStyle name="Normal 7 2 2 3 8 2 2" xfId="45486" xr:uid="{00000000-0005-0000-0000-00003AB50000}"/>
    <cellStyle name="Normal 7 2 2 3 8 3" xfId="32764" xr:uid="{00000000-0005-0000-0000-00003BB50000}"/>
    <cellStyle name="Normal 7 2 2 3 9" xfId="15953" xr:uid="{00000000-0005-0000-0000-00003CB50000}"/>
    <cellStyle name="Normal 7 2 2 3 9 2" xfId="41506" xr:uid="{00000000-0005-0000-0000-00003DB50000}"/>
    <cellStyle name="Normal 7 2 2 3_Degree data" xfId="4050" xr:uid="{00000000-0005-0000-0000-00003EB50000}"/>
    <cellStyle name="Normal 7 2 2 4" xfId="387" xr:uid="{00000000-0005-0000-0000-00003FB50000}"/>
    <cellStyle name="Normal 7 2 2 4 2" xfId="2873" xr:uid="{00000000-0005-0000-0000-000040B50000}"/>
    <cellStyle name="Normal 7 2 2 4 2 2" xfId="12161" xr:uid="{00000000-0005-0000-0000-000041B50000}"/>
    <cellStyle name="Normal 7 2 2 4 2 2 2" xfId="22234" xr:uid="{00000000-0005-0000-0000-000042B50000}"/>
    <cellStyle name="Normal 7 2 2 4 2 2 2 2" xfId="47787" xr:uid="{00000000-0005-0000-0000-000043B50000}"/>
    <cellStyle name="Normal 7 2 2 4 2 2 3" xfId="37716" xr:uid="{00000000-0005-0000-0000-000044B50000}"/>
    <cellStyle name="Normal 7 2 2 4 2 3" xfId="8598" xr:uid="{00000000-0005-0000-0000-000045B50000}"/>
    <cellStyle name="Normal 7 2 2 4 2 3 2" xfId="34155" xr:uid="{00000000-0005-0000-0000-000046B50000}"/>
    <cellStyle name="Normal 7 2 2 4 2 4" xfId="17227" xr:uid="{00000000-0005-0000-0000-000047B50000}"/>
    <cellStyle name="Normal 7 2 2 4 2 4 2" xfId="42780" xr:uid="{00000000-0005-0000-0000-000048B50000}"/>
    <cellStyle name="Normal 7 2 2 4 2 5" xfId="28717" xr:uid="{00000000-0005-0000-0000-000049B50000}"/>
    <cellStyle name="Normal 7 2 2 4 3" xfId="4748" xr:uid="{00000000-0005-0000-0000-00004AB50000}"/>
    <cellStyle name="Normal 7 2 2 4 3 2" xfId="13585" xr:uid="{00000000-0005-0000-0000-00004BB50000}"/>
    <cellStyle name="Normal 7 2 2 4 3 2 2" xfId="23836" xr:uid="{00000000-0005-0000-0000-00004CB50000}"/>
    <cellStyle name="Normal 7 2 2 4 3 2 2 2" xfId="49389" xr:uid="{00000000-0005-0000-0000-00004DB50000}"/>
    <cellStyle name="Normal 7 2 2 4 3 2 3" xfId="39140" xr:uid="{00000000-0005-0000-0000-00004EB50000}"/>
    <cellStyle name="Normal 7 2 2 4 3 3" xfId="10006" xr:uid="{00000000-0005-0000-0000-00004FB50000}"/>
    <cellStyle name="Normal 7 2 2 4 3 3 2" xfId="35563" xr:uid="{00000000-0005-0000-0000-000050B50000}"/>
    <cellStyle name="Normal 7 2 2 4 3 4" xfId="18829" xr:uid="{00000000-0005-0000-0000-000051B50000}"/>
    <cellStyle name="Normal 7 2 2 4 3 4 2" xfId="44382" xr:uid="{00000000-0005-0000-0000-000052B50000}"/>
    <cellStyle name="Normal 7 2 2 4 3 5" xfId="30319" xr:uid="{00000000-0005-0000-0000-000053B50000}"/>
    <cellStyle name="Normal 7 2 2 4 4" xfId="1982" xr:uid="{00000000-0005-0000-0000-000054B50000}"/>
    <cellStyle name="Normal 7 2 2 4 4 2" xfId="11347" xr:uid="{00000000-0005-0000-0000-000055B50000}"/>
    <cellStyle name="Normal 7 2 2 4 4 2 2" xfId="36902" xr:uid="{00000000-0005-0000-0000-000056B50000}"/>
    <cellStyle name="Normal 7 2 2 4 4 3" xfId="21351" xr:uid="{00000000-0005-0000-0000-000057B50000}"/>
    <cellStyle name="Normal 7 2 2 4 4 3 2" xfId="46904" xr:uid="{00000000-0005-0000-0000-000058B50000}"/>
    <cellStyle name="Normal 7 2 2 4 4 4" xfId="27834" xr:uid="{00000000-0005-0000-0000-000059B50000}"/>
    <cellStyle name="Normal 7 2 2 4 5" xfId="6203" xr:uid="{00000000-0005-0000-0000-00005AB50000}"/>
    <cellStyle name="Normal 7 2 2 4 5 2" xfId="15030" xr:uid="{00000000-0005-0000-0000-00005BB50000}"/>
    <cellStyle name="Normal 7 2 2 4 5 2 2" xfId="40585" xr:uid="{00000000-0005-0000-0000-00005CB50000}"/>
    <cellStyle name="Normal 7 2 2 4 5 3" xfId="25281" xr:uid="{00000000-0005-0000-0000-00005DB50000}"/>
    <cellStyle name="Normal 7 2 2 4 5 3 2" xfId="50834" xr:uid="{00000000-0005-0000-0000-00005EB50000}"/>
    <cellStyle name="Normal 7 2 2 4 5 4" xfId="31764" xr:uid="{00000000-0005-0000-0000-00005FB50000}"/>
    <cellStyle name="Normal 7 2 2 4 6" xfId="7649" xr:uid="{00000000-0005-0000-0000-000060B50000}"/>
    <cellStyle name="Normal 7 2 2 4 6 2" xfId="19833" xr:uid="{00000000-0005-0000-0000-000061B50000}"/>
    <cellStyle name="Normal 7 2 2 4 6 2 2" xfId="45386" xr:uid="{00000000-0005-0000-0000-000062B50000}"/>
    <cellStyle name="Normal 7 2 2 4 6 3" xfId="33206" xr:uid="{00000000-0005-0000-0000-000063B50000}"/>
    <cellStyle name="Normal 7 2 2 4 7" xfId="16344" xr:uid="{00000000-0005-0000-0000-000064B50000}"/>
    <cellStyle name="Normal 7 2 2 4 7 2" xfId="41897" xr:uid="{00000000-0005-0000-0000-000065B50000}"/>
    <cellStyle name="Normal 7 2 2 4 8" xfId="26316" xr:uid="{00000000-0005-0000-0000-000066B50000}"/>
    <cellStyle name="Normal 7 2 2 5" xfId="942" xr:uid="{00000000-0005-0000-0000-000067B50000}"/>
    <cellStyle name="Normal 7 2 2 5 2" xfId="3418" xr:uid="{00000000-0005-0000-0000-000068B50000}"/>
    <cellStyle name="Normal 7 2 2 5 2 2" xfId="12560" xr:uid="{00000000-0005-0000-0000-000069B50000}"/>
    <cellStyle name="Normal 7 2 2 5 2 2 2" xfId="22779" xr:uid="{00000000-0005-0000-0000-00006AB50000}"/>
    <cellStyle name="Normal 7 2 2 5 2 2 2 2" xfId="48332" xr:uid="{00000000-0005-0000-0000-00006BB50000}"/>
    <cellStyle name="Normal 7 2 2 5 2 2 3" xfId="38115" xr:uid="{00000000-0005-0000-0000-00006CB50000}"/>
    <cellStyle name="Normal 7 2 2 5 2 3" xfId="8982" xr:uid="{00000000-0005-0000-0000-00006DB50000}"/>
    <cellStyle name="Normal 7 2 2 5 2 3 2" xfId="34539" xr:uid="{00000000-0005-0000-0000-00006EB50000}"/>
    <cellStyle name="Normal 7 2 2 5 2 4" xfId="17772" xr:uid="{00000000-0005-0000-0000-00006FB50000}"/>
    <cellStyle name="Normal 7 2 2 5 2 4 2" xfId="43325" xr:uid="{00000000-0005-0000-0000-000070B50000}"/>
    <cellStyle name="Normal 7 2 2 5 2 5" xfId="29262" xr:uid="{00000000-0005-0000-0000-000071B50000}"/>
    <cellStyle name="Normal 7 2 2 5 3" xfId="5096" xr:uid="{00000000-0005-0000-0000-000072B50000}"/>
    <cellStyle name="Normal 7 2 2 5 3 2" xfId="13933" xr:uid="{00000000-0005-0000-0000-000073B50000}"/>
    <cellStyle name="Normal 7 2 2 5 3 2 2" xfId="24184" xr:uid="{00000000-0005-0000-0000-000074B50000}"/>
    <cellStyle name="Normal 7 2 2 5 3 2 2 2" xfId="49737" xr:uid="{00000000-0005-0000-0000-000075B50000}"/>
    <cellStyle name="Normal 7 2 2 5 3 2 3" xfId="39488" xr:uid="{00000000-0005-0000-0000-000076B50000}"/>
    <cellStyle name="Normal 7 2 2 5 3 3" xfId="10354" xr:uid="{00000000-0005-0000-0000-000077B50000}"/>
    <cellStyle name="Normal 7 2 2 5 3 3 2" xfId="35911" xr:uid="{00000000-0005-0000-0000-000078B50000}"/>
    <cellStyle name="Normal 7 2 2 5 3 4" xfId="19177" xr:uid="{00000000-0005-0000-0000-000079B50000}"/>
    <cellStyle name="Normal 7 2 2 5 3 4 2" xfId="44730" xr:uid="{00000000-0005-0000-0000-00007AB50000}"/>
    <cellStyle name="Normal 7 2 2 5 3 5" xfId="30667" xr:uid="{00000000-0005-0000-0000-00007BB50000}"/>
    <cellStyle name="Normal 7 2 2 5 4" xfId="2527" xr:uid="{00000000-0005-0000-0000-00007CB50000}"/>
    <cellStyle name="Normal 7 2 2 5 4 2" xfId="11892" xr:uid="{00000000-0005-0000-0000-00007DB50000}"/>
    <cellStyle name="Normal 7 2 2 5 4 2 2" xfId="37447" xr:uid="{00000000-0005-0000-0000-00007EB50000}"/>
    <cellStyle name="Normal 7 2 2 5 4 3" xfId="21896" xr:uid="{00000000-0005-0000-0000-00007FB50000}"/>
    <cellStyle name="Normal 7 2 2 5 4 3 2" xfId="47449" xr:uid="{00000000-0005-0000-0000-000080B50000}"/>
    <cellStyle name="Normal 7 2 2 5 4 4" xfId="28379" xr:uid="{00000000-0005-0000-0000-000081B50000}"/>
    <cellStyle name="Normal 7 2 2 5 5" xfId="6551" xr:uid="{00000000-0005-0000-0000-000082B50000}"/>
    <cellStyle name="Normal 7 2 2 5 5 2" xfId="15378" xr:uid="{00000000-0005-0000-0000-000083B50000}"/>
    <cellStyle name="Normal 7 2 2 5 5 2 2" xfId="40933" xr:uid="{00000000-0005-0000-0000-000084B50000}"/>
    <cellStyle name="Normal 7 2 2 5 5 3" xfId="25629" xr:uid="{00000000-0005-0000-0000-000085B50000}"/>
    <cellStyle name="Normal 7 2 2 5 5 3 2" xfId="51182" xr:uid="{00000000-0005-0000-0000-000086B50000}"/>
    <cellStyle name="Normal 7 2 2 5 5 4" xfId="32112" xr:uid="{00000000-0005-0000-0000-000087B50000}"/>
    <cellStyle name="Normal 7 2 2 5 6" xfId="7997" xr:uid="{00000000-0005-0000-0000-000088B50000}"/>
    <cellStyle name="Normal 7 2 2 5 6 2" xfId="20378" xr:uid="{00000000-0005-0000-0000-000089B50000}"/>
    <cellStyle name="Normal 7 2 2 5 6 2 2" xfId="45931" xr:uid="{00000000-0005-0000-0000-00008AB50000}"/>
    <cellStyle name="Normal 7 2 2 5 6 3" xfId="33554" xr:uid="{00000000-0005-0000-0000-00008BB50000}"/>
    <cellStyle name="Normal 7 2 2 5 7" xfId="16889" xr:uid="{00000000-0005-0000-0000-00008CB50000}"/>
    <cellStyle name="Normal 7 2 2 5 7 2" xfId="42442" xr:uid="{00000000-0005-0000-0000-00008DB50000}"/>
    <cellStyle name="Normal 7 2 2 5 8" xfId="26861" xr:uid="{00000000-0005-0000-0000-00008EB50000}"/>
    <cellStyle name="Normal 7 2 2 6" xfId="1159" xr:uid="{00000000-0005-0000-0000-00008FB50000}"/>
    <cellStyle name="Normal 7 2 2 6 2" xfId="3588" xr:uid="{00000000-0005-0000-0000-000090B50000}"/>
    <cellStyle name="Normal 7 2 2 6 2 2" xfId="12724" xr:uid="{00000000-0005-0000-0000-000091B50000}"/>
    <cellStyle name="Normal 7 2 2 6 2 2 2" xfId="22943" xr:uid="{00000000-0005-0000-0000-000092B50000}"/>
    <cellStyle name="Normal 7 2 2 6 2 2 2 2" xfId="48496" xr:uid="{00000000-0005-0000-0000-000093B50000}"/>
    <cellStyle name="Normal 7 2 2 6 2 2 3" xfId="38279" xr:uid="{00000000-0005-0000-0000-000094B50000}"/>
    <cellStyle name="Normal 7 2 2 6 2 3" xfId="9145" xr:uid="{00000000-0005-0000-0000-000095B50000}"/>
    <cellStyle name="Normal 7 2 2 6 2 3 2" xfId="34702" xr:uid="{00000000-0005-0000-0000-000096B50000}"/>
    <cellStyle name="Normal 7 2 2 6 2 4" xfId="17936" xr:uid="{00000000-0005-0000-0000-000097B50000}"/>
    <cellStyle name="Normal 7 2 2 6 2 4 2" xfId="43489" xr:uid="{00000000-0005-0000-0000-000098B50000}"/>
    <cellStyle name="Normal 7 2 2 6 2 5" xfId="29426" xr:uid="{00000000-0005-0000-0000-000099B50000}"/>
    <cellStyle name="Normal 7 2 2 6 3" xfId="5251" xr:uid="{00000000-0005-0000-0000-00009AB50000}"/>
    <cellStyle name="Normal 7 2 2 6 3 2" xfId="14088" xr:uid="{00000000-0005-0000-0000-00009BB50000}"/>
    <cellStyle name="Normal 7 2 2 6 3 2 2" xfId="24339" xr:uid="{00000000-0005-0000-0000-00009CB50000}"/>
    <cellStyle name="Normal 7 2 2 6 3 2 2 2" xfId="49892" xr:uid="{00000000-0005-0000-0000-00009DB50000}"/>
    <cellStyle name="Normal 7 2 2 6 3 2 3" xfId="39643" xr:uid="{00000000-0005-0000-0000-00009EB50000}"/>
    <cellStyle name="Normal 7 2 2 6 3 3" xfId="10509" xr:uid="{00000000-0005-0000-0000-00009FB50000}"/>
    <cellStyle name="Normal 7 2 2 6 3 3 2" xfId="36066" xr:uid="{00000000-0005-0000-0000-0000A0B50000}"/>
    <cellStyle name="Normal 7 2 2 6 3 4" xfId="19332" xr:uid="{00000000-0005-0000-0000-0000A1B50000}"/>
    <cellStyle name="Normal 7 2 2 6 3 4 2" xfId="44885" xr:uid="{00000000-0005-0000-0000-0000A2B50000}"/>
    <cellStyle name="Normal 7 2 2 6 3 5" xfId="30822" xr:uid="{00000000-0005-0000-0000-0000A3B50000}"/>
    <cellStyle name="Normal 7 2 2 6 4" xfId="1759" xr:uid="{00000000-0005-0000-0000-0000A4B50000}"/>
    <cellStyle name="Normal 7 2 2 6 4 2" xfId="11130" xr:uid="{00000000-0005-0000-0000-0000A5B50000}"/>
    <cellStyle name="Normal 7 2 2 6 4 2 2" xfId="36685" xr:uid="{00000000-0005-0000-0000-0000A6B50000}"/>
    <cellStyle name="Normal 7 2 2 6 4 3" xfId="21134" xr:uid="{00000000-0005-0000-0000-0000A7B50000}"/>
    <cellStyle name="Normal 7 2 2 6 4 3 2" xfId="46687" xr:uid="{00000000-0005-0000-0000-0000A8B50000}"/>
    <cellStyle name="Normal 7 2 2 6 4 4" xfId="27617" xr:uid="{00000000-0005-0000-0000-0000A9B50000}"/>
    <cellStyle name="Normal 7 2 2 6 5" xfId="6706" xr:uid="{00000000-0005-0000-0000-0000AAB50000}"/>
    <cellStyle name="Normal 7 2 2 6 5 2" xfId="15533" xr:uid="{00000000-0005-0000-0000-0000ABB50000}"/>
    <cellStyle name="Normal 7 2 2 6 5 2 2" xfId="41088" xr:uid="{00000000-0005-0000-0000-0000ACB50000}"/>
    <cellStyle name="Normal 7 2 2 6 5 3" xfId="25784" xr:uid="{00000000-0005-0000-0000-0000ADB50000}"/>
    <cellStyle name="Normal 7 2 2 6 5 3 2" xfId="51337" xr:uid="{00000000-0005-0000-0000-0000AEB50000}"/>
    <cellStyle name="Normal 7 2 2 6 5 4" xfId="32267" xr:uid="{00000000-0005-0000-0000-0000AFB50000}"/>
    <cellStyle name="Normal 7 2 2 6 6" xfId="8152" xr:uid="{00000000-0005-0000-0000-0000B0B50000}"/>
    <cellStyle name="Normal 7 2 2 6 6 2" xfId="20542" xr:uid="{00000000-0005-0000-0000-0000B1B50000}"/>
    <cellStyle name="Normal 7 2 2 6 6 2 2" xfId="46095" xr:uid="{00000000-0005-0000-0000-0000B2B50000}"/>
    <cellStyle name="Normal 7 2 2 6 6 3" xfId="33709" xr:uid="{00000000-0005-0000-0000-0000B3B50000}"/>
    <cellStyle name="Normal 7 2 2 6 7" xfId="16127" xr:uid="{00000000-0005-0000-0000-0000B4B50000}"/>
    <cellStyle name="Normal 7 2 2 6 7 2" xfId="41680" xr:uid="{00000000-0005-0000-0000-0000B5B50000}"/>
    <cellStyle name="Normal 7 2 2 6 8" xfId="27025" xr:uid="{00000000-0005-0000-0000-0000B6B50000}"/>
    <cellStyle name="Normal 7 2 2 7" xfId="2656" xr:uid="{00000000-0005-0000-0000-0000B7B50000}"/>
    <cellStyle name="Normal 7 2 2 7 2" xfId="11976" xr:uid="{00000000-0005-0000-0000-0000B8B50000}"/>
    <cellStyle name="Normal 7 2 2 7 2 2" xfId="22017" xr:uid="{00000000-0005-0000-0000-0000B9B50000}"/>
    <cellStyle name="Normal 7 2 2 7 2 2 2" xfId="47570" xr:uid="{00000000-0005-0000-0000-0000BAB50000}"/>
    <cellStyle name="Normal 7 2 2 7 2 3" xfId="37531" xr:uid="{00000000-0005-0000-0000-0000BBB50000}"/>
    <cellStyle name="Normal 7 2 2 7 3" xfId="8569" xr:uid="{00000000-0005-0000-0000-0000BCB50000}"/>
    <cellStyle name="Normal 7 2 2 7 3 2" xfId="34126" xr:uid="{00000000-0005-0000-0000-0000BDB50000}"/>
    <cellStyle name="Normal 7 2 2 7 4" xfId="17010" xr:uid="{00000000-0005-0000-0000-0000BEB50000}"/>
    <cellStyle name="Normal 7 2 2 7 4 2" xfId="42563" xr:uid="{00000000-0005-0000-0000-0000BFB50000}"/>
    <cellStyle name="Normal 7 2 2 7 5" xfId="28500" xr:uid="{00000000-0005-0000-0000-0000C0B50000}"/>
    <cellStyle name="Normal 7 2 2 8" xfId="4207" xr:uid="{00000000-0005-0000-0000-0000C1B50000}"/>
    <cellStyle name="Normal 7 2 2 8 2" xfId="13045" xr:uid="{00000000-0005-0000-0000-0000C2B50000}"/>
    <cellStyle name="Normal 7 2 2 8 2 2" xfId="23296" xr:uid="{00000000-0005-0000-0000-0000C3B50000}"/>
    <cellStyle name="Normal 7 2 2 8 2 2 2" xfId="48849" xr:uid="{00000000-0005-0000-0000-0000C4B50000}"/>
    <cellStyle name="Normal 7 2 2 8 2 3" xfId="38600" xr:uid="{00000000-0005-0000-0000-0000C5B50000}"/>
    <cellStyle name="Normal 7 2 2 8 3" xfId="9466" xr:uid="{00000000-0005-0000-0000-0000C6B50000}"/>
    <cellStyle name="Normal 7 2 2 8 3 2" xfId="35023" xr:uid="{00000000-0005-0000-0000-0000C7B50000}"/>
    <cellStyle name="Normal 7 2 2 8 4" xfId="18289" xr:uid="{00000000-0005-0000-0000-0000C8B50000}"/>
    <cellStyle name="Normal 7 2 2 8 4 2" xfId="43842" xr:uid="{00000000-0005-0000-0000-0000C9B50000}"/>
    <cellStyle name="Normal 7 2 2 8 5" xfId="29779" xr:uid="{00000000-0005-0000-0000-0000CAB50000}"/>
    <cellStyle name="Normal 7 2 2 9" xfId="1479" xr:uid="{00000000-0005-0000-0000-0000CBB50000}"/>
    <cellStyle name="Normal 7 2 2 9 2" xfId="10856" xr:uid="{00000000-0005-0000-0000-0000CCB50000}"/>
    <cellStyle name="Normal 7 2 2 9 2 2" xfId="36411" xr:uid="{00000000-0005-0000-0000-0000CDB50000}"/>
    <cellStyle name="Normal 7 2 2 9 3" xfId="20860" xr:uid="{00000000-0005-0000-0000-0000CEB50000}"/>
    <cellStyle name="Normal 7 2 2 9 3 2" xfId="46413" xr:uid="{00000000-0005-0000-0000-0000CFB50000}"/>
    <cellStyle name="Normal 7 2 2 9 4" xfId="27343" xr:uid="{00000000-0005-0000-0000-0000D0B50000}"/>
    <cellStyle name="Normal 7 2 2_Degree data" xfId="4048" xr:uid="{00000000-0005-0000-0000-0000D1B50000}"/>
    <cellStyle name="Normal 7 2 3" xfId="204" xr:uid="{00000000-0005-0000-0000-0000D2B50000}"/>
    <cellStyle name="Normal 7 2 3 10" xfId="7150" xr:uid="{00000000-0005-0000-0000-0000D3B50000}"/>
    <cellStyle name="Normal 7 2 3 10 2" xfId="19659" xr:uid="{00000000-0005-0000-0000-0000D4B50000}"/>
    <cellStyle name="Normal 7 2 3 10 2 2" xfId="45212" xr:uid="{00000000-0005-0000-0000-0000D5B50000}"/>
    <cellStyle name="Normal 7 2 3 10 3" xfId="32707" xr:uid="{00000000-0005-0000-0000-0000D6B50000}"/>
    <cellStyle name="Normal 7 2 3 11" xfId="15896" xr:uid="{00000000-0005-0000-0000-0000D7B50000}"/>
    <cellStyle name="Normal 7 2 3 11 2" xfId="41449" xr:uid="{00000000-0005-0000-0000-0000D8B50000}"/>
    <cellStyle name="Normal 7 2 3 12" xfId="26142" xr:uid="{00000000-0005-0000-0000-0000D9B50000}"/>
    <cellStyle name="Normal 7 2 3 2" xfId="530" xr:uid="{00000000-0005-0000-0000-0000DAB50000}"/>
    <cellStyle name="Normal 7 2 3 2 10" xfId="26459" xr:uid="{00000000-0005-0000-0000-0000DBB50000}"/>
    <cellStyle name="Normal 7 2 3 2 2" xfId="946" xr:uid="{00000000-0005-0000-0000-0000DCB50000}"/>
    <cellStyle name="Normal 7 2 3 2 2 2" xfId="3422" xr:uid="{00000000-0005-0000-0000-0000DDB50000}"/>
    <cellStyle name="Normal 7 2 3 2 2 2 2" xfId="12564" xr:uid="{00000000-0005-0000-0000-0000DEB50000}"/>
    <cellStyle name="Normal 7 2 3 2 2 2 2 2" xfId="22783" xr:uid="{00000000-0005-0000-0000-0000DFB50000}"/>
    <cellStyle name="Normal 7 2 3 2 2 2 2 2 2" xfId="48336" xr:uid="{00000000-0005-0000-0000-0000E0B50000}"/>
    <cellStyle name="Normal 7 2 3 2 2 2 2 3" xfId="38119" xr:uid="{00000000-0005-0000-0000-0000E1B50000}"/>
    <cellStyle name="Normal 7 2 3 2 2 2 3" xfId="8986" xr:uid="{00000000-0005-0000-0000-0000E2B50000}"/>
    <cellStyle name="Normal 7 2 3 2 2 2 3 2" xfId="34543" xr:uid="{00000000-0005-0000-0000-0000E3B50000}"/>
    <cellStyle name="Normal 7 2 3 2 2 2 4" xfId="17776" xr:uid="{00000000-0005-0000-0000-0000E4B50000}"/>
    <cellStyle name="Normal 7 2 3 2 2 2 4 2" xfId="43329" xr:uid="{00000000-0005-0000-0000-0000E5B50000}"/>
    <cellStyle name="Normal 7 2 3 2 2 2 5" xfId="29266" xr:uid="{00000000-0005-0000-0000-0000E6B50000}"/>
    <cellStyle name="Normal 7 2 3 2 2 3" xfId="4752" xr:uid="{00000000-0005-0000-0000-0000E7B50000}"/>
    <cellStyle name="Normal 7 2 3 2 2 3 2" xfId="13589" xr:uid="{00000000-0005-0000-0000-0000E8B50000}"/>
    <cellStyle name="Normal 7 2 3 2 2 3 2 2" xfId="23840" xr:uid="{00000000-0005-0000-0000-0000E9B50000}"/>
    <cellStyle name="Normal 7 2 3 2 2 3 2 2 2" xfId="49393" xr:uid="{00000000-0005-0000-0000-0000EAB50000}"/>
    <cellStyle name="Normal 7 2 3 2 2 3 2 3" xfId="39144" xr:uid="{00000000-0005-0000-0000-0000EBB50000}"/>
    <cellStyle name="Normal 7 2 3 2 2 3 3" xfId="10010" xr:uid="{00000000-0005-0000-0000-0000ECB50000}"/>
    <cellStyle name="Normal 7 2 3 2 2 3 3 2" xfId="35567" xr:uid="{00000000-0005-0000-0000-0000EDB50000}"/>
    <cellStyle name="Normal 7 2 3 2 2 3 4" xfId="18833" xr:uid="{00000000-0005-0000-0000-0000EEB50000}"/>
    <cellStyle name="Normal 7 2 3 2 2 3 4 2" xfId="44386" xr:uid="{00000000-0005-0000-0000-0000EFB50000}"/>
    <cellStyle name="Normal 7 2 3 2 2 3 5" xfId="30323" xr:uid="{00000000-0005-0000-0000-0000F0B50000}"/>
    <cellStyle name="Normal 7 2 3 2 2 4" xfId="2531" xr:uid="{00000000-0005-0000-0000-0000F1B50000}"/>
    <cellStyle name="Normal 7 2 3 2 2 4 2" xfId="11896" xr:uid="{00000000-0005-0000-0000-0000F2B50000}"/>
    <cellStyle name="Normal 7 2 3 2 2 4 2 2" xfId="37451" xr:uid="{00000000-0005-0000-0000-0000F3B50000}"/>
    <cellStyle name="Normal 7 2 3 2 2 4 3" xfId="21900" xr:uid="{00000000-0005-0000-0000-0000F4B50000}"/>
    <cellStyle name="Normal 7 2 3 2 2 4 3 2" xfId="47453" xr:uid="{00000000-0005-0000-0000-0000F5B50000}"/>
    <cellStyle name="Normal 7 2 3 2 2 4 4" xfId="28383" xr:uid="{00000000-0005-0000-0000-0000F6B50000}"/>
    <cellStyle name="Normal 7 2 3 2 2 5" xfId="6207" xr:uid="{00000000-0005-0000-0000-0000F7B50000}"/>
    <cellStyle name="Normal 7 2 3 2 2 5 2" xfId="15034" xr:uid="{00000000-0005-0000-0000-0000F8B50000}"/>
    <cellStyle name="Normal 7 2 3 2 2 5 2 2" xfId="40589" xr:uid="{00000000-0005-0000-0000-0000F9B50000}"/>
    <cellStyle name="Normal 7 2 3 2 2 5 3" xfId="25285" xr:uid="{00000000-0005-0000-0000-0000FAB50000}"/>
    <cellStyle name="Normal 7 2 3 2 2 5 3 2" xfId="50838" xr:uid="{00000000-0005-0000-0000-0000FBB50000}"/>
    <cellStyle name="Normal 7 2 3 2 2 5 4" xfId="31768" xr:uid="{00000000-0005-0000-0000-0000FCB50000}"/>
    <cellStyle name="Normal 7 2 3 2 2 6" xfId="7653" xr:uid="{00000000-0005-0000-0000-0000FDB50000}"/>
    <cellStyle name="Normal 7 2 3 2 2 6 2" xfId="20382" xr:uid="{00000000-0005-0000-0000-0000FEB50000}"/>
    <cellStyle name="Normal 7 2 3 2 2 6 2 2" xfId="45935" xr:uid="{00000000-0005-0000-0000-0000FFB50000}"/>
    <cellStyle name="Normal 7 2 3 2 2 6 3" xfId="33210" xr:uid="{00000000-0005-0000-0000-000000B60000}"/>
    <cellStyle name="Normal 7 2 3 2 2 7" xfId="16893" xr:uid="{00000000-0005-0000-0000-000001B60000}"/>
    <cellStyle name="Normal 7 2 3 2 2 7 2" xfId="42446" xr:uid="{00000000-0005-0000-0000-000002B60000}"/>
    <cellStyle name="Normal 7 2 3 2 2 8" xfId="26865" xr:uid="{00000000-0005-0000-0000-000003B60000}"/>
    <cellStyle name="Normal 7 2 3 2 3" xfId="1302" xr:uid="{00000000-0005-0000-0000-000004B60000}"/>
    <cellStyle name="Normal 7 2 3 2 3 2" xfId="3731" xr:uid="{00000000-0005-0000-0000-000005B60000}"/>
    <cellStyle name="Normal 7 2 3 2 3 2 2" xfId="12867" xr:uid="{00000000-0005-0000-0000-000006B60000}"/>
    <cellStyle name="Normal 7 2 3 2 3 2 2 2" xfId="23086" xr:uid="{00000000-0005-0000-0000-000007B60000}"/>
    <cellStyle name="Normal 7 2 3 2 3 2 2 2 2" xfId="48639" xr:uid="{00000000-0005-0000-0000-000008B60000}"/>
    <cellStyle name="Normal 7 2 3 2 3 2 2 3" xfId="38422" xr:uid="{00000000-0005-0000-0000-000009B60000}"/>
    <cellStyle name="Normal 7 2 3 2 3 2 3" xfId="9288" xr:uid="{00000000-0005-0000-0000-00000AB60000}"/>
    <cellStyle name="Normal 7 2 3 2 3 2 3 2" xfId="34845" xr:uid="{00000000-0005-0000-0000-00000BB60000}"/>
    <cellStyle name="Normal 7 2 3 2 3 2 4" xfId="18079" xr:uid="{00000000-0005-0000-0000-00000CB60000}"/>
    <cellStyle name="Normal 7 2 3 2 3 2 4 2" xfId="43632" xr:uid="{00000000-0005-0000-0000-00000DB60000}"/>
    <cellStyle name="Normal 7 2 3 2 3 2 5" xfId="29569" xr:uid="{00000000-0005-0000-0000-00000EB60000}"/>
    <cellStyle name="Normal 7 2 3 2 3 3" xfId="5100" xr:uid="{00000000-0005-0000-0000-00000FB60000}"/>
    <cellStyle name="Normal 7 2 3 2 3 3 2" xfId="13937" xr:uid="{00000000-0005-0000-0000-000010B60000}"/>
    <cellStyle name="Normal 7 2 3 2 3 3 2 2" xfId="24188" xr:uid="{00000000-0005-0000-0000-000011B60000}"/>
    <cellStyle name="Normal 7 2 3 2 3 3 2 2 2" xfId="49741" xr:uid="{00000000-0005-0000-0000-000012B60000}"/>
    <cellStyle name="Normal 7 2 3 2 3 3 2 3" xfId="39492" xr:uid="{00000000-0005-0000-0000-000013B60000}"/>
    <cellStyle name="Normal 7 2 3 2 3 3 3" xfId="10358" xr:uid="{00000000-0005-0000-0000-000014B60000}"/>
    <cellStyle name="Normal 7 2 3 2 3 3 3 2" xfId="35915" xr:uid="{00000000-0005-0000-0000-000015B60000}"/>
    <cellStyle name="Normal 7 2 3 2 3 3 4" xfId="19181" xr:uid="{00000000-0005-0000-0000-000016B60000}"/>
    <cellStyle name="Normal 7 2 3 2 3 3 4 2" xfId="44734" xr:uid="{00000000-0005-0000-0000-000017B60000}"/>
    <cellStyle name="Normal 7 2 3 2 3 3 5" xfId="30671" xr:uid="{00000000-0005-0000-0000-000018B60000}"/>
    <cellStyle name="Normal 7 2 3 2 3 4" xfId="2125" xr:uid="{00000000-0005-0000-0000-000019B60000}"/>
    <cellStyle name="Normal 7 2 3 2 3 4 2" xfId="11490" xr:uid="{00000000-0005-0000-0000-00001AB60000}"/>
    <cellStyle name="Normal 7 2 3 2 3 4 2 2" xfId="37045" xr:uid="{00000000-0005-0000-0000-00001BB60000}"/>
    <cellStyle name="Normal 7 2 3 2 3 4 3" xfId="21494" xr:uid="{00000000-0005-0000-0000-00001CB60000}"/>
    <cellStyle name="Normal 7 2 3 2 3 4 3 2" xfId="47047" xr:uid="{00000000-0005-0000-0000-00001DB60000}"/>
    <cellStyle name="Normal 7 2 3 2 3 4 4" xfId="27977" xr:uid="{00000000-0005-0000-0000-00001EB60000}"/>
    <cellStyle name="Normal 7 2 3 2 3 5" xfId="6555" xr:uid="{00000000-0005-0000-0000-00001FB60000}"/>
    <cellStyle name="Normal 7 2 3 2 3 5 2" xfId="15382" xr:uid="{00000000-0005-0000-0000-000020B60000}"/>
    <cellStyle name="Normal 7 2 3 2 3 5 2 2" xfId="40937" xr:uid="{00000000-0005-0000-0000-000021B60000}"/>
    <cellStyle name="Normal 7 2 3 2 3 5 3" xfId="25633" xr:uid="{00000000-0005-0000-0000-000022B60000}"/>
    <cellStyle name="Normal 7 2 3 2 3 5 3 2" xfId="51186" xr:uid="{00000000-0005-0000-0000-000023B60000}"/>
    <cellStyle name="Normal 7 2 3 2 3 5 4" xfId="32116" xr:uid="{00000000-0005-0000-0000-000024B60000}"/>
    <cellStyle name="Normal 7 2 3 2 3 6" xfId="8001" xr:uid="{00000000-0005-0000-0000-000025B60000}"/>
    <cellStyle name="Normal 7 2 3 2 3 6 2" xfId="20685" xr:uid="{00000000-0005-0000-0000-000026B60000}"/>
    <cellStyle name="Normal 7 2 3 2 3 6 2 2" xfId="46238" xr:uid="{00000000-0005-0000-0000-000027B60000}"/>
    <cellStyle name="Normal 7 2 3 2 3 6 3" xfId="33558" xr:uid="{00000000-0005-0000-0000-000028B60000}"/>
    <cellStyle name="Normal 7 2 3 2 3 7" xfId="16487" xr:uid="{00000000-0005-0000-0000-000029B60000}"/>
    <cellStyle name="Normal 7 2 3 2 3 7 2" xfId="42040" xr:uid="{00000000-0005-0000-0000-00002AB60000}"/>
    <cellStyle name="Normal 7 2 3 2 3 8" xfId="27168" xr:uid="{00000000-0005-0000-0000-00002BB60000}"/>
    <cellStyle name="Normal 7 2 3 2 4" xfId="3016" xr:uid="{00000000-0005-0000-0000-00002CB60000}"/>
    <cellStyle name="Normal 7 2 3 2 4 2" xfId="5394" xr:uid="{00000000-0005-0000-0000-00002DB60000}"/>
    <cellStyle name="Normal 7 2 3 2 4 2 2" xfId="14231" xr:uid="{00000000-0005-0000-0000-00002EB60000}"/>
    <cellStyle name="Normal 7 2 3 2 4 2 2 2" xfId="24482" xr:uid="{00000000-0005-0000-0000-00002FB60000}"/>
    <cellStyle name="Normal 7 2 3 2 4 2 2 2 2" xfId="50035" xr:uid="{00000000-0005-0000-0000-000030B60000}"/>
    <cellStyle name="Normal 7 2 3 2 4 2 2 3" xfId="39786" xr:uid="{00000000-0005-0000-0000-000031B60000}"/>
    <cellStyle name="Normal 7 2 3 2 4 2 3" xfId="10652" xr:uid="{00000000-0005-0000-0000-000032B60000}"/>
    <cellStyle name="Normal 7 2 3 2 4 2 3 2" xfId="36209" xr:uid="{00000000-0005-0000-0000-000033B60000}"/>
    <cellStyle name="Normal 7 2 3 2 4 2 4" xfId="19475" xr:uid="{00000000-0005-0000-0000-000034B60000}"/>
    <cellStyle name="Normal 7 2 3 2 4 2 4 2" xfId="45028" xr:uid="{00000000-0005-0000-0000-000035B60000}"/>
    <cellStyle name="Normal 7 2 3 2 4 2 5" xfId="30965" xr:uid="{00000000-0005-0000-0000-000036B60000}"/>
    <cellStyle name="Normal 7 2 3 2 4 3" xfId="6849" xr:uid="{00000000-0005-0000-0000-000037B60000}"/>
    <cellStyle name="Normal 7 2 3 2 4 3 2" xfId="15676" xr:uid="{00000000-0005-0000-0000-000038B60000}"/>
    <cellStyle name="Normal 7 2 3 2 4 3 2 2" xfId="41231" xr:uid="{00000000-0005-0000-0000-000039B60000}"/>
    <cellStyle name="Normal 7 2 3 2 4 3 3" xfId="25927" xr:uid="{00000000-0005-0000-0000-00003AB60000}"/>
    <cellStyle name="Normal 7 2 3 2 4 3 3 2" xfId="51480" xr:uid="{00000000-0005-0000-0000-00003BB60000}"/>
    <cellStyle name="Normal 7 2 3 2 4 3 4" xfId="32410" xr:uid="{00000000-0005-0000-0000-00003CB60000}"/>
    <cellStyle name="Normal 7 2 3 2 4 4" xfId="8295" xr:uid="{00000000-0005-0000-0000-00003DB60000}"/>
    <cellStyle name="Normal 7 2 3 2 4 4 2" xfId="22377" xr:uid="{00000000-0005-0000-0000-00003EB60000}"/>
    <cellStyle name="Normal 7 2 3 2 4 4 2 2" xfId="47930" xr:uid="{00000000-0005-0000-0000-00003FB60000}"/>
    <cellStyle name="Normal 7 2 3 2 4 4 3" xfId="33852" xr:uid="{00000000-0005-0000-0000-000040B60000}"/>
    <cellStyle name="Normal 7 2 3 2 4 5" xfId="17370" xr:uid="{00000000-0005-0000-0000-000041B60000}"/>
    <cellStyle name="Normal 7 2 3 2 4 5 2" xfId="42923" xr:uid="{00000000-0005-0000-0000-000042B60000}"/>
    <cellStyle name="Normal 7 2 3 2 4 6" xfId="28860" xr:uid="{00000000-0005-0000-0000-000043B60000}"/>
    <cellStyle name="Normal 7 2 3 2 5" xfId="4350" xr:uid="{00000000-0005-0000-0000-000044B60000}"/>
    <cellStyle name="Normal 7 2 3 2 5 2" xfId="13188" xr:uid="{00000000-0005-0000-0000-000045B60000}"/>
    <cellStyle name="Normal 7 2 3 2 5 2 2" xfId="23439" xr:uid="{00000000-0005-0000-0000-000046B60000}"/>
    <cellStyle name="Normal 7 2 3 2 5 2 2 2" xfId="48992" xr:uid="{00000000-0005-0000-0000-000047B60000}"/>
    <cellStyle name="Normal 7 2 3 2 5 2 3" xfId="38743" xr:uid="{00000000-0005-0000-0000-000048B60000}"/>
    <cellStyle name="Normal 7 2 3 2 5 3" xfId="9609" xr:uid="{00000000-0005-0000-0000-000049B60000}"/>
    <cellStyle name="Normal 7 2 3 2 5 3 2" xfId="35166" xr:uid="{00000000-0005-0000-0000-00004AB60000}"/>
    <cellStyle name="Normal 7 2 3 2 5 4" xfId="18432" xr:uid="{00000000-0005-0000-0000-00004BB60000}"/>
    <cellStyle name="Normal 7 2 3 2 5 4 2" xfId="43985" xr:uid="{00000000-0005-0000-0000-00004CB60000}"/>
    <cellStyle name="Normal 7 2 3 2 5 5" xfId="29922" xr:uid="{00000000-0005-0000-0000-00004DB60000}"/>
    <cellStyle name="Normal 7 2 3 2 6" xfId="1622" xr:uid="{00000000-0005-0000-0000-00004EB60000}"/>
    <cellStyle name="Normal 7 2 3 2 6 2" xfId="10999" xr:uid="{00000000-0005-0000-0000-00004FB60000}"/>
    <cellStyle name="Normal 7 2 3 2 6 2 2" xfId="36554" xr:uid="{00000000-0005-0000-0000-000050B60000}"/>
    <cellStyle name="Normal 7 2 3 2 6 3" xfId="21003" xr:uid="{00000000-0005-0000-0000-000051B60000}"/>
    <cellStyle name="Normal 7 2 3 2 6 3 2" xfId="46556" xr:uid="{00000000-0005-0000-0000-000052B60000}"/>
    <cellStyle name="Normal 7 2 3 2 6 4" xfId="27486" xr:uid="{00000000-0005-0000-0000-000053B60000}"/>
    <cellStyle name="Normal 7 2 3 2 7" xfId="5806" xr:uid="{00000000-0005-0000-0000-000054B60000}"/>
    <cellStyle name="Normal 7 2 3 2 7 2" xfId="14633" xr:uid="{00000000-0005-0000-0000-000055B60000}"/>
    <cellStyle name="Normal 7 2 3 2 7 2 2" xfId="40188" xr:uid="{00000000-0005-0000-0000-000056B60000}"/>
    <cellStyle name="Normal 7 2 3 2 7 3" xfId="24884" xr:uid="{00000000-0005-0000-0000-000057B60000}"/>
    <cellStyle name="Normal 7 2 3 2 7 3 2" xfId="50437" xr:uid="{00000000-0005-0000-0000-000058B60000}"/>
    <cellStyle name="Normal 7 2 3 2 7 4" xfId="31367" xr:uid="{00000000-0005-0000-0000-000059B60000}"/>
    <cellStyle name="Normal 7 2 3 2 8" xfId="7250" xr:uid="{00000000-0005-0000-0000-00005AB60000}"/>
    <cellStyle name="Normal 7 2 3 2 8 2" xfId="19976" xr:uid="{00000000-0005-0000-0000-00005BB60000}"/>
    <cellStyle name="Normal 7 2 3 2 8 2 2" xfId="45529" xr:uid="{00000000-0005-0000-0000-00005CB60000}"/>
    <cellStyle name="Normal 7 2 3 2 8 3" xfId="32807" xr:uid="{00000000-0005-0000-0000-00005DB60000}"/>
    <cellStyle name="Normal 7 2 3 2 9" xfId="15996" xr:uid="{00000000-0005-0000-0000-00005EB60000}"/>
    <cellStyle name="Normal 7 2 3 2 9 2" xfId="41549" xr:uid="{00000000-0005-0000-0000-00005FB60000}"/>
    <cellStyle name="Normal 7 2 3 2_Degree data" xfId="4052" xr:uid="{00000000-0005-0000-0000-000060B60000}"/>
    <cellStyle name="Normal 7 2 3 3" xfId="430" xr:uid="{00000000-0005-0000-0000-000061B60000}"/>
    <cellStyle name="Normal 7 2 3 3 2" xfId="2916" xr:uid="{00000000-0005-0000-0000-000062B60000}"/>
    <cellStyle name="Normal 7 2 3 3 2 2" xfId="12204" xr:uid="{00000000-0005-0000-0000-000063B60000}"/>
    <cellStyle name="Normal 7 2 3 3 2 2 2" xfId="22277" xr:uid="{00000000-0005-0000-0000-000064B60000}"/>
    <cellStyle name="Normal 7 2 3 3 2 2 2 2" xfId="47830" xr:uid="{00000000-0005-0000-0000-000065B60000}"/>
    <cellStyle name="Normal 7 2 3 3 2 2 3" xfId="37759" xr:uid="{00000000-0005-0000-0000-000066B60000}"/>
    <cellStyle name="Normal 7 2 3 3 2 3" xfId="8581" xr:uid="{00000000-0005-0000-0000-000067B60000}"/>
    <cellStyle name="Normal 7 2 3 3 2 3 2" xfId="34138" xr:uid="{00000000-0005-0000-0000-000068B60000}"/>
    <cellStyle name="Normal 7 2 3 3 2 4" xfId="17270" xr:uid="{00000000-0005-0000-0000-000069B60000}"/>
    <cellStyle name="Normal 7 2 3 3 2 4 2" xfId="42823" xr:uid="{00000000-0005-0000-0000-00006AB60000}"/>
    <cellStyle name="Normal 7 2 3 3 2 5" xfId="28760" xr:uid="{00000000-0005-0000-0000-00006BB60000}"/>
    <cellStyle name="Normal 7 2 3 3 3" xfId="4751" xr:uid="{00000000-0005-0000-0000-00006CB60000}"/>
    <cellStyle name="Normal 7 2 3 3 3 2" xfId="13588" xr:uid="{00000000-0005-0000-0000-00006DB60000}"/>
    <cellStyle name="Normal 7 2 3 3 3 2 2" xfId="23839" xr:uid="{00000000-0005-0000-0000-00006EB60000}"/>
    <cellStyle name="Normal 7 2 3 3 3 2 2 2" xfId="49392" xr:uid="{00000000-0005-0000-0000-00006FB60000}"/>
    <cellStyle name="Normal 7 2 3 3 3 2 3" xfId="39143" xr:uid="{00000000-0005-0000-0000-000070B60000}"/>
    <cellStyle name="Normal 7 2 3 3 3 3" xfId="10009" xr:uid="{00000000-0005-0000-0000-000071B60000}"/>
    <cellStyle name="Normal 7 2 3 3 3 3 2" xfId="35566" xr:uid="{00000000-0005-0000-0000-000072B60000}"/>
    <cellStyle name="Normal 7 2 3 3 3 4" xfId="18832" xr:uid="{00000000-0005-0000-0000-000073B60000}"/>
    <cellStyle name="Normal 7 2 3 3 3 4 2" xfId="44385" xr:uid="{00000000-0005-0000-0000-000074B60000}"/>
    <cellStyle name="Normal 7 2 3 3 3 5" xfId="30322" xr:uid="{00000000-0005-0000-0000-000075B60000}"/>
    <cellStyle name="Normal 7 2 3 3 4" xfId="2025" xr:uid="{00000000-0005-0000-0000-000076B60000}"/>
    <cellStyle name="Normal 7 2 3 3 4 2" xfId="11390" xr:uid="{00000000-0005-0000-0000-000077B60000}"/>
    <cellStyle name="Normal 7 2 3 3 4 2 2" xfId="36945" xr:uid="{00000000-0005-0000-0000-000078B60000}"/>
    <cellStyle name="Normal 7 2 3 3 4 3" xfId="21394" xr:uid="{00000000-0005-0000-0000-000079B60000}"/>
    <cellStyle name="Normal 7 2 3 3 4 3 2" xfId="46947" xr:uid="{00000000-0005-0000-0000-00007AB60000}"/>
    <cellStyle name="Normal 7 2 3 3 4 4" xfId="27877" xr:uid="{00000000-0005-0000-0000-00007BB60000}"/>
    <cellStyle name="Normal 7 2 3 3 5" xfId="6206" xr:uid="{00000000-0005-0000-0000-00007CB60000}"/>
    <cellStyle name="Normal 7 2 3 3 5 2" xfId="15033" xr:uid="{00000000-0005-0000-0000-00007DB60000}"/>
    <cellStyle name="Normal 7 2 3 3 5 2 2" xfId="40588" xr:uid="{00000000-0005-0000-0000-00007EB60000}"/>
    <cellStyle name="Normal 7 2 3 3 5 3" xfId="25284" xr:uid="{00000000-0005-0000-0000-00007FB60000}"/>
    <cellStyle name="Normal 7 2 3 3 5 3 2" xfId="50837" xr:uid="{00000000-0005-0000-0000-000080B60000}"/>
    <cellStyle name="Normal 7 2 3 3 5 4" xfId="31767" xr:uid="{00000000-0005-0000-0000-000081B60000}"/>
    <cellStyle name="Normal 7 2 3 3 6" xfId="7652" xr:uid="{00000000-0005-0000-0000-000082B60000}"/>
    <cellStyle name="Normal 7 2 3 3 6 2" xfId="19876" xr:uid="{00000000-0005-0000-0000-000083B60000}"/>
    <cellStyle name="Normal 7 2 3 3 6 2 2" xfId="45429" xr:uid="{00000000-0005-0000-0000-000084B60000}"/>
    <cellStyle name="Normal 7 2 3 3 6 3" xfId="33209" xr:uid="{00000000-0005-0000-0000-000085B60000}"/>
    <cellStyle name="Normal 7 2 3 3 7" xfId="16387" xr:uid="{00000000-0005-0000-0000-000086B60000}"/>
    <cellStyle name="Normal 7 2 3 3 7 2" xfId="41940" xr:uid="{00000000-0005-0000-0000-000087B60000}"/>
    <cellStyle name="Normal 7 2 3 3 8" xfId="26359" xr:uid="{00000000-0005-0000-0000-000088B60000}"/>
    <cellStyle name="Normal 7 2 3 4" xfId="945" xr:uid="{00000000-0005-0000-0000-000089B60000}"/>
    <cellStyle name="Normal 7 2 3 4 2" xfId="3421" xr:uid="{00000000-0005-0000-0000-00008AB60000}"/>
    <cellStyle name="Normal 7 2 3 4 2 2" xfId="12563" xr:uid="{00000000-0005-0000-0000-00008BB60000}"/>
    <cellStyle name="Normal 7 2 3 4 2 2 2" xfId="22782" xr:uid="{00000000-0005-0000-0000-00008CB60000}"/>
    <cellStyle name="Normal 7 2 3 4 2 2 2 2" xfId="48335" xr:uid="{00000000-0005-0000-0000-00008DB60000}"/>
    <cellStyle name="Normal 7 2 3 4 2 2 3" xfId="38118" xr:uid="{00000000-0005-0000-0000-00008EB60000}"/>
    <cellStyle name="Normal 7 2 3 4 2 3" xfId="8985" xr:uid="{00000000-0005-0000-0000-00008FB60000}"/>
    <cellStyle name="Normal 7 2 3 4 2 3 2" xfId="34542" xr:uid="{00000000-0005-0000-0000-000090B60000}"/>
    <cellStyle name="Normal 7 2 3 4 2 4" xfId="17775" xr:uid="{00000000-0005-0000-0000-000091B60000}"/>
    <cellStyle name="Normal 7 2 3 4 2 4 2" xfId="43328" xr:uid="{00000000-0005-0000-0000-000092B60000}"/>
    <cellStyle name="Normal 7 2 3 4 2 5" xfId="29265" xr:uid="{00000000-0005-0000-0000-000093B60000}"/>
    <cellStyle name="Normal 7 2 3 4 3" xfId="5099" xr:uid="{00000000-0005-0000-0000-000094B60000}"/>
    <cellStyle name="Normal 7 2 3 4 3 2" xfId="13936" xr:uid="{00000000-0005-0000-0000-000095B60000}"/>
    <cellStyle name="Normal 7 2 3 4 3 2 2" xfId="24187" xr:uid="{00000000-0005-0000-0000-000096B60000}"/>
    <cellStyle name="Normal 7 2 3 4 3 2 2 2" xfId="49740" xr:uid="{00000000-0005-0000-0000-000097B60000}"/>
    <cellStyle name="Normal 7 2 3 4 3 2 3" xfId="39491" xr:uid="{00000000-0005-0000-0000-000098B60000}"/>
    <cellStyle name="Normal 7 2 3 4 3 3" xfId="10357" xr:uid="{00000000-0005-0000-0000-000099B60000}"/>
    <cellStyle name="Normal 7 2 3 4 3 3 2" xfId="35914" xr:uid="{00000000-0005-0000-0000-00009AB60000}"/>
    <cellStyle name="Normal 7 2 3 4 3 4" xfId="19180" xr:uid="{00000000-0005-0000-0000-00009BB60000}"/>
    <cellStyle name="Normal 7 2 3 4 3 4 2" xfId="44733" xr:uid="{00000000-0005-0000-0000-00009CB60000}"/>
    <cellStyle name="Normal 7 2 3 4 3 5" xfId="30670" xr:uid="{00000000-0005-0000-0000-00009DB60000}"/>
    <cellStyle name="Normal 7 2 3 4 4" xfId="2530" xr:uid="{00000000-0005-0000-0000-00009EB60000}"/>
    <cellStyle name="Normal 7 2 3 4 4 2" xfId="11895" xr:uid="{00000000-0005-0000-0000-00009FB60000}"/>
    <cellStyle name="Normal 7 2 3 4 4 2 2" xfId="37450" xr:uid="{00000000-0005-0000-0000-0000A0B60000}"/>
    <cellStyle name="Normal 7 2 3 4 4 3" xfId="21899" xr:uid="{00000000-0005-0000-0000-0000A1B60000}"/>
    <cellStyle name="Normal 7 2 3 4 4 3 2" xfId="47452" xr:uid="{00000000-0005-0000-0000-0000A2B60000}"/>
    <cellStyle name="Normal 7 2 3 4 4 4" xfId="28382" xr:uid="{00000000-0005-0000-0000-0000A3B60000}"/>
    <cellStyle name="Normal 7 2 3 4 5" xfId="6554" xr:uid="{00000000-0005-0000-0000-0000A4B60000}"/>
    <cellStyle name="Normal 7 2 3 4 5 2" xfId="15381" xr:uid="{00000000-0005-0000-0000-0000A5B60000}"/>
    <cellStyle name="Normal 7 2 3 4 5 2 2" xfId="40936" xr:uid="{00000000-0005-0000-0000-0000A6B60000}"/>
    <cellStyle name="Normal 7 2 3 4 5 3" xfId="25632" xr:uid="{00000000-0005-0000-0000-0000A7B60000}"/>
    <cellStyle name="Normal 7 2 3 4 5 3 2" xfId="51185" xr:uid="{00000000-0005-0000-0000-0000A8B60000}"/>
    <cellStyle name="Normal 7 2 3 4 5 4" xfId="32115" xr:uid="{00000000-0005-0000-0000-0000A9B60000}"/>
    <cellStyle name="Normal 7 2 3 4 6" xfId="8000" xr:uid="{00000000-0005-0000-0000-0000AAB60000}"/>
    <cellStyle name="Normal 7 2 3 4 6 2" xfId="20381" xr:uid="{00000000-0005-0000-0000-0000ABB60000}"/>
    <cellStyle name="Normal 7 2 3 4 6 2 2" xfId="45934" xr:uid="{00000000-0005-0000-0000-0000ACB60000}"/>
    <cellStyle name="Normal 7 2 3 4 6 3" xfId="33557" xr:uid="{00000000-0005-0000-0000-0000ADB60000}"/>
    <cellStyle name="Normal 7 2 3 4 7" xfId="16892" xr:uid="{00000000-0005-0000-0000-0000AEB60000}"/>
    <cellStyle name="Normal 7 2 3 4 7 2" xfId="42445" xr:uid="{00000000-0005-0000-0000-0000AFB60000}"/>
    <cellStyle name="Normal 7 2 3 4 8" xfId="26864" xr:uid="{00000000-0005-0000-0000-0000B0B60000}"/>
    <cellStyle name="Normal 7 2 3 5" xfId="1202" xr:uid="{00000000-0005-0000-0000-0000B1B60000}"/>
    <cellStyle name="Normal 7 2 3 5 2" xfId="3631" xr:uid="{00000000-0005-0000-0000-0000B2B60000}"/>
    <cellStyle name="Normal 7 2 3 5 2 2" xfId="12767" xr:uid="{00000000-0005-0000-0000-0000B3B60000}"/>
    <cellStyle name="Normal 7 2 3 5 2 2 2" xfId="22986" xr:uid="{00000000-0005-0000-0000-0000B4B60000}"/>
    <cellStyle name="Normal 7 2 3 5 2 2 2 2" xfId="48539" xr:uid="{00000000-0005-0000-0000-0000B5B60000}"/>
    <cellStyle name="Normal 7 2 3 5 2 2 3" xfId="38322" xr:uid="{00000000-0005-0000-0000-0000B6B60000}"/>
    <cellStyle name="Normal 7 2 3 5 2 3" xfId="9188" xr:uid="{00000000-0005-0000-0000-0000B7B60000}"/>
    <cellStyle name="Normal 7 2 3 5 2 3 2" xfId="34745" xr:uid="{00000000-0005-0000-0000-0000B8B60000}"/>
    <cellStyle name="Normal 7 2 3 5 2 4" xfId="17979" xr:uid="{00000000-0005-0000-0000-0000B9B60000}"/>
    <cellStyle name="Normal 7 2 3 5 2 4 2" xfId="43532" xr:uid="{00000000-0005-0000-0000-0000BAB60000}"/>
    <cellStyle name="Normal 7 2 3 5 2 5" xfId="29469" xr:uid="{00000000-0005-0000-0000-0000BBB60000}"/>
    <cellStyle name="Normal 7 2 3 5 3" xfId="5294" xr:uid="{00000000-0005-0000-0000-0000BCB60000}"/>
    <cellStyle name="Normal 7 2 3 5 3 2" xfId="14131" xr:uid="{00000000-0005-0000-0000-0000BDB60000}"/>
    <cellStyle name="Normal 7 2 3 5 3 2 2" xfId="24382" xr:uid="{00000000-0005-0000-0000-0000BEB60000}"/>
    <cellStyle name="Normal 7 2 3 5 3 2 2 2" xfId="49935" xr:uid="{00000000-0005-0000-0000-0000BFB60000}"/>
    <cellStyle name="Normal 7 2 3 5 3 2 3" xfId="39686" xr:uid="{00000000-0005-0000-0000-0000C0B60000}"/>
    <cellStyle name="Normal 7 2 3 5 3 3" xfId="10552" xr:uid="{00000000-0005-0000-0000-0000C1B60000}"/>
    <cellStyle name="Normal 7 2 3 5 3 3 2" xfId="36109" xr:uid="{00000000-0005-0000-0000-0000C2B60000}"/>
    <cellStyle name="Normal 7 2 3 5 3 4" xfId="19375" xr:uid="{00000000-0005-0000-0000-0000C3B60000}"/>
    <cellStyle name="Normal 7 2 3 5 3 4 2" xfId="44928" xr:uid="{00000000-0005-0000-0000-0000C4B60000}"/>
    <cellStyle name="Normal 7 2 3 5 3 5" xfId="30865" xr:uid="{00000000-0005-0000-0000-0000C5B60000}"/>
    <cellStyle name="Normal 7 2 3 5 4" xfId="1805" xr:uid="{00000000-0005-0000-0000-0000C6B60000}"/>
    <cellStyle name="Normal 7 2 3 5 4 2" xfId="11173" xr:uid="{00000000-0005-0000-0000-0000C7B60000}"/>
    <cellStyle name="Normal 7 2 3 5 4 2 2" xfId="36728" xr:uid="{00000000-0005-0000-0000-0000C8B60000}"/>
    <cellStyle name="Normal 7 2 3 5 4 3" xfId="21177" xr:uid="{00000000-0005-0000-0000-0000C9B60000}"/>
    <cellStyle name="Normal 7 2 3 5 4 3 2" xfId="46730" xr:uid="{00000000-0005-0000-0000-0000CAB60000}"/>
    <cellStyle name="Normal 7 2 3 5 4 4" xfId="27660" xr:uid="{00000000-0005-0000-0000-0000CBB60000}"/>
    <cellStyle name="Normal 7 2 3 5 5" xfId="6749" xr:uid="{00000000-0005-0000-0000-0000CCB60000}"/>
    <cellStyle name="Normal 7 2 3 5 5 2" xfId="15576" xr:uid="{00000000-0005-0000-0000-0000CDB60000}"/>
    <cellStyle name="Normal 7 2 3 5 5 2 2" xfId="41131" xr:uid="{00000000-0005-0000-0000-0000CEB60000}"/>
    <cellStyle name="Normal 7 2 3 5 5 3" xfId="25827" xr:uid="{00000000-0005-0000-0000-0000CFB60000}"/>
    <cellStyle name="Normal 7 2 3 5 5 3 2" xfId="51380" xr:uid="{00000000-0005-0000-0000-0000D0B60000}"/>
    <cellStyle name="Normal 7 2 3 5 5 4" xfId="32310" xr:uid="{00000000-0005-0000-0000-0000D1B60000}"/>
    <cellStyle name="Normal 7 2 3 5 6" xfId="8195" xr:uid="{00000000-0005-0000-0000-0000D2B60000}"/>
    <cellStyle name="Normal 7 2 3 5 6 2" xfId="20585" xr:uid="{00000000-0005-0000-0000-0000D3B60000}"/>
    <cellStyle name="Normal 7 2 3 5 6 2 2" xfId="46138" xr:uid="{00000000-0005-0000-0000-0000D4B60000}"/>
    <cellStyle name="Normal 7 2 3 5 6 3" xfId="33752" xr:uid="{00000000-0005-0000-0000-0000D5B60000}"/>
    <cellStyle name="Normal 7 2 3 5 7" xfId="16170" xr:uid="{00000000-0005-0000-0000-0000D6B60000}"/>
    <cellStyle name="Normal 7 2 3 5 7 2" xfId="41723" xr:uid="{00000000-0005-0000-0000-0000D7B60000}"/>
    <cellStyle name="Normal 7 2 3 5 8" xfId="27068" xr:uid="{00000000-0005-0000-0000-0000D8B60000}"/>
    <cellStyle name="Normal 7 2 3 6" xfId="2699" xr:uid="{00000000-0005-0000-0000-0000D9B60000}"/>
    <cellStyle name="Normal 7 2 3 6 2" xfId="12016" xr:uid="{00000000-0005-0000-0000-0000DAB60000}"/>
    <cellStyle name="Normal 7 2 3 6 2 2" xfId="22060" xr:uid="{00000000-0005-0000-0000-0000DBB60000}"/>
    <cellStyle name="Normal 7 2 3 6 2 2 2" xfId="47613" xr:uid="{00000000-0005-0000-0000-0000DCB60000}"/>
    <cellStyle name="Normal 7 2 3 6 2 3" xfId="37571" xr:uid="{00000000-0005-0000-0000-0000DDB60000}"/>
    <cellStyle name="Normal 7 2 3 6 3" xfId="8493" xr:uid="{00000000-0005-0000-0000-0000DEB60000}"/>
    <cellStyle name="Normal 7 2 3 6 3 2" xfId="34050" xr:uid="{00000000-0005-0000-0000-0000DFB60000}"/>
    <cellStyle name="Normal 7 2 3 6 4" xfId="17053" xr:uid="{00000000-0005-0000-0000-0000E0B60000}"/>
    <cellStyle name="Normal 7 2 3 6 4 2" xfId="42606" xr:uid="{00000000-0005-0000-0000-0000E1B60000}"/>
    <cellStyle name="Normal 7 2 3 6 5" xfId="28543" xr:uid="{00000000-0005-0000-0000-0000E2B60000}"/>
    <cellStyle name="Normal 7 2 3 7" xfId="4250" xr:uid="{00000000-0005-0000-0000-0000E3B60000}"/>
    <cellStyle name="Normal 7 2 3 7 2" xfId="13088" xr:uid="{00000000-0005-0000-0000-0000E4B60000}"/>
    <cellStyle name="Normal 7 2 3 7 2 2" xfId="23339" xr:uid="{00000000-0005-0000-0000-0000E5B60000}"/>
    <cellStyle name="Normal 7 2 3 7 2 2 2" xfId="48892" xr:uid="{00000000-0005-0000-0000-0000E6B60000}"/>
    <cellStyle name="Normal 7 2 3 7 2 3" xfId="38643" xr:uid="{00000000-0005-0000-0000-0000E7B60000}"/>
    <cellStyle name="Normal 7 2 3 7 3" xfId="9509" xr:uid="{00000000-0005-0000-0000-0000E8B60000}"/>
    <cellStyle name="Normal 7 2 3 7 3 2" xfId="35066" xr:uid="{00000000-0005-0000-0000-0000E9B60000}"/>
    <cellStyle name="Normal 7 2 3 7 4" xfId="18332" xr:uid="{00000000-0005-0000-0000-0000EAB60000}"/>
    <cellStyle name="Normal 7 2 3 7 4 2" xfId="43885" xr:uid="{00000000-0005-0000-0000-0000EBB60000}"/>
    <cellStyle name="Normal 7 2 3 7 5" xfId="29822" xr:uid="{00000000-0005-0000-0000-0000ECB60000}"/>
    <cellStyle name="Normal 7 2 3 8" xfId="1522" xr:uid="{00000000-0005-0000-0000-0000EDB60000}"/>
    <cellStyle name="Normal 7 2 3 8 2" xfId="10899" xr:uid="{00000000-0005-0000-0000-0000EEB60000}"/>
    <cellStyle name="Normal 7 2 3 8 2 2" xfId="36454" xr:uid="{00000000-0005-0000-0000-0000EFB60000}"/>
    <cellStyle name="Normal 7 2 3 8 3" xfId="20903" xr:uid="{00000000-0005-0000-0000-0000F0B60000}"/>
    <cellStyle name="Normal 7 2 3 8 3 2" xfId="46456" xr:uid="{00000000-0005-0000-0000-0000F1B60000}"/>
    <cellStyle name="Normal 7 2 3 8 4" xfId="27386" xr:uid="{00000000-0005-0000-0000-0000F2B60000}"/>
    <cellStyle name="Normal 7 2 3 9" xfId="5706" xr:uid="{00000000-0005-0000-0000-0000F3B60000}"/>
    <cellStyle name="Normal 7 2 3 9 2" xfId="14533" xr:uid="{00000000-0005-0000-0000-0000F4B60000}"/>
    <cellStyle name="Normal 7 2 3 9 2 2" xfId="40088" xr:uid="{00000000-0005-0000-0000-0000F5B60000}"/>
    <cellStyle name="Normal 7 2 3 9 3" xfId="24784" xr:uid="{00000000-0005-0000-0000-0000F6B60000}"/>
    <cellStyle name="Normal 7 2 3 9 3 2" xfId="50337" xr:uid="{00000000-0005-0000-0000-0000F7B60000}"/>
    <cellStyle name="Normal 7 2 3 9 4" xfId="31267" xr:uid="{00000000-0005-0000-0000-0000F8B60000}"/>
    <cellStyle name="Normal 7 2 3_Degree data" xfId="4051" xr:uid="{00000000-0005-0000-0000-0000F9B60000}"/>
    <cellStyle name="Normal 7 2 4" xfId="239" xr:uid="{00000000-0005-0000-0000-0000FAB60000}"/>
    <cellStyle name="Normal 7 2 4 10" xfId="7077" xr:uid="{00000000-0005-0000-0000-0000FBB60000}"/>
    <cellStyle name="Normal 7 2 4 10 2" xfId="19691" xr:uid="{00000000-0005-0000-0000-0000FCB60000}"/>
    <cellStyle name="Normal 7 2 4 10 2 2" xfId="45244" xr:uid="{00000000-0005-0000-0000-0000FDB60000}"/>
    <cellStyle name="Normal 7 2 4 10 3" xfId="32634" xr:uid="{00000000-0005-0000-0000-0000FEB60000}"/>
    <cellStyle name="Normal 7 2 4 11" xfId="15823" xr:uid="{00000000-0005-0000-0000-0000FFB60000}"/>
    <cellStyle name="Normal 7 2 4 11 2" xfId="41376" xr:uid="{00000000-0005-0000-0000-000000B70000}"/>
    <cellStyle name="Normal 7 2 4 12" xfId="26174" xr:uid="{00000000-0005-0000-0000-000001B70000}"/>
    <cellStyle name="Normal 7 2 4 2" xfId="562" xr:uid="{00000000-0005-0000-0000-000002B70000}"/>
    <cellStyle name="Normal 7 2 4 2 10" xfId="26491" xr:uid="{00000000-0005-0000-0000-000003B70000}"/>
    <cellStyle name="Normal 7 2 4 2 2" xfId="948" xr:uid="{00000000-0005-0000-0000-000004B70000}"/>
    <cellStyle name="Normal 7 2 4 2 2 2" xfId="3424" xr:uid="{00000000-0005-0000-0000-000005B70000}"/>
    <cellStyle name="Normal 7 2 4 2 2 2 2" xfId="12566" xr:uid="{00000000-0005-0000-0000-000006B70000}"/>
    <cellStyle name="Normal 7 2 4 2 2 2 2 2" xfId="22785" xr:uid="{00000000-0005-0000-0000-000007B70000}"/>
    <cellStyle name="Normal 7 2 4 2 2 2 2 2 2" xfId="48338" xr:uid="{00000000-0005-0000-0000-000008B70000}"/>
    <cellStyle name="Normal 7 2 4 2 2 2 2 3" xfId="38121" xr:uid="{00000000-0005-0000-0000-000009B70000}"/>
    <cellStyle name="Normal 7 2 4 2 2 2 3" xfId="8988" xr:uid="{00000000-0005-0000-0000-00000AB70000}"/>
    <cellStyle name="Normal 7 2 4 2 2 2 3 2" xfId="34545" xr:uid="{00000000-0005-0000-0000-00000BB70000}"/>
    <cellStyle name="Normal 7 2 4 2 2 2 4" xfId="17778" xr:uid="{00000000-0005-0000-0000-00000CB70000}"/>
    <cellStyle name="Normal 7 2 4 2 2 2 4 2" xfId="43331" xr:uid="{00000000-0005-0000-0000-00000DB70000}"/>
    <cellStyle name="Normal 7 2 4 2 2 2 5" xfId="29268" xr:uid="{00000000-0005-0000-0000-00000EB70000}"/>
    <cellStyle name="Normal 7 2 4 2 2 3" xfId="4754" xr:uid="{00000000-0005-0000-0000-00000FB70000}"/>
    <cellStyle name="Normal 7 2 4 2 2 3 2" xfId="13591" xr:uid="{00000000-0005-0000-0000-000010B70000}"/>
    <cellStyle name="Normal 7 2 4 2 2 3 2 2" xfId="23842" xr:uid="{00000000-0005-0000-0000-000011B70000}"/>
    <cellStyle name="Normal 7 2 4 2 2 3 2 2 2" xfId="49395" xr:uid="{00000000-0005-0000-0000-000012B70000}"/>
    <cellStyle name="Normal 7 2 4 2 2 3 2 3" xfId="39146" xr:uid="{00000000-0005-0000-0000-000013B70000}"/>
    <cellStyle name="Normal 7 2 4 2 2 3 3" xfId="10012" xr:uid="{00000000-0005-0000-0000-000014B70000}"/>
    <cellStyle name="Normal 7 2 4 2 2 3 3 2" xfId="35569" xr:uid="{00000000-0005-0000-0000-000015B70000}"/>
    <cellStyle name="Normal 7 2 4 2 2 3 4" xfId="18835" xr:uid="{00000000-0005-0000-0000-000016B70000}"/>
    <cellStyle name="Normal 7 2 4 2 2 3 4 2" xfId="44388" xr:uid="{00000000-0005-0000-0000-000017B70000}"/>
    <cellStyle name="Normal 7 2 4 2 2 3 5" xfId="30325" xr:uid="{00000000-0005-0000-0000-000018B70000}"/>
    <cellStyle name="Normal 7 2 4 2 2 4" xfId="2533" xr:uid="{00000000-0005-0000-0000-000019B70000}"/>
    <cellStyle name="Normal 7 2 4 2 2 4 2" xfId="11898" xr:uid="{00000000-0005-0000-0000-00001AB70000}"/>
    <cellStyle name="Normal 7 2 4 2 2 4 2 2" xfId="37453" xr:uid="{00000000-0005-0000-0000-00001BB70000}"/>
    <cellStyle name="Normal 7 2 4 2 2 4 3" xfId="21902" xr:uid="{00000000-0005-0000-0000-00001CB70000}"/>
    <cellStyle name="Normal 7 2 4 2 2 4 3 2" xfId="47455" xr:uid="{00000000-0005-0000-0000-00001DB70000}"/>
    <cellStyle name="Normal 7 2 4 2 2 4 4" xfId="28385" xr:uid="{00000000-0005-0000-0000-00001EB70000}"/>
    <cellStyle name="Normal 7 2 4 2 2 5" xfId="6209" xr:uid="{00000000-0005-0000-0000-00001FB70000}"/>
    <cellStyle name="Normal 7 2 4 2 2 5 2" xfId="15036" xr:uid="{00000000-0005-0000-0000-000020B70000}"/>
    <cellStyle name="Normal 7 2 4 2 2 5 2 2" xfId="40591" xr:uid="{00000000-0005-0000-0000-000021B70000}"/>
    <cellStyle name="Normal 7 2 4 2 2 5 3" xfId="25287" xr:uid="{00000000-0005-0000-0000-000022B70000}"/>
    <cellStyle name="Normal 7 2 4 2 2 5 3 2" xfId="50840" xr:uid="{00000000-0005-0000-0000-000023B70000}"/>
    <cellStyle name="Normal 7 2 4 2 2 5 4" xfId="31770" xr:uid="{00000000-0005-0000-0000-000024B70000}"/>
    <cellStyle name="Normal 7 2 4 2 2 6" xfId="7655" xr:uid="{00000000-0005-0000-0000-000025B70000}"/>
    <cellStyle name="Normal 7 2 4 2 2 6 2" xfId="20384" xr:uid="{00000000-0005-0000-0000-000026B70000}"/>
    <cellStyle name="Normal 7 2 4 2 2 6 2 2" xfId="45937" xr:uid="{00000000-0005-0000-0000-000027B70000}"/>
    <cellStyle name="Normal 7 2 4 2 2 6 3" xfId="33212" xr:uid="{00000000-0005-0000-0000-000028B70000}"/>
    <cellStyle name="Normal 7 2 4 2 2 7" xfId="16895" xr:uid="{00000000-0005-0000-0000-000029B70000}"/>
    <cellStyle name="Normal 7 2 4 2 2 7 2" xfId="42448" xr:uid="{00000000-0005-0000-0000-00002AB70000}"/>
    <cellStyle name="Normal 7 2 4 2 2 8" xfId="26867" xr:uid="{00000000-0005-0000-0000-00002BB70000}"/>
    <cellStyle name="Normal 7 2 4 2 3" xfId="1334" xr:uid="{00000000-0005-0000-0000-00002CB70000}"/>
    <cellStyle name="Normal 7 2 4 2 3 2" xfId="3763" xr:uid="{00000000-0005-0000-0000-00002DB70000}"/>
    <cellStyle name="Normal 7 2 4 2 3 2 2" xfId="12899" xr:uid="{00000000-0005-0000-0000-00002EB70000}"/>
    <cellStyle name="Normal 7 2 4 2 3 2 2 2" xfId="23118" xr:uid="{00000000-0005-0000-0000-00002FB70000}"/>
    <cellStyle name="Normal 7 2 4 2 3 2 2 2 2" xfId="48671" xr:uid="{00000000-0005-0000-0000-000030B70000}"/>
    <cellStyle name="Normal 7 2 4 2 3 2 2 3" xfId="38454" xr:uid="{00000000-0005-0000-0000-000031B70000}"/>
    <cellStyle name="Normal 7 2 4 2 3 2 3" xfId="9320" xr:uid="{00000000-0005-0000-0000-000032B70000}"/>
    <cellStyle name="Normal 7 2 4 2 3 2 3 2" xfId="34877" xr:uid="{00000000-0005-0000-0000-000033B70000}"/>
    <cellStyle name="Normal 7 2 4 2 3 2 4" xfId="18111" xr:uid="{00000000-0005-0000-0000-000034B70000}"/>
    <cellStyle name="Normal 7 2 4 2 3 2 4 2" xfId="43664" xr:uid="{00000000-0005-0000-0000-000035B70000}"/>
    <cellStyle name="Normal 7 2 4 2 3 2 5" xfId="29601" xr:uid="{00000000-0005-0000-0000-000036B70000}"/>
    <cellStyle name="Normal 7 2 4 2 3 3" xfId="5102" xr:uid="{00000000-0005-0000-0000-000037B70000}"/>
    <cellStyle name="Normal 7 2 4 2 3 3 2" xfId="13939" xr:uid="{00000000-0005-0000-0000-000038B70000}"/>
    <cellStyle name="Normal 7 2 4 2 3 3 2 2" xfId="24190" xr:uid="{00000000-0005-0000-0000-000039B70000}"/>
    <cellStyle name="Normal 7 2 4 2 3 3 2 2 2" xfId="49743" xr:uid="{00000000-0005-0000-0000-00003AB70000}"/>
    <cellStyle name="Normal 7 2 4 2 3 3 2 3" xfId="39494" xr:uid="{00000000-0005-0000-0000-00003BB70000}"/>
    <cellStyle name="Normal 7 2 4 2 3 3 3" xfId="10360" xr:uid="{00000000-0005-0000-0000-00003CB70000}"/>
    <cellStyle name="Normal 7 2 4 2 3 3 3 2" xfId="35917" xr:uid="{00000000-0005-0000-0000-00003DB70000}"/>
    <cellStyle name="Normal 7 2 4 2 3 3 4" xfId="19183" xr:uid="{00000000-0005-0000-0000-00003EB70000}"/>
    <cellStyle name="Normal 7 2 4 2 3 3 4 2" xfId="44736" xr:uid="{00000000-0005-0000-0000-00003FB70000}"/>
    <cellStyle name="Normal 7 2 4 2 3 3 5" xfId="30673" xr:uid="{00000000-0005-0000-0000-000040B70000}"/>
    <cellStyle name="Normal 7 2 4 2 3 4" xfId="2157" xr:uid="{00000000-0005-0000-0000-000041B70000}"/>
    <cellStyle name="Normal 7 2 4 2 3 4 2" xfId="11522" xr:uid="{00000000-0005-0000-0000-000042B70000}"/>
    <cellStyle name="Normal 7 2 4 2 3 4 2 2" xfId="37077" xr:uid="{00000000-0005-0000-0000-000043B70000}"/>
    <cellStyle name="Normal 7 2 4 2 3 4 3" xfId="21526" xr:uid="{00000000-0005-0000-0000-000044B70000}"/>
    <cellStyle name="Normal 7 2 4 2 3 4 3 2" xfId="47079" xr:uid="{00000000-0005-0000-0000-000045B70000}"/>
    <cellStyle name="Normal 7 2 4 2 3 4 4" xfId="28009" xr:uid="{00000000-0005-0000-0000-000046B70000}"/>
    <cellStyle name="Normal 7 2 4 2 3 5" xfId="6557" xr:uid="{00000000-0005-0000-0000-000047B70000}"/>
    <cellStyle name="Normal 7 2 4 2 3 5 2" xfId="15384" xr:uid="{00000000-0005-0000-0000-000048B70000}"/>
    <cellStyle name="Normal 7 2 4 2 3 5 2 2" xfId="40939" xr:uid="{00000000-0005-0000-0000-000049B70000}"/>
    <cellStyle name="Normal 7 2 4 2 3 5 3" xfId="25635" xr:uid="{00000000-0005-0000-0000-00004AB70000}"/>
    <cellStyle name="Normal 7 2 4 2 3 5 3 2" xfId="51188" xr:uid="{00000000-0005-0000-0000-00004BB70000}"/>
    <cellStyle name="Normal 7 2 4 2 3 5 4" xfId="32118" xr:uid="{00000000-0005-0000-0000-00004CB70000}"/>
    <cellStyle name="Normal 7 2 4 2 3 6" xfId="8003" xr:uid="{00000000-0005-0000-0000-00004DB70000}"/>
    <cellStyle name="Normal 7 2 4 2 3 6 2" xfId="20717" xr:uid="{00000000-0005-0000-0000-00004EB70000}"/>
    <cellStyle name="Normal 7 2 4 2 3 6 2 2" xfId="46270" xr:uid="{00000000-0005-0000-0000-00004FB70000}"/>
    <cellStyle name="Normal 7 2 4 2 3 6 3" xfId="33560" xr:uid="{00000000-0005-0000-0000-000050B70000}"/>
    <cellStyle name="Normal 7 2 4 2 3 7" xfId="16519" xr:uid="{00000000-0005-0000-0000-000051B70000}"/>
    <cellStyle name="Normal 7 2 4 2 3 7 2" xfId="42072" xr:uid="{00000000-0005-0000-0000-000052B70000}"/>
    <cellStyle name="Normal 7 2 4 2 3 8" xfId="27200" xr:uid="{00000000-0005-0000-0000-000053B70000}"/>
    <cellStyle name="Normal 7 2 4 2 4" xfId="3048" xr:uid="{00000000-0005-0000-0000-000054B70000}"/>
    <cellStyle name="Normal 7 2 4 2 4 2" xfId="5426" xr:uid="{00000000-0005-0000-0000-000055B70000}"/>
    <cellStyle name="Normal 7 2 4 2 4 2 2" xfId="14263" xr:uid="{00000000-0005-0000-0000-000056B70000}"/>
    <cellStyle name="Normal 7 2 4 2 4 2 2 2" xfId="24514" xr:uid="{00000000-0005-0000-0000-000057B70000}"/>
    <cellStyle name="Normal 7 2 4 2 4 2 2 2 2" xfId="50067" xr:uid="{00000000-0005-0000-0000-000058B70000}"/>
    <cellStyle name="Normal 7 2 4 2 4 2 2 3" xfId="39818" xr:uid="{00000000-0005-0000-0000-000059B70000}"/>
    <cellStyle name="Normal 7 2 4 2 4 2 3" xfId="10684" xr:uid="{00000000-0005-0000-0000-00005AB70000}"/>
    <cellStyle name="Normal 7 2 4 2 4 2 3 2" xfId="36241" xr:uid="{00000000-0005-0000-0000-00005BB70000}"/>
    <cellStyle name="Normal 7 2 4 2 4 2 4" xfId="19507" xr:uid="{00000000-0005-0000-0000-00005CB70000}"/>
    <cellStyle name="Normal 7 2 4 2 4 2 4 2" xfId="45060" xr:uid="{00000000-0005-0000-0000-00005DB70000}"/>
    <cellStyle name="Normal 7 2 4 2 4 2 5" xfId="30997" xr:uid="{00000000-0005-0000-0000-00005EB70000}"/>
    <cellStyle name="Normal 7 2 4 2 4 3" xfId="6881" xr:uid="{00000000-0005-0000-0000-00005FB70000}"/>
    <cellStyle name="Normal 7 2 4 2 4 3 2" xfId="15708" xr:uid="{00000000-0005-0000-0000-000060B70000}"/>
    <cellStyle name="Normal 7 2 4 2 4 3 2 2" xfId="41263" xr:uid="{00000000-0005-0000-0000-000061B70000}"/>
    <cellStyle name="Normal 7 2 4 2 4 3 3" xfId="25959" xr:uid="{00000000-0005-0000-0000-000062B70000}"/>
    <cellStyle name="Normal 7 2 4 2 4 3 3 2" xfId="51512" xr:uid="{00000000-0005-0000-0000-000063B70000}"/>
    <cellStyle name="Normal 7 2 4 2 4 3 4" xfId="32442" xr:uid="{00000000-0005-0000-0000-000064B70000}"/>
    <cellStyle name="Normal 7 2 4 2 4 4" xfId="8327" xr:uid="{00000000-0005-0000-0000-000065B70000}"/>
    <cellStyle name="Normal 7 2 4 2 4 4 2" xfId="22409" xr:uid="{00000000-0005-0000-0000-000066B70000}"/>
    <cellStyle name="Normal 7 2 4 2 4 4 2 2" xfId="47962" xr:uid="{00000000-0005-0000-0000-000067B70000}"/>
    <cellStyle name="Normal 7 2 4 2 4 4 3" xfId="33884" xr:uid="{00000000-0005-0000-0000-000068B70000}"/>
    <cellStyle name="Normal 7 2 4 2 4 5" xfId="17402" xr:uid="{00000000-0005-0000-0000-000069B70000}"/>
    <cellStyle name="Normal 7 2 4 2 4 5 2" xfId="42955" xr:uid="{00000000-0005-0000-0000-00006AB70000}"/>
    <cellStyle name="Normal 7 2 4 2 4 6" xfId="28892" xr:uid="{00000000-0005-0000-0000-00006BB70000}"/>
    <cellStyle name="Normal 7 2 4 2 5" xfId="4382" xr:uid="{00000000-0005-0000-0000-00006CB70000}"/>
    <cellStyle name="Normal 7 2 4 2 5 2" xfId="13220" xr:uid="{00000000-0005-0000-0000-00006DB70000}"/>
    <cellStyle name="Normal 7 2 4 2 5 2 2" xfId="23471" xr:uid="{00000000-0005-0000-0000-00006EB70000}"/>
    <cellStyle name="Normal 7 2 4 2 5 2 2 2" xfId="49024" xr:uid="{00000000-0005-0000-0000-00006FB70000}"/>
    <cellStyle name="Normal 7 2 4 2 5 2 3" xfId="38775" xr:uid="{00000000-0005-0000-0000-000070B70000}"/>
    <cellStyle name="Normal 7 2 4 2 5 3" xfId="9641" xr:uid="{00000000-0005-0000-0000-000071B70000}"/>
    <cellStyle name="Normal 7 2 4 2 5 3 2" xfId="35198" xr:uid="{00000000-0005-0000-0000-000072B70000}"/>
    <cellStyle name="Normal 7 2 4 2 5 4" xfId="18464" xr:uid="{00000000-0005-0000-0000-000073B70000}"/>
    <cellStyle name="Normal 7 2 4 2 5 4 2" xfId="44017" xr:uid="{00000000-0005-0000-0000-000074B70000}"/>
    <cellStyle name="Normal 7 2 4 2 5 5" xfId="29954" xr:uid="{00000000-0005-0000-0000-000075B70000}"/>
    <cellStyle name="Normal 7 2 4 2 6" xfId="1654" xr:uid="{00000000-0005-0000-0000-000076B70000}"/>
    <cellStyle name="Normal 7 2 4 2 6 2" xfId="11031" xr:uid="{00000000-0005-0000-0000-000077B70000}"/>
    <cellStyle name="Normal 7 2 4 2 6 2 2" xfId="36586" xr:uid="{00000000-0005-0000-0000-000078B70000}"/>
    <cellStyle name="Normal 7 2 4 2 6 3" xfId="21035" xr:uid="{00000000-0005-0000-0000-000079B70000}"/>
    <cellStyle name="Normal 7 2 4 2 6 3 2" xfId="46588" xr:uid="{00000000-0005-0000-0000-00007AB70000}"/>
    <cellStyle name="Normal 7 2 4 2 6 4" xfId="27518" xr:uid="{00000000-0005-0000-0000-00007BB70000}"/>
    <cellStyle name="Normal 7 2 4 2 7" xfId="5838" xr:uid="{00000000-0005-0000-0000-00007CB70000}"/>
    <cellStyle name="Normal 7 2 4 2 7 2" xfId="14665" xr:uid="{00000000-0005-0000-0000-00007DB70000}"/>
    <cellStyle name="Normal 7 2 4 2 7 2 2" xfId="40220" xr:uid="{00000000-0005-0000-0000-00007EB70000}"/>
    <cellStyle name="Normal 7 2 4 2 7 3" xfId="24916" xr:uid="{00000000-0005-0000-0000-00007FB70000}"/>
    <cellStyle name="Normal 7 2 4 2 7 3 2" xfId="50469" xr:uid="{00000000-0005-0000-0000-000080B70000}"/>
    <cellStyle name="Normal 7 2 4 2 7 4" xfId="31399" xr:uid="{00000000-0005-0000-0000-000081B70000}"/>
    <cellStyle name="Normal 7 2 4 2 8" xfId="7282" xr:uid="{00000000-0005-0000-0000-000082B70000}"/>
    <cellStyle name="Normal 7 2 4 2 8 2" xfId="20008" xr:uid="{00000000-0005-0000-0000-000083B70000}"/>
    <cellStyle name="Normal 7 2 4 2 8 2 2" xfId="45561" xr:uid="{00000000-0005-0000-0000-000084B70000}"/>
    <cellStyle name="Normal 7 2 4 2 8 3" xfId="32839" xr:uid="{00000000-0005-0000-0000-000085B70000}"/>
    <cellStyle name="Normal 7 2 4 2 9" xfId="16028" xr:uid="{00000000-0005-0000-0000-000086B70000}"/>
    <cellStyle name="Normal 7 2 4 2 9 2" xfId="41581" xr:uid="{00000000-0005-0000-0000-000087B70000}"/>
    <cellStyle name="Normal 7 2 4 2_Degree data" xfId="4054" xr:uid="{00000000-0005-0000-0000-000088B70000}"/>
    <cellStyle name="Normal 7 2 4 3" xfId="357" xr:uid="{00000000-0005-0000-0000-000089B70000}"/>
    <cellStyle name="Normal 7 2 4 3 2" xfId="2843" xr:uid="{00000000-0005-0000-0000-00008AB70000}"/>
    <cellStyle name="Normal 7 2 4 3 2 2" xfId="12131" xr:uid="{00000000-0005-0000-0000-00008BB70000}"/>
    <cellStyle name="Normal 7 2 4 3 2 2 2" xfId="22204" xr:uid="{00000000-0005-0000-0000-00008CB70000}"/>
    <cellStyle name="Normal 7 2 4 3 2 2 2 2" xfId="47757" xr:uid="{00000000-0005-0000-0000-00008DB70000}"/>
    <cellStyle name="Normal 7 2 4 3 2 2 3" xfId="37686" xr:uid="{00000000-0005-0000-0000-00008EB70000}"/>
    <cellStyle name="Normal 7 2 4 3 2 3" xfId="8401" xr:uid="{00000000-0005-0000-0000-00008FB70000}"/>
    <cellStyle name="Normal 7 2 4 3 2 3 2" xfId="33958" xr:uid="{00000000-0005-0000-0000-000090B70000}"/>
    <cellStyle name="Normal 7 2 4 3 2 4" xfId="17197" xr:uid="{00000000-0005-0000-0000-000091B70000}"/>
    <cellStyle name="Normal 7 2 4 3 2 4 2" xfId="42750" xr:uid="{00000000-0005-0000-0000-000092B70000}"/>
    <cellStyle name="Normal 7 2 4 3 2 5" xfId="28687" xr:uid="{00000000-0005-0000-0000-000093B70000}"/>
    <cellStyle name="Normal 7 2 4 3 3" xfId="4753" xr:uid="{00000000-0005-0000-0000-000094B70000}"/>
    <cellStyle name="Normal 7 2 4 3 3 2" xfId="13590" xr:uid="{00000000-0005-0000-0000-000095B70000}"/>
    <cellStyle name="Normal 7 2 4 3 3 2 2" xfId="23841" xr:uid="{00000000-0005-0000-0000-000096B70000}"/>
    <cellStyle name="Normal 7 2 4 3 3 2 2 2" xfId="49394" xr:uid="{00000000-0005-0000-0000-000097B70000}"/>
    <cellStyle name="Normal 7 2 4 3 3 2 3" xfId="39145" xr:uid="{00000000-0005-0000-0000-000098B70000}"/>
    <cellStyle name="Normal 7 2 4 3 3 3" xfId="10011" xr:uid="{00000000-0005-0000-0000-000099B70000}"/>
    <cellStyle name="Normal 7 2 4 3 3 3 2" xfId="35568" xr:uid="{00000000-0005-0000-0000-00009AB70000}"/>
    <cellStyle name="Normal 7 2 4 3 3 4" xfId="18834" xr:uid="{00000000-0005-0000-0000-00009BB70000}"/>
    <cellStyle name="Normal 7 2 4 3 3 4 2" xfId="44387" xr:uid="{00000000-0005-0000-0000-00009CB70000}"/>
    <cellStyle name="Normal 7 2 4 3 3 5" xfId="30324" xr:uid="{00000000-0005-0000-0000-00009DB70000}"/>
    <cellStyle name="Normal 7 2 4 3 4" xfId="1952" xr:uid="{00000000-0005-0000-0000-00009EB70000}"/>
    <cellStyle name="Normal 7 2 4 3 4 2" xfId="11317" xr:uid="{00000000-0005-0000-0000-00009FB70000}"/>
    <cellStyle name="Normal 7 2 4 3 4 2 2" xfId="36872" xr:uid="{00000000-0005-0000-0000-0000A0B70000}"/>
    <cellStyle name="Normal 7 2 4 3 4 3" xfId="21321" xr:uid="{00000000-0005-0000-0000-0000A1B70000}"/>
    <cellStyle name="Normal 7 2 4 3 4 3 2" xfId="46874" xr:uid="{00000000-0005-0000-0000-0000A2B70000}"/>
    <cellStyle name="Normal 7 2 4 3 4 4" xfId="27804" xr:uid="{00000000-0005-0000-0000-0000A3B70000}"/>
    <cellStyle name="Normal 7 2 4 3 5" xfId="6208" xr:uid="{00000000-0005-0000-0000-0000A4B70000}"/>
    <cellStyle name="Normal 7 2 4 3 5 2" xfId="15035" xr:uid="{00000000-0005-0000-0000-0000A5B70000}"/>
    <cellStyle name="Normal 7 2 4 3 5 2 2" xfId="40590" xr:uid="{00000000-0005-0000-0000-0000A6B70000}"/>
    <cellStyle name="Normal 7 2 4 3 5 3" xfId="25286" xr:uid="{00000000-0005-0000-0000-0000A7B70000}"/>
    <cellStyle name="Normal 7 2 4 3 5 3 2" xfId="50839" xr:uid="{00000000-0005-0000-0000-0000A8B70000}"/>
    <cellStyle name="Normal 7 2 4 3 5 4" xfId="31769" xr:uid="{00000000-0005-0000-0000-0000A9B70000}"/>
    <cellStyle name="Normal 7 2 4 3 6" xfId="7654" xr:uid="{00000000-0005-0000-0000-0000AAB70000}"/>
    <cellStyle name="Normal 7 2 4 3 6 2" xfId="19803" xr:uid="{00000000-0005-0000-0000-0000ABB70000}"/>
    <cellStyle name="Normal 7 2 4 3 6 2 2" xfId="45356" xr:uid="{00000000-0005-0000-0000-0000ACB70000}"/>
    <cellStyle name="Normal 7 2 4 3 6 3" xfId="33211" xr:uid="{00000000-0005-0000-0000-0000ADB70000}"/>
    <cellStyle name="Normal 7 2 4 3 7" xfId="16314" xr:uid="{00000000-0005-0000-0000-0000AEB70000}"/>
    <cellStyle name="Normal 7 2 4 3 7 2" xfId="41867" xr:uid="{00000000-0005-0000-0000-0000AFB70000}"/>
    <cellStyle name="Normal 7 2 4 3 8" xfId="26286" xr:uid="{00000000-0005-0000-0000-0000B0B70000}"/>
    <cellStyle name="Normal 7 2 4 4" xfId="947" xr:uid="{00000000-0005-0000-0000-0000B1B70000}"/>
    <cellStyle name="Normal 7 2 4 4 2" xfId="3423" xr:uid="{00000000-0005-0000-0000-0000B2B70000}"/>
    <cellStyle name="Normal 7 2 4 4 2 2" xfId="12565" xr:uid="{00000000-0005-0000-0000-0000B3B70000}"/>
    <cellStyle name="Normal 7 2 4 4 2 2 2" xfId="22784" xr:uid="{00000000-0005-0000-0000-0000B4B70000}"/>
    <cellStyle name="Normal 7 2 4 4 2 2 2 2" xfId="48337" xr:uid="{00000000-0005-0000-0000-0000B5B70000}"/>
    <cellStyle name="Normal 7 2 4 4 2 2 3" xfId="38120" xr:uid="{00000000-0005-0000-0000-0000B6B70000}"/>
    <cellStyle name="Normal 7 2 4 4 2 3" xfId="8987" xr:uid="{00000000-0005-0000-0000-0000B7B70000}"/>
    <cellStyle name="Normal 7 2 4 4 2 3 2" xfId="34544" xr:uid="{00000000-0005-0000-0000-0000B8B70000}"/>
    <cellStyle name="Normal 7 2 4 4 2 4" xfId="17777" xr:uid="{00000000-0005-0000-0000-0000B9B70000}"/>
    <cellStyle name="Normal 7 2 4 4 2 4 2" xfId="43330" xr:uid="{00000000-0005-0000-0000-0000BAB70000}"/>
    <cellStyle name="Normal 7 2 4 4 2 5" xfId="29267" xr:uid="{00000000-0005-0000-0000-0000BBB70000}"/>
    <cellStyle name="Normal 7 2 4 4 3" xfId="5101" xr:uid="{00000000-0005-0000-0000-0000BCB70000}"/>
    <cellStyle name="Normal 7 2 4 4 3 2" xfId="13938" xr:uid="{00000000-0005-0000-0000-0000BDB70000}"/>
    <cellStyle name="Normal 7 2 4 4 3 2 2" xfId="24189" xr:uid="{00000000-0005-0000-0000-0000BEB70000}"/>
    <cellStyle name="Normal 7 2 4 4 3 2 2 2" xfId="49742" xr:uid="{00000000-0005-0000-0000-0000BFB70000}"/>
    <cellStyle name="Normal 7 2 4 4 3 2 3" xfId="39493" xr:uid="{00000000-0005-0000-0000-0000C0B70000}"/>
    <cellStyle name="Normal 7 2 4 4 3 3" xfId="10359" xr:uid="{00000000-0005-0000-0000-0000C1B70000}"/>
    <cellStyle name="Normal 7 2 4 4 3 3 2" xfId="35916" xr:uid="{00000000-0005-0000-0000-0000C2B70000}"/>
    <cellStyle name="Normal 7 2 4 4 3 4" xfId="19182" xr:uid="{00000000-0005-0000-0000-0000C3B70000}"/>
    <cellStyle name="Normal 7 2 4 4 3 4 2" xfId="44735" xr:uid="{00000000-0005-0000-0000-0000C4B70000}"/>
    <cellStyle name="Normal 7 2 4 4 3 5" xfId="30672" xr:uid="{00000000-0005-0000-0000-0000C5B70000}"/>
    <cellStyle name="Normal 7 2 4 4 4" xfId="2532" xr:uid="{00000000-0005-0000-0000-0000C6B70000}"/>
    <cellStyle name="Normal 7 2 4 4 4 2" xfId="11897" xr:uid="{00000000-0005-0000-0000-0000C7B70000}"/>
    <cellStyle name="Normal 7 2 4 4 4 2 2" xfId="37452" xr:uid="{00000000-0005-0000-0000-0000C8B70000}"/>
    <cellStyle name="Normal 7 2 4 4 4 3" xfId="21901" xr:uid="{00000000-0005-0000-0000-0000C9B70000}"/>
    <cellStyle name="Normal 7 2 4 4 4 3 2" xfId="47454" xr:uid="{00000000-0005-0000-0000-0000CAB70000}"/>
    <cellStyle name="Normal 7 2 4 4 4 4" xfId="28384" xr:uid="{00000000-0005-0000-0000-0000CBB70000}"/>
    <cellStyle name="Normal 7 2 4 4 5" xfId="6556" xr:uid="{00000000-0005-0000-0000-0000CCB70000}"/>
    <cellStyle name="Normal 7 2 4 4 5 2" xfId="15383" xr:uid="{00000000-0005-0000-0000-0000CDB70000}"/>
    <cellStyle name="Normal 7 2 4 4 5 2 2" xfId="40938" xr:uid="{00000000-0005-0000-0000-0000CEB70000}"/>
    <cellStyle name="Normal 7 2 4 4 5 3" xfId="25634" xr:uid="{00000000-0005-0000-0000-0000CFB70000}"/>
    <cellStyle name="Normal 7 2 4 4 5 3 2" xfId="51187" xr:uid="{00000000-0005-0000-0000-0000D0B70000}"/>
    <cellStyle name="Normal 7 2 4 4 5 4" xfId="32117" xr:uid="{00000000-0005-0000-0000-0000D1B70000}"/>
    <cellStyle name="Normal 7 2 4 4 6" xfId="8002" xr:uid="{00000000-0005-0000-0000-0000D2B70000}"/>
    <cellStyle name="Normal 7 2 4 4 6 2" xfId="20383" xr:uid="{00000000-0005-0000-0000-0000D3B70000}"/>
    <cellStyle name="Normal 7 2 4 4 6 2 2" xfId="45936" xr:uid="{00000000-0005-0000-0000-0000D4B70000}"/>
    <cellStyle name="Normal 7 2 4 4 6 3" xfId="33559" xr:uid="{00000000-0005-0000-0000-0000D5B70000}"/>
    <cellStyle name="Normal 7 2 4 4 7" xfId="16894" xr:uid="{00000000-0005-0000-0000-0000D6B70000}"/>
    <cellStyle name="Normal 7 2 4 4 7 2" xfId="42447" xr:uid="{00000000-0005-0000-0000-0000D7B70000}"/>
    <cellStyle name="Normal 7 2 4 4 8" xfId="26866" xr:uid="{00000000-0005-0000-0000-0000D8B70000}"/>
    <cellStyle name="Normal 7 2 4 5" xfId="1129" xr:uid="{00000000-0005-0000-0000-0000D9B70000}"/>
    <cellStyle name="Normal 7 2 4 5 2" xfId="3558" xr:uid="{00000000-0005-0000-0000-0000DAB70000}"/>
    <cellStyle name="Normal 7 2 4 5 2 2" xfId="12694" xr:uid="{00000000-0005-0000-0000-0000DBB70000}"/>
    <cellStyle name="Normal 7 2 4 5 2 2 2" xfId="22913" xr:uid="{00000000-0005-0000-0000-0000DCB70000}"/>
    <cellStyle name="Normal 7 2 4 5 2 2 2 2" xfId="48466" xr:uid="{00000000-0005-0000-0000-0000DDB70000}"/>
    <cellStyle name="Normal 7 2 4 5 2 2 3" xfId="38249" xr:uid="{00000000-0005-0000-0000-0000DEB70000}"/>
    <cellStyle name="Normal 7 2 4 5 2 3" xfId="9115" xr:uid="{00000000-0005-0000-0000-0000DFB70000}"/>
    <cellStyle name="Normal 7 2 4 5 2 3 2" xfId="34672" xr:uid="{00000000-0005-0000-0000-0000E0B70000}"/>
    <cellStyle name="Normal 7 2 4 5 2 4" xfId="17906" xr:uid="{00000000-0005-0000-0000-0000E1B70000}"/>
    <cellStyle name="Normal 7 2 4 5 2 4 2" xfId="43459" xr:uid="{00000000-0005-0000-0000-0000E2B70000}"/>
    <cellStyle name="Normal 7 2 4 5 2 5" xfId="29396" xr:uid="{00000000-0005-0000-0000-0000E3B70000}"/>
    <cellStyle name="Normal 7 2 4 5 3" xfId="5221" xr:uid="{00000000-0005-0000-0000-0000E4B70000}"/>
    <cellStyle name="Normal 7 2 4 5 3 2" xfId="14058" xr:uid="{00000000-0005-0000-0000-0000E5B70000}"/>
    <cellStyle name="Normal 7 2 4 5 3 2 2" xfId="24309" xr:uid="{00000000-0005-0000-0000-0000E6B70000}"/>
    <cellStyle name="Normal 7 2 4 5 3 2 2 2" xfId="49862" xr:uid="{00000000-0005-0000-0000-0000E7B70000}"/>
    <cellStyle name="Normal 7 2 4 5 3 2 3" xfId="39613" xr:uid="{00000000-0005-0000-0000-0000E8B70000}"/>
    <cellStyle name="Normal 7 2 4 5 3 3" xfId="10479" xr:uid="{00000000-0005-0000-0000-0000E9B70000}"/>
    <cellStyle name="Normal 7 2 4 5 3 3 2" xfId="36036" xr:uid="{00000000-0005-0000-0000-0000EAB70000}"/>
    <cellStyle name="Normal 7 2 4 5 3 4" xfId="19302" xr:uid="{00000000-0005-0000-0000-0000EBB70000}"/>
    <cellStyle name="Normal 7 2 4 5 3 4 2" xfId="44855" xr:uid="{00000000-0005-0000-0000-0000ECB70000}"/>
    <cellStyle name="Normal 7 2 4 5 3 5" xfId="30792" xr:uid="{00000000-0005-0000-0000-0000EDB70000}"/>
    <cellStyle name="Normal 7 2 4 5 4" xfId="1837" xr:uid="{00000000-0005-0000-0000-0000EEB70000}"/>
    <cellStyle name="Normal 7 2 4 5 4 2" xfId="11205" xr:uid="{00000000-0005-0000-0000-0000EFB70000}"/>
    <cellStyle name="Normal 7 2 4 5 4 2 2" xfId="36760" xr:uid="{00000000-0005-0000-0000-0000F0B70000}"/>
    <cellStyle name="Normal 7 2 4 5 4 3" xfId="21209" xr:uid="{00000000-0005-0000-0000-0000F1B70000}"/>
    <cellStyle name="Normal 7 2 4 5 4 3 2" xfId="46762" xr:uid="{00000000-0005-0000-0000-0000F2B70000}"/>
    <cellStyle name="Normal 7 2 4 5 4 4" xfId="27692" xr:uid="{00000000-0005-0000-0000-0000F3B70000}"/>
    <cellStyle name="Normal 7 2 4 5 5" xfId="6676" xr:uid="{00000000-0005-0000-0000-0000F4B70000}"/>
    <cellStyle name="Normal 7 2 4 5 5 2" xfId="15503" xr:uid="{00000000-0005-0000-0000-0000F5B70000}"/>
    <cellStyle name="Normal 7 2 4 5 5 2 2" xfId="41058" xr:uid="{00000000-0005-0000-0000-0000F6B70000}"/>
    <cellStyle name="Normal 7 2 4 5 5 3" xfId="25754" xr:uid="{00000000-0005-0000-0000-0000F7B70000}"/>
    <cellStyle name="Normal 7 2 4 5 5 3 2" xfId="51307" xr:uid="{00000000-0005-0000-0000-0000F8B70000}"/>
    <cellStyle name="Normal 7 2 4 5 5 4" xfId="32237" xr:uid="{00000000-0005-0000-0000-0000F9B70000}"/>
    <cellStyle name="Normal 7 2 4 5 6" xfId="8122" xr:uid="{00000000-0005-0000-0000-0000FAB70000}"/>
    <cellStyle name="Normal 7 2 4 5 6 2" xfId="20512" xr:uid="{00000000-0005-0000-0000-0000FBB70000}"/>
    <cellStyle name="Normal 7 2 4 5 6 2 2" xfId="46065" xr:uid="{00000000-0005-0000-0000-0000FCB70000}"/>
    <cellStyle name="Normal 7 2 4 5 6 3" xfId="33679" xr:uid="{00000000-0005-0000-0000-0000FDB70000}"/>
    <cellStyle name="Normal 7 2 4 5 7" xfId="16202" xr:uid="{00000000-0005-0000-0000-0000FEB70000}"/>
    <cellStyle name="Normal 7 2 4 5 7 2" xfId="41755" xr:uid="{00000000-0005-0000-0000-0000FFB70000}"/>
    <cellStyle name="Normal 7 2 4 5 8" xfId="26995" xr:uid="{00000000-0005-0000-0000-000000B80000}"/>
    <cellStyle name="Normal 7 2 4 6" xfId="2731" xr:uid="{00000000-0005-0000-0000-000001B80000}"/>
    <cellStyle name="Normal 7 2 4 6 2" xfId="12048" xr:uid="{00000000-0005-0000-0000-000002B80000}"/>
    <cellStyle name="Normal 7 2 4 6 2 2" xfId="22092" xr:uid="{00000000-0005-0000-0000-000003B80000}"/>
    <cellStyle name="Normal 7 2 4 6 2 2 2" xfId="47645" xr:uid="{00000000-0005-0000-0000-000004B80000}"/>
    <cellStyle name="Normal 7 2 4 6 2 3" xfId="37603" xr:uid="{00000000-0005-0000-0000-000005B80000}"/>
    <cellStyle name="Normal 7 2 4 6 3" xfId="8486" xr:uid="{00000000-0005-0000-0000-000006B80000}"/>
    <cellStyle name="Normal 7 2 4 6 3 2" xfId="34043" xr:uid="{00000000-0005-0000-0000-000007B80000}"/>
    <cellStyle name="Normal 7 2 4 6 4" xfId="17085" xr:uid="{00000000-0005-0000-0000-000008B80000}"/>
    <cellStyle name="Normal 7 2 4 6 4 2" xfId="42638" xr:uid="{00000000-0005-0000-0000-000009B80000}"/>
    <cellStyle name="Normal 7 2 4 6 5" xfId="28575" xr:uid="{00000000-0005-0000-0000-00000AB80000}"/>
    <cellStyle name="Normal 7 2 4 7" xfId="4177" xr:uid="{00000000-0005-0000-0000-00000BB80000}"/>
    <cellStyle name="Normal 7 2 4 7 2" xfId="13015" xr:uid="{00000000-0005-0000-0000-00000CB80000}"/>
    <cellStyle name="Normal 7 2 4 7 2 2" xfId="23266" xr:uid="{00000000-0005-0000-0000-00000DB80000}"/>
    <cellStyle name="Normal 7 2 4 7 2 2 2" xfId="48819" xr:uid="{00000000-0005-0000-0000-00000EB80000}"/>
    <cellStyle name="Normal 7 2 4 7 2 3" xfId="38570" xr:uid="{00000000-0005-0000-0000-00000FB80000}"/>
    <cellStyle name="Normal 7 2 4 7 3" xfId="9436" xr:uid="{00000000-0005-0000-0000-000010B80000}"/>
    <cellStyle name="Normal 7 2 4 7 3 2" xfId="34993" xr:uid="{00000000-0005-0000-0000-000011B80000}"/>
    <cellStyle name="Normal 7 2 4 7 4" xfId="18259" xr:uid="{00000000-0005-0000-0000-000012B80000}"/>
    <cellStyle name="Normal 7 2 4 7 4 2" xfId="43812" xr:uid="{00000000-0005-0000-0000-000013B80000}"/>
    <cellStyle name="Normal 7 2 4 7 5" xfId="29749" xr:uid="{00000000-0005-0000-0000-000014B80000}"/>
    <cellStyle name="Normal 7 2 4 8" xfId="1449" xr:uid="{00000000-0005-0000-0000-000015B80000}"/>
    <cellStyle name="Normal 7 2 4 8 2" xfId="10826" xr:uid="{00000000-0005-0000-0000-000016B80000}"/>
    <cellStyle name="Normal 7 2 4 8 2 2" xfId="36381" xr:uid="{00000000-0005-0000-0000-000017B80000}"/>
    <cellStyle name="Normal 7 2 4 8 3" xfId="20830" xr:uid="{00000000-0005-0000-0000-000018B80000}"/>
    <cellStyle name="Normal 7 2 4 8 3 2" xfId="46383" xr:uid="{00000000-0005-0000-0000-000019B80000}"/>
    <cellStyle name="Normal 7 2 4 8 4" xfId="27313" xr:uid="{00000000-0005-0000-0000-00001AB80000}"/>
    <cellStyle name="Normal 7 2 4 9" xfId="5633" xr:uid="{00000000-0005-0000-0000-00001BB80000}"/>
    <cellStyle name="Normal 7 2 4 9 2" xfId="14460" xr:uid="{00000000-0005-0000-0000-00001CB80000}"/>
    <cellStyle name="Normal 7 2 4 9 2 2" xfId="40015" xr:uid="{00000000-0005-0000-0000-00001DB80000}"/>
    <cellStyle name="Normal 7 2 4 9 3" xfId="24711" xr:uid="{00000000-0005-0000-0000-00001EB80000}"/>
    <cellStyle name="Normal 7 2 4 9 3 2" xfId="50264" xr:uid="{00000000-0005-0000-0000-00001FB80000}"/>
    <cellStyle name="Normal 7 2 4 9 4" xfId="31194" xr:uid="{00000000-0005-0000-0000-000020B80000}"/>
    <cellStyle name="Normal 7 2 4_Degree data" xfId="4053" xr:uid="{00000000-0005-0000-0000-000021B80000}"/>
    <cellStyle name="Normal 7 2 5" xfId="457" xr:uid="{00000000-0005-0000-0000-000022B80000}"/>
    <cellStyle name="Normal 7 2 5 10" xfId="26386" xr:uid="{00000000-0005-0000-0000-000023B80000}"/>
    <cellStyle name="Normal 7 2 5 2" xfId="949" xr:uid="{00000000-0005-0000-0000-000024B80000}"/>
    <cellStyle name="Normal 7 2 5 2 2" xfId="3425" xr:uid="{00000000-0005-0000-0000-000025B80000}"/>
    <cellStyle name="Normal 7 2 5 2 2 2" xfId="12567" xr:uid="{00000000-0005-0000-0000-000026B80000}"/>
    <cellStyle name="Normal 7 2 5 2 2 2 2" xfId="22786" xr:uid="{00000000-0005-0000-0000-000027B80000}"/>
    <cellStyle name="Normal 7 2 5 2 2 2 2 2" xfId="48339" xr:uid="{00000000-0005-0000-0000-000028B80000}"/>
    <cellStyle name="Normal 7 2 5 2 2 2 3" xfId="38122" xr:uid="{00000000-0005-0000-0000-000029B80000}"/>
    <cellStyle name="Normal 7 2 5 2 2 3" xfId="8989" xr:uid="{00000000-0005-0000-0000-00002AB80000}"/>
    <cellStyle name="Normal 7 2 5 2 2 3 2" xfId="34546" xr:uid="{00000000-0005-0000-0000-00002BB80000}"/>
    <cellStyle name="Normal 7 2 5 2 2 4" xfId="17779" xr:uid="{00000000-0005-0000-0000-00002CB80000}"/>
    <cellStyle name="Normal 7 2 5 2 2 4 2" xfId="43332" xr:uid="{00000000-0005-0000-0000-00002DB80000}"/>
    <cellStyle name="Normal 7 2 5 2 2 5" xfId="29269" xr:uid="{00000000-0005-0000-0000-00002EB80000}"/>
    <cellStyle name="Normal 7 2 5 2 3" xfId="4755" xr:uid="{00000000-0005-0000-0000-00002FB80000}"/>
    <cellStyle name="Normal 7 2 5 2 3 2" xfId="13592" xr:uid="{00000000-0005-0000-0000-000030B80000}"/>
    <cellStyle name="Normal 7 2 5 2 3 2 2" xfId="23843" xr:uid="{00000000-0005-0000-0000-000031B80000}"/>
    <cellStyle name="Normal 7 2 5 2 3 2 2 2" xfId="49396" xr:uid="{00000000-0005-0000-0000-000032B80000}"/>
    <cellStyle name="Normal 7 2 5 2 3 2 3" xfId="39147" xr:uid="{00000000-0005-0000-0000-000033B80000}"/>
    <cellStyle name="Normal 7 2 5 2 3 3" xfId="10013" xr:uid="{00000000-0005-0000-0000-000034B80000}"/>
    <cellStyle name="Normal 7 2 5 2 3 3 2" xfId="35570" xr:uid="{00000000-0005-0000-0000-000035B80000}"/>
    <cellStyle name="Normal 7 2 5 2 3 4" xfId="18836" xr:uid="{00000000-0005-0000-0000-000036B80000}"/>
    <cellStyle name="Normal 7 2 5 2 3 4 2" xfId="44389" xr:uid="{00000000-0005-0000-0000-000037B80000}"/>
    <cellStyle name="Normal 7 2 5 2 3 5" xfId="30326" xr:uid="{00000000-0005-0000-0000-000038B80000}"/>
    <cellStyle name="Normal 7 2 5 2 4" xfId="2534" xr:uid="{00000000-0005-0000-0000-000039B80000}"/>
    <cellStyle name="Normal 7 2 5 2 4 2" xfId="11899" xr:uid="{00000000-0005-0000-0000-00003AB80000}"/>
    <cellStyle name="Normal 7 2 5 2 4 2 2" xfId="37454" xr:uid="{00000000-0005-0000-0000-00003BB80000}"/>
    <cellStyle name="Normal 7 2 5 2 4 3" xfId="21903" xr:uid="{00000000-0005-0000-0000-00003CB80000}"/>
    <cellStyle name="Normal 7 2 5 2 4 3 2" xfId="47456" xr:uid="{00000000-0005-0000-0000-00003DB80000}"/>
    <cellStyle name="Normal 7 2 5 2 4 4" xfId="28386" xr:uid="{00000000-0005-0000-0000-00003EB80000}"/>
    <cellStyle name="Normal 7 2 5 2 5" xfId="6210" xr:uid="{00000000-0005-0000-0000-00003FB80000}"/>
    <cellStyle name="Normal 7 2 5 2 5 2" xfId="15037" xr:uid="{00000000-0005-0000-0000-000040B80000}"/>
    <cellStyle name="Normal 7 2 5 2 5 2 2" xfId="40592" xr:uid="{00000000-0005-0000-0000-000041B80000}"/>
    <cellStyle name="Normal 7 2 5 2 5 3" xfId="25288" xr:uid="{00000000-0005-0000-0000-000042B80000}"/>
    <cellStyle name="Normal 7 2 5 2 5 3 2" xfId="50841" xr:uid="{00000000-0005-0000-0000-000043B80000}"/>
    <cellStyle name="Normal 7 2 5 2 5 4" xfId="31771" xr:uid="{00000000-0005-0000-0000-000044B80000}"/>
    <cellStyle name="Normal 7 2 5 2 6" xfId="7656" xr:uid="{00000000-0005-0000-0000-000045B80000}"/>
    <cellStyle name="Normal 7 2 5 2 6 2" xfId="20385" xr:uid="{00000000-0005-0000-0000-000046B80000}"/>
    <cellStyle name="Normal 7 2 5 2 6 2 2" xfId="45938" xr:uid="{00000000-0005-0000-0000-000047B80000}"/>
    <cellStyle name="Normal 7 2 5 2 6 3" xfId="33213" xr:uid="{00000000-0005-0000-0000-000048B80000}"/>
    <cellStyle name="Normal 7 2 5 2 7" xfId="16896" xr:uid="{00000000-0005-0000-0000-000049B80000}"/>
    <cellStyle name="Normal 7 2 5 2 7 2" xfId="42449" xr:uid="{00000000-0005-0000-0000-00004AB80000}"/>
    <cellStyle name="Normal 7 2 5 2 8" xfId="26868" xr:uid="{00000000-0005-0000-0000-00004BB80000}"/>
    <cellStyle name="Normal 7 2 5 3" xfId="1229" xr:uid="{00000000-0005-0000-0000-00004CB80000}"/>
    <cellStyle name="Normal 7 2 5 3 2" xfId="3658" xr:uid="{00000000-0005-0000-0000-00004DB80000}"/>
    <cellStyle name="Normal 7 2 5 3 2 2" xfId="12794" xr:uid="{00000000-0005-0000-0000-00004EB80000}"/>
    <cellStyle name="Normal 7 2 5 3 2 2 2" xfId="23013" xr:uid="{00000000-0005-0000-0000-00004FB80000}"/>
    <cellStyle name="Normal 7 2 5 3 2 2 2 2" xfId="48566" xr:uid="{00000000-0005-0000-0000-000050B80000}"/>
    <cellStyle name="Normal 7 2 5 3 2 2 3" xfId="38349" xr:uid="{00000000-0005-0000-0000-000051B80000}"/>
    <cellStyle name="Normal 7 2 5 3 2 3" xfId="9215" xr:uid="{00000000-0005-0000-0000-000052B80000}"/>
    <cellStyle name="Normal 7 2 5 3 2 3 2" xfId="34772" xr:uid="{00000000-0005-0000-0000-000053B80000}"/>
    <cellStyle name="Normal 7 2 5 3 2 4" xfId="18006" xr:uid="{00000000-0005-0000-0000-000054B80000}"/>
    <cellStyle name="Normal 7 2 5 3 2 4 2" xfId="43559" xr:uid="{00000000-0005-0000-0000-000055B80000}"/>
    <cellStyle name="Normal 7 2 5 3 2 5" xfId="29496" xr:uid="{00000000-0005-0000-0000-000056B80000}"/>
    <cellStyle name="Normal 7 2 5 3 3" xfId="5103" xr:uid="{00000000-0005-0000-0000-000057B80000}"/>
    <cellStyle name="Normal 7 2 5 3 3 2" xfId="13940" xr:uid="{00000000-0005-0000-0000-000058B80000}"/>
    <cellStyle name="Normal 7 2 5 3 3 2 2" xfId="24191" xr:uid="{00000000-0005-0000-0000-000059B80000}"/>
    <cellStyle name="Normal 7 2 5 3 3 2 2 2" xfId="49744" xr:uid="{00000000-0005-0000-0000-00005AB80000}"/>
    <cellStyle name="Normal 7 2 5 3 3 2 3" xfId="39495" xr:uid="{00000000-0005-0000-0000-00005BB80000}"/>
    <cellStyle name="Normal 7 2 5 3 3 3" xfId="10361" xr:uid="{00000000-0005-0000-0000-00005CB80000}"/>
    <cellStyle name="Normal 7 2 5 3 3 3 2" xfId="35918" xr:uid="{00000000-0005-0000-0000-00005DB80000}"/>
    <cellStyle name="Normal 7 2 5 3 3 4" xfId="19184" xr:uid="{00000000-0005-0000-0000-00005EB80000}"/>
    <cellStyle name="Normal 7 2 5 3 3 4 2" xfId="44737" xr:uid="{00000000-0005-0000-0000-00005FB80000}"/>
    <cellStyle name="Normal 7 2 5 3 3 5" xfId="30674" xr:uid="{00000000-0005-0000-0000-000060B80000}"/>
    <cellStyle name="Normal 7 2 5 3 4" xfId="2052" xr:uid="{00000000-0005-0000-0000-000061B80000}"/>
    <cellStyle name="Normal 7 2 5 3 4 2" xfId="11417" xr:uid="{00000000-0005-0000-0000-000062B80000}"/>
    <cellStyle name="Normal 7 2 5 3 4 2 2" xfId="36972" xr:uid="{00000000-0005-0000-0000-000063B80000}"/>
    <cellStyle name="Normal 7 2 5 3 4 3" xfId="21421" xr:uid="{00000000-0005-0000-0000-000064B80000}"/>
    <cellStyle name="Normal 7 2 5 3 4 3 2" xfId="46974" xr:uid="{00000000-0005-0000-0000-000065B80000}"/>
    <cellStyle name="Normal 7 2 5 3 4 4" xfId="27904" xr:uid="{00000000-0005-0000-0000-000066B80000}"/>
    <cellStyle name="Normal 7 2 5 3 5" xfId="6558" xr:uid="{00000000-0005-0000-0000-000067B80000}"/>
    <cellStyle name="Normal 7 2 5 3 5 2" xfId="15385" xr:uid="{00000000-0005-0000-0000-000068B80000}"/>
    <cellStyle name="Normal 7 2 5 3 5 2 2" xfId="40940" xr:uid="{00000000-0005-0000-0000-000069B80000}"/>
    <cellStyle name="Normal 7 2 5 3 5 3" xfId="25636" xr:uid="{00000000-0005-0000-0000-00006AB80000}"/>
    <cellStyle name="Normal 7 2 5 3 5 3 2" xfId="51189" xr:uid="{00000000-0005-0000-0000-00006BB80000}"/>
    <cellStyle name="Normal 7 2 5 3 5 4" xfId="32119" xr:uid="{00000000-0005-0000-0000-00006CB80000}"/>
    <cellStyle name="Normal 7 2 5 3 6" xfId="8004" xr:uid="{00000000-0005-0000-0000-00006DB80000}"/>
    <cellStyle name="Normal 7 2 5 3 6 2" xfId="20612" xr:uid="{00000000-0005-0000-0000-00006EB80000}"/>
    <cellStyle name="Normal 7 2 5 3 6 2 2" xfId="46165" xr:uid="{00000000-0005-0000-0000-00006FB80000}"/>
    <cellStyle name="Normal 7 2 5 3 6 3" xfId="33561" xr:uid="{00000000-0005-0000-0000-000070B80000}"/>
    <cellStyle name="Normal 7 2 5 3 7" xfId="16414" xr:uid="{00000000-0005-0000-0000-000071B80000}"/>
    <cellStyle name="Normal 7 2 5 3 7 2" xfId="41967" xr:uid="{00000000-0005-0000-0000-000072B80000}"/>
    <cellStyle name="Normal 7 2 5 3 8" xfId="27095" xr:uid="{00000000-0005-0000-0000-000073B80000}"/>
    <cellStyle name="Normal 7 2 5 4" xfId="2943" xr:uid="{00000000-0005-0000-0000-000074B80000}"/>
    <cellStyle name="Normal 7 2 5 4 2" xfId="5321" xr:uid="{00000000-0005-0000-0000-000075B80000}"/>
    <cellStyle name="Normal 7 2 5 4 2 2" xfId="14158" xr:uid="{00000000-0005-0000-0000-000076B80000}"/>
    <cellStyle name="Normal 7 2 5 4 2 2 2" xfId="24409" xr:uid="{00000000-0005-0000-0000-000077B80000}"/>
    <cellStyle name="Normal 7 2 5 4 2 2 2 2" xfId="49962" xr:uid="{00000000-0005-0000-0000-000078B80000}"/>
    <cellStyle name="Normal 7 2 5 4 2 2 3" xfId="39713" xr:uid="{00000000-0005-0000-0000-000079B80000}"/>
    <cellStyle name="Normal 7 2 5 4 2 3" xfId="10579" xr:uid="{00000000-0005-0000-0000-00007AB80000}"/>
    <cellStyle name="Normal 7 2 5 4 2 3 2" xfId="36136" xr:uid="{00000000-0005-0000-0000-00007BB80000}"/>
    <cellStyle name="Normal 7 2 5 4 2 4" xfId="19402" xr:uid="{00000000-0005-0000-0000-00007CB80000}"/>
    <cellStyle name="Normal 7 2 5 4 2 4 2" xfId="44955" xr:uid="{00000000-0005-0000-0000-00007DB80000}"/>
    <cellStyle name="Normal 7 2 5 4 2 5" xfId="30892" xr:uid="{00000000-0005-0000-0000-00007EB80000}"/>
    <cellStyle name="Normal 7 2 5 4 3" xfId="6776" xr:uid="{00000000-0005-0000-0000-00007FB80000}"/>
    <cellStyle name="Normal 7 2 5 4 3 2" xfId="15603" xr:uid="{00000000-0005-0000-0000-000080B80000}"/>
    <cellStyle name="Normal 7 2 5 4 3 2 2" xfId="41158" xr:uid="{00000000-0005-0000-0000-000081B80000}"/>
    <cellStyle name="Normal 7 2 5 4 3 3" xfId="25854" xr:uid="{00000000-0005-0000-0000-000082B80000}"/>
    <cellStyle name="Normal 7 2 5 4 3 3 2" xfId="51407" xr:uid="{00000000-0005-0000-0000-000083B80000}"/>
    <cellStyle name="Normal 7 2 5 4 3 4" xfId="32337" xr:uid="{00000000-0005-0000-0000-000084B80000}"/>
    <cellStyle name="Normal 7 2 5 4 4" xfId="8222" xr:uid="{00000000-0005-0000-0000-000085B80000}"/>
    <cellStyle name="Normal 7 2 5 4 4 2" xfId="22304" xr:uid="{00000000-0005-0000-0000-000086B80000}"/>
    <cellStyle name="Normal 7 2 5 4 4 2 2" xfId="47857" xr:uid="{00000000-0005-0000-0000-000087B80000}"/>
    <cellStyle name="Normal 7 2 5 4 4 3" xfId="33779" xr:uid="{00000000-0005-0000-0000-000088B80000}"/>
    <cellStyle name="Normal 7 2 5 4 5" xfId="17297" xr:uid="{00000000-0005-0000-0000-000089B80000}"/>
    <cellStyle name="Normal 7 2 5 4 5 2" xfId="42850" xr:uid="{00000000-0005-0000-0000-00008AB80000}"/>
    <cellStyle name="Normal 7 2 5 4 6" xfId="28787" xr:uid="{00000000-0005-0000-0000-00008BB80000}"/>
    <cellStyle name="Normal 7 2 5 5" xfId="4277" xr:uid="{00000000-0005-0000-0000-00008CB80000}"/>
    <cellStyle name="Normal 7 2 5 5 2" xfId="13115" xr:uid="{00000000-0005-0000-0000-00008DB80000}"/>
    <cellStyle name="Normal 7 2 5 5 2 2" xfId="23366" xr:uid="{00000000-0005-0000-0000-00008EB80000}"/>
    <cellStyle name="Normal 7 2 5 5 2 2 2" xfId="48919" xr:uid="{00000000-0005-0000-0000-00008FB80000}"/>
    <cellStyle name="Normal 7 2 5 5 2 3" xfId="38670" xr:uid="{00000000-0005-0000-0000-000090B80000}"/>
    <cellStyle name="Normal 7 2 5 5 3" xfId="9536" xr:uid="{00000000-0005-0000-0000-000091B80000}"/>
    <cellStyle name="Normal 7 2 5 5 3 2" xfId="35093" xr:uid="{00000000-0005-0000-0000-000092B80000}"/>
    <cellStyle name="Normal 7 2 5 5 4" xfId="18359" xr:uid="{00000000-0005-0000-0000-000093B80000}"/>
    <cellStyle name="Normal 7 2 5 5 4 2" xfId="43912" xr:uid="{00000000-0005-0000-0000-000094B80000}"/>
    <cellStyle name="Normal 7 2 5 5 5" xfId="29849" xr:uid="{00000000-0005-0000-0000-000095B80000}"/>
    <cellStyle name="Normal 7 2 5 6" xfId="1549" xr:uid="{00000000-0005-0000-0000-000096B80000}"/>
    <cellStyle name="Normal 7 2 5 6 2" xfId="10926" xr:uid="{00000000-0005-0000-0000-000097B80000}"/>
    <cellStyle name="Normal 7 2 5 6 2 2" xfId="36481" xr:uid="{00000000-0005-0000-0000-000098B80000}"/>
    <cellStyle name="Normal 7 2 5 6 3" xfId="20930" xr:uid="{00000000-0005-0000-0000-000099B80000}"/>
    <cellStyle name="Normal 7 2 5 6 3 2" xfId="46483" xr:uid="{00000000-0005-0000-0000-00009AB80000}"/>
    <cellStyle name="Normal 7 2 5 6 4" xfId="27413" xr:uid="{00000000-0005-0000-0000-00009BB80000}"/>
    <cellStyle name="Normal 7 2 5 7" xfId="5733" xr:uid="{00000000-0005-0000-0000-00009CB80000}"/>
    <cellStyle name="Normal 7 2 5 7 2" xfId="14560" xr:uid="{00000000-0005-0000-0000-00009DB80000}"/>
    <cellStyle name="Normal 7 2 5 7 2 2" xfId="40115" xr:uid="{00000000-0005-0000-0000-00009EB80000}"/>
    <cellStyle name="Normal 7 2 5 7 3" xfId="24811" xr:uid="{00000000-0005-0000-0000-00009FB80000}"/>
    <cellStyle name="Normal 7 2 5 7 3 2" xfId="50364" xr:uid="{00000000-0005-0000-0000-0000A0B80000}"/>
    <cellStyle name="Normal 7 2 5 7 4" xfId="31294" xr:uid="{00000000-0005-0000-0000-0000A1B80000}"/>
    <cellStyle name="Normal 7 2 5 8" xfId="7177" xr:uid="{00000000-0005-0000-0000-0000A2B80000}"/>
    <cellStyle name="Normal 7 2 5 8 2" xfId="19903" xr:uid="{00000000-0005-0000-0000-0000A3B80000}"/>
    <cellStyle name="Normal 7 2 5 8 2 2" xfId="45456" xr:uid="{00000000-0005-0000-0000-0000A4B80000}"/>
    <cellStyle name="Normal 7 2 5 8 3" xfId="32734" xr:uid="{00000000-0005-0000-0000-0000A5B80000}"/>
    <cellStyle name="Normal 7 2 5 9" xfId="15923" xr:uid="{00000000-0005-0000-0000-0000A6B80000}"/>
    <cellStyle name="Normal 7 2 5 9 2" xfId="41476" xr:uid="{00000000-0005-0000-0000-0000A7B80000}"/>
    <cellStyle name="Normal 7 2 5_Degree data" xfId="4055" xr:uid="{00000000-0005-0000-0000-0000A8B80000}"/>
    <cellStyle name="Normal 7 2 6" xfId="330" xr:uid="{00000000-0005-0000-0000-0000A9B80000}"/>
    <cellStyle name="Normal 7 2 6 10" xfId="26259" xr:uid="{00000000-0005-0000-0000-0000AAB80000}"/>
    <cellStyle name="Normal 7 2 6 2" xfId="950" xr:uid="{00000000-0005-0000-0000-0000ABB80000}"/>
    <cellStyle name="Normal 7 2 6 2 2" xfId="3426" xr:uid="{00000000-0005-0000-0000-0000ACB80000}"/>
    <cellStyle name="Normal 7 2 6 2 2 2" xfId="12568" xr:uid="{00000000-0005-0000-0000-0000ADB80000}"/>
    <cellStyle name="Normal 7 2 6 2 2 2 2" xfId="22787" xr:uid="{00000000-0005-0000-0000-0000AEB80000}"/>
    <cellStyle name="Normal 7 2 6 2 2 2 2 2" xfId="48340" xr:uid="{00000000-0005-0000-0000-0000AFB80000}"/>
    <cellStyle name="Normal 7 2 6 2 2 2 3" xfId="38123" xr:uid="{00000000-0005-0000-0000-0000B0B80000}"/>
    <cellStyle name="Normal 7 2 6 2 2 3" xfId="8990" xr:uid="{00000000-0005-0000-0000-0000B1B80000}"/>
    <cellStyle name="Normal 7 2 6 2 2 3 2" xfId="34547" xr:uid="{00000000-0005-0000-0000-0000B2B80000}"/>
    <cellStyle name="Normal 7 2 6 2 2 4" xfId="17780" xr:uid="{00000000-0005-0000-0000-0000B3B80000}"/>
    <cellStyle name="Normal 7 2 6 2 2 4 2" xfId="43333" xr:uid="{00000000-0005-0000-0000-0000B4B80000}"/>
    <cellStyle name="Normal 7 2 6 2 2 5" xfId="29270" xr:uid="{00000000-0005-0000-0000-0000B5B80000}"/>
    <cellStyle name="Normal 7 2 6 2 3" xfId="4756" xr:uid="{00000000-0005-0000-0000-0000B6B80000}"/>
    <cellStyle name="Normal 7 2 6 2 3 2" xfId="13593" xr:uid="{00000000-0005-0000-0000-0000B7B80000}"/>
    <cellStyle name="Normal 7 2 6 2 3 2 2" xfId="23844" xr:uid="{00000000-0005-0000-0000-0000B8B80000}"/>
    <cellStyle name="Normal 7 2 6 2 3 2 2 2" xfId="49397" xr:uid="{00000000-0005-0000-0000-0000B9B80000}"/>
    <cellStyle name="Normal 7 2 6 2 3 2 3" xfId="39148" xr:uid="{00000000-0005-0000-0000-0000BAB80000}"/>
    <cellStyle name="Normal 7 2 6 2 3 3" xfId="10014" xr:uid="{00000000-0005-0000-0000-0000BBB80000}"/>
    <cellStyle name="Normal 7 2 6 2 3 3 2" xfId="35571" xr:uid="{00000000-0005-0000-0000-0000BCB80000}"/>
    <cellStyle name="Normal 7 2 6 2 3 4" xfId="18837" xr:uid="{00000000-0005-0000-0000-0000BDB80000}"/>
    <cellStyle name="Normal 7 2 6 2 3 4 2" xfId="44390" xr:uid="{00000000-0005-0000-0000-0000BEB80000}"/>
    <cellStyle name="Normal 7 2 6 2 3 5" xfId="30327" xr:uid="{00000000-0005-0000-0000-0000BFB80000}"/>
    <cellStyle name="Normal 7 2 6 2 4" xfId="2535" xr:uid="{00000000-0005-0000-0000-0000C0B80000}"/>
    <cellStyle name="Normal 7 2 6 2 4 2" xfId="11900" xr:uid="{00000000-0005-0000-0000-0000C1B80000}"/>
    <cellStyle name="Normal 7 2 6 2 4 2 2" xfId="37455" xr:uid="{00000000-0005-0000-0000-0000C2B80000}"/>
    <cellStyle name="Normal 7 2 6 2 4 3" xfId="21904" xr:uid="{00000000-0005-0000-0000-0000C3B80000}"/>
    <cellStyle name="Normal 7 2 6 2 4 3 2" xfId="47457" xr:uid="{00000000-0005-0000-0000-0000C4B80000}"/>
    <cellStyle name="Normal 7 2 6 2 4 4" xfId="28387" xr:uid="{00000000-0005-0000-0000-0000C5B80000}"/>
    <cellStyle name="Normal 7 2 6 2 5" xfId="6211" xr:uid="{00000000-0005-0000-0000-0000C6B80000}"/>
    <cellStyle name="Normal 7 2 6 2 5 2" xfId="15038" xr:uid="{00000000-0005-0000-0000-0000C7B80000}"/>
    <cellStyle name="Normal 7 2 6 2 5 2 2" xfId="40593" xr:uid="{00000000-0005-0000-0000-0000C8B80000}"/>
    <cellStyle name="Normal 7 2 6 2 5 3" xfId="25289" xr:uid="{00000000-0005-0000-0000-0000C9B80000}"/>
    <cellStyle name="Normal 7 2 6 2 5 3 2" xfId="50842" xr:uid="{00000000-0005-0000-0000-0000CAB80000}"/>
    <cellStyle name="Normal 7 2 6 2 5 4" xfId="31772" xr:uid="{00000000-0005-0000-0000-0000CBB80000}"/>
    <cellStyle name="Normal 7 2 6 2 6" xfId="7657" xr:uid="{00000000-0005-0000-0000-0000CCB80000}"/>
    <cellStyle name="Normal 7 2 6 2 6 2" xfId="20386" xr:uid="{00000000-0005-0000-0000-0000CDB80000}"/>
    <cellStyle name="Normal 7 2 6 2 6 2 2" xfId="45939" xr:uid="{00000000-0005-0000-0000-0000CEB80000}"/>
    <cellStyle name="Normal 7 2 6 2 6 3" xfId="33214" xr:uid="{00000000-0005-0000-0000-0000CFB80000}"/>
    <cellStyle name="Normal 7 2 6 2 7" xfId="16897" xr:uid="{00000000-0005-0000-0000-0000D0B80000}"/>
    <cellStyle name="Normal 7 2 6 2 7 2" xfId="42450" xr:uid="{00000000-0005-0000-0000-0000D1B80000}"/>
    <cellStyle name="Normal 7 2 6 2 8" xfId="26869" xr:uid="{00000000-0005-0000-0000-0000D2B80000}"/>
    <cellStyle name="Normal 7 2 6 3" xfId="1102" xr:uid="{00000000-0005-0000-0000-0000D3B80000}"/>
    <cellStyle name="Normal 7 2 6 3 2" xfId="3531" xr:uid="{00000000-0005-0000-0000-0000D4B80000}"/>
    <cellStyle name="Normal 7 2 6 3 2 2" xfId="12667" xr:uid="{00000000-0005-0000-0000-0000D5B80000}"/>
    <cellStyle name="Normal 7 2 6 3 2 2 2" xfId="22886" xr:uid="{00000000-0005-0000-0000-0000D6B80000}"/>
    <cellStyle name="Normal 7 2 6 3 2 2 2 2" xfId="48439" xr:uid="{00000000-0005-0000-0000-0000D7B80000}"/>
    <cellStyle name="Normal 7 2 6 3 2 2 3" xfId="38222" xr:uid="{00000000-0005-0000-0000-0000D8B80000}"/>
    <cellStyle name="Normal 7 2 6 3 2 3" xfId="9088" xr:uid="{00000000-0005-0000-0000-0000D9B80000}"/>
    <cellStyle name="Normal 7 2 6 3 2 3 2" xfId="34645" xr:uid="{00000000-0005-0000-0000-0000DAB80000}"/>
    <cellStyle name="Normal 7 2 6 3 2 4" xfId="17879" xr:uid="{00000000-0005-0000-0000-0000DBB80000}"/>
    <cellStyle name="Normal 7 2 6 3 2 4 2" xfId="43432" xr:uid="{00000000-0005-0000-0000-0000DCB80000}"/>
    <cellStyle name="Normal 7 2 6 3 2 5" xfId="29369" xr:uid="{00000000-0005-0000-0000-0000DDB80000}"/>
    <cellStyle name="Normal 7 2 6 3 3" xfId="5104" xr:uid="{00000000-0005-0000-0000-0000DEB80000}"/>
    <cellStyle name="Normal 7 2 6 3 3 2" xfId="13941" xr:uid="{00000000-0005-0000-0000-0000DFB80000}"/>
    <cellStyle name="Normal 7 2 6 3 3 2 2" xfId="24192" xr:uid="{00000000-0005-0000-0000-0000E0B80000}"/>
    <cellStyle name="Normal 7 2 6 3 3 2 2 2" xfId="49745" xr:uid="{00000000-0005-0000-0000-0000E1B80000}"/>
    <cellStyle name="Normal 7 2 6 3 3 2 3" xfId="39496" xr:uid="{00000000-0005-0000-0000-0000E2B80000}"/>
    <cellStyle name="Normal 7 2 6 3 3 3" xfId="10362" xr:uid="{00000000-0005-0000-0000-0000E3B80000}"/>
    <cellStyle name="Normal 7 2 6 3 3 3 2" xfId="35919" xr:uid="{00000000-0005-0000-0000-0000E4B80000}"/>
    <cellStyle name="Normal 7 2 6 3 3 4" xfId="19185" xr:uid="{00000000-0005-0000-0000-0000E5B80000}"/>
    <cellStyle name="Normal 7 2 6 3 3 4 2" xfId="44738" xr:uid="{00000000-0005-0000-0000-0000E6B80000}"/>
    <cellStyle name="Normal 7 2 6 3 3 5" xfId="30675" xr:uid="{00000000-0005-0000-0000-0000E7B80000}"/>
    <cellStyle name="Normal 7 2 6 3 4" xfId="2598" xr:uid="{00000000-0005-0000-0000-0000E8B80000}"/>
    <cellStyle name="Normal 7 2 6 3 4 2" xfId="11962" xr:uid="{00000000-0005-0000-0000-0000E9B80000}"/>
    <cellStyle name="Normal 7 2 6 3 4 2 2" xfId="37517" xr:uid="{00000000-0005-0000-0000-0000EAB80000}"/>
    <cellStyle name="Normal 7 2 6 3 4 3" xfId="21966" xr:uid="{00000000-0005-0000-0000-0000EBB80000}"/>
    <cellStyle name="Normal 7 2 6 3 4 3 2" xfId="47519" xr:uid="{00000000-0005-0000-0000-0000ECB80000}"/>
    <cellStyle name="Normal 7 2 6 3 4 4" xfId="28449" xr:uid="{00000000-0005-0000-0000-0000EDB80000}"/>
    <cellStyle name="Normal 7 2 6 3 5" xfId="6559" xr:uid="{00000000-0005-0000-0000-0000EEB80000}"/>
    <cellStyle name="Normal 7 2 6 3 5 2" xfId="15386" xr:uid="{00000000-0005-0000-0000-0000EFB80000}"/>
    <cellStyle name="Normal 7 2 6 3 5 2 2" xfId="40941" xr:uid="{00000000-0005-0000-0000-0000F0B80000}"/>
    <cellStyle name="Normal 7 2 6 3 5 3" xfId="25637" xr:uid="{00000000-0005-0000-0000-0000F1B80000}"/>
    <cellStyle name="Normal 7 2 6 3 5 3 2" xfId="51190" xr:uid="{00000000-0005-0000-0000-0000F2B80000}"/>
    <cellStyle name="Normal 7 2 6 3 5 4" xfId="32120" xr:uid="{00000000-0005-0000-0000-0000F3B80000}"/>
    <cellStyle name="Normal 7 2 6 3 6" xfId="8005" xr:uid="{00000000-0005-0000-0000-0000F4B80000}"/>
    <cellStyle name="Normal 7 2 6 3 6 2" xfId="20485" xr:uid="{00000000-0005-0000-0000-0000F5B80000}"/>
    <cellStyle name="Normal 7 2 6 3 6 2 2" xfId="46038" xr:uid="{00000000-0005-0000-0000-0000F6B80000}"/>
    <cellStyle name="Normal 7 2 6 3 6 3" xfId="33562" xr:uid="{00000000-0005-0000-0000-0000F7B80000}"/>
    <cellStyle name="Normal 7 2 6 3 7" xfId="16959" xr:uid="{00000000-0005-0000-0000-0000F8B80000}"/>
    <cellStyle name="Normal 7 2 6 3 7 2" xfId="42512" xr:uid="{00000000-0005-0000-0000-0000F9B80000}"/>
    <cellStyle name="Normal 7 2 6 3 8" xfId="26968" xr:uid="{00000000-0005-0000-0000-0000FAB80000}"/>
    <cellStyle name="Normal 7 2 6 4" xfId="2816" xr:uid="{00000000-0005-0000-0000-0000FBB80000}"/>
    <cellStyle name="Normal 7 2 6 4 2" xfId="5194" xr:uid="{00000000-0005-0000-0000-0000FCB80000}"/>
    <cellStyle name="Normal 7 2 6 4 2 2" xfId="14031" xr:uid="{00000000-0005-0000-0000-0000FDB80000}"/>
    <cellStyle name="Normal 7 2 6 4 2 2 2" xfId="24282" xr:uid="{00000000-0005-0000-0000-0000FEB80000}"/>
    <cellStyle name="Normal 7 2 6 4 2 2 2 2" xfId="49835" xr:uid="{00000000-0005-0000-0000-0000FFB80000}"/>
    <cellStyle name="Normal 7 2 6 4 2 2 3" xfId="39586" xr:uid="{00000000-0005-0000-0000-000000B90000}"/>
    <cellStyle name="Normal 7 2 6 4 2 3" xfId="10452" xr:uid="{00000000-0005-0000-0000-000001B90000}"/>
    <cellStyle name="Normal 7 2 6 4 2 3 2" xfId="36009" xr:uid="{00000000-0005-0000-0000-000002B90000}"/>
    <cellStyle name="Normal 7 2 6 4 2 4" xfId="19275" xr:uid="{00000000-0005-0000-0000-000003B90000}"/>
    <cellStyle name="Normal 7 2 6 4 2 4 2" xfId="44828" xr:uid="{00000000-0005-0000-0000-000004B90000}"/>
    <cellStyle name="Normal 7 2 6 4 2 5" xfId="30765" xr:uid="{00000000-0005-0000-0000-000005B90000}"/>
    <cellStyle name="Normal 7 2 6 4 3" xfId="6649" xr:uid="{00000000-0005-0000-0000-000006B90000}"/>
    <cellStyle name="Normal 7 2 6 4 3 2" xfId="15476" xr:uid="{00000000-0005-0000-0000-000007B90000}"/>
    <cellStyle name="Normal 7 2 6 4 3 2 2" xfId="41031" xr:uid="{00000000-0005-0000-0000-000008B90000}"/>
    <cellStyle name="Normal 7 2 6 4 3 3" xfId="25727" xr:uid="{00000000-0005-0000-0000-000009B90000}"/>
    <cellStyle name="Normal 7 2 6 4 3 3 2" xfId="51280" xr:uid="{00000000-0005-0000-0000-00000AB90000}"/>
    <cellStyle name="Normal 7 2 6 4 3 4" xfId="32210" xr:uid="{00000000-0005-0000-0000-00000BB90000}"/>
    <cellStyle name="Normal 7 2 6 4 4" xfId="8095" xr:uid="{00000000-0005-0000-0000-00000CB90000}"/>
    <cellStyle name="Normal 7 2 6 4 4 2" xfId="22177" xr:uid="{00000000-0005-0000-0000-00000DB90000}"/>
    <cellStyle name="Normal 7 2 6 4 4 2 2" xfId="47730" xr:uid="{00000000-0005-0000-0000-00000EB90000}"/>
    <cellStyle name="Normal 7 2 6 4 4 3" xfId="33652" xr:uid="{00000000-0005-0000-0000-00000FB90000}"/>
    <cellStyle name="Normal 7 2 6 4 5" xfId="17170" xr:uid="{00000000-0005-0000-0000-000010B90000}"/>
    <cellStyle name="Normal 7 2 6 4 5 2" xfId="42723" xr:uid="{00000000-0005-0000-0000-000011B90000}"/>
    <cellStyle name="Normal 7 2 6 4 6" xfId="28660" xr:uid="{00000000-0005-0000-0000-000012B90000}"/>
    <cellStyle name="Normal 7 2 6 5" xfId="4148" xr:uid="{00000000-0005-0000-0000-000013B90000}"/>
    <cellStyle name="Normal 7 2 6 5 2" xfId="12986" xr:uid="{00000000-0005-0000-0000-000014B90000}"/>
    <cellStyle name="Normal 7 2 6 5 2 2" xfId="23237" xr:uid="{00000000-0005-0000-0000-000015B90000}"/>
    <cellStyle name="Normal 7 2 6 5 2 2 2" xfId="48790" xr:uid="{00000000-0005-0000-0000-000016B90000}"/>
    <cellStyle name="Normal 7 2 6 5 2 3" xfId="38541" xr:uid="{00000000-0005-0000-0000-000017B90000}"/>
    <cellStyle name="Normal 7 2 6 5 3" xfId="9407" xr:uid="{00000000-0005-0000-0000-000018B90000}"/>
    <cellStyle name="Normal 7 2 6 5 3 2" xfId="34964" xr:uid="{00000000-0005-0000-0000-000019B90000}"/>
    <cellStyle name="Normal 7 2 6 5 4" xfId="18230" xr:uid="{00000000-0005-0000-0000-00001AB90000}"/>
    <cellStyle name="Normal 7 2 6 5 4 2" xfId="43783" xr:uid="{00000000-0005-0000-0000-00001BB90000}"/>
    <cellStyle name="Normal 7 2 6 5 5" xfId="29720" xr:uid="{00000000-0005-0000-0000-00001CB90000}"/>
    <cellStyle name="Normal 7 2 6 6" xfId="1925" xr:uid="{00000000-0005-0000-0000-00001DB90000}"/>
    <cellStyle name="Normal 7 2 6 6 2" xfId="11290" xr:uid="{00000000-0005-0000-0000-00001EB90000}"/>
    <cellStyle name="Normal 7 2 6 6 2 2" xfId="36845" xr:uid="{00000000-0005-0000-0000-00001FB90000}"/>
    <cellStyle name="Normal 7 2 6 6 3" xfId="21294" xr:uid="{00000000-0005-0000-0000-000020B90000}"/>
    <cellStyle name="Normal 7 2 6 6 3 2" xfId="46847" xr:uid="{00000000-0005-0000-0000-000021B90000}"/>
    <cellStyle name="Normal 7 2 6 6 4" xfId="27777" xr:uid="{00000000-0005-0000-0000-000022B90000}"/>
    <cellStyle name="Normal 7 2 6 7" xfId="5606" xr:uid="{00000000-0005-0000-0000-000023B90000}"/>
    <cellStyle name="Normal 7 2 6 7 2" xfId="14433" xr:uid="{00000000-0005-0000-0000-000024B90000}"/>
    <cellStyle name="Normal 7 2 6 7 2 2" xfId="39988" xr:uid="{00000000-0005-0000-0000-000025B90000}"/>
    <cellStyle name="Normal 7 2 6 7 3" xfId="24684" xr:uid="{00000000-0005-0000-0000-000026B90000}"/>
    <cellStyle name="Normal 7 2 6 7 3 2" xfId="50237" xr:uid="{00000000-0005-0000-0000-000027B90000}"/>
    <cellStyle name="Normal 7 2 6 7 4" xfId="31167" xr:uid="{00000000-0005-0000-0000-000028B90000}"/>
    <cellStyle name="Normal 7 2 6 8" xfId="7050" xr:uid="{00000000-0005-0000-0000-000029B90000}"/>
    <cellStyle name="Normal 7 2 6 8 2" xfId="19776" xr:uid="{00000000-0005-0000-0000-00002AB90000}"/>
    <cellStyle name="Normal 7 2 6 8 2 2" xfId="45329" xr:uid="{00000000-0005-0000-0000-00002BB90000}"/>
    <cellStyle name="Normal 7 2 6 8 3" xfId="32607" xr:uid="{00000000-0005-0000-0000-00002CB90000}"/>
    <cellStyle name="Normal 7 2 6 9" xfId="16287" xr:uid="{00000000-0005-0000-0000-00002DB90000}"/>
    <cellStyle name="Normal 7 2 6 9 2" xfId="41840" xr:uid="{00000000-0005-0000-0000-00002EB90000}"/>
    <cellStyle name="Normal 7 2 6_Degree data" xfId="4056" xr:uid="{00000000-0005-0000-0000-00002FB90000}"/>
    <cellStyle name="Normal 7 2 7" xfId="941" xr:uid="{00000000-0005-0000-0000-000030B90000}"/>
    <cellStyle name="Normal 7 2 7 2" xfId="3417" xr:uid="{00000000-0005-0000-0000-000031B90000}"/>
    <cellStyle name="Normal 7 2 7 2 2" xfId="12559" xr:uid="{00000000-0005-0000-0000-000032B90000}"/>
    <cellStyle name="Normal 7 2 7 2 2 2" xfId="22778" xr:uid="{00000000-0005-0000-0000-000033B90000}"/>
    <cellStyle name="Normal 7 2 7 2 2 2 2" xfId="48331" xr:uid="{00000000-0005-0000-0000-000034B90000}"/>
    <cellStyle name="Normal 7 2 7 2 2 3" xfId="38114" xr:uid="{00000000-0005-0000-0000-000035B90000}"/>
    <cellStyle name="Normal 7 2 7 2 3" xfId="8981" xr:uid="{00000000-0005-0000-0000-000036B90000}"/>
    <cellStyle name="Normal 7 2 7 2 3 2" xfId="34538" xr:uid="{00000000-0005-0000-0000-000037B90000}"/>
    <cellStyle name="Normal 7 2 7 2 4" xfId="17771" xr:uid="{00000000-0005-0000-0000-000038B90000}"/>
    <cellStyle name="Normal 7 2 7 2 4 2" xfId="43324" xr:uid="{00000000-0005-0000-0000-000039B90000}"/>
    <cellStyle name="Normal 7 2 7 2 5" xfId="29261" xr:uid="{00000000-0005-0000-0000-00003AB90000}"/>
    <cellStyle name="Normal 7 2 7 3" xfId="4747" xr:uid="{00000000-0005-0000-0000-00003BB90000}"/>
    <cellStyle name="Normal 7 2 7 3 2" xfId="13584" xr:uid="{00000000-0005-0000-0000-00003CB90000}"/>
    <cellStyle name="Normal 7 2 7 3 2 2" xfId="23835" xr:uid="{00000000-0005-0000-0000-00003DB90000}"/>
    <cellStyle name="Normal 7 2 7 3 2 2 2" xfId="49388" xr:uid="{00000000-0005-0000-0000-00003EB90000}"/>
    <cellStyle name="Normal 7 2 7 3 2 3" xfId="39139" xr:uid="{00000000-0005-0000-0000-00003FB90000}"/>
    <cellStyle name="Normal 7 2 7 3 3" xfId="10005" xr:uid="{00000000-0005-0000-0000-000040B90000}"/>
    <cellStyle name="Normal 7 2 7 3 3 2" xfId="35562" xr:uid="{00000000-0005-0000-0000-000041B90000}"/>
    <cellStyle name="Normal 7 2 7 3 4" xfId="18828" xr:uid="{00000000-0005-0000-0000-000042B90000}"/>
    <cellStyle name="Normal 7 2 7 3 4 2" xfId="44381" xr:uid="{00000000-0005-0000-0000-000043B90000}"/>
    <cellStyle name="Normal 7 2 7 3 5" xfId="30318" xr:uid="{00000000-0005-0000-0000-000044B90000}"/>
    <cellStyle name="Normal 7 2 7 4" xfId="2526" xr:uid="{00000000-0005-0000-0000-000045B90000}"/>
    <cellStyle name="Normal 7 2 7 4 2" xfId="11891" xr:uid="{00000000-0005-0000-0000-000046B90000}"/>
    <cellStyle name="Normal 7 2 7 4 2 2" xfId="37446" xr:uid="{00000000-0005-0000-0000-000047B90000}"/>
    <cellStyle name="Normal 7 2 7 4 3" xfId="21895" xr:uid="{00000000-0005-0000-0000-000048B90000}"/>
    <cellStyle name="Normal 7 2 7 4 3 2" xfId="47448" xr:uid="{00000000-0005-0000-0000-000049B90000}"/>
    <cellStyle name="Normal 7 2 7 4 4" xfId="28378" xr:uid="{00000000-0005-0000-0000-00004AB90000}"/>
    <cellStyle name="Normal 7 2 7 5" xfId="6202" xr:uid="{00000000-0005-0000-0000-00004BB90000}"/>
    <cellStyle name="Normal 7 2 7 5 2" xfId="15029" xr:uid="{00000000-0005-0000-0000-00004CB90000}"/>
    <cellStyle name="Normal 7 2 7 5 2 2" xfId="40584" xr:uid="{00000000-0005-0000-0000-00004DB90000}"/>
    <cellStyle name="Normal 7 2 7 5 3" xfId="25280" xr:uid="{00000000-0005-0000-0000-00004EB90000}"/>
    <cellStyle name="Normal 7 2 7 5 3 2" xfId="50833" xr:uid="{00000000-0005-0000-0000-00004FB90000}"/>
    <cellStyle name="Normal 7 2 7 5 4" xfId="31763" xr:uid="{00000000-0005-0000-0000-000050B90000}"/>
    <cellStyle name="Normal 7 2 7 6" xfId="7648" xr:uid="{00000000-0005-0000-0000-000051B90000}"/>
    <cellStyle name="Normal 7 2 7 6 2" xfId="20377" xr:uid="{00000000-0005-0000-0000-000052B90000}"/>
    <cellStyle name="Normal 7 2 7 6 2 2" xfId="45930" xr:uid="{00000000-0005-0000-0000-000053B90000}"/>
    <cellStyle name="Normal 7 2 7 6 3" xfId="33205" xr:uid="{00000000-0005-0000-0000-000054B90000}"/>
    <cellStyle name="Normal 7 2 7 7" xfId="16888" xr:uid="{00000000-0005-0000-0000-000055B90000}"/>
    <cellStyle name="Normal 7 2 7 7 2" xfId="42441" xr:uid="{00000000-0005-0000-0000-000056B90000}"/>
    <cellStyle name="Normal 7 2 7 8" xfId="26860" xr:uid="{00000000-0005-0000-0000-000057B90000}"/>
    <cellStyle name="Normal 7 2 8" xfId="1057" xr:uid="{00000000-0005-0000-0000-000058B90000}"/>
    <cellStyle name="Normal 7 2 8 2" xfId="3486" xr:uid="{00000000-0005-0000-0000-000059B90000}"/>
    <cellStyle name="Normal 7 2 8 2 2" xfId="12622" xr:uid="{00000000-0005-0000-0000-00005AB90000}"/>
    <cellStyle name="Normal 7 2 8 2 2 2" xfId="22841" xr:uid="{00000000-0005-0000-0000-00005BB90000}"/>
    <cellStyle name="Normal 7 2 8 2 2 2 2" xfId="48394" xr:uid="{00000000-0005-0000-0000-00005CB90000}"/>
    <cellStyle name="Normal 7 2 8 2 2 3" xfId="38177" xr:uid="{00000000-0005-0000-0000-00005DB90000}"/>
    <cellStyle name="Normal 7 2 8 2 3" xfId="9044" xr:uid="{00000000-0005-0000-0000-00005EB90000}"/>
    <cellStyle name="Normal 7 2 8 2 3 2" xfId="34601" xr:uid="{00000000-0005-0000-0000-00005FB90000}"/>
    <cellStyle name="Normal 7 2 8 2 4" xfId="17834" xr:uid="{00000000-0005-0000-0000-000060B90000}"/>
    <cellStyle name="Normal 7 2 8 2 4 2" xfId="43387" xr:uid="{00000000-0005-0000-0000-000061B90000}"/>
    <cellStyle name="Normal 7 2 8 2 5" xfId="29324" xr:uid="{00000000-0005-0000-0000-000062B90000}"/>
    <cellStyle name="Normal 7 2 8 3" xfId="5095" xr:uid="{00000000-0005-0000-0000-000063B90000}"/>
    <cellStyle name="Normal 7 2 8 3 2" xfId="13932" xr:uid="{00000000-0005-0000-0000-000064B90000}"/>
    <cellStyle name="Normal 7 2 8 3 2 2" xfId="24183" xr:uid="{00000000-0005-0000-0000-000065B90000}"/>
    <cellStyle name="Normal 7 2 8 3 2 2 2" xfId="49736" xr:uid="{00000000-0005-0000-0000-000066B90000}"/>
    <cellStyle name="Normal 7 2 8 3 2 3" xfId="39487" xr:uid="{00000000-0005-0000-0000-000067B90000}"/>
    <cellStyle name="Normal 7 2 8 3 3" xfId="10353" xr:uid="{00000000-0005-0000-0000-000068B90000}"/>
    <cellStyle name="Normal 7 2 8 3 3 2" xfId="35910" xr:uid="{00000000-0005-0000-0000-000069B90000}"/>
    <cellStyle name="Normal 7 2 8 3 4" xfId="19176" xr:uid="{00000000-0005-0000-0000-00006AB90000}"/>
    <cellStyle name="Normal 7 2 8 3 4 2" xfId="44729" xr:uid="{00000000-0005-0000-0000-00006BB90000}"/>
    <cellStyle name="Normal 7 2 8 3 5" xfId="30666" xr:uid="{00000000-0005-0000-0000-00006CB90000}"/>
    <cellStyle name="Normal 7 2 8 4" xfId="1725" xr:uid="{00000000-0005-0000-0000-00006DB90000}"/>
    <cellStyle name="Normal 7 2 8 4 2" xfId="11099" xr:uid="{00000000-0005-0000-0000-00006EB90000}"/>
    <cellStyle name="Normal 7 2 8 4 2 2" xfId="36654" xr:uid="{00000000-0005-0000-0000-00006FB90000}"/>
    <cellStyle name="Normal 7 2 8 4 3" xfId="21103" xr:uid="{00000000-0005-0000-0000-000070B90000}"/>
    <cellStyle name="Normal 7 2 8 4 3 2" xfId="46656" xr:uid="{00000000-0005-0000-0000-000071B90000}"/>
    <cellStyle name="Normal 7 2 8 4 4" xfId="27586" xr:uid="{00000000-0005-0000-0000-000072B90000}"/>
    <cellStyle name="Normal 7 2 8 5" xfId="6550" xr:uid="{00000000-0005-0000-0000-000073B90000}"/>
    <cellStyle name="Normal 7 2 8 5 2" xfId="15377" xr:uid="{00000000-0005-0000-0000-000074B90000}"/>
    <cellStyle name="Normal 7 2 8 5 2 2" xfId="40932" xr:uid="{00000000-0005-0000-0000-000075B90000}"/>
    <cellStyle name="Normal 7 2 8 5 3" xfId="25628" xr:uid="{00000000-0005-0000-0000-000076B90000}"/>
    <cellStyle name="Normal 7 2 8 5 3 2" xfId="51181" xr:uid="{00000000-0005-0000-0000-000077B90000}"/>
    <cellStyle name="Normal 7 2 8 5 4" xfId="32111" xr:uid="{00000000-0005-0000-0000-000078B90000}"/>
    <cellStyle name="Normal 7 2 8 6" xfId="7996" xr:uid="{00000000-0005-0000-0000-000079B90000}"/>
    <cellStyle name="Normal 7 2 8 6 2" xfId="20440" xr:uid="{00000000-0005-0000-0000-00007AB90000}"/>
    <cellStyle name="Normal 7 2 8 6 2 2" xfId="45993" xr:uid="{00000000-0005-0000-0000-00007BB90000}"/>
    <cellStyle name="Normal 7 2 8 6 3" xfId="33553" xr:uid="{00000000-0005-0000-0000-00007CB90000}"/>
    <cellStyle name="Normal 7 2 8 7" xfId="16096" xr:uid="{00000000-0005-0000-0000-00007DB90000}"/>
    <cellStyle name="Normal 7 2 8 7 2" xfId="41649" xr:uid="{00000000-0005-0000-0000-00007EB90000}"/>
    <cellStyle name="Normal 7 2 8 8" xfId="26923" xr:uid="{00000000-0005-0000-0000-00007FB90000}"/>
    <cellStyle name="Normal 7 2 9" xfId="2623" xr:uid="{00000000-0005-0000-0000-000080B90000}"/>
    <cellStyle name="Normal 7 2 9 2" xfId="5149" xr:uid="{00000000-0005-0000-0000-000081B90000}"/>
    <cellStyle name="Normal 7 2 9 2 2" xfId="13986" xr:uid="{00000000-0005-0000-0000-000082B90000}"/>
    <cellStyle name="Normal 7 2 9 2 2 2" xfId="24237" xr:uid="{00000000-0005-0000-0000-000083B90000}"/>
    <cellStyle name="Normal 7 2 9 2 2 2 2" xfId="49790" xr:uid="{00000000-0005-0000-0000-000084B90000}"/>
    <cellStyle name="Normal 7 2 9 2 2 3" xfId="39541" xr:uid="{00000000-0005-0000-0000-000085B90000}"/>
    <cellStyle name="Normal 7 2 9 2 3" xfId="10407" xr:uid="{00000000-0005-0000-0000-000086B90000}"/>
    <cellStyle name="Normal 7 2 9 2 3 2" xfId="35964" xr:uid="{00000000-0005-0000-0000-000087B90000}"/>
    <cellStyle name="Normal 7 2 9 2 4" xfId="19230" xr:uid="{00000000-0005-0000-0000-000088B90000}"/>
    <cellStyle name="Normal 7 2 9 2 4 2" xfId="44783" xr:uid="{00000000-0005-0000-0000-000089B90000}"/>
    <cellStyle name="Normal 7 2 9 2 5" xfId="30720" xr:uid="{00000000-0005-0000-0000-00008AB90000}"/>
    <cellStyle name="Normal 7 2 9 3" xfId="6604" xr:uid="{00000000-0005-0000-0000-00008BB90000}"/>
    <cellStyle name="Normal 7 2 9 3 2" xfId="15431" xr:uid="{00000000-0005-0000-0000-00008CB90000}"/>
    <cellStyle name="Normal 7 2 9 3 2 2" xfId="40986" xr:uid="{00000000-0005-0000-0000-00008DB90000}"/>
    <cellStyle name="Normal 7 2 9 3 3" xfId="25682" xr:uid="{00000000-0005-0000-0000-00008EB90000}"/>
    <cellStyle name="Normal 7 2 9 3 3 2" xfId="51235" xr:uid="{00000000-0005-0000-0000-00008FB90000}"/>
    <cellStyle name="Normal 7 2 9 3 4" xfId="32165" xr:uid="{00000000-0005-0000-0000-000090B90000}"/>
    <cellStyle name="Normal 7 2 9 4" xfId="8050" xr:uid="{00000000-0005-0000-0000-000091B90000}"/>
    <cellStyle name="Normal 7 2 9 4 2" xfId="21986" xr:uid="{00000000-0005-0000-0000-000092B90000}"/>
    <cellStyle name="Normal 7 2 9 4 2 2" xfId="47539" xr:uid="{00000000-0005-0000-0000-000093B90000}"/>
    <cellStyle name="Normal 7 2 9 4 3" xfId="33607" xr:uid="{00000000-0005-0000-0000-000094B90000}"/>
    <cellStyle name="Normal 7 2 9 5" xfId="16979" xr:uid="{00000000-0005-0000-0000-000095B90000}"/>
    <cellStyle name="Normal 7 2 9 5 2" xfId="42532" xr:uid="{00000000-0005-0000-0000-000096B90000}"/>
    <cellStyle name="Normal 7 2 9 6" xfId="28469" xr:uid="{00000000-0005-0000-0000-000097B90000}"/>
    <cellStyle name="Normal 7 2_Degree data" xfId="4047" xr:uid="{00000000-0005-0000-0000-000098B90000}"/>
    <cellStyle name="Normal 7 3" xfId="128" xr:uid="{00000000-0005-0000-0000-000099B90000}"/>
    <cellStyle name="Normal 7 3 10" xfId="4111" xr:uid="{00000000-0005-0000-0000-00009AB90000}"/>
    <cellStyle name="Normal 7 3 10 2" xfId="5569" xr:uid="{00000000-0005-0000-0000-00009BB90000}"/>
    <cellStyle name="Normal 7 3 10 2 2" xfId="14396" xr:uid="{00000000-0005-0000-0000-00009CB90000}"/>
    <cellStyle name="Normal 7 3 10 2 2 2" xfId="39951" xr:uid="{00000000-0005-0000-0000-00009DB90000}"/>
    <cellStyle name="Normal 7 3 10 2 3" xfId="24647" xr:uid="{00000000-0005-0000-0000-00009EB90000}"/>
    <cellStyle name="Normal 7 3 10 2 3 2" xfId="50200" xr:uid="{00000000-0005-0000-0000-00009FB90000}"/>
    <cellStyle name="Normal 7 3 10 2 4" xfId="31130" xr:uid="{00000000-0005-0000-0000-0000A0B90000}"/>
    <cellStyle name="Normal 7 3 10 3" xfId="7013" xr:uid="{00000000-0005-0000-0000-0000A1B90000}"/>
    <cellStyle name="Normal 7 3 10 3 2" xfId="23200" xr:uid="{00000000-0005-0000-0000-0000A2B90000}"/>
    <cellStyle name="Normal 7 3 10 3 2 2" xfId="48753" xr:uid="{00000000-0005-0000-0000-0000A3B90000}"/>
    <cellStyle name="Normal 7 3 10 3 3" xfId="32570" xr:uid="{00000000-0005-0000-0000-0000A4B90000}"/>
    <cellStyle name="Normal 7 3 10 4" xfId="18193" xr:uid="{00000000-0005-0000-0000-0000A5B90000}"/>
    <cellStyle name="Normal 7 3 10 4 2" xfId="43746" xr:uid="{00000000-0005-0000-0000-0000A6B90000}"/>
    <cellStyle name="Normal 7 3 10 5" xfId="29683" xr:uid="{00000000-0005-0000-0000-0000A7B90000}"/>
    <cellStyle name="Normal 7 3 11" xfId="1430" xr:uid="{00000000-0005-0000-0000-0000A8B90000}"/>
    <cellStyle name="Normal 7 3 11 2" xfId="10807" xr:uid="{00000000-0005-0000-0000-0000A9B90000}"/>
    <cellStyle name="Normal 7 3 11 2 2" xfId="36362" xr:uid="{00000000-0005-0000-0000-0000AAB90000}"/>
    <cellStyle name="Normal 7 3 11 3" xfId="20811" xr:uid="{00000000-0005-0000-0000-0000ABB90000}"/>
    <cellStyle name="Normal 7 3 11 3 2" xfId="46364" xr:uid="{00000000-0005-0000-0000-0000ACB90000}"/>
    <cellStyle name="Normal 7 3 11 4" xfId="27294" xr:uid="{00000000-0005-0000-0000-0000ADB90000}"/>
    <cellStyle name="Normal 7 3 12" xfId="5539" xr:uid="{00000000-0005-0000-0000-0000AEB90000}"/>
    <cellStyle name="Normal 7 3 12 2" xfId="14366" xr:uid="{00000000-0005-0000-0000-0000AFB90000}"/>
    <cellStyle name="Normal 7 3 12 2 2" xfId="39921" xr:uid="{00000000-0005-0000-0000-0000B0B90000}"/>
    <cellStyle name="Normal 7 3 12 3" xfId="24617" xr:uid="{00000000-0005-0000-0000-0000B1B90000}"/>
    <cellStyle name="Normal 7 3 12 3 2" xfId="50170" xr:uid="{00000000-0005-0000-0000-0000B2B90000}"/>
    <cellStyle name="Normal 7 3 12 4" xfId="31100" xr:uid="{00000000-0005-0000-0000-0000B3B90000}"/>
    <cellStyle name="Normal 7 3 13" xfId="6983" xr:uid="{00000000-0005-0000-0000-0000B4B90000}"/>
    <cellStyle name="Normal 7 3 13 2" xfId="19595" xr:uid="{00000000-0005-0000-0000-0000B5B90000}"/>
    <cellStyle name="Normal 7 3 13 2 2" xfId="45148" xr:uid="{00000000-0005-0000-0000-0000B6B90000}"/>
    <cellStyle name="Normal 7 3 13 3" xfId="32540" xr:uid="{00000000-0005-0000-0000-0000B7B90000}"/>
    <cellStyle name="Normal 7 3 14" xfId="15804" xr:uid="{00000000-0005-0000-0000-0000B8B90000}"/>
    <cellStyle name="Normal 7 3 14 2" xfId="41357" xr:uid="{00000000-0005-0000-0000-0000B9B90000}"/>
    <cellStyle name="Normal 7 3 15" xfId="26078" xr:uid="{00000000-0005-0000-0000-0000BAB90000}"/>
    <cellStyle name="Normal 7 3 2" xfId="165" xr:uid="{00000000-0005-0000-0000-0000BBB90000}"/>
    <cellStyle name="Normal 7 3 2 10" xfId="5671" xr:uid="{00000000-0005-0000-0000-0000BCB90000}"/>
    <cellStyle name="Normal 7 3 2 10 2" xfId="14498" xr:uid="{00000000-0005-0000-0000-0000BDB90000}"/>
    <cellStyle name="Normal 7 3 2 10 2 2" xfId="40053" xr:uid="{00000000-0005-0000-0000-0000BEB90000}"/>
    <cellStyle name="Normal 7 3 2 10 3" xfId="24749" xr:uid="{00000000-0005-0000-0000-0000BFB90000}"/>
    <cellStyle name="Normal 7 3 2 10 3 2" xfId="50302" xr:uid="{00000000-0005-0000-0000-0000C0B90000}"/>
    <cellStyle name="Normal 7 3 2 10 4" xfId="31232" xr:uid="{00000000-0005-0000-0000-0000C1B90000}"/>
    <cellStyle name="Normal 7 3 2 11" xfId="7115" xr:uid="{00000000-0005-0000-0000-0000C2B90000}"/>
    <cellStyle name="Normal 7 3 2 11 2" xfId="19624" xr:uid="{00000000-0005-0000-0000-0000C3B90000}"/>
    <cellStyle name="Normal 7 3 2 11 2 2" xfId="45177" xr:uid="{00000000-0005-0000-0000-0000C4B90000}"/>
    <cellStyle name="Normal 7 3 2 11 3" xfId="32672" xr:uid="{00000000-0005-0000-0000-0000C5B90000}"/>
    <cellStyle name="Normal 7 3 2 12" xfId="15861" xr:uid="{00000000-0005-0000-0000-0000C6B90000}"/>
    <cellStyle name="Normal 7 3 2 12 2" xfId="41414" xr:uid="{00000000-0005-0000-0000-0000C7B90000}"/>
    <cellStyle name="Normal 7 3 2 13" xfId="26107" xr:uid="{00000000-0005-0000-0000-0000C8B90000}"/>
    <cellStyle name="Normal 7 3 2 2" xfId="277" xr:uid="{00000000-0005-0000-0000-0000C9B90000}"/>
    <cellStyle name="Normal 7 3 2 2 10" xfId="16065" xr:uid="{00000000-0005-0000-0000-0000CAB90000}"/>
    <cellStyle name="Normal 7 3 2 2 10 2" xfId="41618" xr:uid="{00000000-0005-0000-0000-0000CBB90000}"/>
    <cellStyle name="Normal 7 3 2 2 11" xfId="26211" xr:uid="{00000000-0005-0000-0000-0000CCB90000}"/>
    <cellStyle name="Normal 7 3 2 2 2" xfId="599" xr:uid="{00000000-0005-0000-0000-0000CDB90000}"/>
    <cellStyle name="Normal 7 3 2 2 2 2" xfId="3085" xr:uid="{00000000-0005-0000-0000-0000CEB90000}"/>
    <cellStyle name="Normal 7 3 2 2 2 2 2" xfId="12228" xr:uid="{00000000-0005-0000-0000-0000CFB90000}"/>
    <cellStyle name="Normal 7 3 2 2 2 2 2 2" xfId="22446" xr:uid="{00000000-0005-0000-0000-0000D0B90000}"/>
    <cellStyle name="Normal 7 3 2 2 2 2 2 2 2" xfId="47999" xr:uid="{00000000-0005-0000-0000-0000D1B90000}"/>
    <cellStyle name="Normal 7 3 2 2 2 2 2 3" xfId="37783" xr:uid="{00000000-0005-0000-0000-0000D2B90000}"/>
    <cellStyle name="Normal 7 3 2 2 2 2 3" xfId="8650" xr:uid="{00000000-0005-0000-0000-0000D3B90000}"/>
    <cellStyle name="Normal 7 3 2 2 2 2 3 2" xfId="34207" xr:uid="{00000000-0005-0000-0000-0000D4B90000}"/>
    <cellStyle name="Normal 7 3 2 2 2 2 4" xfId="17439" xr:uid="{00000000-0005-0000-0000-0000D5B90000}"/>
    <cellStyle name="Normal 7 3 2 2 2 2 4 2" xfId="42992" xr:uid="{00000000-0005-0000-0000-0000D6B90000}"/>
    <cellStyle name="Normal 7 3 2 2 2 2 5" xfId="28929" xr:uid="{00000000-0005-0000-0000-0000D7B90000}"/>
    <cellStyle name="Normal 7 3 2 2 2 3" xfId="4759" xr:uid="{00000000-0005-0000-0000-0000D8B90000}"/>
    <cellStyle name="Normal 7 3 2 2 2 3 2" xfId="13596" xr:uid="{00000000-0005-0000-0000-0000D9B90000}"/>
    <cellStyle name="Normal 7 3 2 2 2 3 2 2" xfId="23847" xr:uid="{00000000-0005-0000-0000-0000DAB90000}"/>
    <cellStyle name="Normal 7 3 2 2 2 3 2 2 2" xfId="49400" xr:uid="{00000000-0005-0000-0000-0000DBB90000}"/>
    <cellStyle name="Normal 7 3 2 2 2 3 2 3" xfId="39151" xr:uid="{00000000-0005-0000-0000-0000DCB90000}"/>
    <cellStyle name="Normal 7 3 2 2 2 3 3" xfId="10017" xr:uid="{00000000-0005-0000-0000-0000DDB90000}"/>
    <cellStyle name="Normal 7 3 2 2 2 3 3 2" xfId="35574" xr:uid="{00000000-0005-0000-0000-0000DEB90000}"/>
    <cellStyle name="Normal 7 3 2 2 2 3 4" xfId="18840" xr:uid="{00000000-0005-0000-0000-0000DFB90000}"/>
    <cellStyle name="Normal 7 3 2 2 2 3 4 2" xfId="44393" xr:uid="{00000000-0005-0000-0000-0000E0B90000}"/>
    <cellStyle name="Normal 7 3 2 2 2 3 5" xfId="30330" xr:uid="{00000000-0005-0000-0000-0000E1B90000}"/>
    <cellStyle name="Normal 7 3 2 2 2 4" xfId="2194" xr:uid="{00000000-0005-0000-0000-0000E2B90000}"/>
    <cellStyle name="Normal 7 3 2 2 2 4 2" xfId="11559" xr:uid="{00000000-0005-0000-0000-0000E3B90000}"/>
    <cellStyle name="Normal 7 3 2 2 2 4 2 2" xfId="37114" xr:uid="{00000000-0005-0000-0000-0000E4B90000}"/>
    <cellStyle name="Normal 7 3 2 2 2 4 3" xfId="21563" xr:uid="{00000000-0005-0000-0000-0000E5B90000}"/>
    <cellStyle name="Normal 7 3 2 2 2 4 3 2" xfId="47116" xr:uid="{00000000-0005-0000-0000-0000E6B90000}"/>
    <cellStyle name="Normal 7 3 2 2 2 4 4" xfId="28046" xr:uid="{00000000-0005-0000-0000-0000E7B90000}"/>
    <cellStyle name="Normal 7 3 2 2 2 5" xfId="6214" xr:uid="{00000000-0005-0000-0000-0000E8B90000}"/>
    <cellStyle name="Normal 7 3 2 2 2 5 2" xfId="15041" xr:uid="{00000000-0005-0000-0000-0000E9B90000}"/>
    <cellStyle name="Normal 7 3 2 2 2 5 2 2" xfId="40596" xr:uid="{00000000-0005-0000-0000-0000EAB90000}"/>
    <cellStyle name="Normal 7 3 2 2 2 5 3" xfId="25292" xr:uid="{00000000-0005-0000-0000-0000EBB90000}"/>
    <cellStyle name="Normal 7 3 2 2 2 5 3 2" xfId="50845" xr:uid="{00000000-0005-0000-0000-0000ECB90000}"/>
    <cellStyle name="Normal 7 3 2 2 2 5 4" xfId="31775" xr:uid="{00000000-0005-0000-0000-0000EDB90000}"/>
    <cellStyle name="Normal 7 3 2 2 2 6" xfId="7660" xr:uid="{00000000-0005-0000-0000-0000EEB90000}"/>
    <cellStyle name="Normal 7 3 2 2 2 6 2" xfId="20045" xr:uid="{00000000-0005-0000-0000-0000EFB90000}"/>
    <cellStyle name="Normal 7 3 2 2 2 6 2 2" xfId="45598" xr:uid="{00000000-0005-0000-0000-0000F0B90000}"/>
    <cellStyle name="Normal 7 3 2 2 2 6 3" xfId="33217" xr:uid="{00000000-0005-0000-0000-0000F1B90000}"/>
    <cellStyle name="Normal 7 3 2 2 2 7" xfId="16556" xr:uid="{00000000-0005-0000-0000-0000F2B90000}"/>
    <cellStyle name="Normal 7 3 2 2 2 7 2" xfId="42109" xr:uid="{00000000-0005-0000-0000-0000F3B90000}"/>
    <cellStyle name="Normal 7 3 2 2 2 8" xfId="26528" xr:uid="{00000000-0005-0000-0000-0000F4B90000}"/>
    <cellStyle name="Normal 7 3 2 2 3" xfId="953" xr:uid="{00000000-0005-0000-0000-0000F5B90000}"/>
    <cellStyle name="Normal 7 3 2 2 3 2" xfId="3429" xr:uid="{00000000-0005-0000-0000-0000F6B90000}"/>
    <cellStyle name="Normal 7 3 2 2 3 2 2" xfId="12571" xr:uid="{00000000-0005-0000-0000-0000F7B90000}"/>
    <cellStyle name="Normal 7 3 2 2 3 2 2 2" xfId="22790" xr:uid="{00000000-0005-0000-0000-0000F8B90000}"/>
    <cellStyle name="Normal 7 3 2 2 3 2 2 2 2" xfId="48343" xr:uid="{00000000-0005-0000-0000-0000F9B90000}"/>
    <cellStyle name="Normal 7 3 2 2 3 2 2 3" xfId="38126" xr:uid="{00000000-0005-0000-0000-0000FAB90000}"/>
    <cellStyle name="Normal 7 3 2 2 3 2 3" xfId="8993" xr:uid="{00000000-0005-0000-0000-0000FBB90000}"/>
    <cellStyle name="Normal 7 3 2 2 3 2 3 2" xfId="34550" xr:uid="{00000000-0005-0000-0000-0000FCB90000}"/>
    <cellStyle name="Normal 7 3 2 2 3 2 4" xfId="17783" xr:uid="{00000000-0005-0000-0000-0000FDB90000}"/>
    <cellStyle name="Normal 7 3 2 2 3 2 4 2" xfId="43336" xr:uid="{00000000-0005-0000-0000-0000FEB90000}"/>
    <cellStyle name="Normal 7 3 2 2 3 2 5" xfId="29273" xr:uid="{00000000-0005-0000-0000-0000FFB90000}"/>
    <cellStyle name="Normal 7 3 2 2 3 3" xfId="5107" xr:uid="{00000000-0005-0000-0000-000000BA0000}"/>
    <cellStyle name="Normal 7 3 2 2 3 3 2" xfId="13944" xr:uid="{00000000-0005-0000-0000-000001BA0000}"/>
    <cellStyle name="Normal 7 3 2 2 3 3 2 2" xfId="24195" xr:uid="{00000000-0005-0000-0000-000002BA0000}"/>
    <cellStyle name="Normal 7 3 2 2 3 3 2 2 2" xfId="49748" xr:uid="{00000000-0005-0000-0000-000003BA0000}"/>
    <cellStyle name="Normal 7 3 2 2 3 3 2 3" xfId="39499" xr:uid="{00000000-0005-0000-0000-000004BA0000}"/>
    <cellStyle name="Normal 7 3 2 2 3 3 3" xfId="10365" xr:uid="{00000000-0005-0000-0000-000005BA0000}"/>
    <cellStyle name="Normal 7 3 2 2 3 3 3 2" xfId="35922" xr:uid="{00000000-0005-0000-0000-000006BA0000}"/>
    <cellStyle name="Normal 7 3 2 2 3 3 4" xfId="19188" xr:uid="{00000000-0005-0000-0000-000007BA0000}"/>
    <cellStyle name="Normal 7 3 2 2 3 3 4 2" xfId="44741" xr:uid="{00000000-0005-0000-0000-000008BA0000}"/>
    <cellStyle name="Normal 7 3 2 2 3 3 5" xfId="30678" xr:uid="{00000000-0005-0000-0000-000009BA0000}"/>
    <cellStyle name="Normal 7 3 2 2 3 4" xfId="2538" xr:uid="{00000000-0005-0000-0000-00000ABA0000}"/>
    <cellStyle name="Normal 7 3 2 2 3 4 2" xfId="11903" xr:uid="{00000000-0005-0000-0000-00000BBA0000}"/>
    <cellStyle name="Normal 7 3 2 2 3 4 2 2" xfId="37458" xr:uid="{00000000-0005-0000-0000-00000CBA0000}"/>
    <cellStyle name="Normal 7 3 2 2 3 4 3" xfId="21907" xr:uid="{00000000-0005-0000-0000-00000DBA0000}"/>
    <cellStyle name="Normal 7 3 2 2 3 4 3 2" xfId="47460" xr:uid="{00000000-0005-0000-0000-00000EBA0000}"/>
    <cellStyle name="Normal 7 3 2 2 3 4 4" xfId="28390" xr:uid="{00000000-0005-0000-0000-00000FBA0000}"/>
    <cellStyle name="Normal 7 3 2 2 3 5" xfId="6562" xr:uid="{00000000-0005-0000-0000-000010BA0000}"/>
    <cellStyle name="Normal 7 3 2 2 3 5 2" xfId="15389" xr:uid="{00000000-0005-0000-0000-000011BA0000}"/>
    <cellStyle name="Normal 7 3 2 2 3 5 2 2" xfId="40944" xr:uid="{00000000-0005-0000-0000-000012BA0000}"/>
    <cellStyle name="Normal 7 3 2 2 3 5 3" xfId="25640" xr:uid="{00000000-0005-0000-0000-000013BA0000}"/>
    <cellStyle name="Normal 7 3 2 2 3 5 3 2" xfId="51193" xr:uid="{00000000-0005-0000-0000-000014BA0000}"/>
    <cellStyle name="Normal 7 3 2 2 3 5 4" xfId="32123" xr:uid="{00000000-0005-0000-0000-000015BA0000}"/>
    <cellStyle name="Normal 7 3 2 2 3 6" xfId="8008" xr:uid="{00000000-0005-0000-0000-000016BA0000}"/>
    <cellStyle name="Normal 7 3 2 2 3 6 2" xfId="20389" xr:uid="{00000000-0005-0000-0000-000017BA0000}"/>
    <cellStyle name="Normal 7 3 2 2 3 6 2 2" xfId="45942" xr:uid="{00000000-0005-0000-0000-000018BA0000}"/>
    <cellStyle name="Normal 7 3 2 2 3 6 3" xfId="33565" xr:uid="{00000000-0005-0000-0000-000019BA0000}"/>
    <cellStyle name="Normal 7 3 2 2 3 7" xfId="16900" xr:uid="{00000000-0005-0000-0000-00001ABA0000}"/>
    <cellStyle name="Normal 7 3 2 2 3 7 2" xfId="42453" xr:uid="{00000000-0005-0000-0000-00001BBA0000}"/>
    <cellStyle name="Normal 7 3 2 2 3 8" xfId="26872" xr:uid="{00000000-0005-0000-0000-00001CBA0000}"/>
    <cellStyle name="Normal 7 3 2 2 4" xfId="1371" xr:uid="{00000000-0005-0000-0000-00001DBA0000}"/>
    <cellStyle name="Normal 7 3 2 2 4 2" xfId="3800" xr:uid="{00000000-0005-0000-0000-00001EBA0000}"/>
    <cellStyle name="Normal 7 3 2 2 4 2 2" xfId="12936" xr:uid="{00000000-0005-0000-0000-00001FBA0000}"/>
    <cellStyle name="Normal 7 3 2 2 4 2 2 2" xfId="23155" xr:uid="{00000000-0005-0000-0000-000020BA0000}"/>
    <cellStyle name="Normal 7 3 2 2 4 2 2 2 2" xfId="48708" xr:uid="{00000000-0005-0000-0000-000021BA0000}"/>
    <cellStyle name="Normal 7 3 2 2 4 2 2 3" xfId="38491" xr:uid="{00000000-0005-0000-0000-000022BA0000}"/>
    <cellStyle name="Normal 7 3 2 2 4 2 3" xfId="9357" xr:uid="{00000000-0005-0000-0000-000023BA0000}"/>
    <cellStyle name="Normal 7 3 2 2 4 2 3 2" xfId="34914" xr:uid="{00000000-0005-0000-0000-000024BA0000}"/>
    <cellStyle name="Normal 7 3 2 2 4 2 4" xfId="18148" xr:uid="{00000000-0005-0000-0000-000025BA0000}"/>
    <cellStyle name="Normal 7 3 2 2 4 2 4 2" xfId="43701" xr:uid="{00000000-0005-0000-0000-000026BA0000}"/>
    <cellStyle name="Normal 7 3 2 2 4 2 5" xfId="29638" xr:uid="{00000000-0005-0000-0000-000027BA0000}"/>
    <cellStyle name="Normal 7 3 2 2 4 3" xfId="5463" xr:uid="{00000000-0005-0000-0000-000028BA0000}"/>
    <cellStyle name="Normal 7 3 2 2 4 3 2" xfId="14300" xr:uid="{00000000-0005-0000-0000-000029BA0000}"/>
    <cellStyle name="Normal 7 3 2 2 4 3 2 2" xfId="24551" xr:uid="{00000000-0005-0000-0000-00002ABA0000}"/>
    <cellStyle name="Normal 7 3 2 2 4 3 2 2 2" xfId="50104" xr:uid="{00000000-0005-0000-0000-00002BBA0000}"/>
    <cellStyle name="Normal 7 3 2 2 4 3 2 3" xfId="39855" xr:uid="{00000000-0005-0000-0000-00002CBA0000}"/>
    <cellStyle name="Normal 7 3 2 2 4 3 3" xfId="10721" xr:uid="{00000000-0005-0000-0000-00002DBA0000}"/>
    <cellStyle name="Normal 7 3 2 2 4 3 3 2" xfId="36278" xr:uid="{00000000-0005-0000-0000-00002EBA0000}"/>
    <cellStyle name="Normal 7 3 2 2 4 3 4" xfId="19544" xr:uid="{00000000-0005-0000-0000-00002FBA0000}"/>
    <cellStyle name="Normal 7 3 2 2 4 3 4 2" xfId="45097" xr:uid="{00000000-0005-0000-0000-000030BA0000}"/>
    <cellStyle name="Normal 7 3 2 2 4 3 5" xfId="31034" xr:uid="{00000000-0005-0000-0000-000031BA0000}"/>
    <cellStyle name="Normal 7 3 2 2 4 4" xfId="1874" xr:uid="{00000000-0005-0000-0000-000032BA0000}"/>
    <cellStyle name="Normal 7 3 2 2 4 4 2" xfId="11242" xr:uid="{00000000-0005-0000-0000-000033BA0000}"/>
    <cellStyle name="Normal 7 3 2 2 4 4 2 2" xfId="36797" xr:uid="{00000000-0005-0000-0000-000034BA0000}"/>
    <cellStyle name="Normal 7 3 2 2 4 4 3" xfId="21246" xr:uid="{00000000-0005-0000-0000-000035BA0000}"/>
    <cellStyle name="Normal 7 3 2 2 4 4 3 2" xfId="46799" xr:uid="{00000000-0005-0000-0000-000036BA0000}"/>
    <cellStyle name="Normal 7 3 2 2 4 4 4" xfId="27729" xr:uid="{00000000-0005-0000-0000-000037BA0000}"/>
    <cellStyle name="Normal 7 3 2 2 4 5" xfId="6918" xr:uid="{00000000-0005-0000-0000-000038BA0000}"/>
    <cellStyle name="Normal 7 3 2 2 4 5 2" xfId="15745" xr:uid="{00000000-0005-0000-0000-000039BA0000}"/>
    <cellStyle name="Normal 7 3 2 2 4 5 2 2" xfId="41300" xr:uid="{00000000-0005-0000-0000-00003ABA0000}"/>
    <cellStyle name="Normal 7 3 2 2 4 5 3" xfId="25996" xr:uid="{00000000-0005-0000-0000-00003BBA0000}"/>
    <cellStyle name="Normal 7 3 2 2 4 5 3 2" xfId="51549" xr:uid="{00000000-0005-0000-0000-00003CBA0000}"/>
    <cellStyle name="Normal 7 3 2 2 4 5 4" xfId="32479" xr:uid="{00000000-0005-0000-0000-00003DBA0000}"/>
    <cellStyle name="Normal 7 3 2 2 4 6" xfId="8364" xr:uid="{00000000-0005-0000-0000-00003EBA0000}"/>
    <cellStyle name="Normal 7 3 2 2 4 6 2" xfId="20754" xr:uid="{00000000-0005-0000-0000-00003FBA0000}"/>
    <cellStyle name="Normal 7 3 2 2 4 6 2 2" xfId="46307" xr:uid="{00000000-0005-0000-0000-000040BA0000}"/>
    <cellStyle name="Normal 7 3 2 2 4 6 3" xfId="33921" xr:uid="{00000000-0005-0000-0000-000041BA0000}"/>
    <cellStyle name="Normal 7 3 2 2 4 7" xfId="16239" xr:uid="{00000000-0005-0000-0000-000042BA0000}"/>
    <cellStyle name="Normal 7 3 2 2 4 7 2" xfId="41792" xr:uid="{00000000-0005-0000-0000-000043BA0000}"/>
    <cellStyle name="Normal 7 3 2 2 4 8" xfId="27237" xr:uid="{00000000-0005-0000-0000-000044BA0000}"/>
    <cellStyle name="Normal 7 3 2 2 5" xfId="2768" xr:uid="{00000000-0005-0000-0000-000045BA0000}"/>
    <cellStyle name="Normal 7 3 2 2 5 2" xfId="12085" xr:uid="{00000000-0005-0000-0000-000046BA0000}"/>
    <cellStyle name="Normal 7 3 2 2 5 2 2" xfId="22129" xr:uid="{00000000-0005-0000-0000-000047BA0000}"/>
    <cellStyle name="Normal 7 3 2 2 5 2 2 2" xfId="47682" xr:uid="{00000000-0005-0000-0000-000048BA0000}"/>
    <cellStyle name="Normal 7 3 2 2 5 2 3" xfId="37640" xr:uid="{00000000-0005-0000-0000-000049BA0000}"/>
    <cellStyle name="Normal 7 3 2 2 5 3" xfId="8537" xr:uid="{00000000-0005-0000-0000-00004ABA0000}"/>
    <cellStyle name="Normal 7 3 2 2 5 3 2" xfId="34094" xr:uid="{00000000-0005-0000-0000-00004BBA0000}"/>
    <cellStyle name="Normal 7 3 2 2 5 4" xfId="17122" xr:uid="{00000000-0005-0000-0000-00004CBA0000}"/>
    <cellStyle name="Normal 7 3 2 2 5 4 2" xfId="42675" xr:uid="{00000000-0005-0000-0000-00004DBA0000}"/>
    <cellStyle name="Normal 7 3 2 2 5 5" xfId="28612" xr:uid="{00000000-0005-0000-0000-00004EBA0000}"/>
    <cellStyle name="Normal 7 3 2 2 6" xfId="4419" xr:uid="{00000000-0005-0000-0000-00004FBA0000}"/>
    <cellStyle name="Normal 7 3 2 2 6 2" xfId="13257" xr:uid="{00000000-0005-0000-0000-000050BA0000}"/>
    <cellStyle name="Normal 7 3 2 2 6 2 2" xfId="23508" xr:uid="{00000000-0005-0000-0000-000051BA0000}"/>
    <cellStyle name="Normal 7 3 2 2 6 2 2 2" xfId="49061" xr:uid="{00000000-0005-0000-0000-000052BA0000}"/>
    <cellStyle name="Normal 7 3 2 2 6 2 3" xfId="38812" xr:uid="{00000000-0005-0000-0000-000053BA0000}"/>
    <cellStyle name="Normal 7 3 2 2 6 3" xfId="9678" xr:uid="{00000000-0005-0000-0000-000054BA0000}"/>
    <cellStyle name="Normal 7 3 2 2 6 3 2" xfId="35235" xr:uid="{00000000-0005-0000-0000-000055BA0000}"/>
    <cellStyle name="Normal 7 3 2 2 6 4" xfId="18501" xr:uid="{00000000-0005-0000-0000-000056BA0000}"/>
    <cellStyle name="Normal 7 3 2 2 6 4 2" xfId="44054" xr:uid="{00000000-0005-0000-0000-000057BA0000}"/>
    <cellStyle name="Normal 7 3 2 2 6 5" xfId="29991" xr:uid="{00000000-0005-0000-0000-000058BA0000}"/>
    <cellStyle name="Normal 7 3 2 2 7" xfId="1691" xr:uid="{00000000-0005-0000-0000-000059BA0000}"/>
    <cellStyle name="Normal 7 3 2 2 7 2" xfId="11068" xr:uid="{00000000-0005-0000-0000-00005ABA0000}"/>
    <cellStyle name="Normal 7 3 2 2 7 2 2" xfId="36623" xr:uid="{00000000-0005-0000-0000-00005BBA0000}"/>
    <cellStyle name="Normal 7 3 2 2 7 3" xfId="21072" xr:uid="{00000000-0005-0000-0000-00005CBA0000}"/>
    <cellStyle name="Normal 7 3 2 2 7 3 2" xfId="46625" xr:uid="{00000000-0005-0000-0000-00005DBA0000}"/>
    <cellStyle name="Normal 7 3 2 2 7 4" xfId="27555" xr:uid="{00000000-0005-0000-0000-00005EBA0000}"/>
    <cellStyle name="Normal 7 3 2 2 8" xfId="5875" xr:uid="{00000000-0005-0000-0000-00005FBA0000}"/>
    <cellStyle name="Normal 7 3 2 2 8 2" xfId="14702" xr:uid="{00000000-0005-0000-0000-000060BA0000}"/>
    <cellStyle name="Normal 7 3 2 2 8 2 2" xfId="40257" xr:uid="{00000000-0005-0000-0000-000061BA0000}"/>
    <cellStyle name="Normal 7 3 2 2 8 3" xfId="24953" xr:uid="{00000000-0005-0000-0000-000062BA0000}"/>
    <cellStyle name="Normal 7 3 2 2 8 3 2" xfId="50506" xr:uid="{00000000-0005-0000-0000-000063BA0000}"/>
    <cellStyle name="Normal 7 3 2 2 8 4" xfId="31436" xr:uid="{00000000-0005-0000-0000-000064BA0000}"/>
    <cellStyle name="Normal 7 3 2 2 9" xfId="7319" xr:uid="{00000000-0005-0000-0000-000065BA0000}"/>
    <cellStyle name="Normal 7 3 2 2 9 2" xfId="19728" xr:uid="{00000000-0005-0000-0000-000066BA0000}"/>
    <cellStyle name="Normal 7 3 2 2 9 2 2" xfId="45281" xr:uid="{00000000-0005-0000-0000-000067BA0000}"/>
    <cellStyle name="Normal 7 3 2 2 9 3" xfId="32876" xr:uid="{00000000-0005-0000-0000-000068BA0000}"/>
    <cellStyle name="Normal 7 3 2 2_Degree data" xfId="4059" xr:uid="{00000000-0005-0000-0000-000069BA0000}"/>
    <cellStyle name="Normal 7 3 2 3" xfId="495" xr:uid="{00000000-0005-0000-0000-00006ABA0000}"/>
    <cellStyle name="Normal 7 3 2 3 10" xfId="26424" xr:uid="{00000000-0005-0000-0000-00006BBA0000}"/>
    <cellStyle name="Normal 7 3 2 3 2" xfId="954" xr:uid="{00000000-0005-0000-0000-00006CBA0000}"/>
    <cellStyle name="Normal 7 3 2 3 2 2" xfId="3430" xr:uid="{00000000-0005-0000-0000-00006DBA0000}"/>
    <cellStyle name="Normal 7 3 2 3 2 2 2" xfId="12572" xr:uid="{00000000-0005-0000-0000-00006EBA0000}"/>
    <cellStyle name="Normal 7 3 2 3 2 2 2 2" xfId="22791" xr:uid="{00000000-0005-0000-0000-00006FBA0000}"/>
    <cellStyle name="Normal 7 3 2 3 2 2 2 2 2" xfId="48344" xr:uid="{00000000-0005-0000-0000-000070BA0000}"/>
    <cellStyle name="Normal 7 3 2 3 2 2 2 3" xfId="38127" xr:uid="{00000000-0005-0000-0000-000071BA0000}"/>
    <cellStyle name="Normal 7 3 2 3 2 2 3" xfId="8994" xr:uid="{00000000-0005-0000-0000-000072BA0000}"/>
    <cellStyle name="Normal 7 3 2 3 2 2 3 2" xfId="34551" xr:uid="{00000000-0005-0000-0000-000073BA0000}"/>
    <cellStyle name="Normal 7 3 2 3 2 2 4" xfId="17784" xr:uid="{00000000-0005-0000-0000-000074BA0000}"/>
    <cellStyle name="Normal 7 3 2 3 2 2 4 2" xfId="43337" xr:uid="{00000000-0005-0000-0000-000075BA0000}"/>
    <cellStyle name="Normal 7 3 2 3 2 2 5" xfId="29274" xr:uid="{00000000-0005-0000-0000-000076BA0000}"/>
    <cellStyle name="Normal 7 3 2 3 2 3" xfId="4760" xr:uid="{00000000-0005-0000-0000-000077BA0000}"/>
    <cellStyle name="Normal 7 3 2 3 2 3 2" xfId="13597" xr:uid="{00000000-0005-0000-0000-000078BA0000}"/>
    <cellStyle name="Normal 7 3 2 3 2 3 2 2" xfId="23848" xr:uid="{00000000-0005-0000-0000-000079BA0000}"/>
    <cellStyle name="Normal 7 3 2 3 2 3 2 2 2" xfId="49401" xr:uid="{00000000-0005-0000-0000-00007ABA0000}"/>
    <cellStyle name="Normal 7 3 2 3 2 3 2 3" xfId="39152" xr:uid="{00000000-0005-0000-0000-00007BBA0000}"/>
    <cellStyle name="Normal 7 3 2 3 2 3 3" xfId="10018" xr:uid="{00000000-0005-0000-0000-00007CBA0000}"/>
    <cellStyle name="Normal 7 3 2 3 2 3 3 2" xfId="35575" xr:uid="{00000000-0005-0000-0000-00007DBA0000}"/>
    <cellStyle name="Normal 7 3 2 3 2 3 4" xfId="18841" xr:uid="{00000000-0005-0000-0000-00007EBA0000}"/>
    <cellStyle name="Normal 7 3 2 3 2 3 4 2" xfId="44394" xr:uid="{00000000-0005-0000-0000-00007FBA0000}"/>
    <cellStyle name="Normal 7 3 2 3 2 3 5" xfId="30331" xr:uid="{00000000-0005-0000-0000-000080BA0000}"/>
    <cellStyle name="Normal 7 3 2 3 2 4" xfId="2539" xr:uid="{00000000-0005-0000-0000-000081BA0000}"/>
    <cellStyle name="Normal 7 3 2 3 2 4 2" xfId="11904" xr:uid="{00000000-0005-0000-0000-000082BA0000}"/>
    <cellStyle name="Normal 7 3 2 3 2 4 2 2" xfId="37459" xr:uid="{00000000-0005-0000-0000-000083BA0000}"/>
    <cellStyle name="Normal 7 3 2 3 2 4 3" xfId="21908" xr:uid="{00000000-0005-0000-0000-000084BA0000}"/>
    <cellStyle name="Normal 7 3 2 3 2 4 3 2" xfId="47461" xr:uid="{00000000-0005-0000-0000-000085BA0000}"/>
    <cellStyle name="Normal 7 3 2 3 2 4 4" xfId="28391" xr:uid="{00000000-0005-0000-0000-000086BA0000}"/>
    <cellStyle name="Normal 7 3 2 3 2 5" xfId="6215" xr:uid="{00000000-0005-0000-0000-000087BA0000}"/>
    <cellStyle name="Normal 7 3 2 3 2 5 2" xfId="15042" xr:uid="{00000000-0005-0000-0000-000088BA0000}"/>
    <cellStyle name="Normal 7 3 2 3 2 5 2 2" xfId="40597" xr:uid="{00000000-0005-0000-0000-000089BA0000}"/>
    <cellStyle name="Normal 7 3 2 3 2 5 3" xfId="25293" xr:uid="{00000000-0005-0000-0000-00008ABA0000}"/>
    <cellStyle name="Normal 7 3 2 3 2 5 3 2" xfId="50846" xr:uid="{00000000-0005-0000-0000-00008BBA0000}"/>
    <cellStyle name="Normal 7 3 2 3 2 5 4" xfId="31776" xr:uid="{00000000-0005-0000-0000-00008CBA0000}"/>
    <cellStyle name="Normal 7 3 2 3 2 6" xfId="7661" xr:uid="{00000000-0005-0000-0000-00008DBA0000}"/>
    <cellStyle name="Normal 7 3 2 3 2 6 2" xfId="20390" xr:uid="{00000000-0005-0000-0000-00008EBA0000}"/>
    <cellStyle name="Normal 7 3 2 3 2 6 2 2" xfId="45943" xr:uid="{00000000-0005-0000-0000-00008FBA0000}"/>
    <cellStyle name="Normal 7 3 2 3 2 6 3" xfId="33218" xr:uid="{00000000-0005-0000-0000-000090BA0000}"/>
    <cellStyle name="Normal 7 3 2 3 2 7" xfId="16901" xr:uid="{00000000-0005-0000-0000-000091BA0000}"/>
    <cellStyle name="Normal 7 3 2 3 2 7 2" xfId="42454" xr:uid="{00000000-0005-0000-0000-000092BA0000}"/>
    <cellStyle name="Normal 7 3 2 3 2 8" xfId="26873" xr:uid="{00000000-0005-0000-0000-000093BA0000}"/>
    <cellStyle name="Normal 7 3 2 3 3" xfId="1267" xr:uid="{00000000-0005-0000-0000-000094BA0000}"/>
    <cellStyle name="Normal 7 3 2 3 3 2" xfId="3696" xr:uid="{00000000-0005-0000-0000-000095BA0000}"/>
    <cellStyle name="Normal 7 3 2 3 3 2 2" xfId="12832" xr:uid="{00000000-0005-0000-0000-000096BA0000}"/>
    <cellStyle name="Normal 7 3 2 3 3 2 2 2" xfId="23051" xr:uid="{00000000-0005-0000-0000-000097BA0000}"/>
    <cellStyle name="Normal 7 3 2 3 3 2 2 2 2" xfId="48604" xr:uid="{00000000-0005-0000-0000-000098BA0000}"/>
    <cellStyle name="Normal 7 3 2 3 3 2 2 3" xfId="38387" xr:uid="{00000000-0005-0000-0000-000099BA0000}"/>
    <cellStyle name="Normal 7 3 2 3 3 2 3" xfId="9253" xr:uid="{00000000-0005-0000-0000-00009ABA0000}"/>
    <cellStyle name="Normal 7 3 2 3 3 2 3 2" xfId="34810" xr:uid="{00000000-0005-0000-0000-00009BBA0000}"/>
    <cellStyle name="Normal 7 3 2 3 3 2 4" xfId="18044" xr:uid="{00000000-0005-0000-0000-00009CBA0000}"/>
    <cellStyle name="Normal 7 3 2 3 3 2 4 2" xfId="43597" xr:uid="{00000000-0005-0000-0000-00009DBA0000}"/>
    <cellStyle name="Normal 7 3 2 3 3 2 5" xfId="29534" xr:uid="{00000000-0005-0000-0000-00009EBA0000}"/>
    <cellStyle name="Normal 7 3 2 3 3 3" xfId="5108" xr:uid="{00000000-0005-0000-0000-00009FBA0000}"/>
    <cellStyle name="Normal 7 3 2 3 3 3 2" xfId="13945" xr:uid="{00000000-0005-0000-0000-0000A0BA0000}"/>
    <cellStyle name="Normal 7 3 2 3 3 3 2 2" xfId="24196" xr:uid="{00000000-0005-0000-0000-0000A1BA0000}"/>
    <cellStyle name="Normal 7 3 2 3 3 3 2 2 2" xfId="49749" xr:uid="{00000000-0005-0000-0000-0000A2BA0000}"/>
    <cellStyle name="Normal 7 3 2 3 3 3 2 3" xfId="39500" xr:uid="{00000000-0005-0000-0000-0000A3BA0000}"/>
    <cellStyle name="Normal 7 3 2 3 3 3 3" xfId="10366" xr:uid="{00000000-0005-0000-0000-0000A4BA0000}"/>
    <cellStyle name="Normal 7 3 2 3 3 3 3 2" xfId="35923" xr:uid="{00000000-0005-0000-0000-0000A5BA0000}"/>
    <cellStyle name="Normal 7 3 2 3 3 3 4" xfId="19189" xr:uid="{00000000-0005-0000-0000-0000A6BA0000}"/>
    <cellStyle name="Normal 7 3 2 3 3 3 4 2" xfId="44742" xr:uid="{00000000-0005-0000-0000-0000A7BA0000}"/>
    <cellStyle name="Normal 7 3 2 3 3 3 5" xfId="30679" xr:uid="{00000000-0005-0000-0000-0000A8BA0000}"/>
    <cellStyle name="Normal 7 3 2 3 3 4" xfId="2090" xr:uid="{00000000-0005-0000-0000-0000A9BA0000}"/>
    <cellStyle name="Normal 7 3 2 3 3 4 2" xfId="11455" xr:uid="{00000000-0005-0000-0000-0000AABA0000}"/>
    <cellStyle name="Normal 7 3 2 3 3 4 2 2" xfId="37010" xr:uid="{00000000-0005-0000-0000-0000ABBA0000}"/>
    <cellStyle name="Normal 7 3 2 3 3 4 3" xfId="21459" xr:uid="{00000000-0005-0000-0000-0000ACBA0000}"/>
    <cellStyle name="Normal 7 3 2 3 3 4 3 2" xfId="47012" xr:uid="{00000000-0005-0000-0000-0000ADBA0000}"/>
    <cellStyle name="Normal 7 3 2 3 3 4 4" xfId="27942" xr:uid="{00000000-0005-0000-0000-0000AEBA0000}"/>
    <cellStyle name="Normal 7 3 2 3 3 5" xfId="6563" xr:uid="{00000000-0005-0000-0000-0000AFBA0000}"/>
    <cellStyle name="Normal 7 3 2 3 3 5 2" xfId="15390" xr:uid="{00000000-0005-0000-0000-0000B0BA0000}"/>
    <cellStyle name="Normal 7 3 2 3 3 5 2 2" xfId="40945" xr:uid="{00000000-0005-0000-0000-0000B1BA0000}"/>
    <cellStyle name="Normal 7 3 2 3 3 5 3" xfId="25641" xr:uid="{00000000-0005-0000-0000-0000B2BA0000}"/>
    <cellStyle name="Normal 7 3 2 3 3 5 3 2" xfId="51194" xr:uid="{00000000-0005-0000-0000-0000B3BA0000}"/>
    <cellStyle name="Normal 7 3 2 3 3 5 4" xfId="32124" xr:uid="{00000000-0005-0000-0000-0000B4BA0000}"/>
    <cellStyle name="Normal 7 3 2 3 3 6" xfId="8009" xr:uid="{00000000-0005-0000-0000-0000B5BA0000}"/>
    <cellStyle name="Normal 7 3 2 3 3 6 2" xfId="20650" xr:uid="{00000000-0005-0000-0000-0000B6BA0000}"/>
    <cellStyle name="Normal 7 3 2 3 3 6 2 2" xfId="46203" xr:uid="{00000000-0005-0000-0000-0000B7BA0000}"/>
    <cellStyle name="Normal 7 3 2 3 3 6 3" xfId="33566" xr:uid="{00000000-0005-0000-0000-0000B8BA0000}"/>
    <cellStyle name="Normal 7 3 2 3 3 7" xfId="16452" xr:uid="{00000000-0005-0000-0000-0000B9BA0000}"/>
    <cellStyle name="Normal 7 3 2 3 3 7 2" xfId="42005" xr:uid="{00000000-0005-0000-0000-0000BABA0000}"/>
    <cellStyle name="Normal 7 3 2 3 3 8" xfId="27133" xr:uid="{00000000-0005-0000-0000-0000BBBA0000}"/>
    <cellStyle name="Normal 7 3 2 3 4" xfId="2981" xr:uid="{00000000-0005-0000-0000-0000BCBA0000}"/>
    <cellStyle name="Normal 7 3 2 3 4 2" xfId="5359" xr:uid="{00000000-0005-0000-0000-0000BDBA0000}"/>
    <cellStyle name="Normal 7 3 2 3 4 2 2" xfId="14196" xr:uid="{00000000-0005-0000-0000-0000BEBA0000}"/>
    <cellStyle name="Normal 7 3 2 3 4 2 2 2" xfId="24447" xr:uid="{00000000-0005-0000-0000-0000BFBA0000}"/>
    <cellStyle name="Normal 7 3 2 3 4 2 2 2 2" xfId="50000" xr:uid="{00000000-0005-0000-0000-0000C0BA0000}"/>
    <cellStyle name="Normal 7 3 2 3 4 2 2 3" xfId="39751" xr:uid="{00000000-0005-0000-0000-0000C1BA0000}"/>
    <cellStyle name="Normal 7 3 2 3 4 2 3" xfId="10617" xr:uid="{00000000-0005-0000-0000-0000C2BA0000}"/>
    <cellStyle name="Normal 7 3 2 3 4 2 3 2" xfId="36174" xr:uid="{00000000-0005-0000-0000-0000C3BA0000}"/>
    <cellStyle name="Normal 7 3 2 3 4 2 4" xfId="19440" xr:uid="{00000000-0005-0000-0000-0000C4BA0000}"/>
    <cellStyle name="Normal 7 3 2 3 4 2 4 2" xfId="44993" xr:uid="{00000000-0005-0000-0000-0000C5BA0000}"/>
    <cellStyle name="Normal 7 3 2 3 4 2 5" xfId="30930" xr:uid="{00000000-0005-0000-0000-0000C6BA0000}"/>
    <cellStyle name="Normal 7 3 2 3 4 3" xfId="6814" xr:uid="{00000000-0005-0000-0000-0000C7BA0000}"/>
    <cellStyle name="Normal 7 3 2 3 4 3 2" xfId="15641" xr:uid="{00000000-0005-0000-0000-0000C8BA0000}"/>
    <cellStyle name="Normal 7 3 2 3 4 3 2 2" xfId="41196" xr:uid="{00000000-0005-0000-0000-0000C9BA0000}"/>
    <cellStyle name="Normal 7 3 2 3 4 3 3" xfId="25892" xr:uid="{00000000-0005-0000-0000-0000CABA0000}"/>
    <cellStyle name="Normal 7 3 2 3 4 3 3 2" xfId="51445" xr:uid="{00000000-0005-0000-0000-0000CBBA0000}"/>
    <cellStyle name="Normal 7 3 2 3 4 3 4" xfId="32375" xr:uid="{00000000-0005-0000-0000-0000CCBA0000}"/>
    <cellStyle name="Normal 7 3 2 3 4 4" xfId="8260" xr:uid="{00000000-0005-0000-0000-0000CDBA0000}"/>
    <cellStyle name="Normal 7 3 2 3 4 4 2" xfId="22342" xr:uid="{00000000-0005-0000-0000-0000CEBA0000}"/>
    <cellStyle name="Normal 7 3 2 3 4 4 2 2" xfId="47895" xr:uid="{00000000-0005-0000-0000-0000CFBA0000}"/>
    <cellStyle name="Normal 7 3 2 3 4 4 3" xfId="33817" xr:uid="{00000000-0005-0000-0000-0000D0BA0000}"/>
    <cellStyle name="Normal 7 3 2 3 4 5" xfId="17335" xr:uid="{00000000-0005-0000-0000-0000D1BA0000}"/>
    <cellStyle name="Normal 7 3 2 3 4 5 2" xfId="42888" xr:uid="{00000000-0005-0000-0000-0000D2BA0000}"/>
    <cellStyle name="Normal 7 3 2 3 4 6" xfId="28825" xr:uid="{00000000-0005-0000-0000-0000D3BA0000}"/>
    <cellStyle name="Normal 7 3 2 3 5" xfId="4315" xr:uid="{00000000-0005-0000-0000-0000D4BA0000}"/>
    <cellStyle name="Normal 7 3 2 3 5 2" xfId="13153" xr:uid="{00000000-0005-0000-0000-0000D5BA0000}"/>
    <cellStyle name="Normal 7 3 2 3 5 2 2" xfId="23404" xr:uid="{00000000-0005-0000-0000-0000D6BA0000}"/>
    <cellStyle name="Normal 7 3 2 3 5 2 2 2" xfId="48957" xr:uid="{00000000-0005-0000-0000-0000D7BA0000}"/>
    <cellStyle name="Normal 7 3 2 3 5 2 3" xfId="38708" xr:uid="{00000000-0005-0000-0000-0000D8BA0000}"/>
    <cellStyle name="Normal 7 3 2 3 5 3" xfId="9574" xr:uid="{00000000-0005-0000-0000-0000D9BA0000}"/>
    <cellStyle name="Normal 7 3 2 3 5 3 2" xfId="35131" xr:uid="{00000000-0005-0000-0000-0000DABA0000}"/>
    <cellStyle name="Normal 7 3 2 3 5 4" xfId="18397" xr:uid="{00000000-0005-0000-0000-0000DBBA0000}"/>
    <cellStyle name="Normal 7 3 2 3 5 4 2" xfId="43950" xr:uid="{00000000-0005-0000-0000-0000DCBA0000}"/>
    <cellStyle name="Normal 7 3 2 3 5 5" xfId="29887" xr:uid="{00000000-0005-0000-0000-0000DDBA0000}"/>
    <cellStyle name="Normal 7 3 2 3 6" xfId="1587" xr:uid="{00000000-0005-0000-0000-0000DEBA0000}"/>
    <cellStyle name="Normal 7 3 2 3 6 2" xfId="10964" xr:uid="{00000000-0005-0000-0000-0000DFBA0000}"/>
    <cellStyle name="Normal 7 3 2 3 6 2 2" xfId="36519" xr:uid="{00000000-0005-0000-0000-0000E0BA0000}"/>
    <cellStyle name="Normal 7 3 2 3 6 3" xfId="20968" xr:uid="{00000000-0005-0000-0000-0000E1BA0000}"/>
    <cellStyle name="Normal 7 3 2 3 6 3 2" xfId="46521" xr:uid="{00000000-0005-0000-0000-0000E2BA0000}"/>
    <cellStyle name="Normal 7 3 2 3 6 4" xfId="27451" xr:uid="{00000000-0005-0000-0000-0000E3BA0000}"/>
    <cellStyle name="Normal 7 3 2 3 7" xfId="5771" xr:uid="{00000000-0005-0000-0000-0000E4BA0000}"/>
    <cellStyle name="Normal 7 3 2 3 7 2" xfId="14598" xr:uid="{00000000-0005-0000-0000-0000E5BA0000}"/>
    <cellStyle name="Normal 7 3 2 3 7 2 2" xfId="40153" xr:uid="{00000000-0005-0000-0000-0000E6BA0000}"/>
    <cellStyle name="Normal 7 3 2 3 7 3" xfId="24849" xr:uid="{00000000-0005-0000-0000-0000E7BA0000}"/>
    <cellStyle name="Normal 7 3 2 3 7 3 2" xfId="50402" xr:uid="{00000000-0005-0000-0000-0000E8BA0000}"/>
    <cellStyle name="Normal 7 3 2 3 7 4" xfId="31332" xr:uid="{00000000-0005-0000-0000-0000E9BA0000}"/>
    <cellStyle name="Normal 7 3 2 3 8" xfId="7215" xr:uid="{00000000-0005-0000-0000-0000EABA0000}"/>
    <cellStyle name="Normal 7 3 2 3 8 2" xfId="19941" xr:uid="{00000000-0005-0000-0000-0000EBBA0000}"/>
    <cellStyle name="Normal 7 3 2 3 8 2 2" xfId="45494" xr:uid="{00000000-0005-0000-0000-0000ECBA0000}"/>
    <cellStyle name="Normal 7 3 2 3 8 3" xfId="32772" xr:uid="{00000000-0005-0000-0000-0000EDBA0000}"/>
    <cellStyle name="Normal 7 3 2 3 9" xfId="15961" xr:uid="{00000000-0005-0000-0000-0000EEBA0000}"/>
    <cellStyle name="Normal 7 3 2 3 9 2" xfId="41514" xr:uid="{00000000-0005-0000-0000-0000EFBA0000}"/>
    <cellStyle name="Normal 7 3 2 3_Degree data" xfId="4060" xr:uid="{00000000-0005-0000-0000-0000F0BA0000}"/>
    <cellStyle name="Normal 7 3 2 4" xfId="395" xr:uid="{00000000-0005-0000-0000-0000F1BA0000}"/>
    <cellStyle name="Normal 7 3 2 4 2" xfId="2881" xr:uid="{00000000-0005-0000-0000-0000F2BA0000}"/>
    <cellStyle name="Normal 7 3 2 4 2 2" xfId="12169" xr:uid="{00000000-0005-0000-0000-0000F3BA0000}"/>
    <cellStyle name="Normal 7 3 2 4 2 2 2" xfId="22242" xr:uid="{00000000-0005-0000-0000-0000F4BA0000}"/>
    <cellStyle name="Normal 7 3 2 4 2 2 2 2" xfId="47795" xr:uid="{00000000-0005-0000-0000-0000F5BA0000}"/>
    <cellStyle name="Normal 7 3 2 4 2 2 3" xfId="37724" xr:uid="{00000000-0005-0000-0000-0000F6BA0000}"/>
    <cellStyle name="Normal 7 3 2 4 2 3" xfId="8518" xr:uid="{00000000-0005-0000-0000-0000F7BA0000}"/>
    <cellStyle name="Normal 7 3 2 4 2 3 2" xfId="34075" xr:uid="{00000000-0005-0000-0000-0000F8BA0000}"/>
    <cellStyle name="Normal 7 3 2 4 2 4" xfId="17235" xr:uid="{00000000-0005-0000-0000-0000F9BA0000}"/>
    <cellStyle name="Normal 7 3 2 4 2 4 2" xfId="42788" xr:uid="{00000000-0005-0000-0000-0000FABA0000}"/>
    <cellStyle name="Normal 7 3 2 4 2 5" xfId="28725" xr:uid="{00000000-0005-0000-0000-0000FBBA0000}"/>
    <cellStyle name="Normal 7 3 2 4 3" xfId="4758" xr:uid="{00000000-0005-0000-0000-0000FCBA0000}"/>
    <cellStyle name="Normal 7 3 2 4 3 2" xfId="13595" xr:uid="{00000000-0005-0000-0000-0000FDBA0000}"/>
    <cellStyle name="Normal 7 3 2 4 3 2 2" xfId="23846" xr:uid="{00000000-0005-0000-0000-0000FEBA0000}"/>
    <cellStyle name="Normal 7 3 2 4 3 2 2 2" xfId="49399" xr:uid="{00000000-0005-0000-0000-0000FFBA0000}"/>
    <cellStyle name="Normal 7 3 2 4 3 2 3" xfId="39150" xr:uid="{00000000-0005-0000-0000-000000BB0000}"/>
    <cellStyle name="Normal 7 3 2 4 3 3" xfId="10016" xr:uid="{00000000-0005-0000-0000-000001BB0000}"/>
    <cellStyle name="Normal 7 3 2 4 3 3 2" xfId="35573" xr:uid="{00000000-0005-0000-0000-000002BB0000}"/>
    <cellStyle name="Normal 7 3 2 4 3 4" xfId="18839" xr:uid="{00000000-0005-0000-0000-000003BB0000}"/>
    <cellStyle name="Normal 7 3 2 4 3 4 2" xfId="44392" xr:uid="{00000000-0005-0000-0000-000004BB0000}"/>
    <cellStyle name="Normal 7 3 2 4 3 5" xfId="30329" xr:uid="{00000000-0005-0000-0000-000005BB0000}"/>
    <cellStyle name="Normal 7 3 2 4 4" xfId="1990" xr:uid="{00000000-0005-0000-0000-000006BB0000}"/>
    <cellStyle name="Normal 7 3 2 4 4 2" xfId="11355" xr:uid="{00000000-0005-0000-0000-000007BB0000}"/>
    <cellStyle name="Normal 7 3 2 4 4 2 2" xfId="36910" xr:uid="{00000000-0005-0000-0000-000008BB0000}"/>
    <cellStyle name="Normal 7 3 2 4 4 3" xfId="21359" xr:uid="{00000000-0005-0000-0000-000009BB0000}"/>
    <cellStyle name="Normal 7 3 2 4 4 3 2" xfId="46912" xr:uid="{00000000-0005-0000-0000-00000ABB0000}"/>
    <cellStyle name="Normal 7 3 2 4 4 4" xfId="27842" xr:uid="{00000000-0005-0000-0000-00000BBB0000}"/>
    <cellStyle name="Normal 7 3 2 4 5" xfId="6213" xr:uid="{00000000-0005-0000-0000-00000CBB0000}"/>
    <cellStyle name="Normal 7 3 2 4 5 2" xfId="15040" xr:uid="{00000000-0005-0000-0000-00000DBB0000}"/>
    <cellStyle name="Normal 7 3 2 4 5 2 2" xfId="40595" xr:uid="{00000000-0005-0000-0000-00000EBB0000}"/>
    <cellStyle name="Normal 7 3 2 4 5 3" xfId="25291" xr:uid="{00000000-0005-0000-0000-00000FBB0000}"/>
    <cellStyle name="Normal 7 3 2 4 5 3 2" xfId="50844" xr:uid="{00000000-0005-0000-0000-000010BB0000}"/>
    <cellStyle name="Normal 7 3 2 4 5 4" xfId="31774" xr:uid="{00000000-0005-0000-0000-000011BB0000}"/>
    <cellStyle name="Normal 7 3 2 4 6" xfId="7659" xr:uid="{00000000-0005-0000-0000-000012BB0000}"/>
    <cellStyle name="Normal 7 3 2 4 6 2" xfId="19841" xr:uid="{00000000-0005-0000-0000-000013BB0000}"/>
    <cellStyle name="Normal 7 3 2 4 6 2 2" xfId="45394" xr:uid="{00000000-0005-0000-0000-000014BB0000}"/>
    <cellStyle name="Normal 7 3 2 4 6 3" xfId="33216" xr:uid="{00000000-0005-0000-0000-000015BB0000}"/>
    <cellStyle name="Normal 7 3 2 4 7" xfId="16352" xr:uid="{00000000-0005-0000-0000-000016BB0000}"/>
    <cellStyle name="Normal 7 3 2 4 7 2" xfId="41905" xr:uid="{00000000-0005-0000-0000-000017BB0000}"/>
    <cellStyle name="Normal 7 3 2 4 8" xfId="26324" xr:uid="{00000000-0005-0000-0000-000018BB0000}"/>
    <cellStyle name="Normal 7 3 2 5" xfId="952" xr:uid="{00000000-0005-0000-0000-000019BB0000}"/>
    <cellStyle name="Normal 7 3 2 5 2" xfId="3428" xr:uid="{00000000-0005-0000-0000-00001ABB0000}"/>
    <cellStyle name="Normal 7 3 2 5 2 2" xfId="12570" xr:uid="{00000000-0005-0000-0000-00001BBB0000}"/>
    <cellStyle name="Normal 7 3 2 5 2 2 2" xfId="22789" xr:uid="{00000000-0005-0000-0000-00001CBB0000}"/>
    <cellStyle name="Normal 7 3 2 5 2 2 2 2" xfId="48342" xr:uid="{00000000-0005-0000-0000-00001DBB0000}"/>
    <cellStyle name="Normal 7 3 2 5 2 2 3" xfId="38125" xr:uid="{00000000-0005-0000-0000-00001EBB0000}"/>
    <cellStyle name="Normal 7 3 2 5 2 3" xfId="8992" xr:uid="{00000000-0005-0000-0000-00001FBB0000}"/>
    <cellStyle name="Normal 7 3 2 5 2 3 2" xfId="34549" xr:uid="{00000000-0005-0000-0000-000020BB0000}"/>
    <cellStyle name="Normal 7 3 2 5 2 4" xfId="17782" xr:uid="{00000000-0005-0000-0000-000021BB0000}"/>
    <cellStyle name="Normal 7 3 2 5 2 4 2" xfId="43335" xr:uid="{00000000-0005-0000-0000-000022BB0000}"/>
    <cellStyle name="Normal 7 3 2 5 2 5" xfId="29272" xr:uid="{00000000-0005-0000-0000-000023BB0000}"/>
    <cellStyle name="Normal 7 3 2 5 3" xfId="5106" xr:uid="{00000000-0005-0000-0000-000024BB0000}"/>
    <cellStyle name="Normal 7 3 2 5 3 2" xfId="13943" xr:uid="{00000000-0005-0000-0000-000025BB0000}"/>
    <cellStyle name="Normal 7 3 2 5 3 2 2" xfId="24194" xr:uid="{00000000-0005-0000-0000-000026BB0000}"/>
    <cellStyle name="Normal 7 3 2 5 3 2 2 2" xfId="49747" xr:uid="{00000000-0005-0000-0000-000027BB0000}"/>
    <cellStyle name="Normal 7 3 2 5 3 2 3" xfId="39498" xr:uid="{00000000-0005-0000-0000-000028BB0000}"/>
    <cellStyle name="Normal 7 3 2 5 3 3" xfId="10364" xr:uid="{00000000-0005-0000-0000-000029BB0000}"/>
    <cellStyle name="Normal 7 3 2 5 3 3 2" xfId="35921" xr:uid="{00000000-0005-0000-0000-00002ABB0000}"/>
    <cellStyle name="Normal 7 3 2 5 3 4" xfId="19187" xr:uid="{00000000-0005-0000-0000-00002BBB0000}"/>
    <cellStyle name="Normal 7 3 2 5 3 4 2" xfId="44740" xr:uid="{00000000-0005-0000-0000-00002CBB0000}"/>
    <cellStyle name="Normal 7 3 2 5 3 5" xfId="30677" xr:uid="{00000000-0005-0000-0000-00002DBB0000}"/>
    <cellStyle name="Normal 7 3 2 5 4" xfId="2537" xr:uid="{00000000-0005-0000-0000-00002EBB0000}"/>
    <cellStyle name="Normal 7 3 2 5 4 2" xfId="11902" xr:uid="{00000000-0005-0000-0000-00002FBB0000}"/>
    <cellStyle name="Normal 7 3 2 5 4 2 2" xfId="37457" xr:uid="{00000000-0005-0000-0000-000030BB0000}"/>
    <cellStyle name="Normal 7 3 2 5 4 3" xfId="21906" xr:uid="{00000000-0005-0000-0000-000031BB0000}"/>
    <cellStyle name="Normal 7 3 2 5 4 3 2" xfId="47459" xr:uid="{00000000-0005-0000-0000-000032BB0000}"/>
    <cellStyle name="Normal 7 3 2 5 4 4" xfId="28389" xr:uid="{00000000-0005-0000-0000-000033BB0000}"/>
    <cellStyle name="Normal 7 3 2 5 5" xfId="6561" xr:uid="{00000000-0005-0000-0000-000034BB0000}"/>
    <cellStyle name="Normal 7 3 2 5 5 2" xfId="15388" xr:uid="{00000000-0005-0000-0000-000035BB0000}"/>
    <cellStyle name="Normal 7 3 2 5 5 2 2" xfId="40943" xr:uid="{00000000-0005-0000-0000-000036BB0000}"/>
    <cellStyle name="Normal 7 3 2 5 5 3" xfId="25639" xr:uid="{00000000-0005-0000-0000-000037BB0000}"/>
    <cellStyle name="Normal 7 3 2 5 5 3 2" xfId="51192" xr:uid="{00000000-0005-0000-0000-000038BB0000}"/>
    <cellStyle name="Normal 7 3 2 5 5 4" xfId="32122" xr:uid="{00000000-0005-0000-0000-000039BB0000}"/>
    <cellStyle name="Normal 7 3 2 5 6" xfId="8007" xr:uid="{00000000-0005-0000-0000-00003ABB0000}"/>
    <cellStyle name="Normal 7 3 2 5 6 2" xfId="20388" xr:uid="{00000000-0005-0000-0000-00003BBB0000}"/>
    <cellStyle name="Normal 7 3 2 5 6 2 2" xfId="45941" xr:uid="{00000000-0005-0000-0000-00003CBB0000}"/>
    <cellStyle name="Normal 7 3 2 5 6 3" xfId="33564" xr:uid="{00000000-0005-0000-0000-00003DBB0000}"/>
    <cellStyle name="Normal 7 3 2 5 7" xfId="16899" xr:uid="{00000000-0005-0000-0000-00003EBB0000}"/>
    <cellStyle name="Normal 7 3 2 5 7 2" xfId="42452" xr:uid="{00000000-0005-0000-0000-00003FBB0000}"/>
    <cellStyle name="Normal 7 3 2 5 8" xfId="26871" xr:uid="{00000000-0005-0000-0000-000040BB0000}"/>
    <cellStyle name="Normal 7 3 2 6" xfId="1167" xr:uid="{00000000-0005-0000-0000-000041BB0000}"/>
    <cellStyle name="Normal 7 3 2 6 2" xfId="3596" xr:uid="{00000000-0005-0000-0000-000042BB0000}"/>
    <cellStyle name="Normal 7 3 2 6 2 2" xfId="12732" xr:uid="{00000000-0005-0000-0000-000043BB0000}"/>
    <cellStyle name="Normal 7 3 2 6 2 2 2" xfId="22951" xr:uid="{00000000-0005-0000-0000-000044BB0000}"/>
    <cellStyle name="Normal 7 3 2 6 2 2 2 2" xfId="48504" xr:uid="{00000000-0005-0000-0000-000045BB0000}"/>
    <cellStyle name="Normal 7 3 2 6 2 2 3" xfId="38287" xr:uid="{00000000-0005-0000-0000-000046BB0000}"/>
    <cellStyle name="Normal 7 3 2 6 2 3" xfId="9153" xr:uid="{00000000-0005-0000-0000-000047BB0000}"/>
    <cellStyle name="Normal 7 3 2 6 2 3 2" xfId="34710" xr:uid="{00000000-0005-0000-0000-000048BB0000}"/>
    <cellStyle name="Normal 7 3 2 6 2 4" xfId="17944" xr:uid="{00000000-0005-0000-0000-000049BB0000}"/>
    <cellStyle name="Normal 7 3 2 6 2 4 2" xfId="43497" xr:uid="{00000000-0005-0000-0000-00004ABB0000}"/>
    <cellStyle name="Normal 7 3 2 6 2 5" xfId="29434" xr:uid="{00000000-0005-0000-0000-00004BBB0000}"/>
    <cellStyle name="Normal 7 3 2 6 3" xfId="5259" xr:uid="{00000000-0005-0000-0000-00004CBB0000}"/>
    <cellStyle name="Normal 7 3 2 6 3 2" xfId="14096" xr:uid="{00000000-0005-0000-0000-00004DBB0000}"/>
    <cellStyle name="Normal 7 3 2 6 3 2 2" xfId="24347" xr:uid="{00000000-0005-0000-0000-00004EBB0000}"/>
    <cellStyle name="Normal 7 3 2 6 3 2 2 2" xfId="49900" xr:uid="{00000000-0005-0000-0000-00004FBB0000}"/>
    <cellStyle name="Normal 7 3 2 6 3 2 3" xfId="39651" xr:uid="{00000000-0005-0000-0000-000050BB0000}"/>
    <cellStyle name="Normal 7 3 2 6 3 3" xfId="10517" xr:uid="{00000000-0005-0000-0000-000051BB0000}"/>
    <cellStyle name="Normal 7 3 2 6 3 3 2" xfId="36074" xr:uid="{00000000-0005-0000-0000-000052BB0000}"/>
    <cellStyle name="Normal 7 3 2 6 3 4" xfId="19340" xr:uid="{00000000-0005-0000-0000-000053BB0000}"/>
    <cellStyle name="Normal 7 3 2 6 3 4 2" xfId="44893" xr:uid="{00000000-0005-0000-0000-000054BB0000}"/>
    <cellStyle name="Normal 7 3 2 6 3 5" xfId="30830" xr:uid="{00000000-0005-0000-0000-000055BB0000}"/>
    <cellStyle name="Normal 7 3 2 6 4" xfId="1767" xr:uid="{00000000-0005-0000-0000-000056BB0000}"/>
    <cellStyle name="Normal 7 3 2 6 4 2" xfId="11138" xr:uid="{00000000-0005-0000-0000-000057BB0000}"/>
    <cellStyle name="Normal 7 3 2 6 4 2 2" xfId="36693" xr:uid="{00000000-0005-0000-0000-000058BB0000}"/>
    <cellStyle name="Normal 7 3 2 6 4 3" xfId="21142" xr:uid="{00000000-0005-0000-0000-000059BB0000}"/>
    <cellStyle name="Normal 7 3 2 6 4 3 2" xfId="46695" xr:uid="{00000000-0005-0000-0000-00005ABB0000}"/>
    <cellStyle name="Normal 7 3 2 6 4 4" xfId="27625" xr:uid="{00000000-0005-0000-0000-00005BBB0000}"/>
    <cellStyle name="Normal 7 3 2 6 5" xfId="6714" xr:uid="{00000000-0005-0000-0000-00005CBB0000}"/>
    <cellStyle name="Normal 7 3 2 6 5 2" xfId="15541" xr:uid="{00000000-0005-0000-0000-00005DBB0000}"/>
    <cellStyle name="Normal 7 3 2 6 5 2 2" xfId="41096" xr:uid="{00000000-0005-0000-0000-00005EBB0000}"/>
    <cellStyle name="Normal 7 3 2 6 5 3" xfId="25792" xr:uid="{00000000-0005-0000-0000-00005FBB0000}"/>
    <cellStyle name="Normal 7 3 2 6 5 3 2" xfId="51345" xr:uid="{00000000-0005-0000-0000-000060BB0000}"/>
    <cellStyle name="Normal 7 3 2 6 5 4" xfId="32275" xr:uid="{00000000-0005-0000-0000-000061BB0000}"/>
    <cellStyle name="Normal 7 3 2 6 6" xfId="8160" xr:uid="{00000000-0005-0000-0000-000062BB0000}"/>
    <cellStyle name="Normal 7 3 2 6 6 2" xfId="20550" xr:uid="{00000000-0005-0000-0000-000063BB0000}"/>
    <cellStyle name="Normal 7 3 2 6 6 2 2" xfId="46103" xr:uid="{00000000-0005-0000-0000-000064BB0000}"/>
    <cellStyle name="Normal 7 3 2 6 6 3" xfId="33717" xr:uid="{00000000-0005-0000-0000-000065BB0000}"/>
    <cellStyle name="Normal 7 3 2 6 7" xfId="16135" xr:uid="{00000000-0005-0000-0000-000066BB0000}"/>
    <cellStyle name="Normal 7 3 2 6 7 2" xfId="41688" xr:uid="{00000000-0005-0000-0000-000067BB0000}"/>
    <cellStyle name="Normal 7 3 2 6 8" xfId="27033" xr:uid="{00000000-0005-0000-0000-000068BB0000}"/>
    <cellStyle name="Normal 7 3 2 7" xfId="2664" xr:uid="{00000000-0005-0000-0000-000069BB0000}"/>
    <cellStyle name="Normal 7 3 2 7 2" xfId="11981" xr:uid="{00000000-0005-0000-0000-00006ABB0000}"/>
    <cellStyle name="Normal 7 3 2 7 2 2" xfId="22025" xr:uid="{00000000-0005-0000-0000-00006BBB0000}"/>
    <cellStyle name="Normal 7 3 2 7 2 2 2" xfId="47578" xr:uid="{00000000-0005-0000-0000-00006CBB0000}"/>
    <cellStyle name="Normal 7 3 2 7 2 3" xfId="37536" xr:uid="{00000000-0005-0000-0000-00006DBB0000}"/>
    <cellStyle name="Normal 7 3 2 7 3" xfId="8558" xr:uid="{00000000-0005-0000-0000-00006EBB0000}"/>
    <cellStyle name="Normal 7 3 2 7 3 2" xfId="34115" xr:uid="{00000000-0005-0000-0000-00006FBB0000}"/>
    <cellStyle name="Normal 7 3 2 7 4" xfId="17018" xr:uid="{00000000-0005-0000-0000-000070BB0000}"/>
    <cellStyle name="Normal 7 3 2 7 4 2" xfId="42571" xr:uid="{00000000-0005-0000-0000-000071BB0000}"/>
    <cellStyle name="Normal 7 3 2 7 5" xfId="28508" xr:uid="{00000000-0005-0000-0000-000072BB0000}"/>
    <cellStyle name="Normal 7 3 2 8" xfId="4215" xr:uid="{00000000-0005-0000-0000-000073BB0000}"/>
    <cellStyle name="Normal 7 3 2 8 2" xfId="13053" xr:uid="{00000000-0005-0000-0000-000074BB0000}"/>
    <cellStyle name="Normal 7 3 2 8 2 2" xfId="23304" xr:uid="{00000000-0005-0000-0000-000075BB0000}"/>
    <cellStyle name="Normal 7 3 2 8 2 2 2" xfId="48857" xr:uid="{00000000-0005-0000-0000-000076BB0000}"/>
    <cellStyle name="Normal 7 3 2 8 2 3" xfId="38608" xr:uid="{00000000-0005-0000-0000-000077BB0000}"/>
    <cellStyle name="Normal 7 3 2 8 3" xfId="9474" xr:uid="{00000000-0005-0000-0000-000078BB0000}"/>
    <cellStyle name="Normal 7 3 2 8 3 2" xfId="35031" xr:uid="{00000000-0005-0000-0000-000079BB0000}"/>
    <cellStyle name="Normal 7 3 2 8 4" xfId="18297" xr:uid="{00000000-0005-0000-0000-00007ABB0000}"/>
    <cellStyle name="Normal 7 3 2 8 4 2" xfId="43850" xr:uid="{00000000-0005-0000-0000-00007BBB0000}"/>
    <cellStyle name="Normal 7 3 2 8 5" xfId="29787" xr:uid="{00000000-0005-0000-0000-00007CBB0000}"/>
    <cellStyle name="Normal 7 3 2 9" xfId="1487" xr:uid="{00000000-0005-0000-0000-00007DBB0000}"/>
    <cellStyle name="Normal 7 3 2 9 2" xfId="10864" xr:uid="{00000000-0005-0000-0000-00007EBB0000}"/>
    <cellStyle name="Normal 7 3 2 9 2 2" xfId="36419" xr:uid="{00000000-0005-0000-0000-00007FBB0000}"/>
    <cellStyle name="Normal 7 3 2 9 3" xfId="20868" xr:uid="{00000000-0005-0000-0000-000080BB0000}"/>
    <cellStyle name="Normal 7 3 2 9 3 2" xfId="46421" xr:uid="{00000000-0005-0000-0000-000081BB0000}"/>
    <cellStyle name="Normal 7 3 2 9 4" xfId="27351" xr:uid="{00000000-0005-0000-0000-000082BB0000}"/>
    <cellStyle name="Normal 7 3 2_Degree data" xfId="4058" xr:uid="{00000000-0005-0000-0000-000083BB0000}"/>
    <cellStyle name="Normal 7 3 3" xfId="212" xr:uid="{00000000-0005-0000-0000-000084BB0000}"/>
    <cellStyle name="Normal 7 3 3 10" xfId="7158" xr:uid="{00000000-0005-0000-0000-000085BB0000}"/>
    <cellStyle name="Normal 7 3 3 10 2" xfId="19667" xr:uid="{00000000-0005-0000-0000-000086BB0000}"/>
    <cellStyle name="Normal 7 3 3 10 2 2" xfId="45220" xr:uid="{00000000-0005-0000-0000-000087BB0000}"/>
    <cellStyle name="Normal 7 3 3 10 3" xfId="32715" xr:uid="{00000000-0005-0000-0000-000088BB0000}"/>
    <cellStyle name="Normal 7 3 3 11" xfId="15904" xr:uid="{00000000-0005-0000-0000-000089BB0000}"/>
    <cellStyle name="Normal 7 3 3 11 2" xfId="41457" xr:uid="{00000000-0005-0000-0000-00008ABB0000}"/>
    <cellStyle name="Normal 7 3 3 12" xfId="26150" xr:uid="{00000000-0005-0000-0000-00008BBB0000}"/>
    <cellStyle name="Normal 7 3 3 2" xfId="538" xr:uid="{00000000-0005-0000-0000-00008CBB0000}"/>
    <cellStyle name="Normal 7 3 3 2 10" xfId="26467" xr:uid="{00000000-0005-0000-0000-00008DBB0000}"/>
    <cellStyle name="Normal 7 3 3 2 2" xfId="956" xr:uid="{00000000-0005-0000-0000-00008EBB0000}"/>
    <cellStyle name="Normal 7 3 3 2 2 2" xfId="3432" xr:uid="{00000000-0005-0000-0000-00008FBB0000}"/>
    <cellStyle name="Normal 7 3 3 2 2 2 2" xfId="12574" xr:uid="{00000000-0005-0000-0000-000090BB0000}"/>
    <cellStyle name="Normal 7 3 3 2 2 2 2 2" xfId="22793" xr:uid="{00000000-0005-0000-0000-000091BB0000}"/>
    <cellStyle name="Normal 7 3 3 2 2 2 2 2 2" xfId="48346" xr:uid="{00000000-0005-0000-0000-000092BB0000}"/>
    <cellStyle name="Normal 7 3 3 2 2 2 2 3" xfId="38129" xr:uid="{00000000-0005-0000-0000-000093BB0000}"/>
    <cellStyle name="Normal 7 3 3 2 2 2 3" xfId="8996" xr:uid="{00000000-0005-0000-0000-000094BB0000}"/>
    <cellStyle name="Normal 7 3 3 2 2 2 3 2" xfId="34553" xr:uid="{00000000-0005-0000-0000-000095BB0000}"/>
    <cellStyle name="Normal 7 3 3 2 2 2 4" xfId="17786" xr:uid="{00000000-0005-0000-0000-000096BB0000}"/>
    <cellStyle name="Normal 7 3 3 2 2 2 4 2" xfId="43339" xr:uid="{00000000-0005-0000-0000-000097BB0000}"/>
    <cellStyle name="Normal 7 3 3 2 2 2 5" xfId="29276" xr:uid="{00000000-0005-0000-0000-000098BB0000}"/>
    <cellStyle name="Normal 7 3 3 2 2 3" xfId="4762" xr:uid="{00000000-0005-0000-0000-000099BB0000}"/>
    <cellStyle name="Normal 7 3 3 2 2 3 2" xfId="13599" xr:uid="{00000000-0005-0000-0000-00009ABB0000}"/>
    <cellStyle name="Normal 7 3 3 2 2 3 2 2" xfId="23850" xr:uid="{00000000-0005-0000-0000-00009BBB0000}"/>
    <cellStyle name="Normal 7 3 3 2 2 3 2 2 2" xfId="49403" xr:uid="{00000000-0005-0000-0000-00009CBB0000}"/>
    <cellStyle name="Normal 7 3 3 2 2 3 2 3" xfId="39154" xr:uid="{00000000-0005-0000-0000-00009DBB0000}"/>
    <cellStyle name="Normal 7 3 3 2 2 3 3" xfId="10020" xr:uid="{00000000-0005-0000-0000-00009EBB0000}"/>
    <cellStyle name="Normal 7 3 3 2 2 3 3 2" xfId="35577" xr:uid="{00000000-0005-0000-0000-00009FBB0000}"/>
    <cellStyle name="Normal 7 3 3 2 2 3 4" xfId="18843" xr:uid="{00000000-0005-0000-0000-0000A0BB0000}"/>
    <cellStyle name="Normal 7 3 3 2 2 3 4 2" xfId="44396" xr:uid="{00000000-0005-0000-0000-0000A1BB0000}"/>
    <cellStyle name="Normal 7 3 3 2 2 3 5" xfId="30333" xr:uid="{00000000-0005-0000-0000-0000A2BB0000}"/>
    <cellStyle name="Normal 7 3 3 2 2 4" xfId="2541" xr:uid="{00000000-0005-0000-0000-0000A3BB0000}"/>
    <cellStyle name="Normal 7 3 3 2 2 4 2" xfId="11906" xr:uid="{00000000-0005-0000-0000-0000A4BB0000}"/>
    <cellStyle name="Normal 7 3 3 2 2 4 2 2" xfId="37461" xr:uid="{00000000-0005-0000-0000-0000A5BB0000}"/>
    <cellStyle name="Normal 7 3 3 2 2 4 3" xfId="21910" xr:uid="{00000000-0005-0000-0000-0000A6BB0000}"/>
    <cellStyle name="Normal 7 3 3 2 2 4 3 2" xfId="47463" xr:uid="{00000000-0005-0000-0000-0000A7BB0000}"/>
    <cellStyle name="Normal 7 3 3 2 2 4 4" xfId="28393" xr:uid="{00000000-0005-0000-0000-0000A8BB0000}"/>
    <cellStyle name="Normal 7 3 3 2 2 5" xfId="6217" xr:uid="{00000000-0005-0000-0000-0000A9BB0000}"/>
    <cellStyle name="Normal 7 3 3 2 2 5 2" xfId="15044" xr:uid="{00000000-0005-0000-0000-0000AABB0000}"/>
    <cellStyle name="Normal 7 3 3 2 2 5 2 2" xfId="40599" xr:uid="{00000000-0005-0000-0000-0000ABBB0000}"/>
    <cellStyle name="Normal 7 3 3 2 2 5 3" xfId="25295" xr:uid="{00000000-0005-0000-0000-0000ACBB0000}"/>
    <cellStyle name="Normal 7 3 3 2 2 5 3 2" xfId="50848" xr:uid="{00000000-0005-0000-0000-0000ADBB0000}"/>
    <cellStyle name="Normal 7 3 3 2 2 5 4" xfId="31778" xr:uid="{00000000-0005-0000-0000-0000AEBB0000}"/>
    <cellStyle name="Normal 7 3 3 2 2 6" xfId="7663" xr:uid="{00000000-0005-0000-0000-0000AFBB0000}"/>
    <cellStyle name="Normal 7 3 3 2 2 6 2" xfId="20392" xr:uid="{00000000-0005-0000-0000-0000B0BB0000}"/>
    <cellStyle name="Normal 7 3 3 2 2 6 2 2" xfId="45945" xr:uid="{00000000-0005-0000-0000-0000B1BB0000}"/>
    <cellStyle name="Normal 7 3 3 2 2 6 3" xfId="33220" xr:uid="{00000000-0005-0000-0000-0000B2BB0000}"/>
    <cellStyle name="Normal 7 3 3 2 2 7" xfId="16903" xr:uid="{00000000-0005-0000-0000-0000B3BB0000}"/>
    <cellStyle name="Normal 7 3 3 2 2 7 2" xfId="42456" xr:uid="{00000000-0005-0000-0000-0000B4BB0000}"/>
    <cellStyle name="Normal 7 3 3 2 2 8" xfId="26875" xr:uid="{00000000-0005-0000-0000-0000B5BB0000}"/>
    <cellStyle name="Normal 7 3 3 2 3" xfId="1310" xr:uid="{00000000-0005-0000-0000-0000B6BB0000}"/>
    <cellStyle name="Normal 7 3 3 2 3 2" xfId="3739" xr:uid="{00000000-0005-0000-0000-0000B7BB0000}"/>
    <cellStyle name="Normal 7 3 3 2 3 2 2" xfId="12875" xr:uid="{00000000-0005-0000-0000-0000B8BB0000}"/>
    <cellStyle name="Normal 7 3 3 2 3 2 2 2" xfId="23094" xr:uid="{00000000-0005-0000-0000-0000B9BB0000}"/>
    <cellStyle name="Normal 7 3 3 2 3 2 2 2 2" xfId="48647" xr:uid="{00000000-0005-0000-0000-0000BABB0000}"/>
    <cellStyle name="Normal 7 3 3 2 3 2 2 3" xfId="38430" xr:uid="{00000000-0005-0000-0000-0000BBBB0000}"/>
    <cellStyle name="Normal 7 3 3 2 3 2 3" xfId="9296" xr:uid="{00000000-0005-0000-0000-0000BCBB0000}"/>
    <cellStyle name="Normal 7 3 3 2 3 2 3 2" xfId="34853" xr:uid="{00000000-0005-0000-0000-0000BDBB0000}"/>
    <cellStyle name="Normal 7 3 3 2 3 2 4" xfId="18087" xr:uid="{00000000-0005-0000-0000-0000BEBB0000}"/>
    <cellStyle name="Normal 7 3 3 2 3 2 4 2" xfId="43640" xr:uid="{00000000-0005-0000-0000-0000BFBB0000}"/>
    <cellStyle name="Normal 7 3 3 2 3 2 5" xfId="29577" xr:uid="{00000000-0005-0000-0000-0000C0BB0000}"/>
    <cellStyle name="Normal 7 3 3 2 3 3" xfId="5110" xr:uid="{00000000-0005-0000-0000-0000C1BB0000}"/>
    <cellStyle name="Normal 7 3 3 2 3 3 2" xfId="13947" xr:uid="{00000000-0005-0000-0000-0000C2BB0000}"/>
    <cellStyle name="Normal 7 3 3 2 3 3 2 2" xfId="24198" xr:uid="{00000000-0005-0000-0000-0000C3BB0000}"/>
    <cellStyle name="Normal 7 3 3 2 3 3 2 2 2" xfId="49751" xr:uid="{00000000-0005-0000-0000-0000C4BB0000}"/>
    <cellStyle name="Normal 7 3 3 2 3 3 2 3" xfId="39502" xr:uid="{00000000-0005-0000-0000-0000C5BB0000}"/>
    <cellStyle name="Normal 7 3 3 2 3 3 3" xfId="10368" xr:uid="{00000000-0005-0000-0000-0000C6BB0000}"/>
    <cellStyle name="Normal 7 3 3 2 3 3 3 2" xfId="35925" xr:uid="{00000000-0005-0000-0000-0000C7BB0000}"/>
    <cellStyle name="Normal 7 3 3 2 3 3 4" xfId="19191" xr:uid="{00000000-0005-0000-0000-0000C8BB0000}"/>
    <cellStyle name="Normal 7 3 3 2 3 3 4 2" xfId="44744" xr:uid="{00000000-0005-0000-0000-0000C9BB0000}"/>
    <cellStyle name="Normal 7 3 3 2 3 3 5" xfId="30681" xr:uid="{00000000-0005-0000-0000-0000CABB0000}"/>
    <cellStyle name="Normal 7 3 3 2 3 4" xfId="2133" xr:uid="{00000000-0005-0000-0000-0000CBBB0000}"/>
    <cellStyle name="Normal 7 3 3 2 3 4 2" xfId="11498" xr:uid="{00000000-0005-0000-0000-0000CCBB0000}"/>
    <cellStyle name="Normal 7 3 3 2 3 4 2 2" xfId="37053" xr:uid="{00000000-0005-0000-0000-0000CDBB0000}"/>
    <cellStyle name="Normal 7 3 3 2 3 4 3" xfId="21502" xr:uid="{00000000-0005-0000-0000-0000CEBB0000}"/>
    <cellStyle name="Normal 7 3 3 2 3 4 3 2" xfId="47055" xr:uid="{00000000-0005-0000-0000-0000CFBB0000}"/>
    <cellStyle name="Normal 7 3 3 2 3 4 4" xfId="27985" xr:uid="{00000000-0005-0000-0000-0000D0BB0000}"/>
    <cellStyle name="Normal 7 3 3 2 3 5" xfId="6565" xr:uid="{00000000-0005-0000-0000-0000D1BB0000}"/>
    <cellStyle name="Normal 7 3 3 2 3 5 2" xfId="15392" xr:uid="{00000000-0005-0000-0000-0000D2BB0000}"/>
    <cellStyle name="Normal 7 3 3 2 3 5 2 2" xfId="40947" xr:uid="{00000000-0005-0000-0000-0000D3BB0000}"/>
    <cellStyle name="Normal 7 3 3 2 3 5 3" xfId="25643" xr:uid="{00000000-0005-0000-0000-0000D4BB0000}"/>
    <cellStyle name="Normal 7 3 3 2 3 5 3 2" xfId="51196" xr:uid="{00000000-0005-0000-0000-0000D5BB0000}"/>
    <cellStyle name="Normal 7 3 3 2 3 5 4" xfId="32126" xr:uid="{00000000-0005-0000-0000-0000D6BB0000}"/>
    <cellStyle name="Normal 7 3 3 2 3 6" xfId="8011" xr:uid="{00000000-0005-0000-0000-0000D7BB0000}"/>
    <cellStyle name="Normal 7 3 3 2 3 6 2" xfId="20693" xr:uid="{00000000-0005-0000-0000-0000D8BB0000}"/>
    <cellStyle name="Normal 7 3 3 2 3 6 2 2" xfId="46246" xr:uid="{00000000-0005-0000-0000-0000D9BB0000}"/>
    <cellStyle name="Normal 7 3 3 2 3 6 3" xfId="33568" xr:uid="{00000000-0005-0000-0000-0000DABB0000}"/>
    <cellStyle name="Normal 7 3 3 2 3 7" xfId="16495" xr:uid="{00000000-0005-0000-0000-0000DBBB0000}"/>
    <cellStyle name="Normal 7 3 3 2 3 7 2" xfId="42048" xr:uid="{00000000-0005-0000-0000-0000DCBB0000}"/>
    <cellStyle name="Normal 7 3 3 2 3 8" xfId="27176" xr:uid="{00000000-0005-0000-0000-0000DDBB0000}"/>
    <cellStyle name="Normal 7 3 3 2 4" xfId="3024" xr:uid="{00000000-0005-0000-0000-0000DEBB0000}"/>
    <cellStyle name="Normal 7 3 3 2 4 2" xfId="5402" xr:uid="{00000000-0005-0000-0000-0000DFBB0000}"/>
    <cellStyle name="Normal 7 3 3 2 4 2 2" xfId="14239" xr:uid="{00000000-0005-0000-0000-0000E0BB0000}"/>
    <cellStyle name="Normal 7 3 3 2 4 2 2 2" xfId="24490" xr:uid="{00000000-0005-0000-0000-0000E1BB0000}"/>
    <cellStyle name="Normal 7 3 3 2 4 2 2 2 2" xfId="50043" xr:uid="{00000000-0005-0000-0000-0000E2BB0000}"/>
    <cellStyle name="Normal 7 3 3 2 4 2 2 3" xfId="39794" xr:uid="{00000000-0005-0000-0000-0000E3BB0000}"/>
    <cellStyle name="Normal 7 3 3 2 4 2 3" xfId="10660" xr:uid="{00000000-0005-0000-0000-0000E4BB0000}"/>
    <cellStyle name="Normal 7 3 3 2 4 2 3 2" xfId="36217" xr:uid="{00000000-0005-0000-0000-0000E5BB0000}"/>
    <cellStyle name="Normal 7 3 3 2 4 2 4" xfId="19483" xr:uid="{00000000-0005-0000-0000-0000E6BB0000}"/>
    <cellStyle name="Normal 7 3 3 2 4 2 4 2" xfId="45036" xr:uid="{00000000-0005-0000-0000-0000E7BB0000}"/>
    <cellStyle name="Normal 7 3 3 2 4 2 5" xfId="30973" xr:uid="{00000000-0005-0000-0000-0000E8BB0000}"/>
    <cellStyle name="Normal 7 3 3 2 4 3" xfId="6857" xr:uid="{00000000-0005-0000-0000-0000E9BB0000}"/>
    <cellStyle name="Normal 7 3 3 2 4 3 2" xfId="15684" xr:uid="{00000000-0005-0000-0000-0000EABB0000}"/>
    <cellStyle name="Normal 7 3 3 2 4 3 2 2" xfId="41239" xr:uid="{00000000-0005-0000-0000-0000EBBB0000}"/>
    <cellStyle name="Normal 7 3 3 2 4 3 3" xfId="25935" xr:uid="{00000000-0005-0000-0000-0000ECBB0000}"/>
    <cellStyle name="Normal 7 3 3 2 4 3 3 2" xfId="51488" xr:uid="{00000000-0005-0000-0000-0000EDBB0000}"/>
    <cellStyle name="Normal 7 3 3 2 4 3 4" xfId="32418" xr:uid="{00000000-0005-0000-0000-0000EEBB0000}"/>
    <cellStyle name="Normal 7 3 3 2 4 4" xfId="8303" xr:uid="{00000000-0005-0000-0000-0000EFBB0000}"/>
    <cellStyle name="Normal 7 3 3 2 4 4 2" xfId="22385" xr:uid="{00000000-0005-0000-0000-0000F0BB0000}"/>
    <cellStyle name="Normal 7 3 3 2 4 4 2 2" xfId="47938" xr:uid="{00000000-0005-0000-0000-0000F1BB0000}"/>
    <cellStyle name="Normal 7 3 3 2 4 4 3" xfId="33860" xr:uid="{00000000-0005-0000-0000-0000F2BB0000}"/>
    <cellStyle name="Normal 7 3 3 2 4 5" xfId="17378" xr:uid="{00000000-0005-0000-0000-0000F3BB0000}"/>
    <cellStyle name="Normal 7 3 3 2 4 5 2" xfId="42931" xr:uid="{00000000-0005-0000-0000-0000F4BB0000}"/>
    <cellStyle name="Normal 7 3 3 2 4 6" xfId="28868" xr:uid="{00000000-0005-0000-0000-0000F5BB0000}"/>
    <cellStyle name="Normal 7 3 3 2 5" xfId="4358" xr:uid="{00000000-0005-0000-0000-0000F6BB0000}"/>
    <cellStyle name="Normal 7 3 3 2 5 2" xfId="13196" xr:uid="{00000000-0005-0000-0000-0000F7BB0000}"/>
    <cellStyle name="Normal 7 3 3 2 5 2 2" xfId="23447" xr:uid="{00000000-0005-0000-0000-0000F8BB0000}"/>
    <cellStyle name="Normal 7 3 3 2 5 2 2 2" xfId="49000" xr:uid="{00000000-0005-0000-0000-0000F9BB0000}"/>
    <cellStyle name="Normal 7 3 3 2 5 2 3" xfId="38751" xr:uid="{00000000-0005-0000-0000-0000FABB0000}"/>
    <cellStyle name="Normal 7 3 3 2 5 3" xfId="9617" xr:uid="{00000000-0005-0000-0000-0000FBBB0000}"/>
    <cellStyle name="Normal 7 3 3 2 5 3 2" xfId="35174" xr:uid="{00000000-0005-0000-0000-0000FCBB0000}"/>
    <cellStyle name="Normal 7 3 3 2 5 4" xfId="18440" xr:uid="{00000000-0005-0000-0000-0000FDBB0000}"/>
    <cellStyle name="Normal 7 3 3 2 5 4 2" xfId="43993" xr:uid="{00000000-0005-0000-0000-0000FEBB0000}"/>
    <cellStyle name="Normal 7 3 3 2 5 5" xfId="29930" xr:uid="{00000000-0005-0000-0000-0000FFBB0000}"/>
    <cellStyle name="Normal 7 3 3 2 6" xfId="1630" xr:uid="{00000000-0005-0000-0000-000000BC0000}"/>
    <cellStyle name="Normal 7 3 3 2 6 2" xfId="11007" xr:uid="{00000000-0005-0000-0000-000001BC0000}"/>
    <cellStyle name="Normal 7 3 3 2 6 2 2" xfId="36562" xr:uid="{00000000-0005-0000-0000-000002BC0000}"/>
    <cellStyle name="Normal 7 3 3 2 6 3" xfId="21011" xr:uid="{00000000-0005-0000-0000-000003BC0000}"/>
    <cellStyle name="Normal 7 3 3 2 6 3 2" xfId="46564" xr:uid="{00000000-0005-0000-0000-000004BC0000}"/>
    <cellStyle name="Normal 7 3 3 2 6 4" xfId="27494" xr:uid="{00000000-0005-0000-0000-000005BC0000}"/>
    <cellStyle name="Normal 7 3 3 2 7" xfId="5814" xr:uid="{00000000-0005-0000-0000-000006BC0000}"/>
    <cellStyle name="Normal 7 3 3 2 7 2" xfId="14641" xr:uid="{00000000-0005-0000-0000-000007BC0000}"/>
    <cellStyle name="Normal 7 3 3 2 7 2 2" xfId="40196" xr:uid="{00000000-0005-0000-0000-000008BC0000}"/>
    <cellStyle name="Normal 7 3 3 2 7 3" xfId="24892" xr:uid="{00000000-0005-0000-0000-000009BC0000}"/>
    <cellStyle name="Normal 7 3 3 2 7 3 2" xfId="50445" xr:uid="{00000000-0005-0000-0000-00000ABC0000}"/>
    <cellStyle name="Normal 7 3 3 2 7 4" xfId="31375" xr:uid="{00000000-0005-0000-0000-00000BBC0000}"/>
    <cellStyle name="Normal 7 3 3 2 8" xfId="7258" xr:uid="{00000000-0005-0000-0000-00000CBC0000}"/>
    <cellStyle name="Normal 7 3 3 2 8 2" xfId="19984" xr:uid="{00000000-0005-0000-0000-00000DBC0000}"/>
    <cellStyle name="Normal 7 3 3 2 8 2 2" xfId="45537" xr:uid="{00000000-0005-0000-0000-00000EBC0000}"/>
    <cellStyle name="Normal 7 3 3 2 8 3" xfId="32815" xr:uid="{00000000-0005-0000-0000-00000FBC0000}"/>
    <cellStyle name="Normal 7 3 3 2 9" xfId="16004" xr:uid="{00000000-0005-0000-0000-000010BC0000}"/>
    <cellStyle name="Normal 7 3 3 2 9 2" xfId="41557" xr:uid="{00000000-0005-0000-0000-000011BC0000}"/>
    <cellStyle name="Normal 7 3 3 2_Degree data" xfId="4062" xr:uid="{00000000-0005-0000-0000-000012BC0000}"/>
    <cellStyle name="Normal 7 3 3 3" xfId="438" xr:uid="{00000000-0005-0000-0000-000013BC0000}"/>
    <cellStyle name="Normal 7 3 3 3 2" xfId="2924" xr:uid="{00000000-0005-0000-0000-000014BC0000}"/>
    <cellStyle name="Normal 7 3 3 3 2 2" xfId="12212" xr:uid="{00000000-0005-0000-0000-000015BC0000}"/>
    <cellStyle name="Normal 7 3 3 3 2 2 2" xfId="22285" xr:uid="{00000000-0005-0000-0000-000016BC0000}"/>
    <cellStyle name="Normal 7 3 3 3 2 2 2 2" xfId="47838" xr:uid="{00000000-0005-0000-0000-000017BC0000}"/>
    <cellStyle name="Normal 7 3 3 3 2 2 3" xfId="37767" xr:uid="{00000000-0005-0000-0000-000018BC0000}"/>
    <cellStyle name="Normal 7 3 3 3 2 3" xfId="8507" xr:uid="{00000000-0005-0000-0000-000019BC0000}"/>
    <cellStyle name="Normal 7 3 3 3 2 3 2" xfId="34064" xr:uid="{00000000-0005-0000-0000-00001ABC0000}"/>
    <cellStyle name="Normal 7 3 3 3 2 4" xfId="17278" xr:uid="{00000000-0005-0000-0000-00001BBC0000}"/>
    <cellStyle name="Normal 7 3 3 3 2 4 2" xfId="42831" xr:uid="{00000000-0005-0000-0000-00001CBC0000}"/>
    <cellStyle name="Normal 7 3 3 3 2 5" xfId="28768" xr:uid="{00000000-0005-0000-0000-00001DBC0000}"/>
    <cellStyle name="Normal 7 3 3 3 3" xfId="4761" xr:uid="{00000000-0005-0000-0000-00001EBC0000}"/>
    <cellStyle name="Normal 7 3 3 3 3 2" xfId="13598" xr:uid="{00000000-0005-0000-0000-00001FBC0000}"/>
    <cellStyle name="Normal 7 3 3 3 3 2 2" xfId="23849" xr:uid="{00000000-0005-0000-0000-000020BC0000}"/>
    <cellStyle name="Normal 7 3 3 3 3 2 2 2" xfId="49402" xr:uid="{00000000-0005-0000-0000-000021BC0000}"/>
    <cellStyle name="Normal 7 3 3 3 3 2 3" xfId="39153" xr:uid="{00000000-0005-0000-0000-000022BC0000}"/>
    <cellStyle name="Normal 7 3 3 3 3 3" xfId="10019" xr:uid="{00000000-0005-0000-0000-000023BC0000}"/>
    <cellStyle name="Normal 7 3 3 3 3 3 2" xfId="35576" xr:uid="{00000000-0005-0000-0000-000024BC0000}"/>
    <cellStyle name="Normal 7 3 3 3 3 4" xfId="18842" xr:uid="{00000000-0005-0000-0000-000025BC0000}"/>
    <cellStyle name="Normal 7 3 3 3 3 4 2" xfId="44395" xr:uid="{00000000-0005-0000-0000-000026BC0000}"/>
    <cellStyle name="Normal 7 3 3 3 3 5" xfId="30332" xr:uid="{00000000-0005-0000-0000-000027BC0000}"/>
    <cellStyle name="Normal 7 3 3 3 4" xfId="2033" xr:uid="{00000000-0005-0000-0000-000028BC0000}"/>
    <cellStyle name="Normal 7 3 3 3 4 2" xfId="11398" xr:uid="{00000000-0005-0000-0000-000029BC0000}"/>
    <cellStyle name="Normal 7 3 3 3 4 2 2" xfId="36953" xr:uid="{00000000-0005-0000-0000-00002ABC0000}"/>
    <cellStyle name="Normal 7 3 3 3 4 3" xfId="21402" xr:uid="{00000000-0005-0000-0000-00002BBC0000}"/>
    <cellStyle name="Normal 7 3 3 3 4 3 2" xfId="46955" xr:uid="{00000000-0005-0000-0000-00002CBC0000}"/>
    <cellStyle name="Normal 7 3 3 3 4 4" xfId="27885" xr:uid="{00000000-0005-0000-0000-00002DBC0000}"/>
    <cellStyle name="Normal 7 3 3 3 5" xfId="6216" xr:uid="{00000000-0005-0000-0000-00002EBC0000}"/>
    <cellStyle name="Normal 7 3 3 3 5 2" xfId="15043" xr:uid="{00000000-0005-0000-0000-00002FBC0000}"/>
    <cellStyle name="Normal 7 3 3 3 5 2 2" xfId="40598" xr:uid="{00000000-0005-0000-0000-000030BC0000}"/>
    <cellStyle name="Normal 7 3 3 3 5 3" xfId="25294" xr:uid="{00000000-0005-0000-0000-000031BC0000}"/>
    <cellStyle name="Normal 7 3 3 3 5 3 2" xfId="50847" xr:uid="{00000000-0005-0000-0000-000032BC0000}"/>
    <cellStyle name="Normal 7 3 3 3 5 4" xfId="31777" xr:uid="{00000000-0005-0000-0000-000033BC0000}"/>
    <cellStyle name="Normal 7 3 3 3 6" xfId="7662" xr:uid="{00000000-0005-0000-0000-000034BC0000}"/>
    <cellStyle name="Normal 7 3 3 3 6 2" xfId="19884" xr:uid="{00000000-0005-0000-0000-000035BC0000}"/>
    <cellStyle name="Normal 7 3 3 3 6 2 2" xfId="45437" xr:uid="{00000000-0005-0000-0000-000036BC0000}"/>
    <cellStyle name="Normal 7 3 3 3 6 3" xfId="33219" xr:uid="{00000000-0005-0000-0000-000037BC0000}"/>
    <cellStyle name="Normal 7 3 3 3 7" xfId="16395" xr:uid="{00000000-0005-0000-0000-000038BC0000}"/>
    <cellStyle name="Normal 7 3 3 3 7 2" xfId="41948" xr:uid="{00000000-0005-0000-0000-000039BC0000}"/>
    <cellStyle name="Normal 7 3 3 3 8" xfId="26367" xr:uid="{00000000-0005-0000-0000-00003ABC0000}"/>
    <cellStyle name="Normal 7 3 3 4" xfId="955" xr:uid="{00000000-0005-0000-0000-00003BBC0000}"/>
    <cellStyle name="Normal 7 3 3 4 2" xfId="3431" xr:uid="{00000000-0005-0000-0000-00003CBC0000}"/>
    <cellStyle name="Normal 7 3 3 4 2 2" xfId="12573" xr:uid="{00000000-0005-0000-0000-00003DBC0000}"/>
    <cellStyle name="Normal 7 3 3 4 2 2 2" xfId="22792" xr:uid="{00000000-0005-0000-0000-00003EBC0000}"/>
    <cellStyle name="Normal 7 3 3 4 2 2 2 2" xfId="48345" xr:uid="{00000000-0005-0000-0000-00003FBC0000}"/>
    <cellStyle name="Normal 7 3 3 4 2 2 3" xfId="38128" xr:uid="{00000000-0005-0000-0000-000040BC0000}"/>
    <cellStyle name="Normal 7 3 3 4 2 3" xfId="8995" xr:uid="{00000000-0005-0000-0000-000041BC0000}"/>
    <cellStyle name="Normal 7 3 3 4 2 3 2" xfId="34552" xr:uid="{00000000-0005-0000-0000-000042BC0000}"/>
    <cellStyle name="Normal 7 3 3 4 2 4" xfId="17785" xr:uid="{00000000-0005-0000-0000-000043BC0000}"/>
    <cellStyle name="Normal 7 3 3 4 2 4 2" xfId="43338" xr:uid="{00000000-0005-0000-0000-000044BC0000}"/>
    <cellStyle name="Normal 7 3 3 4 2 5" xfId="29275" xr:uid="{00000000-0005-0000-0000-000045BC0000}"/>
    <cellStyle name="Normal 7 3 3 4 3" xfId="5109" xr:uid="{00000000-0005-0000-0000-000046BC0000}"/>
    <cellStyle name="Normal 7 3 3 4 3 2" xfId="13946" xr:uid="{00000000-0005-0000-0000-000047BC0000}"/>
    <cellStyle name="Normal 7 3 3 4 3 2 2" xfId="24197" xr:uid="{00000000-0005-0000-0000-000048BC0000}"/>
    <cellStyle name="Normal 7 3 3 4 3 2 2 2" xfId="49750" xr:uid="{00000000-0005-0000-0000-000049BC0000}"/>
    <cellStyle name="Normal 7 3 3 4 3 2 3" xfId="39501" xr:uid="{00000000-0005-0000-0000-00004ABC0000}"/>
    <cellStyle name="Normal 7 3 3 4 3 3" xfId="10367" xr:uid="{00000000-0005-0000-0000-00004BBC0000}"/>
    <cellStyle name="Normal 7 3 3 4 3 3 2" xfId="35924" xr:uid="{00000000-0005-0000-0000-00004CBC0000}"/>
    <cellStyle name="Normal 7 3 3 4 3 4" xfId="19190" xr:uid="{00000000-0005-0000-0000-00004DBC0000}"/>
    <cellStyle name="Normal 7 3 3 4 3 4 2" xfId="44743" xr:uid="{00000000-0005-0000-0000-00004EBC0000}"/>
    <cellStyle name="Normal 7 3 3 4 3 5" xfId="30680" xr:uid="{00000000-0005-0000-0000-00004FBC0000}"/>
    <cellStyle name="Normal 7 3 3 4 4" xfId="2540" xr:uid="{00000000-0005-0000-0000-000050BC0000}"/>
    <cellStyle name="Normal 7 3 3 4 4 2" xfId="11905" xr:uid="{00000000-0005-0000-0000-000051BC0000}"/>
    <cellStyle name="Normal 7 3 3 4 4 2 2" xfId="37460" xr:uid="{00000000-0005-0000-0000-000052BC0000}"/>
    <cellStyle name="Normal 7 3 3 4 4 3" xfId="21909" xr:uid="{00000000-0005-0000-0000-000053BC0000}"/>
    <cellStyle name="Normal 7 3 3 4 4 3 2" xfId="47462" xr:uid="{00000000-0005-0000-0000-000054BC0000}"/>
    <cellStyle name="Normal 7 3 3 4 4 4" xfId="28392" xr:uid="{00000000-0005-0000-0000-000055BC0000}"/>
    <cellStyle name="Normal 7 3 3 4 5" xfId="6564" xr:uid="{00000000-0005-0000-0000-000056BC0000}"/>
    <cellStyle name="Normal 7 3 3 4 5 2" xfId="15391" xr:uid="{00000000-0005-0000-0000-000057BC0000}"/>
    <cellStyle name="Normal 7 3 3 4 5 2 2" xfId="40946" xr:uid="{00000000-0005-0000-0000-000058BC0000}"/>
    <cellStyle name="Normal 7 3 3 4 5 3" xfId="25642" xr:uid="{00000000-0005-0000-0000-000059BC0000}"/>
    <cellStyle name="Normal 7 3 3 4 5 3 2" xfId="51195" xr:uid="{00000000-0005-0000-0000-00005ABC0000}"/>
    <cellStyle name="Normal 7 3 3 4 5 4" xfId="32125" xr:uid="{00000000-0005-0000-0000-00005BBC0000}"/>
    <cellStyle name="Normal 7 3 3 4 6" xfId="8010" xr:uid="{00000000-0005-0000-0000-00005CBC0000}"/>
    <cellStyle name="Normal 7 3 3 4 6 2" xfId="20391" xr:uid="{00000000-0005-0000-0000-00005DBC0000}"/>
    <cellStyle name="Normal 7 3 3 4 6 2 2" xfId="45944" xr:uid="{00000000-0005-0000-0000-00005EBC0000}"/>
    <cellStyle name="Normal 7 3 3 4 6 3" xfId="33567" xr:uid="{00000000-0005-0000-0000-00005FBC0000}"/>
    <cellStyle name="Normal 7 3 3 4 7" xfId="16902" xr:uid="{00000000-0005-0000-0000-000060BC0000}"/>
    <cellStyle name="Normal 7 3 3 4 7 2" xfId="42455" xr:uid="{00000000-0005-0000-0000-000061BC0000}"/>
    <cellStyle name="Normal 7 3 3 4 8" xfId="26874" xr:uid="{00000000-0005-0000-0000-000062BC0000}"/>
    <cellStyle name="Normal 7 3 3 5" xfId="1210" xr:uid="{00000000-0005-0000-0000-000063BC0000}"/>
    <cellStyle name="Normal 7 3 3 5 2" xfId="3639" xr:uid="{00000000-0005-0000-0000-000064BC0000}"/>
    <cellStyle name="Normal 7 3 3 5 2 2" xfId="12775" xr:uid="{00000000-0005-0000-0000-000065BC0000}"/>
    <cellStyle name="Normal 7 3 3 5 2 2 2" xfId="22994" xr:uid="{00000000-0005-0000-0000-000066BC0000}"/>
    <cellStyle name="Normal 7 3 3 5 2 2 2 2" xfId="48547" xr:uid="{00000000-0005-0000-0000-000067BC0000}"/>
    <cellStyle name="Normal 7 3 3 5 2 2 3" xfId="38330" xr:uid="{00000000-0005-0000-0000-000068BC0000}"/>
    <cellStyle name="Normal 7 3 3 5 2 3" xfId="9196" xr:uid="{00000000-0005-0000-0000-000069BC0000}"/>
    <cellStyle name="Normal 7 3 3 5 2 3 2" xfId="34753" xr:uid="{00000000-0005-0000-0000-00006ABC0000}"/>
    <cellStyle name="Normal 7 3 3 5 2 4" xfId="17987" xr:uid="{00000000-0005-0000-0000-00006BBC0000}"/>
    <cellStyle name="Normal 7 3 3 5 2 4 2" xfId="43540" xr:uid="{00000000-0005-0000-0000-00006CBC0000}"/>
    <cellStyle name="Normal 7 3 3 5 2 5" xfId="29477" xr:uid="{00000000-0005-0000-0000-00006DBC0000}"/>
    <cellStyle name="Normal 7 3 3 5 3" xfId="5302" xr:uid="{00000000-0005-0000-0000-00006EBC0000}"/>
    <cellStyle name="Normal 7 3 3 5 3 2" xfId="14139" xr:uid="{00000000-0005-0000-0000-00006FBC0000}"/>
    <cellStyle name="Normal 7 3 3 5 3 2 2" xfId="24390" xr:uid="{00000000-0005-0000-0000-000070BC0000}"/>
    <cellStyle name="Normal 7 3 3 5 3 2 2 2" xfId="49943" xr:uid="{00000000-0005-0000-0000-000071BC0000}"/>
    <cellStyle name="Normal 7 3 3 5 3 2 3" xfId="39694" xr:uid="{00000000-0005-0000-0000-000072BC0000}"/>
    <cellStyle name="Normal 7 3 3 5 3 3" xfId="10560" xr:uid="{00000000-0005-0000-0000-000073BC0000}"/>
    <cellStyle name="Normal 7 3 3 5 3 3 2" xfId="36117" xr:uid="{00000000-0005-0000-0000-000074BC0000}"/>
    <cellStyle name="Normal 7 3 3 5 3 4" xfId="19383" xr:uid="{00000000-0005-0000-0000-000075BC0000}"/>
    <cellStyle name="Normal 7 3 3 5 3 4 2" xfId="44936" xr:uid="{00000000-0005-0000-0000-000076BC0000}"/>
    <cellStyle name="Normal 7 3 3 5 3 5" xfId="30873" xr:uid="{00000000-0005-0000-0000-000077BC0000}"/>
    <cellStyle name="Normal 7 3 3 5 4" xfId="1813" xr:uid="{00000000-0005-0000-0000-000078BC0000}"/>
    <cellStyle name="Normal 7 3 3 5 4 2" xfId="11181" xr:uid="{00000000-0005-0000-0000-000079BC0000}"/>
    <cellStyle name="Normal 7 3 3 5 4 2 2" xfId="36736" xr:uid="{00000000-0005-0000-0000-00007ABC0000}"/>
    <cellStyle name="Normal 7 3 3 5 4 3" xfId="21185" xr:uid="{00000000-0005-0000-0000-00007BBC0000}"/>
    <cellStyle name="Normal 7 3 3 5 4 3 2" xfId="46738" xr:uid="{00000000-0005-0000-0000-00007CBC0000}"/>
    <cellStyle name="Normal 7 3 3 5 4 4" xfId="27668" xr:uid="{00000000-0005-0000-0000-00007DBC0000}"/>
    <cellStyle name="Normal 7 3 3 5 5" xfId="6757" xr:uid="{00000000-0005-0000-0000-00007EBC0000}"/>
    <cellStyle name="Normal 7 3 3 5 5 2" xfId="15584" xr:uid="{00000000-0005-0000-0000-00007FBC0000}"/>
    <cellStyle name="Normal 7 3 3 5 5 2 2" xfId="41139" xr:uid="{00000000-0005-0000-0000-000080BC0000}"/>
    <cellStyle name="Normal 7 3 3 5 5 3" xfId="25835" xr:uid="{00000000-0005-0000-0000-000081BC0000}"/>
    <cellStyle name="Normal 7 3 3 5 5 3 2" xfId="51388" xr:uid="{00000000-0005-0000-0000-000082BC0000}"/>
    <cellStyle name="Normal 7 3 3 5 5 4" xfId="32318" xr:uid="{00000000-0005-0000-0000-000083BC0000}"/>
    <cellStyle name="Normal 7 3 3 5 6" xfId="8203" xr:uid="{00000000-0005-0000-0000-000084BC0000}"/>
    <cellStyle name="Normal 7 3 3 5 6 2" xfId="20593" xr:uid="{00000000-0005-0000-0000-000085BC0000}"/>
    <cellStyle name="Normal 7 3 3 5 6 2 2" xfId="46146" xr:uid="{00000000-0005-0000-0000-000086BC0000}"/>
    <cellStyle name="Normal 7 3 3 5 6 3" xfId="33760" xr:uid="{00000000-0005-0000-0000-000087BC0000}"/>
    <cellStyle name="Normal 7 3 3 5 7" xfId="16178" xr:uid="{00000000-0005-0000-0000-000088BC0000}"/>
    <cellStyle name="Normal 7 3 3 5 7 2" xfId="41731" xr:uid="{00000000-0005-0000-0000-000089BC0000}"/>
    <cellStyle name="Normal 7 3 3 5 8" xfId="27076" xr:uid="{00000000-0005-0000-0000-00008ABC0000}"/>
    <cellStyle name="Normal 7 3 3 6" xfId="2707" xr:uid="{00000000-0005-0000-0000-00008BBC0000}"/>
    <cellStyle name="Normal 7 3 3 6 2" xfId="12024" xr:uid="{00000000-0005-0000-0000-00008CBC0000}"/>
    <cellStyle name="Normal 7 3 3 6 2 2" xfId="22068" xr:uid="{00000000-0005-0000-0000-00008DBC0000}"/>
    <cellStyle name="Normal 7 3 3 6 2 2 2" xfId="47621" xr:uid="{00000000-0005-0000-0000-00008EBC0000}"/>
    <cellStyle name="Normal 7 3 3 6 2 3" xfId="37579" xr:uid="{00000000-0005-0000-0000-00008FBC0000}"/>
    <cellStyle name="Normal 7 3 3 6 3" xfId="8575" xr:uid="{00000000-0005-0000-0000-000090BC0000}"/>
    <cellStyle name="Normal 7 3 3 6 3 2" xfId="34132" xr:uid="{00000000-0005-0000-0000-000091BC0000}"/>
    <cellStyle name="Normal 7 3 3 6 4" xfId="17061" xr:uid="{00000000-0005-0000-0000-000092BC0000}"/>
    <cellStyle name="Normal 7 3 3 6 4 2" xfId="42614" xr:uid="{00000000-0005-0000-0000-000093BC0000}"/>
    <cellStyle name="Normal 7 3 3 6 5" xfId="28551" xr:uid="{00000000-0005-0000-0000-000094BC0000}"/>
    <cellStyle name="Normal 7 3 3 7" xfId="4258" xr:uid="{00000000-0005-0000-0000-000095BC0000}"/>
    <cellStyle name="Normal 7 3 3 7 2" xfId="13096" xr:uid="{00000000-0005-0000-0000-000096BC0000}"/>
    <cellStyle name="Normal 7 3 3 7 2 2" xfId="23347" xr:uid="{00000000-0005-0000-0000-000097BC0000}"/>
    <cellStyle name="Normal 7 3 3 7 2 2 2" xfId="48900" xr:uid="{00000000-0005-0000-0000-000098BC0000}"/>
    <cellStyle name="Normal 7 3 3 7 2 3" xfId="38651" xr:uid="{00000000-0005-0000-0000-000099BC0000}"/>
    <cellStyle name="Normal 7 3 3 7 3" xfId="9517" xr:uid="{00000000-0005-0000-0000-00009ABC0000}"/>
    <cellStyle name="Normal 7 3 3 7 3 2" xfId="35074" xr:uid="{00000000-0005-0000-0000-00009BBC0000}"/>
    <cellStyle name="Normal 7 3 3 7 4" xfId="18340" xr:uid="{00000000-0005-0000-0000-00009CBC0000}"/>
    <cellStyle name="Normal 7 3 3 7 4 2" xfId="43893" xr:uid="{00000000-0005-0000-0000-00009DBC0000}"/>
    <cellStyle name="Normal 7 3 3 7 5" xfId="29830" xr:uid="{00000000-0005-0000-0000-00009EBC0000}"/>
    <cellStyle name="Normal 7 3 3 8" xfId="1530" xr:uid="{00000000-0005-0000-0000-00009FBC0000}"/>
    <cellStyle name="Normal 7 3 3 8 2" xfId="10907" xr:uid="{00000000-0005-0000-0000-0000A0BC0000}"/>
    <cellStyle name="Normal 7 3 3 8 2 2" xfId="36462" xr:uid="{00000000-0005-0000-0000-0000A1BC0000}"/>
    <cellStyle name="Normal 7 3 3 8 3" xfId="20911" xr:uid="{00000000-0005-0000-0000-0000A2BC0000}"/>
    <cellStyle name="Normal 7 3 3 8 3 2" xfId="46464" xr:uid="{00000000-0005-0000-0000-0000A3BC0000}"/>
    <cellStyle name="Normal 7 3 3 8 4" xfId="27394" xr:uid="{00000000-0005-0000-0000-0000A4BC0000}"/>
    <cellStyle name="Normal 7 3 3 9" xfId="5714" xr:uid="{00000000-0005-0000-0000-0000A5BC0000}"/>
    <cellStyle name="Normal 7 3 3 9 2" xfId="14541" xr:uid="{00000000-0005-0000-0000-0000A6BC0000}"/>
    <cellStyle name="Normal 7 3 3 9 2 2" xfId="40096" xr:uid="{00000000-0005-0000-0000-0000A7BC0000}"/>
    <cellStyle name="Normal 7 3 3 9 3" xfId="24792" xr:uid="{00000000-0005-0000-0000-0000A8BC0000}"/>
    <cellStyle name="Normal 7 3 3 9 3 2" xfId="50345" xr:uid="{00000000-0005-0000-0000-0000A9BC0000}"/>
    <cellStyle name="Normal 7 3 3 9 4" xfId="31275" xr:uid="{00000000-0005-0000-0000-0000AABC0000}"/>
    <cellStyle name="Normal 7 3 3_Degree data" xfId="4061" xr:uid="{00000000-0005-0000-0000-0000ABBC0000}"/>
    <cellStyle name="Normal 7 3 4" xfId="248" xr:uid="{00000000-0005-0000-0000-0000ACBC0000}"/>
    <cellStyle name="Normal 7 3 4 10" xfId="7086" xr:uid="{00000000-0005-0000-0000-0000ADBC0000}"/>
    <cellStyle name="Normal 7 3 4 10 2" xfId="19700" xr:uid="{00000000-0005-0000-0000-0000AEBC0000}"/>
    <cellStyle name="Normal 7 3 4 10 2 2" xfId="45253" xr:uid="{00000000-0005-0000-0000-0000AFBC0000}"/>
    <cellStyle name="Normal 7 3 4 10 3" xfId="32643" xr:uid="{00000000-0005-0000-0000-0000B0BC0000}"/>
    <cellStyle name="Normal 7 3 4 11" xfId="15832" xr:uid="{00000000-0005-0000-0000-0000B1BC0000}"/>
    <cellStyle name="Normal 7 3 4 11 2" xfId="41385" xr:uid="{00000000-0005-0000-0000-0000B2BC0000}"/>
    <cellStyle name="Normal 7 3 4 12" xfId="26183" xr:uid="{00000000-0005-0000-0000-0000B3BC0000}"/>
    <cellStyle name="Normal 7 3 4 2" xfId="571" xr:uid="{00000000-0005-0000-0000-0000B4BC0000}"/>
    <cellStyle name="Normal 7 3 4 2 10" xfId="26500" xr:uid="{00000000-0005-0000-0000-0000B5BC0000}"/>
    <cellStyle name="Normal 7 3 4 2 2" xfId="958" xr:uid="{00000000-0005-0000-0000-0000B6BC0000}"/>
    <cellStyle name="Normal 7 3 4 2 2 2" xfId="3434" xr:uid="{00000000-0005-0000-0000-0000B7BC0000}"/>
    <cellStyle name="Normal 7 3 4 2 2 2 2" xfId="12576" xr:uid="{00000000-0005-0000-0000-0000B8BC0000}"/>
    <cellStyle name="Normal 7 3 4 2 2 2 2 2" xfId="22795" xr:uid="{00000000-0005-0000-0000-0000B9BC0000}"/>
    <cellStyle name="Normal 7 3 4 2 2 2 2 2 2" xfId="48348" xr:uid="{00000000-0005-0000-0000-0000BABC0000}"/>
    <cellStyle name="Normal 7 3 4 2 2 2 2 3" xfId="38131" xr:uid="{00000000-0005-0000-0000-0000BBBC0000}"/>
    <cellStyle name="Normal 7 3 4 2 2 2 3" xfId="8998" xr:uid="{00000000-0005-0000-0000-0000BCBC0000}"/>
    <cellStyle name="Normal 7 3 4 2 2 2 3 2" xfId="34555" xr:uid="{00000000-0005-0000-0000-0000BDBC0000}"/>
    <cellStyle name="Normal 7 3 4 2 2 2 4" xfId="17788" xr:uid="{00000000-0005-0000-0000-0000BEBC0000}"/>
    <cellStyle name="Normal 7 3 4 2 2 2 4 2" xfId="43341" xr:uid="{00000000-0005-0000-0000-0000BFBC0000}"/>
    <cellStyle name="Normal 7 3 4 2 2 2 5" xfId="29278" xr:uid="{00000000-0005-0000-0000-0000C0BC0000}"/>
    <cellStyle name="Normal 7 3 4 2 2 3" xfId="4764" xr:uid="{00000000-0005-0000-0000-0000C1BC0000}"/>
    <cellStyle name="Normal 7 3 4 2 2 3 2" xfId="13601" xr:uid="{00000000-0005-0000-0000-0000C2BC0000}"/>
    <cellStyle name="Normal 7 3 4 2 2 3 2 2" xfId="23852" xr:uid="{00000000-0005-0000-0000-0000C3BC0000}"/>
    <cellStyle name="Normal 7 3 4 2 2 3 2 2 2" xfId="49405" xr:uid="{00000000-0005-0000-0000-0000C4BC0000}"/>
    <cellStyle name="Normal 7 3 4 2 2 3 2 3" xfId="39156" xr:uid="{00000000-0005-0000-0000-0000C5BC0000}"/>
    <cellStyle name="Normal 7 3 4 2 2 3 3" xfId="10022" xr:uid="{00000000-0005-0000-0000-0000C6BC0000}"/>
    <cellStyle name="Normal 7 3 4 2 2 3 3 2" xfId="35579" xr:uid="{00000000-0005-0000-0000-0000C7BC0000}"/>
    <cellStyle name="Normal 7 3 4 2 2 3 4" xfId="18845" xr:uid="{00000000-0005-0000-0000-0000C8BC0000}"/>
    <cellStyle name="Normal 7 3 4 2 2 3 4 2" xfId="44398" xr:uid="{00000000-0005-0000-0000-0000C9BC0000}"/>
    <cellStyle name="Normal 7 3 4 2 2 3 5" xfId="30335" xr:uid="{00000000-0005-0000-0000-0000CABC0000}"/>
    <cellStyle name="Normal 7 3 4 2 2 4" xfId="2543" xr:uid="{00000000-0005-0000-0000-0000CBBC0000}"/>
    <cellStyle name="Normal 7 3 4 2 2 4 2" xfId="11908" xr:uid="{00000000-0005-0000-0000-0000CCBC0000}"/>
    <cellStyle name="Normal 7 3 4 2 2 4 2 2" xfId="37463" xr:uid="{00000000-0005-0000-0000-0000CDBC0000}"/>
    <cellStyle name="Normal 7 3 4 2 2 4 3" xfId="21912" xr:uid="{00000000-0005-0000-0000-0000CEBC0000}"/>
    <cellStyle name="Normal 7 3 4 2 2 4 3 2" xfId="47465" xr:uid="{00000000-0005-0000-0000-0000CFBC0000}"/>
    <cellStyle name="Normal 7 3 4 2 2 4 4" xfId="28395" xr:uid="{00000000-0005-0000-0000-0000D0BC0000}"/>
    <cellStyle name="Normal 7 3 4 2 2 5" xfId="6219" xr:uid="{00000000-0005-0000-0000-0000D1BC0000}"/>
    <cellStyle name="Normal 7 3 4 2 2 5 2" xfId="15046" xr:uid="{00000000-0005-0000-0000-0000D2BC0000}"/>
    <cellStyle name="Normal 7 3 4 2 2 5 2 2" xfId="40601" xr:uid="{00000000-0005-0000-0000-0000D3BC0000}"/>
    <cellStyle name="Normal 7 3 4 2 2 5 3" xfId="25297" xr:uid="{00000000-0005-0000-0000-0000D4BC0000}"/>
    <cellStyle name="Normal 7 3 4 2 2 5 3 2" xfId="50850" xr:uid="{00000000-0005-0000-0000-0000D5BC0000}"/>
    <cellStyle name="Normal 7 3 4 2 2 5 4" xfId="31780" xr:uid="{00000000-0005-0000-0000-0000D6BC0000}"/>
    <cellStyle name="Normal 7 3 4 2 2 6" xfId="7665" xr:uid="{00000000-0005-0000-0000-0000D7BC0000}"/>
    <cellStyle name="Normal 7 3 4 2 2 6 2" xfId="20394" xr:uid="{00000000-0005-0000-0000-0000D8BC0000}"/>
    <cellStyle name="Normal 7 3 4 2 2 6 2 2" xfId="45947" xr:uid="{00000000-0005-0000-0000-0000D9BC0000}"/>
    <cellStyle name="Normal 7 3 4 2 2 6 3" xfId="33222" xr:uid="{00000000-0005-0000-0000-0000DABC0000}"/>
    <cellStyle name="Normal 7 3 4 2 2 7" xfId="16905" xr:uid="{00000000-0005-0000-0000-0000DBBC0000}"/>
    <cellStyle name="Normal 7 3 4 2 2 7 2" xfId="42458" xr:uid="{00000000-0005-0000-0000-0000DCBC0000}"/>
    <cellStyle name="Normal 7 3 4 2 2 8" xfId="26877" xr:uid="{00000000-0005-0000-0000-0000DDBC0000}"/>
    <cellStyle name="Normal 7 3 4 2 3" xfId="1343" xr:uid="{00000000-0005-0000-0000-0000DEBC0000}"/>
    <cellStyle name="Normal 7 3 4 2 3 2" xfId="3772" xr:uid="{00000000-0005-0000-0000-0000DFBC0000}"/>
    <cellStyle name="Normal 7 3 4 2 3 2 2" xfId="12908" xr:uid="{00000000-0005-0000-0000-0000E0BC0000}"/>
    <cellStyle name="Normal 7 3 4 2 3 2 2 2" xfId="23127" xr:uid="{00000000-0005-0000-0000-0000E1BC0000}"/>
    <cellStyle name="Normal 7 3 4 2 3 2 2 2 2" xfId="48680" xr:uid="{00000000-0005-0000-0000-0000E2BC0000}"/>
    <cellStyle name="Normal 7 3 4 2 3 2 2 3" xfId="38463" xr:uid="{00000000-0005-0000-0000-0000E3BC0000}"/>
    <cellStyle name="Normal 7 3 4 2 3 2 3" xfId="9329" xr:uid="{00000000-0005-0000-0000-0000E4BC0000}"/>
    <cellStyle name="Normal 7 3 4 2 3 2 3 2" xfId="34886" xr:uid="{00000000-0005-0000-0000-0000E5BC0000}"/>
    <cellStyle name="Normal 7 3 4 2 3 2 4" xfId="18120" xr:uid="{00000000-0005-0000-0000-0000E6BC0000}"/>
    <cellStyle name="Normal 7 3 4 2 3 2 4 2" xfId="43673" xr:uid="{00000000-0005-0000-0000-0000E7BC0000}"/>
    <cellStyle name="Normal 7 3 4 2 3 2 5" xfId="29610" xr:uid="{00000000-0005-0000-0000-0000E8BC0000}"/>
    <cellStyle name="Normal 7 3 4 2 3 3" xfId="5112" xr:uid="{00000000-0005-0000-0000-0000E9BC0000}"/>
    <cellStyle name="Normal 7 3 4 2 3 3 2" xfId="13949" xr:uid="{00000000-0005-0000-0000-0000EABC0000}"/>
    <cellStyle name="Normal 7 3 4 2 3 3 2 2" xfId="24200" xr:uid="{00000000-0005-0000-0000-0000EBBC0000}"/>
    <cellStyle name="Normal 7 3 4 2 3 3 2 2 2" xfId="49753" xr:uid="{00000000-0005-0000-0000-0000ECBC0000}"/>
    <cellStyle name="Normal 7 3 4 2 3 3 2 3" xfId="39504" xr:uid="{00000000-0005-0000-0000-0000EDBC0000}"/>
    <cellStyle name="Normal 7 3 4 2 3 3 3" xfId="10370" xr:uid="{00000000-0005-0000-0000-0000EEBC0000}"/>
    <cellStyle name="Normal 7 3 4 2 3 3 3 2" xfId="35927" xr:uid="{00000000-0005-0000-0000-0000EFBC0000}"/>
    <cellStyle name="Normal 7 3 4 2 3 3 4" xfId="19193" xr:uid="{00000000-0005-0000-0000-0000F0BC0000}"/>
    <cellStyle name="Normal 7 3 4 2 3 3 4 2" xfId="44746" xr:uid="{00000000-0005-0000-0000-0000F1BC0000}"/>
    <cellStyle name="Normal 7 3 4 2 3 3 5" xfId="30683" xr:uid="{00000000-0005-0000-0000-0000F2BC0000}"/>
    <cellStyle name="Normal 7 3 4 2 3 4" xfId="2166" xr:uid="{00000000-0005-0000-0000-0000F3BC0000}"/>
    <cellStyle name="Normal 7 3 4 2 3 4 2" xfId="11531" xr:uid="{00000000-0005-0000-0000-0000F4BC0000}"/>
    <cellStyle name="Normal 7 3 4 2 3 4 2 2" xfId="37086" xr:uid="{00000000-0005-0000-0000-0000F5BC0000}"/>
    <cellStyle name="Normal 7 3 4 2 3 4 3" xfId="21535" xr:uid="{00000000-0005-0000-0000-0000F6BC0000}"/>
    <cellStyle name="Normal 7 3 4 2 3 4 3 2" xfId="47088" xr:uid="{00000000-0005-0000-0000-0000F7BC0000}"/>
    <cellStyle name="Normal 7 3 4 2 3 4 4" xfId="28018" xr:uid="{00000000-0005-0000-0000-0000F8BC0000}"/>
    <cellStyle name="Normal 7 3 4 2 3 5" xfId="6567" xr:uid="{00000000-0005-0000-0000-0000F9BC0000}"/>
    <cellStyle name="Normal 7 3 4 2 3 5 2" xfId="15394" xr:uid="{00000000-0005-0000-0000-0000FABC0000}"/>
    <cellStyle name="Normal 7 3 4 2 3 5 2 2" xfId="40949" xr:uid="{00000000-0005-0000-0000-0000FBBC0000}"/>
    <cellStyle name="Normal 7 3 4 2 3 5 3" xfId="25645" xr:uid="{00000000-0005-0000-0000-0000FCBC0000}"/>
    <cellStyle name="Normal 7 3 4 2 3 5 3 2" xfId="51198" xr:uid="{00000000-0005-0000-0000-0000FDBC0000}"/>
    <cellStyle name="Normal 7 3 4 2 3 5 4" xfId="32128" xr:uid="{00000000-0005-0000-0000-0000FEBC0000}"/>
    <cellStyle name="Normal 7 3 4 2 3 6" xfId="8013" xr:uid="{00000000-0005-0000-0000-0000FFBC0000}"/>
    <cellStyle name="Normal 7 3 4 2 3 6 2" xfId="20726" xr:uid="{00000000-0005-0000-0000-000000BD0000}"/>
    <cellStyle name="Normal 7 3 4 2 3 6 2 2" xfId="46279" xr:uid="{00000000-0005-0000-0000-000001BD0000}"/>
    <cellStyle name="Normal 7 3 4 2 3 6 3" xfId="33570" xr:uid="{00000000-0005-0000-0000-000002BD0000}"/>
    <cellStyle name="Normal 7 3 4 2 3 7" xfId="16528" xr:uid="{00000000-0005-0000-0000-000003BD0000}"/>
    <cellStyle name="Normal 7 3 4 2 3 7 2" xfId="42081" xr:uid="{00000000-0005-0000-0000-000004BD0000}"/>
    <cellStyle name="Normal 7 3 4 2 3 8" xfId="27209" xr:uid="{00000000-0005-0000-0000-000005BD0000}"/>
    <cellStyle name="Normal 7 3 4 2 4" xfId="3057" xr:uid="{00000000-0005-0000-0000-000006BD0000}"/>
    <cellStyle name="Normal 7 3 4 2 4 2" xfId="5435" xr:uid="{00000000-0005-0000-0000-000007BD0000}"/>
    <cellStyle name="Normal 7 3 4 2 4 2 2" xfId="14272" xr:uid="{00000000-0005-0000-0000-000008BD0000}"/>
    <cellStyle name="Normal 7 3 4 2 4 2 2 2" xfId="24523" xr:uid="{00000000-0005-0000-0000-000009BD0000}"/>
    <cellStyle name="Normal 7 3 4 2 4 2 2 2 2" xfId="50076" xr:uid="{00000000-0005-0000-0000-00000ABD0000}"/>
    <cellStyle name="Normal 7 3 4 2 4 2 2 3" xfId="39827" xr:uid="{00000000-0005-0000-0000-00000BBD0000}"/>
    <cellStyle name="Normal 7 3 4 2 4 2 3" xfId="10693" xr:uid="{00000000-0005-0000-0000-00000CBD0000}"/>
    <cellStyle name="Normal 7 3 4 2 4 2 3 2" xfId="36250" xr:uid="{00000000-0005-0000-0000-00000DBD0000}"/>
    <cellStyle name="Normal 7 3 4 2 4 2 4" xfId="19516" xr:uid="{00000000-0005-0000-0000-00000EBD0000}"/>
    <cellStyle name="Normal 7 3 4 2 4 2 4 2" xfId="45069" xr:uid="{00000000-0005-0000-0000-00000FBD0000}"/>
    <cellStyle name="Normal 7 3 4 2 4 2 5" xfId="31006" xr:uid="{00000000-0005-0000-0000-000010BD0000}"/>
    <cellStyle name="Normal 7 3 4 2 4 3" xfId="6890" xr:uid="{00000000-0005-0000-0000-000011BD0000}"/>
    <cellStyle name="Normal 7 3 4 2 4 3 2" xfId="15717" xr:uid="{00000000-0005-0000-0000-000012BD0000}"/>
    <cellStyle name="Normal 7 3 4 2 4 3 2 2" xfId="41272" xr:uid="{00000000-0005-0000-0000-000013BD0000}"/>
    <cellStyle name="Normal 7 3 4 2 4 3 3" xfId="25968" xr:uid="{00000000-0005-0000-0000-000014BD0000}"/>
    <cellStyle name="Normal 7 3 4 2 4 3 3 2" xfId="51521" xr:uid="{00000000-0005-0000-0000-000015BD0000}"/>
    <cellStyle name="Normal 7 3 4 2 4 3 4" xfId="32451" xr:uid="{00000000-0005-0000-0000-000016BD0000}"/>
    <cellStyle name="Normal 7 3 4 2 4 4" xfId="8336" xr:uid="{00000000-0005-0000-0000-000017BD0000}"/>
    <cellStyle name="Normal 7 3 4 2 4 4 2" xfId="22418" xr:uid="{00000000-0005-0000-0000-000018BD0000}"/>
    <cellStyle name="Normal 7 3 4 2 4 4 2 2" xfId="47971" xr:uid="{00000000-0005-0000-0000-000019BD0000}"/>
    <cellStyle name="Normal 7 3 4 2 4 4 3" xfId="33893" xr:uid="{00000000-0005-0000-0000-00001ABD0000}"/>
    <cellStyle name="Normal 7 3 4 2 4 5" xfId="17411" xr:uid="{00000000-0005-0000-0000-00001BBD0000}"/>
    <cellStyle name="Normal 7 3 4 2 4 5 2" xfId="42964" xr:uid="{00000000-0005-0000-0000-00001CBD0000}"/>
    <cellStyle name="Normal 7 3 4 2 4 6" xfId="28901" xr:uid="{00000000-0005-0000-0000-00001DBD0000}"/>
    <cellStyle name="Normal 7 3 4 2 5" xfId="4391" xr:uid="{00000000-0005-0000-0000-00001EBD0000}"/>
    <cellStyle name="Normal 7 3 4 2 5 2" xfId="13229" xr:uid="{00000000-0005-0000-0000-00001FBD0000}"/>
    <cellStyle name="Normal 7 3 4 2 5 2 2" xfId="23480" xr:uid="{00000000-0005-0000-0000-000020BD0000}"/>
    <cellStyle name="Normal 7 3 4 2 5 2 2 2" xfId="49033" xr:uid="{00000000-0005-0000-0000-000021BD0000}"/>
    <cellStyle name="Normal 7 3 4 2 5 2 3" xfId="38784" xr:uid="{00000000-0005-0000-0000-000022BD0000}"/>
    <cellStyle name="Normal 7 3 4 2 5 3" xfId="9650" xr:uid="{00000000-0005-0000-0000-000023BD0000}"/>
    <cellStyle name="Normal 7 3 4 2 5 3 2" xfId="35207" xr:uid="{00000000-0005-0000-0000-000024BD0000}"/>
    <cellStyle name="Normal 7 3 4 2 5 4" xfId="18473" xr:uid="{00000000-0005-0000-0000-000025BD0000}"/>
    <cellStyle name="Normal 7 3 4 2 5 4 2" xfId="44026" xr:uid="{00000000-0005-0000-0000-000026BD0000}"/>
    <cellStyle name="Normal 7 3 4 2 5 5" xfId="29963" xr:uid="{00000000-0005-0000-0000-000027BD0000}"/>
    <cellStyle name="Normal 7 3 4 2 6" xfId="1663" xr:uid="{00000000-0005-0000-0000-000028BD0000}"/>
    <cellStyle name="Normal 7 3 4 2 6 2" xfId="11040" xr:uid="{00000000-0005-0000-0000-000029BD0000}"/>
    <cellStyle name="Normal 7 3 4 2 6 2 2" xfId="36595" xr:uid="{00000000-0005-0000-0000-00002ABD0000}"/>
    <cellStyle name="Normal 7 3 4 2 6 3" xfId="21044" xr:uid="{00000000-0005-0000-0000-00002BBD0000}"/>
    <cellStyle name="Normal 7 3 4 2 6 3 2" xfId="46597" xr:uid="{00000000-0005-0000-0000-00002CBD0000}"/>
    <cellStyle name="Normal 7 3 4 2 6 4" xfId="27527" xr:uid="{00000000-0005-0000-0000-00002DBD0000}"/>
    <cellStyle name="Normal 7 3 4 2 7" xfId="5847" xr:uid="{00000000-0005-0000-0000-00002EBD0000}"/>
    <cellStyle name="Normal 7 3 4 2 7 2" xfId="14674" xr:uid="{00000000-0005-0000-0000-00002FBD0000}"/>
    <cellStyle name="Normal 7 3 4 2 7 2 2" xfId="40229" xr:uid="{00000000-0005-0000-0000-000030BD0000}"/>
    <cellStyle name="Normal 7 3 4 2 7 3" xfId="24925" xr:uid="{00000000-0005-0000-0000-000031BD0000}"/>
    <cellStyle name="Normal 7 3 4 2 7 3 2" xfId="50478" xr:uid="{00000000-0005-0000-0000-000032BD0000}"/>
    <cellStyle name="Normal 7 3 4 2 7 4" xfId="31408" xr:uid="{00000000-0005-0000-0000-000033BD0000}"/>
    <cellStyle name="Normal 7 3 4 2 8" xfId="7291" xr:uid="{00000000-0005-0000-0000-000034BD0000}"/>
    <cellStyle name="Normal 7 3 4 2 8 2" xfId="20017" xr:uid="{00000000-0005-0000-0000-000035BD0000}"/>
    <cellStyle name="Normal 7 3 4 2 8 2 2" xfId="45570" xr:uid="{00000000-0005-0000-0000-000036BD0000}"/>
    <cellStyle name="Normal 7 3 4 2 8 3" xfId="32848" xr:uid="{00000000-0005-0000-0000-000037BD0000}"/>
    <cellStyle name="Normal 7 3 4 2 9" xfId="16037" xr:uid="{00000000-0005-0000-0000-000038BD0000}"/>
    <cellStyle name="Normal 7 3 4 2 9 2" xfId="41590" xr:uid="{00000000-0005-0000-0000-000039BD0000}"/>
    <cellStyle name="Normal 7 3 4 2_Degree data" xfId="4064" xr:uid="{00000000-0005-0000-0000-00003ABD0000}"/>
    <cellStyle name="Normal 7 3 4 3" xfId="366" xr:uid="{00000000-0005-0000-0000-00003BBD0000}"/>
    <cellStyle name="Normal 7 3 4 3 2" xfId="2852" xr:uid="{00000000-0005-0000-0000-00003CBD0000}"/>
    <cellStyle name="Normal 7 3 4 3 2 2" xfId="12140" xr:uid="{00000000-0005-0000-0000-00003DBD0000}"/>
    <cellStyle name="Normal 7 3 4 3 2 2 2" xfId="22213" xr:uid="{00000000-0005-0000-0000-00003EBD0000}"/>
    <cellStyle name="Normal 7 3 4 3 2 2 2 2" xfId="47766" xr:uid="{00000000-0005-0000-0000-00003FBD0000}"/>
    <cellStyle name="Normal 7 3 4 3 2 2 3" xfId="37695" xr:uid="{00000000-0005-0000-0000-000040BD0000}"/>
    <cellStyle name="Normal 7 3 4 3 2 3" xfId="8389" xr:uid="{00000000-0005-0000-0000-000041BD0000}"/>
    <cellStyle name="Normal 7 3 4 3 2 3 2" xfId="33946" xr:uid="{00000000-0005-0000-0000-000042BD0000}"/>
    <cellStyle name="Normal 7 3 4 3 2 4" xfId="17206" xr:uid="{00000000-0005-0000-0000-000043BD0000}"/>
    <cellStyle name="Normal 7 3 4 3 2 4 2" xfId="42759" xr:uid="{00000000-0005-0000-0000-000044BD0000}"/>
    <cellStyle name="Normal 7 3 4 3 2 5" xfId="28696" xr:uid="{00000000-0005-0000-0000-000045BD0000}"/>
    <cellStyle name="Normal 7 3 4 3 3" xfId="4763" xr:uid="{00000000-0005-0000-0000-000046BD0000}"/>
    <cellStyle name="Normal 7 3 4 3 3 2" xfId="13600" xr:uid="{00000000-0005-0000-0000-000047BD0000}"/>
    <cellStyle name="Normal 7 3 4 3 3 2 2" xfId="23851" xr:uid="{00000000-0005-0000-0000-000048BD0000}"/>
    <cellStyle name="Normal 7 3 4 3 3 2 2 2" xfId="49404" xr:uid="{00000000-0005-0000-0000-000049BD0000}"/>
    <cellStyle name="Normal 7 3 4 3 3 2 3" xfId="39155" xr:uid="{00000000-0005-0000-0000-00004ABD0000}"/>
    <cellStyle name="Normal 7 3 4 3 3 3" xfId="10021" xr:uid="{00000000-0005-0000-0000-00004BBD0000}"/>
    <cellStyle name="Normal 7 3 4 3 3 3 2" xfId="35578" xr:uid="{00000000-0005-0000-0000-00004CBD0000}"/>
    <cellStyle name="Normal 7 3 4 3 3 4" xfId="18844" xr:uid="{00000000-0005-0000-0000-00004DBD0000}"/>
    <cellStyle name="Normal 7 3 4 3 3 4 2" xfId="44397" xr:uid="{00000000-0005-0000-0000-00004EBD0000}"/>
    <cellStyle name="Normal 7 3 4 3 3 5" xfId="30334" xr:uid="{00000000-0005-0000-0000-00004FBD0000}"/>
    <cellStyle name="Normal 7 3 4 3 4" xfId="1961" xr:uid="{00000000-0005-0000-0000-000050BD0000}"/>
    <cellStyle name="Normal 7 3 4 3 4 2" xfId="11326" xr:uid="{00000000-0005-0000-0000-000051BD0000}"/>
    <cellStyle name="Normal 7 3 4 3 4 2 2" xfId="36881" xr:uid="{00000000-0005-0000-0000-000052BD0000}"/>
    <cellStyle name="Normal 7 3 4 3 4 3" xfId="21330" xr:uid="{00000000-0005-0000-0000-000053BD0000}"/>
    <cellStyle name="Normal 7 3 4 3 4 3 2" xfId="46883" xr:uid="{00000000-0005-0000-0000-000054BD0000}"/>
    <cellStyle name="Normal 7 3 4 3 4 4" xfId="27813" xr:uid="{00000000-0005-0000-0000-000055BD0000}"/>
    <cellStyle name="Normal 7 3 4 3 5" xfId="6218" xr:uid="{00000000-0005-0000-0000-000056BD0000}"/>
    <cellStyle name="Normal 7 3 4 3 5 2" xfId="15045" xr:uid="{00000000-0005-0000-0000-000057BD0000}"/>
    <cellStyle name="Normal 7 3 4 3 5 2 2" xfId="40600" xr:uid="{00000000-0005-0000-0000-000058BD0000}"/>
    <cellStyle name="Normal 7 3 4 3 5 3" xfId="25296" xr:uid="{00000000-0005-0000-0000-000059BD0000}"/>
    <cellStyle name="Normal 7 3 4 3 5 3 2" xfId="50849" xr:uid="{00000000-0005-0000-0000-00005ABD0000}"/>
    <cellStyle name="Normal 7 3 4 3 5 4" xfId="31779" xr:uid="{00000000-0005-0000-0000-00005BBD0000}"/>
    <cellStyle name="Normal 7 3 4 3 6" xfId="7664" xr:uid="{00000000-0005-0000-0000-00005CBD0000}"/>
    <cellStyle name="Normal 7 3 4 3 6 2" xfId="19812" xr:uid="{00000000-0005-0000-0000-00005DBD0000}"/>
    <cellStyle name="Normal 7 3 4 3 6 2 2" xfId="45365" xr:uid="{00000000-0005-0000-0000-00005EBD0000}"/>
    <cellStyle name="Normal 7 3 4 3 6 3" xfId="33221" xr:uid="{00000000-0005-0000-0000-00005FBD0000}"/>
    <cellStyle name="Normal 7 3 4 3 7" xfId="16323" xr:uid="{00000000-0005-0000-0000-000060BD0000}"/>
    <cellStyle name="Normal 7 3 4 3 7 2" xfId="41876" xr:uid="{00000000-0005-0000-0000-000061BD0000}"/>
    <cellStyle name="Normal 7 3 4 3 8" xfId="26295" xr:uid="{00000000-0005-0000-0000-000062BD0000}"/>
    <cellStyle name="Normal 7 3 4 4" xfId="957" xr:uid="{00000000-0005-0000-0000-000063BD0000}"/>
    <cellStyle name="Normal 7 3 4 4 2" xfId="3433" xr:uid="{00000000-0005-0000-0000-000064BD0000}"/>
    <cellStyle name="Normal 7 3 4 4 2 2" xfId="12575" xr:uid="{00000000-0005-0000-0000-000065BD0000}"/>
    <cellStyle name="Normal 7 3 4 4 2 2 2" xfId="22794" xr:uid="{00000000-0005-0000-0000-000066BD0000}"/>
    <cellStyle name="Normal 7 3 4 4 2 2 2 2" xfId="48347" xr:uid="{00000000-0005-0000-0000-000067BD0000}"/>
    <cellStyle name="Normal 7 3 4 4 2 2 3" xfId="38130" xr:uid="{00000000-0005-0000-0000-000068BD0000}"/>
    <cellStyle name="Normal 7 3 4 4 2 3" xfId="8997" xr:uid="{00000000-0005-0000-0000-000069BD0000}"/>
    <cellStyle name="Normal 7 3 4 4 2 3 2" xfId="34554" xr:uid="{00000000-0005-0000-0000-00006ABD0000}"/>
    <cellStyle name="Normal 7 3 4 4 2 4" xfId="17787" xr:uid="{00000000-0005-0000-0000-00006BBD0000}"/>
    <cellStyle name="Normal 7 3 4 4 2 4 2" xfId="43340" xr:uid="{00000000-0005-0000-0000-00006CBD0000}"/>
    <cellStyle name="Normal 7 3 4 4 2 5" xfId="29277" xr:uid="{00000000-0005-0000-0000-00006DBD0000}"/>
    <cellStyle name="Normal 7 3 4 4 3" xfId="5111" xr:uid="{00000000-0005-0000-0000-00006EBD0000}"/>
    <cellStyle name="Normal 7 3 4 4 3 2" xfId="13948" xr:uid="{00000000-0005-0000-0000-00006FBD0000}"/>
    <cellStyle name="Normal 7 3 4 4 3 2 2" xfId="24199" xr:uid="{00000000-0005-0000-0000-000070BD0000}"/>
    <cellStyle name="Normal 7 3 4 4 3 2 2 2" xfId="49752" xr:uid="{00000000-0005-0000-0000-000071BD0000}"/>
    <cellStyle name="Normal 7 3 4 4 3 2 3" xfId="39503" xr:uid="{00000000-0005-0000-0000-000072BD0000}"/>
    <cellStyle name="Normal 7 3 4 4 3 3" xfId="10369" xr:uid="{00000000-0005-0000-0000-000073BD0000}"/>
    <cellStyle name="Normal 7 3 4 4 3 3 2" xfId="35926" xr:uid="{00000000-0005-0000-0000-000074BD0000}"/>
    <cellStyle name="Normal 7 3 4 4 3 4" xfId="19192" xr:uid="{00000000-0005-0000-0000-000075BD0000}"/>
    <cellStyle name="Normal 7 3 4 4 3 4 2" xfId="44745" xr:uid="{00000000-0005-0000-0000-000076BD0000}"/>
    <cellStyle name="Normal 7 3 4 4 3 5" xfId="30682" xr:uid="{00000000-0005-0000-0000-000077BD0000}"/>
    <cellStyle name="Normal 7 3 4 4 4" xfId="2542" xr:uid="{00000000-0005-0000-0000-000078BD0000}"/>
    <cellStyle name="Normal 7 3 4 4 4 2" xfId="11907" xr:uid="{00000000-0005-0000-0000-000079BD0000}"/>
    <cellStyle name="Normal 7 3 4 4 4 2 2" xfId="37462" xr:uid="{00000000-0005-0000-0000-00007ABD0000}"/>
    <cellStyle name="Normal 7 3 4 4 4 3" xfId="21911" xr:uid="{00000000-0005-0000-0000-00007BBD0000}"/>
    <cellStyle name="Normal 7 3 4 4 4 3 2" xfId="47464" xr:uid="{00000000-0005-0000-0000-00007CBD0000}"/>
    <cellStyle name="Normal 7 3 4 4 4 4" xfId="28394" xr:uid="{00000000-0005-0000-0000-00007DBD0000}"/>
    <cellStyle name="Normal 7 3 4 4 5" xfId="6566" xr:uid="{00000000-0005-0000-0000-00007EBD0000}"/>
    <cellStyle name="Normal 7 3 4 4 5 2" xfId="15393" xr:uid="{00000000-0005-0000-0000-00007FBD0000}"/>
    <cellStyle name="Normal 7 3 4 4 5 2 2" xfId="40948" xr:uid="{00000000-0005-0000-0000-000080BD0000}"/>
    <cellStyle name="Normal 7 3 4 4 5 3" xfId="25644" xr:uid="{00000000-0005-0000-0000-000081BD0000}"/>
    <cellStyle name="Normal 7 3 4 4 5 3 2" xfId="51197" xr:uid="{00000000-0005-0000-0000-000082BD0000}"/>
    <cellStyle name="Normal 7 3 4 4 5 4" xfId="32127" xr:uid="{00000000-0005-0000-0000-000083BD0000}"/>
    <cellStyle name="Normal 7 3 4 4 6" xfId="8012" xr:uid="{00000000-0005-0000-0000-000084BD0000}"/>
    <cellStyle name="Normal 7 3 4 4 6 2" xfId="20393" xr:uid="{00000000-0005-0000-0000-000085BD0000}"/>
    <cellStyle name="Normal 7 3 4 4 6 2 2" xfId="45946" xr:uid="{00000000-0005-0000-0000-000086BD0000}"/>
    <cellStyle name="Normal 7 3 4 4 6 3" xfId="33569" xr:uid="{00000000-0005-0000-0000-000087BD0000}"/>
    <cellStyle name="Normal 7 3 4 4 7" xfId="16904" xr:uid="{00000000-0005-0000-0000-000088BD0000}"/>
    <cellStyle name="Normal 7 3 4 4 7 2" xfId="42457" xr:uid="{00000000-0005-0000-0000-000089BD0000}"/>
    <cellStyle name="Normal 7 3 4 4 8" xfId="26876" xr:uid="{00000000-0005-0000-0000-00008ABD0000}"/>
    <cellStyle name="Normal 7 3 4 5" xfId="1138" xr:uid="{00000000-0005-0000-0000-00008BBD0000}"/>
    <cellStyle name="Normal 7 3 4 5 2" xfId="3567" xr:uid="{00000000-0005-0000-0000-00008CBD0000}"/>
    <cellStyle name="Normal 7 3 4 5 2 2" xfId="12703" xr:uid="{00000000-0005-0000-0000-00008DBD0000}"/>
    <cellStyle name="Normal 7 3 4 5 2 2 2" xfId="22922" xr:uid="{00000000-0005-0000-0000-00008EBD0000}"/>
    <cellStyle name="Normal 7 3 4 5 2 2 2 2" xfId="48475" xr:uid="{00000000-0005-0000-0000-00008FBD0000}"/>
    <cellStyle name="Normal 7 3 4 5 2 2 3" xfId="38258" xr:uid="{00000000-0005-0000-0000-000090BD0000}"/>
    <cellStyle name="Normal 7 3 4 5 2 3" xfId="9124" xr:uid="{00000000-0005-0000-0000-000091BD0000}"/>
    <cellStyle name="Normal 7 3 4 5 2 3 2" xfId="34681" xr:uid="{00000000-0005-0000-0000-000092BD0000}"/>
    <cellStyle name="Normal 7 3 4 5 2 4" xfId="17915" xr:uid="{00000000-0005-0000-0000-000093BD0000}"/>
    <cellStyle name="Normal 7 3 4 5 2 4 2" xfId="43468" xr:uid="{00000000-0005-0000-0000-000094BD0000}"/>
    <cellStyle name="Normal 7 3 4 5 2 5" xfId="29405" xr:uid="{00000000-0005-0000-0000-000095BD0000}"/>
    <cellStyle name="Normal 7 3 4 5 3" xfId="5230" xr:uid="{00000000-0005-0000-0000-000096BD0000}"/>
    <cellStyle name="Normal 7 3 4 5 3 2" xfId="14067" xr:uid="{00000000-0005-0000-0000-000097BD0000}"/>
    <cellStyle name="Normal 7 3 4 5 3 2 2" xfId="24318" xr:uid="{00000000-0005-0000-0000-000098BD0000}"/>
    <cellStyle name="Normal 7 3 4 5 3 2 2 2" xfId="49871" xr:uid="{00000000-0005-0000-0000-000099BD0000}"/>
    <cellStyle name="Normal 7 3 4 5 3 2 3" xfId="39622" xr:uid="{00000000-0005-0000-0000-00009ABD0000}"/>
    <cellStyle name="Normal 7 3 4 5 3 3" xfId="10488" xr:uid="{00000000-0005-0000-0000-00009BBD0000}"/>
    <cellStyle name="Normal 7 3 4 5 3 3 2" xfId="36045" xr:uid="{00000000-0005-0000-0000-00009CBD0000}"/>
    <cellStyle name="Normal 7 3 4 5 3 4" xfId="19311" xr:uid="{00000000-0005-0000-0000-00009DBD0000}"/>
    <cellStyle name="Normal 7 3 4 5 3 4 2" xfId="44864" xr:uid="{00000000-0005-0000-0000-00009EBD0000}"/>
    <cellStyle name="Normal 7 3 4 5 3 5" xfId="30801" xr:uid="{00000000-0005-0000-0000-00009FBD0000}"/>
    <cellStyle name="Normal 7 3 4 5 4" xfId="1846" xr:uid="{00000000-0005-0000-0000-0000A0BD0000}"/>
    <cellStyle name="Normal 7 3 4 5 4 2" xfId="11214" xr:uid="{00000000-0005-0000-0000-0000A1BD0000}"/>
    <cellStyle name="Normal 7 3 4 5 4 2 2" xfId="36769" xr:uid="{00000000-0005-0000-0000-0000A2BD0000}"/>
    <cellStyle name="Normal 7 3 4 5 4 3" xfId="21218" xr:uid="{00000000-0005-0000-0000-0000A3BD0000}"/>
    <cellStyle name="Normal 7 3 4 5 4 3 2" xfId="46771" xr:uid="{00000000-0005-0000-0000-0000A4BD0000}"/>
    <cellStyle name="Normal 7 3 4 5 4 4" xfId="27701" xr:uid="{00000000-0005-0000-0000-0000A5BD0000}"/>
    <cellStyle name="Normal 7 3 4 5 5" xfId="6685" xr:uid="{00000000-0005-0000-0000-0000A6BD0000}"/>
    <cellStyle name="Normal 7 3 4 5 5 2" xfId="15512" xr:uid="{00000000-0005-0000-0000-0000A7BD0000}"/>
    <cellStyle name="Normal 7 3 4 5 5 2 2" xfId="41067" xr:uid="{00000000-0005-0000-0000-0000A8BD0000}"/>
    <cellStyle name="Normal 7 3 4 5 5 3" xfId="25763" xr:uid="{00000000-0005-0000-0000-0000A9BD0000}"/>
    <cellStyle name="Normal 7 3 4 5 5 3 2" xfId="51316" xr:uid="{00000000-0005-0000-0000-0000AABD0000}"/>
    <cellStyle name="Normal 7 3 4 5 5 4" xfId="32246" xr:uid="{00000000-0005-0000-0000-0000ABBD0000}"/>
    <cellStyle name="Normal 7 3 4 5 6" xfId="8131" xr:uid="{00000000-0005-0000-0000-0000ACBD0000}"/>
    <cellStyle name="Normal 7 3 4 5 6 2" xfId="20521" xr:uid="{00000000-0005-0000-0000-0000ADBD0000}"/>
    <cellStyle name="Normal 7 3 4 5 6 2 2" xfId="46074" xr:uid="{00000000-0005-0000-0000-0000AEBD0000}"/>
    <cellStyle name="Normal 7 3 4 5 6 3" xfId="33688" xr:uid="{00000000-0005-0000-0000-0000AFBD0000}"/>
    <cellStyle name="Normal 7 3 4 5 7" xfId="16211" xr:uid="{00000000-0005-0000-0000-0000B0BD0000}"/>
    <cellStyle name="Normal 7 3 4 5 7 2" xfId="41764" xr:uid="{00000000-0005-0000-0000-0000B1BD0000}"/>
    <cellStyle name="Normal 7 3 4 5 8" xfId="27004" xr:uid="{00000000-0005-0000-0000-0000B2BD0000}"/>
    <cellStyle name="Normal 7 3 4 6" xfId="2740" xr:uid="{00000000-0005-0000-0000-0000B3BD0000}"/>
    <cellStyle name="Normal 7 3 4 6 2" xfId="12057" xr:uid="{00000000-0005-0000-0000-0000B4BD0000}"/>
    <cellStyle name="Normal 7 3 4 6 2 2" xfId="22101" xr:uid="{00000000-0005-0000-0000-0000B5BD0000}"/>
    <cellStyle name="Normal 7 3 4 6 2 2 2" xfId="47654" xr:uid="{00000000-0005-0000-0000-0000B6BD0000}"/>
    <cellStyle name="Normal 7 3 4 6 2 3" xfId="37612" xr:uid="{00000000-0005-0000-0000-0000B7BD0000}"/>
    <cellStyle name="Normal 7 3 4 6 3" xfId="8416" xr:uid="{00000000-0005-0000-0000-0000B8BD0000}"/>
    <cellStyle name="Normal 7 3 4 6 3 2" xfId="33973" xr:uid="{00000000-0005-0000-0000-0000B9BD0000}"/>
    <cellStyle name="Normal 7 3 4 6 4" xfId="17094" xr:uid="{00000000-0005-0000-0000-0000BABD0000}"/>
    <cellStyle name="Normal 7 3 4 6 4 2" xfId="42647" xr:uid="{00000000-0005-0000-0000-0000BBBD0000}"/>
    <cellStyle name="Normal 7 3 4 6 5" xfId="28584" xr:uid="{00000000-0005-0000-0000-0000BCBD0000}"/>
    <cellStyle name="Normal 7 3 4 7" xfId="4186" xr:uid="{00000000-0005-0000-0000-0000BDBD0000}"/>
    <cellStyle name="Normal 7 3 4 7 2" xfId="13024" xr:uid="{00000000-0005-0000-0000-0000BEBD0000}"/>
    <cellStyle name="Normal 7 3 4 7 2 2" xfId="23275" xr:uid="{00000000-0005-0000-0000-0000BFBD0000}"/>
    <cellStyle name="Normal 7 3 4 7 2 2 2" xfId="48828" xr:uid="{00000000-0005-0000-0000-0000C0BD0000}"/>
    <cellStyle name="Normal 7 3 4 7 2 3" xfId="38579" xr:uid="{00000000-0005-0000-0000-0000C1BD0000}"/>
    <cellStyle name="Normal 7 3 4 7 3" xfId="9445" xr:uid="{00000000-0005-0000-0000-0000C2BD0000}"/>
    <cellStyle name="Normal 7 3 4 7 3 2" xfId="35002" xr:uid="{00000000-0005-0000-0000-0000C3BD0000}"/>
    <cellStyle name="Normal 7 3 4 7 4" xfId="18268" xr:uid="{00000000-0005-0000-0000-0000C4BD0000}"/>
    <cellStyle name="Normal 7 3 4 7 4 2" xfId="43821" xr:uid="{00000000-0005-0000-0000-0000C5BD0000}"/>
    <cellStyle name="Normal 7 3 4 7 5" xfId="29758" xr:uid="{00000000-0005-0000-0000-0000C6BD0000}"/>
    <cellStyle name="Normal 7 3 4 8" xfId="1458" xr:uid="{00000000-0005-0000-0000-0000C7BD0000}"/>
    <cellStyle name="Normal 7 3 4 8 2" xfId="10835" xr:uid="{00000000-0005-0000-0000-0000C8BD0000}"/>
    <cellStyle name="Normal 7 3 4 8 2 2" xfId="36390" xr:uid="{00000000-0005-0000-0000-0000C9BD0000}"/>
    <cellStyle name="Normal 7 3 4 8 3" xfId="20839" xr:uid="{00000000-0005-0000-0000-0000CABD0000}"/>
    <cellStyle name="Normal 7 3 4 8 3 2" xfId="46392" xr:uid="{00000000-0005-0000-0000-0000CBBD0000}"/>
    <cellStyle name="Normal 7 3 4 8 4" xfId="27322" xr:uid="{00000000-0005-0000-0000-0000CCBD0000}"/>
    <cellStyle name="Normal 7 3 4 9" xfId="5642" xr:uid="{00000000-0005-0000-0000-0000CDBD0000}"/>
    <cellStyle name="Normal 7 3 4 9 2" xfId="14469" xr:uid="{00000000-0005-0000-0000-0000CEBD0000}"/>
    <cellStyle name="Normal 7 3 4 9 2 2" xfId="40024" xr:uid="{00000000-0005-0000-0000-0000CFBD0000}"/>
    <cellStyle name="Normal 7 3 4 9 3" xfId="24720" xr:uid="{00000000-0005-0000-0000-0000D0BD0000}"/>
    <cellStyle name="Normal 7 3 4 9 3 2" xfId="50273" xr:uid="{00000000-0005-0000-0000-0000D1BD0000}"/>
    <cellStyle name="Normal 7 3 4 9 4" xfId="31203" xr:uid="{00000000-0005-0000-0000-0000D2BD0000}"/>
    <cellStyle name="Normal 7 3 4_Degree data" xfId="4063" xr:uid="{00000000-0005-0000-0000-0000D3BD0000}"/>
    <cellStyle name="Normal 7 3 5" xfId="466" xr:uid="{00000000-0005-0000-0000-0000D4BD0000}"/>
    <cellStyle name="Normal 7 3 5 10" xfId="26395" xr:uid="{00000000-0005-0000-0000-0000D5BD0000}"/>
    <cellStyle name="Normal 7 3 5 2" xfId="959" xr:uid="{00000000-0005-0000-0000-0000D6BD0000}"/>
    <cellStyle name="Normal 7 3 5 2 2" xfId="3435" xr:uid="{00000000-0005-0000-0000-0000D7BD0000}"/>
    <cellStyle name="Normal 7 3 5 2 2 2" xfId="12577" xr:uid="{00000000-0005-0000-0000-0000D8BD0000}"/>
    <cellStyle name="Normal 7 3 5 2 2 2 2" xfId="22796" xr:uid="{00000000-0005-0000-0000-0000D9BD0000}"/>
    <cellStyle name="Normal 7 3 5 2 2 2 2 2" xfId="48349" xr:uid="{00000000-0005-0000-0000-0000DABD0000}"/>
    <cellStyle name="Normal 7 3 5 2 2 2 3" xfId="38132" xr:uid="{00000000-0005-0000-0000-0000DBBD0000}"/>
    <cellStyle name="Normal 7 3 5 2 2 3" xfId="8999" xr:uid="{00000000-0005-0000-0000-0000DCBD0000}"/>
    <cellStyle name="Normal 7 3 5 2 2 3 2" xfId="34556" xr:uid="{00000000-0005-0000-0000-0000DDBD0000}"/>
    <cellStyle name="Normal 7 3 5 2 2 4" xfId="17789" xr:uid="{00000000-0005-0000-0000-0000DEBD0000}"/>
    <cellStyle name="Normal 7 3 5 2 2 4 2" xfId="43342" xr:uid="{00000000-0005-0000-0000-0000DFBD0000}"/>
    <cellStyle name="Normal 7 3 5 2 2 5" xfId="29279" xr:uid="{00000000-0005-0000-0000-0000E0BD0000}"/>
    <cellStyle name="Normal 7 3 5 2 3" xfId="4765" xr:uid="{00000000-0005-0000-0000-0000E1BD0000}"/>
    <cellStyle name="Normal 7 3 5 2 3 2" xfId="13602" xr:uid="{00000000-0005-0000-0000-0000E2BD0000}"/>
    <cellStyle name="Normal 7 3 5 2 3 2 2" xfId="23853" xr:uid="{00000000-0005-0000-0000-0000E3BD0000}"/>
    <cellStyle name="Normal 7 3 5 2 3 2 2 2" xfId="49406" xr:uid="{00000000-0005-0000-0000-0000E4BD0000}"/>
    <cellStyle name="Normal 7 3 5 2 3 2 3" xfId="39157" xr:uid="{00000000-0005-0000-0000-0000E5BD0000}"/>
    <cellStyle name="Normal 7 3 5 2 3 3" xfId="10023" xr:uid="{00000000-0005-0000-0000-0000E6BD0000}"/>
    <cellStyle name="Normal 7 3 5 2 3 3 2" xfId="35580" xr:uid="{00000000-0005-0000-0000-0000E7BD0000}"/>
    <cellStyle name="Normal 7 3 5 2 3 4" xfId="18846" xr:uid="{00000000-0005-0000-0000-0000E8BD0000}"/>
    <cellStyle name="Normal 7 3 5 2 3 4 2" xfId="44399" xr:uid="{00000000-0005-0000-0000-0000E9BD0000}"/>
    <cellStyle name="Normal 7 3 5 2 3 5" xfId="30336" xr:uid="{00000000-0005-0000-0000-0000EABD0000}"/>
    <cellStyle name="Normal 7 3 5 2 4" xfId="2544" xr:uid="{00000000-0005-0000-0000-0000EBBD0000}"/>
    <cellStyle name="Normal 7 3 5 2 4 2" xfId="11909" xr:uid="{00000000-0005-0000-0000-0000ECBD0000}"/>
    <cellStyle name="Normal 7 3 5 2 4 2 2" xfId="37464" xr:uid="{00000000-0005-0000-0000-0000EDBD0000}"/>
    <cellStyle name="Normal 7 3 5 2 4 3" xfId="21913" xr:uid="{00000000-0005-0000-0000-0000EEBD0000}"/>
    <cellStyle name="Normal 7 3 5 2 4 3 2" xfId="47466" xr:uid="{00000000-0005-0000-0000-0000EFBD0000}"/>
    <cellStyle name="Normal 7 3 5 2 4 4" xfId="28396" xr:uid="{00000000-0005-0000-0000-0000F0BD0000}"/>
    <cellStyle name="Normal 7 3 5 2 5" xfId="6220" xr:uid="{00000000-0005-0000-0000-0000F1BD0000}"/>
    <cellStyle name="Normal 7 3 5 2 5 2" xfId="15047" xr:uid="{00000000-0005-0000-0000-0000F2BD0000}"/>
    <cellStyle name="Normal 7 3 5 2 5 2 2" xfId="40602" xr:uid="{00000000-0005-0000-0000-0000F3BD0000}"/>
    <cellStyle name="Normal 7 3 5 2 5 3" xfId="25298" xr:uid="{00000000-0005-0000-0000-0000F4BD0000}"/>
    <cellStyle name="Normal 7 3 5 2 5 3 2" xfId="50851" xr:uid="{00000000-0005-0000-0000-0000F5BD0000}"/>
    <cellStyle name="Normal 7 3 5 2 5 4" xfId="31781" xr:uid="{00000000-0005-0000-0000-0000F6BD0000}"/>
    <cellStyle name="Normal 7 3 5 2 6" xfId="7666" xr:uid="{00000000-0005-0000-0000-0000F7BD0000}"/>
    <cellStyle name="Normal 7 3 5 2 6 2" xfId="20395" xr:uid="{00000000-0005-0000-0000-0000F8BD0000}"/>
    <cellStyle name="Normal 7 3 5 2 6 2 2" xfId="45948" xr:uid="{00000000-0005-0000-0000-0000F9BD0000}"/>
    <cellStyle name="Normal 7 3 5 2 6 3" xfId="33223" xr:uid="{00000000-0005-0000-0000-0000FABD0000}"/>
    <cellStyle name="Normal 7 3 5 2 7" xfId="16906" xr:uid="{00000000-0005-0000-0000-0000FBBD0000}"/>
    <cellStyle name="Normal 7 3 5 2 7 2" xfId="42459" xr:uid="{00000000-0005-0000-0000-0000FCBD0000}"/>
    <cellStyle name="Normal 7 3 5 2 8" xfId="26878" xr:uid="{00000000-0005-0000-0000-0000FDBD0000}"/>
    <cellStyle name="Normal 7 3 5 3" xfId="1238" xr:uid="{00000000-0005-0000-0000-0000FEBD0000}"/>
    <cellStyle name="Normal 7 3 5 3 2" xfId="3667" xr:uid="{00000000-0005-0000-0000-0000FFBD0000}"/>
    <cellStyle name="Normal 7 3 5 3 2 2" xfId="12803" xr:uid="{00000000-0005-0000-0000-000000BE0000}"/>
    <cellStyle name="Normal 7 3 5 3 2 2 2" xfId="23022" xr:uid="{00000000-0005-0000-0000-000001BE0000}"/>
    <cellStyle name="Normal 7 3 5 3 2 2 2 2" xfId="48575" xr:uid="{00000000-0005-0000-0000-000002BE0000}"/>
    <cellStyle name="Normal 7 3 5 3 2 2 3" xfId="38358" xr:uid="{00000000-0005-0000-0000-000003BE0000}"/>
    <cellStyle name="Normal 7 3 5 3 2 3" xfId="9224" xr:uid="{00000000-0005-0000-0000-000004BE0000}"/>
    <cellStyle name="Normal 7 3 5 3 2 3 2" xfId="34781" xr:uid="{00000000-0005-0000-0000-000005BE0000}"/>
    <cellStyle name="Normal 7 3 5 3 2 4" xfId="18015" xr:uid="{00000000-0005-0000-0000-000006BE0000}"/>
    <cellStyle name="Normal 7 3 5 3 2 4 2" xfId="43568" xr:uid="{00000000-0005-0000-0000-000007BE0000}"/>
    <cellStyle name="Normal 7 3 5 3 2 5" xfId="29505" xr:uid="{00000000-0005-0000-0000-000008BE0000}"/>
    <cellStyle name="Normal 7 3 5 3 3" xfId="5113" xr:uid="{00000000-0005-0000-0000-000009BE0000}"/>
    <cellStyle name="Normal 7 3 5 3 3 2" xfId="13950" xr:uid="{00000000-0005-0000-0000-00000ABE0000}"/>
    <cellStyle name="Normal 7 3 5 3 3 2 2" xfId="24201" xr:uid="{00000000-0005-0000-0000-00000BBE0000}"/>
    <cellStyle name="Normal 7 3 5 3 3 2 2 2" xfId="49754" xr:uid="{00000000-0005-0000-0000-00000CBE0000}"/>
    <cellStyle name="Normal 7 3 5 3 3 2 3" xfId="39505" xr:uid="{00000000-0005-0000-0000-00000DBE0000}"/>
    <cellStyle name="Normal 7 3 5 3 3 3" xfId="10371" xr:uid="{00000000-0005-0000-0000-00000EBE0000}"/>
    <cellStyle name="Normal 7 3 5 3 3 3 2" xfId="35928" xr:uid="{00000000-0005-0000-0000-00000FBE0000}"/>
    <cellStyle name="Normal 7 3 5 3 3 4" xfId="19194" xr:uid="{00000000-0005-0000-0000-000010BE0000}"/>
    <cellStyle name="Normal 7 3 5 3 3 4 2" xfId="44747" xr:uid="{00000000-0005-0000-0000-000011BE0000}"/>
    <cellStyle name="Normal 7 3 5 3 3 5" xfId="30684" xr:uid="{00000000-0005-0000-0000-000012BE0000}"/>
    <cellStyle name="Normal 7 3 5 3 4" xfId="2061" xr:uid="{00000000-0005-0000-0000-000013BE0000}"/>
    <cellStyle name="Normal 7 3 5 3 4 2" xfId="11426" xr:uid="{00000000-0005-0000-0000-000014BE0000}"/>
    <cellStyle name="Normal 7 3 5 3 4 2 2" xfId="36981" xr:uid="{00000000-0005-0000-0000-000015BE0000}"/>
    <cellStyle name="Normal 7 3 5 3 4 3" xfId="21430" xr:uid="{00000000-0005-0000-0000-000016BE0000}"/>
    <cellStyle name="Normal 7 3 5 3 4 3 2" xfId="46983" xr:uid="{00000000-0005-0000-0000-000017BE0000}"/>
    <cellStyle name="Normal 7 3 5 3 4 4" xfId="27913" xr:uid="{00000000-0005-0000-0000-000018BE0000}"/>
    <cellStyle name="Normal 7 3 5 3 5" xfId="6568" xr:uid="{00000000-0005-0000-0000-000019BE0000}"/>
    <cellStyle name="Normal 7 3 5 3 5 2" xfId="15395" xr:uid="{00000000-0005-0000-0000-00001ABE0000}"/>
    <cellStyle name="Normal 7 3 5 3 5 2 2" xfId="40950" xr:uid="{00000000-0005-0000-0000-00001BBE0000}"/>
    <cellStyle name="Normal 7 3 5 3 5 3" xfId="25646" xr:uid="{00000000-0005-0000-0000-00001CBE0000}"/>
    <cellStyle name="Normal 7 3 5 3 5 3 2" xfId="51199" xr:uid="{00000000-0005-0000-0000-00001DBE0000}"/>
    <cellStyle name="Normal 7 3 5 3 5 4" xfId="32129" xr:uid="{00000000-0005-0000-0000-00001EBE0000}"/>
    <cellStyle name="Normal 7 3 5 3 6" xfId="8014" xr:uid="{00000000-0005-0000-0000-00001FBE0000}"/>
    <cellStyle name="Normal 7 3 5 3 6 2" xfId="20621" xr:uid="{00000000-0005-0000-0000-000020BE0000}"/>
    <cellStyle name="Normal 7 3 5 3 6 2 2" xfId="46174" xr:uid="{00000000-0005-0000-0000-000021BE0000}"/>
    <cellStyle name="Normal 7 3 5 3 6 3" xfId="33571" xr:uid="{00000000-0005-0000-0000-000022BE0000}"/>
    <cellStyle name="Normal 7 3 5 3 7" xfId="16423" xr:uid="{00000000-0005-0000-0000-000023BE0000}"/>
    <cellStyle name="Normal 7 3 5 3 7 2" xfId="41976" xr:uid="{00000000-0005-0000-0000-000024BE0000}"/>
    <cellStyle name="Normal 7 3 5 3 8" xfId="27104" xr:uid="{00000000-0005-0000-0000-000025BE0000}"/>
    <cellStyle name="Normal 7 3 5 4" xfId="2952" xr:uid="{00000000-0005-0000-0000-000026BE0000}"/>
    <cellStyle name="Normal 7 3 5 4 2" xfId="5330" xr:uid="{00000000-0005-0000-0000-000027BE0000}"/>
    <cellStyle name="Normal 7 3 5 4 2 2" xfId="14167" xr:uid="{00000000-0005-0000-0000-000028BE0000}"/>
    <cellStyle name="Normal 7 3 5 4 2 2 2" xfId="24418" xr:uid="{00000000-0005-0000-0000-000029BE0000}"/>
    <cellStyle name="Normal 7 3 5 4 2 2 2 2" xfId="49971" xr:uid="{00000000-0005-0000-0000-00002ABE0000}"/>
    <cellStyle name="Normal 7 3 5 4 2 2 3" xfId="39722" xr:uid="{00000000-0005-0000-0000-00002BBE0000}"/>
    <cellStyle name="Normal 7 3 5 4 2 3" xfId="10588" xr:uid="{00000000-0005-0000-0000-00002CBE0000}"/>
    <cellStyle name="Normal 7 3 5 4 2 3 2" xfId="36145" xr:uid="{00000000-0005-0000-0000-00002DBE0000}"/>
    <cellStyle name="Normal 7 3 5 4 2 4" xfId="19411" xr:uid="{00000000-0005-0000-0000-00002EBE0000}"/>
    <cellStyle name="Normal 7 3 5 4 2 4 2" xfId="44964" xr:uid="{00000000-0005-0000-0000-00002FBE0000}"/>
    <cellStyle name="Normal 7 3 5 4 2 5" xfId="30901" xr:uid="{00000000-0005-0000-0000-000030BE0000}"/>
    <cellStyle name="Normal 7 3 5 4 3" xfId="6785" xr:uid="{00000000-0005-0000-0000-000031BE0000}"/>
    <cellStyle name="Normal 7 3 5 4 3 2" xfId="15612" xr:uid="{00000000-0005-0000-0000-000032BE0000}"/>
    <cellStyle name="Normal 7 3 5 4 3 2 2" xfId="41167" xr:uid="{00000000-0005-0000-0000-000033BE0000}"/>
    <cellStyle name="Normal 7 3 5 4 3 3" xfId="25863" xr:uid="{00000000-0005-0000-0000-000034BE0000}"/>
    <cellStyle name="Normal 7 3 5 4 3 3 2" xfId="51416" xr:uid="{00000000-0005-0000-0000-000035BE0000}"/>
    <cellStyle name="Normal 7 3 5 4 3 4" xfId="32346" xr:uid="{00000000-0005-0000-0000-000036BE0000}"/>
    <cellStyle name="Normal 7 3 5 4 4" xfId="8231" xr:uid="{00000000-0005-0000-0000-000037BE0000}"/>
    <cellStyle name="Normal 7 3 5 4 4 2" xfId="22313" xr:uid="{00000000-0005-0000-0000-000038BE0000}"/>
    <cellStyle name="Normal 7 3 5 4 4 2 2" xfId="47866" xr:uid="{00000000-0005-0000-0000-000039BE0000}"/>
    <cellStyle name="Normal 7 3 5 4 4 3" xfId="33788" xr:uid="{00000000-0005-0000-0000-00003ABE0000}"/>
    <cellStyle name="Normal 7 3 5 4 5" xfId="17306" xr:uid="{00000000-0005-0000-0000-00003BBE0000}"/>
    <cellStyle name="Normal 7 3 5 4 5 2" xfId="42859" xr:uid="{00000000-0005-0000-0000-00003CBE0000}"/>
    <cellStyle name="Normal 7 3 5 4 6" xfId="28796" xr:uid="{00000000-0005-0000-0000-00003DBE0000}"/>
    <cellStyle name="Normal 7 3 5 5" xfId="4286" xr:uid="{00000000-0005-0000-0000-00003EBE0000}"/>
    <cellStyle name="Normal 7 3 5 5 2" xfId="13124" xr:uid="{00000000-0005-0000-0000-00003FBE0000}"/>
    <cellStyle name="Normal 7 3 5 5 2 2" xfId="23375" xr:uid="{00000000-0005-0000-0000-000040BE0000}"/>
    <cellStyle name="Normal 7 3 5 5 2 2 2" xfId="48928" xr:uid="{00000000-0005-0000-0000-000041BE0000}"/>
    <cellStyle name="Normal 7 3 5 5 2 3" xfId="38679" xr:uid="{00000000-0005-0000-0000-000042BE0000}"/>
    <cellStyle name="Normal 7 3 5 5 3" xfId="9545" xr:uid="{00000000-0005-0000-0000-000043BE0000}"/>
    <cellStyle name="Normal 7 3 5 5 3 2" xfId="35102" xr:uid="{00000000-0005-0000-0000-000044BE0000}"/>
    <cellStyle name="Normal 7 3 5 5 4" xfId="18368" xr:uid="{00000000-0005-0000-0000-000045BE0000}"/>
    <cellStyle name="Normal 7 3 5 5 4 2" xfId="43921" xr:uid="{00000000-0005-0000-0000-000046BE0000}"/>
    <cellStyle name="Normal 7 3 5 5 5" xfId="29858" xr:uid="{00000000-0005-0000-0000-000047BE0000}"/>
    <cellStyle name="Normal 7 3 5 6" xfId="1558" xr:uid="{00000000-0005-0000-0000-000048BE0000}"/>
    <cellStyle name="Normal 7 3 5 6 2" xfId="10935" xr:uid="{00000000-0005-0000-0000-000049BE0000}"/>
    <cellStyle name="Normal 7 3 5 6 2 2" xfId="36490" xr:uid="{00000000-0005-0000-0000-00004ABE0000}"/>
    <cellStyle name="Normal 7 3 5 6 3" xfId="20939" xr:uid="{00000000-0005-0000-0000-00004BBE0000}"/>
    <cellStyle name="Normal 7 3 5 6 3 2" xfId="46492" xr:uid="{00000000-0005-0000-0000-00004CBE0000}"/>
    <cellStyle name="Normal 7 3 5 6 4" xfId="27422" xr:uid="{00000000-0005-0000-0000-00004DBE0000}"/>
    <cellStyle name="Normal 7 3 5 7" xfId="5742" xr:uid="{00000000-0005-0000-0000-00004EBE0000}"/>
    <cellStyle name="Normal 7 3 5 7 2" xfId="14569" xr:uid="{00000000-0005-0000-0000-00004FBE0000}"/>
    <cellStyle name="Normal 7 3 5 7 2 2" xfId="40124" xr:uid="{00000000-0005-0000-0000-000050BE0000}"/>
    <cellStyle name="Normal 7 3 5 7 3" xfId="24820" xr:uid="{00000000-0005-0000-0000-000051BE0000}"/>
    <cellStyle name="Normal 7 3 5 7 3 2" xfId="50373" xr:uid="{00000000-0005-0000-0000-000052BE0000}"/>
    <cellStyle name="Normal 7 3 5 7 4" xfId="31303" xr:uid="{00000000-0005-0000-0000-000053BE0000}"/>
    <cellStyle name="Normal 7 3 5 8" xfId="7186" xr:uid="{00000000-0005-0000-0000-000054BE0000}"/>
    <cellStyle name="Normal 7 3 5 8 2" xfId="19912" xr:uid="{00000000-0005-0000-0000-000055BE0000}"/>
    <cellStyle name="Normal 7 3 5 8 2 2" xfId="45465" xr:uid="{00000000-0005-0000-0000-000056BE0000}"/>
    <cellStyle name="Normal 7 3 5 8 3" xfId="32743" xr:uid="{00000000-0005-0000-0000-000057BE0000}"/>
    <cellStyle name="Normal 7 3 5 9" xfId="15932" xr:uid="{00000000-0005-0000-0000-000058BE0000}"/>
    <cellStyle name="Normal 7 3 5 9 2" xfId="41485" xr:uid="{00000000-0005-0000-0000-000059BE0000}"/>
    <cellStyle name="Normal 7 3 5_Degree data" xfId="4065" xr:uid="{00000000-0005-0000-0000-00005ABE0000}"/>
    <cellStyle name="Normal 7 3 6" xfId="338" xr:uid="{00000000-0005-0000-0000-00005BBE0000}"/>
    <cellStyle name="Normal 7 3 6 10" xfId="26267" xr:uid="{00000000-0005-0000-0000-00005CBE0000}"/>
    <cellStyle name="Normal 7 3 6 2" xfId="960" xr:uid="{00000000-0005-0000-0000-00005DBE0000}"/>
    <cellStyle name="Normal 7 3 6 2 2" xfId="3436" xr:uid="{00000000-0005-0000-0000-00005EBE0000}"/>
    <cellStyle name="Normal 7 3 6 2 2 2" xfId="12578" xr:uid="{00000000-0005-0000-0000-00005FBE0000}"/>
    <cellStyle name="Normal 7 3 6 2 2 2 2" xfId="22797" xr:uid="{00000000-0005-0000-0000-000060BE0000}"/>
    <cellStyle name="Normal 7 3 6 2 2 2 2 2" xfId="48350" xr:uid="{00000000-0005-0000-0000-000061BE0000}"/>
    <cellStyle name="Normal 7 3 6 2 2 2 3" xfId="38133" xr:uid="{00000000-0005-0000-0000-000062BE0000}"/>
    <cellStyle name="Normal 7 3 6 2 2 3" xfId="9000" xr:uid="{00000000-0005-0000-0000-000063BE0000}"/>
    <cellStyle name="Normal 7 3 6 2 2 3 2" xfId="34557" xr:uid="{00000000-0005-0000-0000-000064BE0000}"/>
    <cellStyle name="Normal 7 3 6 2 2 4" xfId="17790" xr:uid="{00000000-0005-0000-0000-000065BE0000}"/>
    <cellStyle name="Normal 7 3 6 2 2 4 2" xfId="43343" xr:uid="{00000000-0005-0000-0000-000066BE0000}"/>
    <cellStyle name="Normal 7 3 6 2 2 5" xfId="29280" xr:uid="{00000000-0005-0000-0000-000067BE0000}"/>
    <cellStyle name="Normal 7 3 6 2 3" xfId="4766" xr:uid="{00000000-0005-0000-0000-000068BE0000}"/>
    <cellStyle name="Normal 7 3 6 2 3 2" xfId="13603" xr:uid="{00000000-0005-0000-0000-000069BE0000}"/>
    <cellStyle name="Normal 7 3 6 2 3 2 2" xfId="23854" xr:uid="{00000000-0005-0000-0000-00006ABE0000}"/>
    <cellStyle name="Normal 7 3 6 2 3 2 2 2" xfId="49407" xr:uid="{00000000-0005-0000-0000-00006BBE0000}"/>
    <cellStyle name="Normal 7 3 6 2 3 2 3" xfId="39158" xr:uid="{00000000-0005-0000-0000-00006CBE0000}"/>
    <cellStyle name="Normal 7 3 6 2 3 3" xfId="10024" xr:uid="{00000000-0005-0000-0000-00006DBE0000}"/>
    <cellStyle name="Normal 7 3 6 2 3 3 2" xfId="35581" xr:uid="{00000000-0005-0000-0000-00006EBE0000}"/>
    <cellStyle name="Normal 7 3 6 2 3 4" xfId="18847" xr:uid="{00000000-0005-0000-0000-00006FBE0000}"/>
    <cellStyle name="Normal 7 3 6 2 3 4 2" xfId="44400" xr:uid="{00000000-0005-0000-0000-000070BE0000}"/>
    <cellStyle name="Normal 7 3 6 2 3 5" xfId="30337" xr:uid="{00000000-0005-0000-0000-000071BE0000}"/>
    <cellStyle name="Normal 7 3 6 2 4" xfId="2545" xr:uid="{00000000-0005-0000-0000-000072BE0000}"/>
    <cellStyle name="Normal 7 3 6 2 4 2" xfId="11910" xr:uid="{00000000-0005-0000-0000-000073BE0000}"/>
    <cellStyle name="Normal 7 3 6 2 4 2 2" xfId="37465" xr:uid="{00000000-0005-0000-0000-000074BE0000}"/>
    <cellStyle name="Normal 7 3 6 2 4 3" xfId="21914" xr:uid="{00000000-0005-0000-0000-000075BE0000}"/>
    <cellStyle name="Normal 7 3 6 2 4 3 2" xfId="47467" xr:uid="{00000000-0005-0000-0000-000076BE0000}"/>
    <cellStyle name="Normal 7 3 6 2 4 4" xfId="28397" xr:uid="{00000000-0005-0000-0000-000077BE0000}"/>
    <cellStyle name="Normal 7 3 6 2 5" xfId="6221" xr:uid="{00000000-0005-0000-0000-000078BE0000}"/>
    <cellStyle name="Normal 7 3 6 2 5 2" xfId="15048" xr:uid="{00000000-0005-0000-0000-000079BE0000}"/>
    <cellStyle name="Normal 7 3 6 2 5 2 2" xfId="40603" xr:uid="{00000000-0005-0000-0000-00007ABE0000}"/>
    <cellStyle name="Normal 7 3 6 2 5 3" xfId="25299" xr:uid="{00000000-0005-0000-0000-00007BBE0000}"/>
    <cellStyle name="Normal 7 3 6 2 5 3 2" xfId="50852" xr:uid="{00000000-0005-0000-0000-00007CBE0000}"/>
    <cellStyle name="Normal 7 3 6 2 5 4" xfId="31782" xr:uid="{00000000-0005-0000-0000-00007DBE0000}"/>
    <cellStyle name="Normal 7 3 6 2 6" xfId="7667" xr:uid="{00000000-0005-0000-0000-00007EBE0000}"/>
    <cellStyle name="Normal 7 3 6 2 6 2" xfId="20396" xr:uid="{00000000-0005-0000-0000-00007FBE0000}"/>
    <cellStyle name="Normal 7 3 6 2 6 2 2" xfId="45949" xr:uid="{00000000-0005-0000-0000-000080BE0000}"/>
    <cellStyle name="Normal 7 3 6 2 6 3" xfId="33224" xr:uid="{00000000-0005-0000-0000-000081BE0000}"/>
    <cellStyle name="Normal 7 3 6 2 7" xfId="16907" xr:uid="{00000000-0005-0000-0000-000082BE0000}"/>
    <cellStyle name="Normal 7 3 6 2 7 2" xfId="42460" xr:uid="{00000000-0005-0000-0000-000083BE0000}"/>
    <cellStyle name="Normal 7 3 6 2 8" xfId="26879" xr:uid="{00000000-0005-0000-0000-000084BE0000}"/>
    <cellStyle name="Normal 7 3 6 3" xfId="1110" xr:uid="{00000000-0005-0000-0000-000085BE0000}"/>
    <cellStyle name="Normal 7 3 6 3 2" xfId="3539" xr:uid="{00000000-0005-0000-0000-000086BE0000}"/>
    <cellStyle name="Normal 7 3 6 3 2 2" xfId="12675" xr:uid="{00000000-0005-0000-0000-000087BE0000}"/>
    <cellStyle name="Normal 7 3 6 3 2 2 2" xfId="22894" xr:uid="{00000000-0005-0000-0000-000088BE0000}"/>
    <cellStyle name="Normal 7 3 6 3 2 2 2 2" xfId="48447" xr:uid="{00000000-0005-0000-0000-000089BE0000}"/>
    <cellStyle name="Normal 7 3 6 3 2 2 3" xfId="38230" xr:uid="{00000000-0005-0000-0000-00008ABE0000}"/>
    <cellStyle name="Normal 7 3 6 3 2 3" xfId="9096" xr:uid="{00000000-0005-0000-0000-00008BBE0000}"/>
    <cellStyle name="Normal 7 3 6 3 2 3 2" xfId="34653" xr:uid="{00000000-0005-0000-0000-00008CBE0000}"/>
    <cellStyle name="Normal 7 3 6 3 2 4" xfId="17887" xr:uid="{00000000-0005-0000-0000-00008DBE0000}"/>
    <cellStyle name="Normal 7 3 6 3 2 4 2" xfId="43440" xr:uid="{00000000-0005-0000-0000-00008EBE0000}"/>
    <cellStyle name="Normal 7 3 6 3 2 5" xfId="29377" xr:uid="{00000000-0005-0000-0000-00008FBE0000}"/>
    <cellStyle name="Normal 7 3 6 3 3" xfId="5114" xr:uid="{00000000-0005-0000-0000-000090BE0000}"/>
    <cellStyle name="Normal 7 3 6 3 3 2" xfId="13951" xr:uid="{00000000-0005-0000-0000-000091BE0000}"/>
    <cellStyle name="Normal 7 3 6 3 3 2 2" xfId="24202" xr:uid="{00000000-0005-0000-0000-000092BE0000}"/>
    <cellStyle name="Normal 7 3 6 3 3 2 2 2" xfId="49755" xr:uid="{00000000-0005-0000-0000-000093BE0000}"/>
    <cellStyle name="Normal 7 3 6 3 3 2 3" xfId="39506" xr:uid="{00000000-0005-0000-0000-000094BE0000}"/>
    <cellStyle name="Normal 7 3 6 3 3 3" xfId="10372" xr:uid="{00000000-0005-0000-0000-000095BE0000}"/>
    <cellStyle name="Normal 7 3 6 3 3 3 2" xfId="35929" xr:uid="{00000000-0005-0000-0000-000096BE0000}"/>
    <cellStyle name="Normal 7 3 6 3 3 4" xfId="19195" xr:uid="{00000000-0005-0000-0000-000097BE0000}"/>
    <cellStyle name="Normal 7 3 6 3 3 4 2" xfId="44748" xr:uid="{00000000-0005-0000-0000-000098BE0000}"/>
    <cellStyle name="Normal 7 3 6 3 3 5" xfId="30685" xr:uid="{00000000-0005-0000-0000-000099BE0000}"/>
    <cellStyle name="Normal 7 3 6 3 4" xfId="2599" xr:uid="{00000000-0005-0000-0000-00009ABE0000}"/>
    <cellStyle name="Normal 7 3 6 3 4 2" xfId="11963" xr:uid="{00000000-0005-0000-0000-00009BBE0000}"/>
    <cellStyle name="Normal 7 3 6 3 4 2 2" xfId="37518" xr:uid="{00000000-0005-0000-0000-00009CBE0000}"/>
    <cellStyle name="Normal 7 3 6 3 4 3" xfId="21967" xr:uid="{00000000-0005-0000-0000-00009DBE0000}"/>
    <cellStyle name="Normal 7 3 6 3 4 3 2" xfId="47520" xr:uid="{00000000-0005-0000-0000-00009EBE0000}"/>
    <cellStyle name="Normal 7 3 6 3 4 4" xfId="28450" xr:uid="{00000000-0005-0000-0000-00009FBE0000}"/>
    <cellStyle name="Normal 7 3 6 3 5" xfId="6569" xr:uid="{00000000-0005-0000-0000-0000A0BE0000}"/>
    <cellStyle name="Normal 7 3 6 3 5 2" xfId="15396" xr:uid="{00000000-0005-0000-0000-0000A1BE0000}"/>
    <cellStyle name="Normal 7 3 6 3 5 2 2" xfId="40951" xr:uid="{00000000-0005-0000-0000-0000A2BE0000}"/>
    <cellStyle name="Normal 7 3 6 3 5 3" xfId="25647" xr:uid="{00000000-0005-0000-0000-0000A3BE0000}"/>
    <cellStyle name="Normal 7 3 6 3 5 3 2" xfId="51200" xr:uid="{00000000-0005-0000-0000-0000A4BE0000}"/>
    <cellStyle name="Normal 7 3 6 3 5 4" xfId="32130" xr:uid="{00000000-0005-0000-0000-0000A5BE0000}"/>
    <cellStyle name="Normal 7 3 6 3 6" xfId="8015" xr:uid="{00000000-0005-0000-0000-0000A6BE0000}"/>
    <cellStyle name="Normal 7 3 6 3 6 2" xfId="20493" xr:uid="{00000000-0005-0000-0000-0000A7BE0000}"/>
    <cellStyle name="Normal 7 3 6 3 6 2 2" xfId="46046" xr:uid="{00000000-0005-0000-0000-0000A8BE0000}"/>
    <cellStyle name="Normal 7 3 6 3 6 3" xfId="33572" xr:uid="{00000000-0005-0000-0000-0000A9BE0000}"/>
    <cellStyle name="Normal 7 3 6 3 7" xfId="16960" xr:uid="{00000000-0005-0000-0000-0000AABE0000}"/>
    <cellStyle name="Normal 7 3 6 3 7 2" xfId="42513" xr:uid="{00000000-0005-0000-0000-0000ABBE0000}"/>
    <cellStyle name="Normal 7 3 6 3 8" xfId="26976" xr:uid="{00000000-0005-0000-0000-0000ACBE0000}"/>
    <cellStyle name="Normal 7 3 6 4" xfId="2824" xr:uid="{00000000-0005-0000-0000-0000ADBE0000}"/>
    <cellStyle name="Normal 7 3 6 4 2" xfId="5202" xr:uid="{00000000-0005-0000-0000-0000AEBE0000}"/>
    <cellStyle name="Normal 7 3 6 4 2 2" xfId="14039" xr:uid="{00000000-0005-0000-0000-0000AFBE0000}"/>
    <cellStyle name="Normal 7 3 6 4 2 2 2" xfId="24290" xr:uid="{00000000-0005-0000-0000-0000B0BE0000}"/>
    <cellStyle name="Normal 7 3 6 4 2 2 2 2" xfId="49843" xr:uid="{00000000-0005-0000-0000-0000B1BE0000}"/>
    <cellStyle name="Normal 7 3 6 4 2 2 3" xfId="39594" xr:uid="{00000000-0005-0000-0000-0000B2BE0000}"/>
    <cellStyle name="Normal 7 3 6 4 2 3" xfId="10460" xr:uid="{00000000-0005-0000-0000-0000B3BE0000}"/>
    <cellStyle name="Normal 7 3 6 4 2 3 2" xfId="36017" xr:uid="{00000000-0005-0000-0000-0000B4BE0000}"/>
    <cellStyle name="Normal 7 3 6 4 2 4" xfId="19283" xr:uid="{00000000-0005-0000-0000-0000B5BE0000}"/>
    <cellStyle name="Normal 7 3 6 4 2 4 2" xfId="44836" xr:uid="{00000000-0005-0000-0000-0000B6BE0000}"/>
    <cellStyle name="Normal 7 3 6 4 2 5" xfId="30773" xr:uid="{00000000-0005-0000-0000-0000B7BE0000}"/>
    <cellStyle name="Normal 7 3 6 4 3" xfId="6657" xr:uid="{00000000-0005-0000-0000-0000B8BE0000}"/>
    <cellStyle name="Normal 7 3 6 4 3 2" xfId="15484" xr:uid="{00000000-0005-0000-0000-0000B9BE0000}"/>
    <cellStyle name="Normal 7 3 6 4 3 2 2" xfId="41039" xr:uid="{00000000-0005-0000-0000-0000BABE0000}"/>
    <cellStyle name="Normal 7 3 6 4 3 3" xfId="25735" xr:uid="{00000000-0005-0000-0000-0000BBBE0000}"/>
    <cellStyle name="Normal 7 3 6 4 3 3 2" xfId="51288" xr:uid="{00000000-0005-0000-0000-0000BCBE0000}"/>
    <cellStyle name="Normal 7 3 6 4 3 4" xfId="32218" xr:uid="{00000000-0005-0000-0000-0000BDBE0000}"/>
    <cellStyle name="Normal 7 3 6 4 4" xfId="8103" xr:uid="{00000000-0005-0000-0000-0000BEBE0000}"/>
    <cellStyle name="Normal 7 3 6 4 4 2" xfId="22185" xr:uid="{00000000-0005-0000-0000-0000BFBE0000}"/>
    <cellStyle name="Normal 7 3 6 4 4 2 2" xfId="47738" xr:uid="{00000000-0005-0000-0000-0000C0BE0000}"/>
    <cellStyle name="Normal 7 3 6 4 4 3" xfId="33660" xr:uid="{00000000-0005-0000-0000-0000C1BE0000}"/>
    <cellStyle name="Normal 7 3 6 4 5" xfId="17178" xr:uid="{00000000-0005-0000-0000-0000C2BE0000}"/>
    <cellStyle name="Normal 7 3 6 4 5 2" xfId="42731" xr:uid="{00000000-0005-0000-0000-0000C3BE0000}"/>
    <cellStyle name="Normal 7 3 6 4 6" xfId="28668" xr:uid="{00000000-0005-0000-0000-0000C4BE0000}"/>
    <cellStyle name="Normal 7 3 6 5" xfId="4156" xr:uid="{00000000-0005-0000-0000-0000C5BE0000}"/>
    <cellStyle name="Normal 7 3 6 5 2" xfId="12994" xr:uid="{00000000-0005-0000-0000-0000C6BE0000}"/>
    <cellStyle name="Normal 7 3 6 5 2 2" xfId="23245" xr:uid="{00000000-0005-0000-0000-0000C7BE0000}"/>
    <cellStyle name="Normal 7 3 6 5 2 2 2" xfId="48798" xr:uid="{00000000-0005-0000-0000-0000C8BE0000}"/>
    <cellStyle name="Normal 7 3 6 5 2 3" xfId="38549" xr:uid="{00000000-0005-0000-0000-0000C9BE0000}"/>
    <cellStyle name="Normal 7 3 6 5 3" xfId="9415" xr:uid="{00000000-0005-0000-0000-0000CABE0000}"/>
    <cellStyle name="Normal 7 3 6 5 3 2" xfId="34972" xr:uid="{00000000-0005-0000-0000-0000CBBE0000}"/>
    <cellStyle name="Normal 7 3 6 5 4" xfId="18238" xr:uid="{00000000-0005-0000-0000-0000CCBE0000}"/>
    <cellStyle name="Normal 7 3 6 5 4 2" xfId="43791" xr:uid="{00000000-0005-0000-0000-0000CDBE0000}"/>
    <cellStyle name="Normal 7 3 6 5 5" xfId="29728" xr:uid="{00000000-0005-0000-0000-0000CEBE0000}"/>
    <cellStyle name="Normal 7 3 6 6" xfId="1933" xr:uid="{00000000-0005-0000-0000-0000CFBE0000}"/>
    <cellStyle name="Normal 7 3 6 6 2" xfId="11298" xr:uid="{00000000-0005-0000-0000-0000D0BE0000}"/>
    <cellStyle name="Normal 7 3 6 6 2 2" xfId="36853" xr:uid="{00000000-0005-0000-0000-0000D1BE0000}"/>
    <cellStyle name="Normal 7 3 6 6 3" xfId="21302" xr:uid="{00000000-0005-0000-0000-0000D2BE0000}"/>
    <cellStyle name="Normal 7 3 6 6 3 2" xfId="46855" xr:uid="{00000000-0005-0000-0000-0000D3BE0000}"/>
    <cellStyle name="Normal 7 3 6 6 4" xfId="27785" xr:uid="{00000000-0005-0000-0000-0000D4BE0000}"/>
    <cellStyle name="Normal 7 3 6 7" xfId="5614" xr:uid="{00000000-0005-0000-0000-0000D5BE0000}"/>
    <cellStyle name="Normal 7 3 6 7 2" xfId="14441" xr:uid="{00000000-0005-0000-0000-0000D6BE0000}"/>
    <cellStyle name="Normal 7 3 6 7 2 2" xfId="39996" xr:uid="{00000000-0005-0000-0000-0000D7BE0000}"/>
    <cellStyle name="Normal 7 3 6 7 3" xfId="24692" xr:uid="{00000000-0005-0000-0000-0000D8BE0000}"/>
    <cellStyle name="Normal 7 3 6 7 3 2" xfId="50245" xr:uid="{00000000-0005-0000-0000-0000D9BE0000}"/>
    <cellStyle name="Normal 7 3 6 7 4" xfId="31175" xr:uid="{00000000-0005-0000-0000-0000DABE0000}"/>
    <cellStyle name="Normal 7 3 6 8" xfId="7058" xr:uid="{00000000-0005-0000-0000-0000DBBE0000}"/>
    <cellStyle name="Normal 7 3 6 8 2" xfId="19784" xr:uid="{00000000-0005-0000-0000-0000DCBE0000}"/>
    <cellStyle name="Normal 7 3 6 8 2 2" xfId="45337" xr:uid="{00000000-0005-0000-0000-0000DDBE0000}"/>
    <cellStyle name="Normal 7 3 6 8 3" xfId="32615" xr:uid="{00000000-0005-0000-0000-0000DEBE0000}"/>
    <cellStyle name="Normal 7 3 6 9" xfId="16295" xr:uid="{00000000-0005-0000-0000-0000DFBE0000}"/>
    <cellStyle name="Normal 7 3 6 9 2" xfId="41848" xr:uid="{00000000-0005-0000-0000-0000E0BE0000}"/>
    <cellStyle name="Normal 7 3 6_Degree data" xfId="4066" xr:uid="{00000000-0005-0000-0000-0000E1BE0000}"/>
    <cellStyle name="Normal 7 3 7" xfId="951" xr:uid="{00000000-0005-0000-0000-0000E2BE0000}"/>
    <cellStyle name="Normal 7 3 7 2" xfId="3427" xr:uid="{00000000-0005-0000-0000-0000E3BE0000}"/>
    <cellStyle name="Normal 7 3 7 2 2" xfId="12569" xr:uid="{00000000-0005-0000-0000-0000E4BE0000}"/>
    <cellStyle name="Normal 7 3 7 2 2 2" xfId="22788" xr:uid="{00000000-0005-0000-0000-0000E5BE0000}"/>
    <cellStyle name="Normal 7 3 7 2 2 2 2" xfId="48341" xr:uid="{00000000-0005-0000-0000-0000E6BE0000}"/>
    <cellStyle name="Normal 7 3 7 2 2 3" xfId="38124" xr:uid="{00000000-0005-0000-0000-0000E7BE0000}"/>
    <cellStyle name="Normal 7 3 7 2 3" xfId="8991" xr:uid="{00000000-0005-0000-0000-0000E8BE0000}"/>
    <cellStyle name="Normal 7 3 7 2 3 2" xfId="34548" xr:uid="{00000000-0005-0000-0000-0000E9BE0000}"/>
    <cellStyle name="Normal 7 3 7 2 4" xfId="17781" xr:uid="{00000000-0005-0000-0000-0000EABE0000}"/>
    <cellStyle name="Normal 7 3 7 2 4 2" xfId="43334" xr:uid="{00000000-0005-0000-0000-0000EBBE0000}"/>
    <cellStyle name="Normal 7 3 7 2 5" xfId="29271" xr:uid="{00000000-0005-0000-0000-0000ECBE0000}"/>
    <cellStyle name="Normal 7 3 7 3" xfId="4757" xr:uid="{00000000-0005-0000-0000-0000EDBE0000}"/>
    <cellStyle name="Normal 7 3 7 3 2" xfId="13594" xr:uid="{00000000-0005-0000-0000-0000EEBE0000}"/>
    <cellStyle name="Normal 7 3 7 3 2 2" xfId="23845" xr:uid="{00000000-0005-0000-0000-0000EFBE0000}"/>
    <cellStyle name="Normal 7 3 7 3 2 2 2" xfId="49398" xr:uid="{00000000-0005-0000-0000-0000F0BE0000}"/>
    <cellStyle name="Normal 7 3 7 3 2 3" xfId="39149" xr:uid="{00000000-0005-0000-0000-0000F1BE0000}"/>
    <cellStyle name="Normal 7 3 7 3 3" xfId="10015" xr:uid="{00000000-0005-0000-0000-0000F2BE0000}"/>
    <cellStyle name="Normal 7 3 7 3 3 2" xfId="35572" xr:uid="{00000000-0005-0000-0000-0000F3BE0000}"/>
    <cellStyle name="Normal 7 3 7 3 4" xfId="18838" xr:uid="{00000000-0005-0000-0000-0000F4BE0000}"/>
    <cellStyle name="Normal 7 3 7 3 4 2" xfId="44391" xr:uid="{00000000-0005-0000-0000-0000F5BE0000}"/>
    <cellStyle name="Normal 7 3 7 3 5" xfId="30328" xr:uid="{00000000-0005-0000-0000-0000F6BE0000}"/>
    <cellStyle name="Normal 7 3 7 4" xfId="2536" xr:uid="{00000000-0005-0000-0000-0000F7BE0000}"/>
    <cellStyle name="Normal 7 3 7 4 2" xfId="11901" xr:uid="{00000000-0005-0000-0000-0000F8BE0000}"/>
    <cellStyle name="Normal 7 3 7 4 2 2" xfId="37456" xr:uid="{00000000-0005-0000-0000-0000F9BE0000}"/>
    <cellStyle name="Normal 7 3 7 4 3" xfId="21905" xr:uid="{00000000-0005-0000-0000-0000FABE0000}"/>
    <cellStyle name="Normal 7 3 7 4 3 2" xfId="47458" xr:uid="{00000000-0005-0000-0000-0000FBBE0000}"/>
    <cellStyle name="Normal 7 3 7 4 4" xfId="28388" xr:uid="{00000000-0005-0000-0000-0000FCBE0000}"/>
    <cellStyle name="Normal 7 3 7 5" xfId="6212" xr:uid="{00000000-0005-0000-0000-0000FDBE0000}"/>
    <cellStyle name="Normal 7 3 7 5 2" xfId="15039" xr:uid="{00000000-0005-0000-0000-0000FEBE0000}"/>
    <cellStyle name="Normal 7 3 7 5 2 2" xfId="40594" xr:uid="{00000000-0005-0000-0000-0000FFBE0000}"/>
    <cellStyle name="Normal 7 3 7 5 3" xfId="25290" xr:uid="{00000000-0005-0000-0000-000000BF0000}"/>
    <cellStyle name="Normal 7 3 7 5 3 2" xfId="50843" xr:uid="{00000000-0005-0000-0000-000001BF0000}"/>
    <cellStyle name="Normal 7 3 7 5 4" xfId="31773" xr:uid="{00000000-0005-0000-0000-000002BF0000}"/>
    <cellStyle name="Normal 7 3 7 6" xfId="7658" xr:uid="{00000000-0005-0000-0000-000003BF0000}"/>
    <cellStyle name="Normal 7 3 7 6 2" xfId="20387" xr:uid="{00000000-0005-0000-0000-000004BF0000}"/>
    <cellStyle name="Normal 7 3 7 6 2 2" xfId="45940" xr:uid="{00000000-0005-0000-0000-000005BF0000}"/>
    <cellStyle name="Normal 7 3 7 6 3" xfId="33215" xr:uid="{00000000-0005-0000-0000-000006BF0000}"/>
    <cellStyle name="Normal 7 3 7 7" xfId="16898" xr:uid="{00000000-0005-0000-0000-000007BF0000}"/>
    <cellStyle name="Normal 7 3 7 7 2" xfId="42451" xr:uid="{00000000-0005-0000-0000-000008BF0000}"/>
    <cellStyle name="Normal 7 3 7 8" xfId="26870" xr:uid="{00000000-0005-0000-0000-000009BF0000}"/>
    <cellStyle name="Normal 7 3 8" xfId="1065" xr:uid="{00000000-0005-0000-0000-00000ABF0000}"/>
    <cellStyle name="Normal 7 3 8 2" xfId="3494" xr:uid="{00000000-0005-0000-0000-00000BBF0000}"/>
    <cellStyle name="Normal 7 3 8 2 2" xfId="12630" xr:uid="{00000000-0005-0000-0000-00000CBF0000}"/>
    <cellStyle name="Normal 7 3 8 2 2 2" xfId="22849" xr:uid="{00000000-0005-0000-0000-00000DBF0000}"/>
    <cellStyle name="Normal 7 3 8 2 2 2 2" xfId="48402" xr:uid="{00000000-0005-0000-0000-00000EBF0000}"/>
    <cellStyle name="Normal 7 3 8 2 2 3" xfId="38185" xr:uid="{00000000-0005-0000-0000-00000FBF0000}"/>
    <cellStyle name="Normal 7 3 8 2 3" xfId="9052" xr:uid="{00000000-0005-0000-0000-000010BF0000}"/>
    <cellStyle name="Normal 7 3 8 2 3 2" xfId="34609" xr:uid="{00000000-0005-0000-0000-000011BF0000}"/>
    <cellStyle name="Normal 7 3 8 2 4" xfId="17842" xr:uid="{00000000-0005-0000-0000-000012BF0000}"/>
    <cellStyle name="Normal 7 3 8 2 4 2" xfId="43395" xr:uid="{00000000-0005-0000-0000-000013BF0000}"/>
    <cellStyle name="Normal 7 3 8 2 5" xfId="29332" xr:uid="{00000000-0005-0000-0000-000014BF0000}"/>
    <cellStyle name="Normal 7 3 8 3" xfId="5105" xr:uid="{00000000-0005-0000-0000-000015BF0000}"/>
    <cellStyle name="Normal 7 3 8 3 2" xfId="13942" xr:uid="{00000000-0005-0000-0000-000016BF0000}"/>
    <cellStyle name="Normal 7 3 8 3 2 2" xfId="24193" xr:uid="{00000000-0005-0000-0000-000017BF0000}"/>
    <cellStyle name="Normal 7 3 8 3 2 2 2" xfId="49746" xr:uid="{00000000-0005-0000-0000-000018BF0000}"/>
    <cellStyle name="Normal 7 3 8 3 2 3" xfId="39497" xr:uid="{00000000-0005-0000-0000-000019BF0000}"/>
    <cellStyle name="Normal 7 3 8 3 3" xfId="10363" xr:uid="{00000000-0005-0000-0000-00001ABF0000}"/>
    <cellStyle name="Normal 7 3 8 3 3 2" xfId="35920" xr:uid="{00000000-0005-0000-0000-00001BBF0000}"/>
    <cellStyle name="Normal 7 3 8 3 4" xfId="19186" xr:uid="{00000000-0005-0000-0000-00001CBF0000}"/>
    <cellStyle name="Normal 7 3 8 3 4 2" xfId="44739" xr:uid="{00000000-0005-0000-0000-00001DBF0000}"/>
    <cellStyle name="Normal 7 3 8 3 5" xfId="30676" xr:uid="{00000000-0005-0000-0000-00001EBF0000}"/>
    <cellStyle name="Normal 7 3 8 4" xfId="1734" xr:uid="{00000000-0005-0000-0000-00001FBF0000}"/>
    <cellStyle name="Normal 7 3 8 4 2" xfId="11108" xr:uid="{00000000-0005-0000-0000-000020BF0000}"/>
    <cellStyle name="Normal 7 3 8 4 2 2" xfId="36663" xr:uid="{00000000-0005-0000-0000-000021BF0000}"/>
    <cellStyle name="Normal 7 3 8 4 3" xfId="21112" xr:uid="{00000000-0005-0000-0000-000022BF0000}"/>
    <cellStyle name="Normal 7 3 8 4 3 2" xfId="46665" xr:uid="{00000000-0005-0000-0000-000023BF0000}"/>
    <cellStyle name="Normal 7 3 8 4 4" xfId="27595" xr:uid="{00000000-0005-0000-0000-000024BF0000}"/>
    <cellStyle name="Normal 7 3 8 5" xfId="6560" xr:uid="{00000000-0005-0000-0000-000025BF0000}"/>
    <cellStyle name="Normal 7 3 8 5 2" xfId="15387" xr:uid="{00000000-0005-0000-0000-000026BF0000}"/>
    <cellStyle name="Normal 7 3 8 5 2 2" xfId="40942" xr:uid="{00000000-0005-0000-0000-000027BF0000}"/>
    <cellStyle name="Normal 7 3 8 5 3" xfId="25638" xr:uid="{00000000-0005-0000-0000-000028BF0000}"/>
    <cellStyle name="Normal 7 3 8 5 3 2" xfId="51191" xr:uid="{00000000-0005-0000-0000-000029BF0000}"/>
    <cellStyle name="Normal 7 3 8 5 4" xfId="32121" xr:uid="{00000000-0005-0000-0000-00002ABF0000}"/>
    <cellStyle name="Normal 7 3 8 6" xfId="8006" xr:uid="{00000000-0005-0000-0000-00002BBF0000}"/>
    <cellStyle name="Normal 7 3 8 6 2" xfId="20448" xr:uid="{00000000-0005-0000-0000-00002CBF0000}"/>
    <cellStyle name="Normal 7 3 8 6 2 2" xfId="46001" xr:uid="{00000000-0005-0000-0000-00002DBF0000}"/>
    <cellStyle name="Normal 7 3 8 6 3" xfId="33563" xr:uid="{00000000-0005-0000-0000-00002EBF0000}"/>
    <cellStyle name="Normal 7 3 8 7" xfId="16105" xr:uid="{00000000-0005-0000-0000-00002FBF0000}"/>
    <cellStyle name="Normal 7 3 8 7 2" xfId="41658" xr:uid="{00000000-0005-0000-0000-000030BF0000}"/>
    <cellStyle name="Normal 7 3 8 8" xfId="26931" xr:uid="{00000000-0005-0000-0000-000031BF0000}"/>
    <cellStyle name="Normal 7 3 9" xfId="2634" xr:uid="{00000000-0005-0000-0000-000032BF0000}"/>
    <cellStyle name="Normal 7 3 9 2" xfId="5157" xr:uid="{00000000-0005-0000-0000-000033BF0000}"/>
    <cellStyle name="Normal 7 3 9 2 2" xfId="13994" xr:uid="{00000000-0005-0000-0000-000034BF0000}"/>
    <cellStyle name="Normal 7 3 9 2 2 2" xfId="24245" xr:uid="{00000000-0005-0000-0000-000035BF0000}"/>
    <cellStyle name="Normal 7 3 9 2 2 2 2" xfId="49798" xr:uid="{00000000-0005-0000-0000-000036BF0000}"/>
    <cellStyle name="Normal 7 3 9 2 2 3" xfId="39549" xr:uid="{00000000-0005-0000-0000-000037BF0000}"/>
    <cellStyle name="Normal 7 3 9 2 3" xfId="10415" xr:uid="{00000000-0005-0000-0000-000038BF0000}"/>
    <cellStyle name="Normal 7 3 9 2 3 2" xfId="35972" xr:uid="{00000000-0005-0000-0000-000039BF0000}"/>
    <cellStyle name="Normal 7 3 9 2 4" xfId="19238" xr:uid="{00000000-0005-0000-0000-00003ABF0000}"/>
    <cellStyle name="Normal 7 3 9 2 4 2" xfId="44791" xr:uid="{00000000-0005-0000-0000-00003BBF0000}"/>
    <cellStyle name="Normal 7 3 9 2 5" xfId="30728" xr:uid="{00000000-0005-0000-0000-00003CBF0000}"/>
    <cellStyle name="Normal 7 3 9 3" xfId="6612" xr:uid="{00000000-0005-0000-0000-00003DBF0000}"/>
    <cellStyle name="Normal 7 3 9 3 2" xfId="15439" xr:uid="{00000000-0005-0000-0000-00003EBF0000}"/>
    <cellStyle name="Normal 7 3 9 3 2 2" xfId="40994" xr:uid="{00000000-0005-0000-0000-00003FBF0000}"/>
    <cellStyle name="Normal 7 3 9 3 3" xfId="25690" xr:uid="{00000000-0005-0000-0000-000040BF0000}"/>
    <cellStyle name="Normal 7 3 9 3 3 2" xfId="51243" xr:uid="{00000000-0005-0000-0000-000041BF0000}"/>
    <cellStyle name="Normal 7 3 9 3 4" xfId="32173" xr:uid="{00000000-0005-0000-0000-000042BF0000}"/>
    <cellStyle name="Normal 7 3 9 4" xfId="8058" xr:uid="{00000000-0005-0000-0000-000043BF0000}"/>
    <cellStyle name="Normal 7 3 9 4 2" xfId="21996" xr:uid="{00000000-0005-0000-0000-000044BF0000}"/>
    <cellStyle name="Normal 7 3 9 4 2 2" xfId="47549" xr:uid="{00000000-0005-0000-0000-000045BF0000}"/>
    <cellStyle name="Normal 7 3 9 4 3" xfId="33615" xr:uid="{00000000-0005-0000-0000-000046BF0000}"/>
    <cellStyle name="Normal 7 3 9 5" xfId="16989" xr:uid="{00000000-0005-0000-0000-000047BF0000}"/>
    <cellStyle name="Normal 7 3 9 5 2" xfId="42542" xr:uid="{00000000-0005-0000-0000-000048BF0000}"/>
    <cellStyle name="Normal 7 3 9 6" xfId="28479" xr:uid="{00000000-0005-0000-0000-000049BF0000}"/>
    <cellStyle name="Normal 7 3_Degree data" xfId="4057" xr:uid="{00000000-0005-0000-0000-00004ABF0000}"/>
    <cellStyle name="Normal 7 4" xfId="140" xr:uid="{00000000-0005-0000-0000-00004BBF0000}"/>
    <cellStyle name="Normal 7 4 10" xfId="1408" xr:uid="{00000000-0005-0000-0000-00004CBF0000}"/>
    <cellStyle name="Normal 7 4 10 2" xfId="10785" xr:uid="{00000000-0005-0000-0000-00004DBF0000}"/>
    <cellStyle name="Normal 7 4 10 2 2" xfId="36340" xr:uid="{00000000-0005-0000-0000-00004EBF0000}"/>
    <cellStyle name="Normal 7 4 10 3" xfId="20789" xr:uid="{00000000-0005-0000-0000-00004FBF0000}"/>
    <cellStyle name="Normal 7 4 10 3 2" xfId="46342" xr:uid="{00000000-0005-0000-0000-000050BF0000}"/>
    <cellStyle name="Normal 7 4 10 4" xfId="27272" xr:uid="{00000000-0005-0000-0000-000051BF0000}"/>
    <cellStyle name="Normal 7 4 11" xfId="5519" xr:uid="{00000000-0005-0000-0000-000052BF0000}"/>
    <cellStyle name="Normal 7 4 11 2" xfId="14346" xr:uid="{00000000-0005-0000-0000-000053BF0000}"/>
    <cellStyle name="Normal 7 4 11 2 2" xfId="39901" xr:uid="{00000000-0005-0000-0000-000054BF0000}"/>
    <cellStyle name="Normal 7 4 11 3" xfId="24597" xr:uid="{00000000-0005-0000-0000-000055BF0000}"/>
    <cellStyle name="Normal 7 4 11 3 2" xfId="50150" xr:uid="{00000000-0005-0000-0000-000056BF0000}"/>
    <cellStyle name="Normal 7 4 11 4" xfId="31080" xr:uid="{00000000-0005-0000-0000-000057BF0000}"/>
    <cellStyle name="Normal 7 4 12" xfId="6959" xr:uid="{00000000-0005-0000-0000-000058BF0000}"/>
    <cellStyle name="Normal 7 4 12 2" xfId="19604" xr:uid="{00000000-0005-0000-0000-000059BF0000}"/>
    <cellStyle name="Normal 7 4 12 2 2" xfId="45157" xr:uid="{00000000-0005-0000-0000-00005ABF0000}"/>
    <cellStyle name="Normal 7 4 12 3" xfId="32517" xr:uid="{00000000-0005-0000-0000-00005BBF0000}"/>
    <cellStyle name="Normal 7 4 13" xfId="15782" xr:uid="{00000000-0005-0000-0000-00005CBF0000}"/>
    <cellStyle name="Normal 7 4 13 2" xfId="41335" xr:uid="{00000000-0005-0000-0000-00005DBF0000}"/>
    <cellStyle name="Normal 7 4 14" xfId="26087" xr:uid="{00000000-0005-0000-0000-00005EBF0000}"/>
    <cellStyle name="Normal 7 4 2" xfId="190" xr:uid="{00000000-0005-0000-0000-00005FBF0000}"/>
    <cellStyle name="Normal 7 4 2 10" xfId="7138" xr:uid="{00000000-0005-0000-0000-000060BF0000}"/>
    <cellStyle name="Normal 7 4 2 10 2" xfId="19647" xr:uid="{00000000-0005-0000-0000-000061BF0000}"/>
    <cellStyle name="Normal 7 4 2 10 2 2" xfId="45200" xr:uid="{00000000-0005-0000-0000-000062BF0000}"/>
    <cellStyle name="Normal 7 4 2 10 3" xfId="32695" xr:uid="{00000000-0005-0000-0000-000063BF0000}"/>
    <cellStyle name="Normal 7 4 2 11" xfId="15884" xr:uid="{00000000-0005-0000-0000-000064BF0000}"/>
    <cellStyle name="Normal 7 4 2 11 2" xfId="41437" xr:uid="{00000000-0005-0000-0000-000065BF0000}"/>
    <cellStyle name="Normal 7 4 2 12" xfId="26130" xr:uid="{00000000-0005-0000-0000-000066BF0000}"/>
    <cellStyle name="Normal 7 4 2 2" xfId="518" xr:uid="{00000000-0005-0000-0000-000067BF0000}"/>
    <cellStyle name="Normal 7 4 2 2 10" xfId="26447" xr:uid="{00000000-0005-0000-0000-000068BF0000}"/>
    <cellStyle name="Normal 7 4 2 2 2" xfId="963" xr:uid="{00000000-0005-0000-0000-000069BF0000}"/>
    <cellStyle name="Normal 7 4 2 2 2 2" xfId="3439" xr:uid="{00000000-0005-0000-0000-00006ABF0000}"/>
    <cellStyle name="Normal 7 4 2 2 2 2 2" xfId="12581" xr:uid="{00000000-0005-0000-0000-00006BBF0000}"/>
    <cellStyle name="Normal 7 4 2 2 2 2 2 2" xfId="22800" xr:uid="{00000000-0005-0000-0000-00006CBF0000}"/>
    <cellStyle name="Normal 7 4 2 2 2 2 2 2 2" xfId="48353" xr:uid="{00000000-0005-0000-0000-00006DBF0000}"/>
    <cellStyle name="Normal 7 4 2 2 2 2 2 3" xfId="38136" xr:uid="{00000000-0005-0000-0000-00006EBF0000}"/>
    <cellStyle name="Normal 7 4 2 2 2 2 3" xfId="9003" xr:uid="{00000000-0005-0000-0000-00006FBF0000}"/>
    <cellStyle name="Normal 7 4 2 2 2 2 3 2" xfId="34560" xr:uid="{00000000-0005-0000-0000-000070BF0000}"/>
    <cellStyle name="Normal 7 4 2 2 2 2 4" xfId="17793" xr:uid="{00000000-0005-0000-0000-000071BF0000}"/>
    <cellStyle name="Normal 7 4 2 2 2 2 4 2" xfId="43346" xr:uid="{00000000-0005-0000-0000-000072BF0000}"/>
    <cellStyle name="Normal 7 4 2 2 2 2 5" xfId="29283" xr:uid="{00000000-0005-0000-0000-000073BF0000}"/>
    <cellStyle name="Normal 7 4 2 2 2 3" xfId="4769" xr:uid="{00000000-0005-0000-0000-000074BF0000}"/>
    <cellStyle name="Normal 7 4 2 2 2 3 2" xfId="13606" xr:uid="{00000000-0005-0000-0000-000075BF0000}"/>
    <cellStyle name="Normal 7 4 2 2 2 3 2 2" xfId="23857" xr:uid="{00000000-0005-0000-0000-000076BF0000}"/>
    <cellStyle name="Normal 7 4 2 2 2 3 2 2 2" xfId="49410" xr:uid="{00000000-0005-0000-0000-000077BF0000}"/>
    <cellStyle name="Normal 7 4 2 2 2 3 2 3" xfId="39161" xr:uid="{00000000-0005-0000-0000-000078BF0000}"/>
    <cellStyle name="Normal 7 4 2 2 2 3 3" xfId="10027" xr:uid="{00000000-0005-0000-0000-000079BF0000}"/>
    <cellStyle name="Normal 7 4 2 2 2 3 3 2" xfId="35584" xr:uid="{00000000-0005-0000-0000-00007ABF0000}"/>
    <cellStyle name="Normal 7 4 2 2 2 3 4" xfId="18850" xr:uid="{00000000-0005-0000-0000-00007BBF0000}"/>
    <cellStyle name="Normal 7 4 2 2 2 3 4 2" xfId="44403" xr:uid="{00000000-0005-0000-0000-00007CBF0000}"/>
    <cellStyle name="Normal 7 4 2 2 2 3 5" xfId="30340" xr:uid="{00000000-0005-0000-0000-00007DBF0000}"/>
    <cellStyle name="Normal 7 4 2 2 2 4" xfId="2548" xr:uid="{00000000-0005-0000-0000-00007EBF0000}"/>
    <cellStyle name="Normal 7 4 2 2 2 4 2" xfId="11913" xr:uid="{00000000-0005-0000-0000-00007FBF0000}"/>
    <cellStyle name="Normal 7 4 2 2 2 4 2 2" xfId="37468" xr:uid="{00000000-0005-0000-0000-000080BF0000}"/>
    <cellStyle name="Normal 7 4 2 2 2 4 3" xfId="21917" xr:uid="{00000000-0005-0000-0000-000081BF0000}"/>
    <cellStyle name="Normal 7 4 2 2 2 4 3 2" xfId="47470" xr:uid="{00000000-0005-0000-0000-000082BF0000}"/>
    <cellStyle name="Normal 7 4 2 2 2 4 4" xfId="28400" xr:uid="{00000000-0005-0000-0000-000083BF0000}"/>
    <cellStyle name="Normal 7 4 2 2 2 5" xfId="6224" xr:uid="{00000000-0005-0000-0000-000084BF0000}"/>
    <cellStyle name="Normal 7 4 2 2 2 5 2" xfId="15051" xr:uid="{00000000-0005-0000-0000-000085BF0000}"/>
    <cellStyle name="Normal 7 4 2 2 2 5 2 2" xfId="40606" xr:uid="{00000000-0005-0000-0000-000086BF0000}"/>
    <cellStyle name="Normal 7 4 2 2 2 5 3" xfId="25302" xr:uid="{00000000-0005-0000-0000-000087BF0000}"/>
    <cellStyle name="Normal 7 4 2 2 2 5 3 2" xfId="50855" xr:uid="{00000000-0005-0000-0000-000088BF0000}"/>
    <cellStyle name="Normal 7 4 2 2 2 5 4" xfId="31785" xr:uid="{00000000-0005-0000-0000-000089BF0000}"/>
    <cellStyle name="Normal 7 4 2 2 2 6" xfId="7670" xr:uid="{00000000-0005-0000-0000-00008ABF0000}"/>
    <cellStyle name="Normal 7 4 2 2 2 6 2" xfId="20399" xr:uid="{00000000-0005-0000-0000-00008BBF0000}"/>
    <cellStyle name="Normal 7 4 2 2 2 6 2 2" xfId="45952" xr:uid="{00000000-0005-0000-0000-00008CBF0000}"/>
    <cellStyle name="Normal 7 4 2 2 2 6 3" xfId="33227" xr:uid="{00000000-0005-0000-0000-00008DBF0000}"/>
    <cellStyle name="Normal 7 4 2 2 2 7" xfId="16910" xr:uid="{00000000-0005-0000-0000-00008EBF0000}"/>
    <cellStyle name="Normal 7 4 2 2 2 7 2" xfId="42463" xr:uid="{00000000-0005-0000-0000-00008FBF0000}"/>
    <cellStyle name="Normal 7 4 2 2 2 8" xfId="26882" xr:uid="{00000000-0005-0000-0000-000090BF0000}"/>
    <cellStyle name="Normal 7 4 2 2 3" xfId="1290" xr:uid="{00000000-0005-0000-0000-000091BF0000}"/>
    <cellStyle name="Normal 7 4 2 2 3 2" xfId="3719" xr:uid="{00000000-0005-0000-0000-000092BF0000}"/>
    <cellStyle name="Normal 7 4 2 2 3 2 2" xfId="12855" xr:uid="{00000000-0005-0000-0000-000093BF0000}"/>
    <cellStyle name="Normal 7 4 2 2 3 2 2 2" xfId="23074" xr:uid="{00000000-0005-0000-0000-000094BF0000}"/>
    <cellStyle name="Normal 7 4 2 2 3 2 2 2 2" xfId="48627" xr:uid="{00000000-0005-0000-0000-000095BF0000}"/>
    <cellStyle name="Normal 7 4 2 2 3 2 2 3" xfId="38410" xr:uid="{00000000-0005-0000-0000-000096BF0000}"/>
    <cellStyle name="Normal 7 4 2 2 3 2 3" xfId="9276" xr:uid="{00000000-0005-0000-0000-000097BF0000}"/>
    <cellStyle name="Normal 7 4 2 2 3 2 3 2" xfId="34833" xr:uid="{00000000-0005-0000-0000-000098BF0000}"/>
    <cellStyle name="Normal 7 4 2 2 3 2 4" xfId="18067" xr:uid="{00000000-0005-0000-0000-000099BF0000}"/>
    <cellStyle name="Normal 7 4 2 2 3 2 4 2" xfId="43620" xr:uid="{00000000-0005-0000-0000-00009ABF0000}"/>
    <cellStyle name="Normal 7 4 2 2 3 2 5" xfId="29557" xr:uid="{00000000-0005-0000-0000-00009BBF0000}"/>
    <cellStyle name="Normal 7 4 2 2 3 3" xfId="5117" xr:uid="{00000000-0005-0000-0000-00009CBF0000}"/>
    <cellStyle name="Normal 7 4 2 2 3 3 2" xfId="13954" xr:uid="{00000000-0005-0000-0000-00009DBF0000}"/>
    <cellStyle name="Normal 7 4 2 2 3 3 2 2" xfId="24205" xr:uid="{00000000-0005-0000-0000-00009EBF0000}"/>
    <cellStyle name="Normal 7 4 2 2 3 3 2 2 2" xfId="49758" xr:uid="{00000000-0005-0000-0000-00009FBF0000}"/>
    <cellStyle name="Normal 7 4 2 2 3 3 2 3" xfId="39509" xr:uid="{00000000-0005-0000-0000-0000A0BF0000}"/>
    <cellStyle name="Normal 7 4 2 2 3 3 3" xfId="10375" xr:uid="{00000000-0005-0000-0000-0000A1BF0000}"/>
    <cellStyle name="Normal 7 4 2 2 3 3 3 2" xfId="35932" xr:uid="{00000000-0005-0000-0000-0000A2BF0000}"/>
    <cellStyle name="Normal 7 4 2 2 3 3 4" xfId="19198" xr:uid="{00000000-0005-0000-0000-0000A3BF0000}"/>
    <cellStyle name="Normal 7 4 2 2 3 3 4 2" xfId="44751" xr:uid="{00000000-0005-0000-0000-0000A4BF0000}"/>
    <cellStyle name="Normal 7 4 2 2 3 3 5" xfId="30688" xr:uid="{00000000-0005-0000-0000-0000A5BF0000}"/>
    <cellStyle name="Normal 7 4 2 2 3 4" xfId="2113" xr:uid="{00000000-0005-0000-0000-0000A6BF0000}"/>
    <cellStyle name="Normal 7 4 2 2 3 4 2" xfId="11478" xr:uid="{00000000-0005-0000-0000-0000A7BF0000}"/>
    <cellStyle name="Normal 7 4 2 2 3 4 2 2" xfId="37033" xr:uid="{00000000-0005-0000-0000-0000A8BF0000}"/>
    <cellStyle name="Normal 7 4 2 2 3 4 3" xfId="21482" xr:uid="{00000000-0005-0000-0000-0000A9BF0000}"/>
    <cellStyle name="Normal 7 4 2 2 3 4 3 2" xfId="47035" xr:uid="{00000000-0005-0000-0000-0000AABF0000}"/>
    <cellStyle name="Normal 7 4 2 2 3 4 4" xfId="27965" xr:uid="{00000000-0005-0000-0000-0000ABBF0000}"/>
    <cellStyle name="Normal 7 4 2 2 3 5" xfId="6572" xr:uid="{00000000-0005-0000-0000-0000ACBF0000}"/>
    <cellStyle name="Normal 7 4 2 2 3 5 2" xfId="15399" xr:uid="{00000000-0005-0000-0000-0000ADBF0000}"/>
    <cellStyle name="Normal 7 4 2 2 3 5 2 2" xfId="40954" xr:uid="{00000000-0005-0000-0000-0000AEBF0000}"/>
    <cellStyle name="Normal 7 4 2 2 3 5 3" xfId="25650" xr:uid="{00000000-0005-0000-0000-0000AFBF0000}"/>
    <cellStyle name="Normal 7 4 2 2 3 5 3 2" xfId="51203" xr:uid="{00000000-0005-0000-0000-0000B0BF0000}"/>
    <cellStyle name="Normal 7 4 2 2 3 5 4" xfId="32133" xr:uid="{00000000-0005-0000-0000-0000B1BF0000}"/>
    <cellStyle name="Normal 7 4 2 2 3 6" xfId="8018" xr:uid="{00000000-0005-0000-0000-0000B2BF0000}"/>
    <cellStyle name="Normal 7 4 2 2 3 6 2" xfId="20673" xr:uid="{00000000-0005-0000-0000-0000B3BF0000}"/>
    <cellStyle name="Normal 7 4 2 2 3 6 2 2" xfId="46226" xr:uid="{00000000-0005-0000-0000-0000B4BF0000}"/>
    <cellStyle name="Normal 7 4 2 2 3 6 3" xfId="33575" xr:uid="{00000000-0005-0000-0000-0000B5BF0000}"/>
    <cellStyle name="Normal 7 4 2 2 3 7" xfId="16475" xr:uid="{00000000-0005-0000-0000-0000B6BF0000}"/>
    <cellStyle name="Normal 7 4 2 2 3 7 2" xfId="42028" xr:uid="{00000000-0005-0000-0000-0000B7BF0000}"/>
    <cellStyle name="Normal 7 4 2 2 3 8" xfId="27156" xr:uid="{00000000-0005-0000-0000-0000B8BF0000}"/>
    <cellStyle name="Normal 7 4 2 2 4" xfId="3004" xr:uid="{00000000-0005-0000-0000-0000B9BF0000}"/>
    <cellStyle name="Normal 7 4 2 2 4 2" xfId="5382" xr:uid="{00000000-0005-0000-0000-0000BABF0000}"/>
    <cellStyle name="Normal 7 4 2 2 4 2 2" xfId="14219" xr:uid="{00000000-0005-0000-0000-0000BBBF0000}"/>
    <cellStyle name="Normal 7 4 2 2 4 2 2 2" xfId="24470" xr:uid="{00000000-0005-0000-0000-0000BCBF0000}"/>
    <cellStyle name="Normal 7 4 2 2 4 2 2 2 2" xfId="50023" xr:uid="{00000000-0005-0000-0000-0000BDBF0000}"/>
    <cellStyle name="Normal 7 4 2 2 4 2 2 3" xfId="39774" xr:uid="{00000000-0005-0000-0000-0000BEBF0000}"/>
    <cellStyle name="Normal 7 4 2 2 4 2 3" xfId="10640" xr:uid="{00000000-0005-0000-0000-0000BFBF0000}"/>
    <cellStyle name="Normal 7 4 2 2 4 2 3 2" xfId="36197" xr:uid="{00000000-0005-0000-0000-0000C0BF0000}"/>
    <cellStyle name="Normal 7 4 2 2 4 2 4" xfId="19463" xr:uid="{00000000-0005-0000-0000-0000C1BF0000}"/>
    <cellStyle name="Normal 7 4 2 2 4 2 4 2" xfId="45016" xr:uid="{00000000-0005-0000-0000-0000C2BF0000}"/>
    <cellStyle name="Normal 7 4 2 2 4 2 5" xfId="30953" xr:uid="{00000000-0005-0000-0000-0000C3BF0000}"/>
    <cellStyle name="Normal 7 4 2 2 4 3" xfId="6837" xr:uid="{00000000-0005-0000-0000-0000C4BF0000}"/>
    <cellStyle name="Normal 7 4 2 2 4 3 2" xfId="15664" xr:uid="{00000000-0005-0000-0000-0000C5BF0000}"/>
    <cellStyle name="Normal 7 4 2 2 4 3 2 2" xfId="41219" xr:uid="{00000000-0005-0000-0000-0000C6BF0000}"/>
    <cellStyle name="Normal 7 4 2 2 4 3 3" xfId="25915" xr:uid="{00000000-0005-0000-0000-0000C7BF0000}"/>
    <cellStyle name="Normal 7 4 2 2 4 3 3 2" xfId="51468" xr:uid="{00000000-0005-0000-0000-0000C8BF0000}"/>
    <cellStyle name="Normal 7 4 2 2 4 3 4" xfId="32398" xr:uid="{00000000-0005-0000-0000-0000C9BF0000}"/>
    <cellStyle name="Normal 7 4 2 2 4 4" xfId="8283" xr:uid="{00000000-0005-0000-0000-0000CABF0000}"/>
    <cellStyle name="Normal 7 4 2 2 4 4 2" xfId="22365" xr:uid="{00000000-0005-0000-0000-0000CBBF0000}"/>
    <cellStyle name="Normal 7 4 2 2 4 4 2 2" xfId="47918" xr:uid="{00000000-0005-0000-0000-0000CCBF0000}"/>
    <cellStyle name="Normal 7 4 2 2 4 4 3" xfId="33840" xr:uid="{00000000-0005-0000-0000-0000CDBF0000}"/>
    <cellStyle name="Normal 7 4 2 2 4 5" xfId="17358" xr:uid="{00000000-0005-0000-0000-0000CEBF0000}"/>
    <cellStyle name="Normal 7 4 2 2 4 5 2" xfId="42911" xr:uid="{00000000-0005-0000-0000-0000CFBF0000}"/>
    <cellStyle name="Normal 7 4 2 2 4 6" xfId="28848" xr:uid="{00000000-0005-0000-0000-0000D0BF0000}"/>
    <cellStyle name="Normal 7 4 2 2 5" xfId="4338" xr:uid="{00000000-0005-0000-0000-0000D1BF0000}"/>
    <cellStyle name="Normal 7 4 2 2 5 2" xfId="13176" xr:uid="{00000000-0005-0000-0000-0000D2BF0000}"/>
    <cellStyle name="Normal 7 4 2 2 5 2 2" xfId="23427" xr:uid="{00000000-0005-0000-0000-0000D3BF0000}"/>
    <cellStyle name="Normal 7 4 2 2 5 2 2 2" xfId="48980" xr:uid="{00000000-0005-0000-0000-0000D4BF0000}"/>
    <cellStyle name="Normal 7 4 2 2 5 2 3" xfId="38731" xr:uid="{00000000-0005-0000-0000-0000D5BF0000}"/>
    <cellStyle name="Normal 7 4 2 2 5 3" xfId="9597" xr:uid="{00000000-0005-0000-0000-0000D6BF0000}"/>
    <cellStyle name="Normal 7 4 2 2 5 3 2" xfId="35154" xr:uid="{00000000-0005-0000-0000-0000D7BF0000}"/>
    <cellStyle name="Normal 7 4 2 2 5 4" xfId="18420" xr:uid="{00000000-0005-0000-0000-0000D8BF0000}"/>
    <cellStyle name="Normal 7 4 2 2 5 4 2" xfId="43973" xr:uid="{00000000-0005-0000-0000-0000D9BF0000}"/>
    <cellStyle name="Normal 7 4 2 2 5 5" xfId="29910" xr:uid="{00000000-0005-0000-0000-0000DABF0000}"/>
    <cellStyle name="Normal 7 4 2 2 6" xfId="1610" xr:uid="{00000000-0005-0000-0000-0000DBBF0000}"/>
    <cellStyle name="Normal 7 4 2 2 6 2" xfId="10987" xr:uid="{00000000-0005-0000-0000-0000DCBF0000}"/>
    <cellStyle name="Normal 7 4 2 2 6 2 2" xfId="36542" xr:uid="{00000000-0005-0000-0000-0000DDBF0000}"/>
    <cellStyle name="Normal 7 4 2 2 6 3" xfId="20991" xr:uid="{00000000-0005-0000-0000-0000DEBF0000}"/>
    <cellStyle name="Normal 7 4 2 2 6 3 2" xfId="46544" xr:uid="{00000000-0005-0000-0000-0000DFBF0000}"/>
    <cellStyle name="Normal 7 4 2 2 6 4" xfId="27474" xr:uid="{00000000-0005-0000-0000-0000E0BF0000}"/>
    <cellStyle name="Normal 7 4 2 2 7" xfId="5794" xr:uid="{00000000-0005-0000-0000-0000E1BF0000}"/>
    <cellStyle name="Normal 7 4 2 2 7 2" xfId="14621" xr:uid="{00000000-0005-0000-0000-0000E2BF0000}"/>
    <cellStyle name="Normal 7 4 2 2 7 2 2" xfId="40176" xr:uid="{00000000-0005-0000-0000-0000E3BF0000}"/>
    <cellStyle name="Normal 7 4 2 2 7 3" xfId="24872" xr:uid="{00000000-0005-0000-0000-0000E4BF0000}"/>
    <cellStyle name="Normal 7 4 2 2 7 3 2" xfId="50425" xr:uid="{00000000-0005-0000-0000-0000E5BF0000}"/>
    <cellStyle name="Normal 7 4 2 2 7 4" xfId="31355" xr:uid="{00000000-0005-0000-0000-0000E6BF0000}"/>
    <cellStyle name="Normal 7 4 2 2 8" xfId="7238" xr:uid="{00000000-0005-0000-0000-0000E7BF0000}"/>
    <cellStyle name="Normal 7 4 2 2 8 2" xfId="19964" xr:uid="{00000000-0005-0000-0000-0000E8BF0000}"/>
    <cellStyle name="Normal 7 4 2 2 8 2 2" xfId="45517" xr:uid="{00000000-0005-0000-0000-0000E9BF0000}"/>
    <cellStyle name="Normal 7 4 2 2 8 3" xfId="32795" xr:uid="{00000000-0005-0000-0000-0000EABF0000}"/>
    <cellStyle name="Normal 7 4 2 2 9" xfId="15984" xr:uid="{00000000-0005-0000-0000-0000EBBF0000}"/>
    <cellStyle name="Normal 7 4 2 2 9 2" xfId="41537" xr:uid="{00000000-0005-0000-0000-0000ECBF0000}"/>
    <cellStyle name="Normal 7 4 2 2_Degree data" xfId="4069" xr:uid="{00000000-0005-0000-0000-0000EDBF0000}"/>
    <cellStyle name="Normal 7 4 2 3" xfId="418" xr:uid="{00000000-0005-0000-0000-0000EEBF0000}"/>
    <cellStyle name="Normal 7 4 2 3 2" xfId="2904" xr:uid="{00000000-0005-0000-0000-0000EFBF0000}"/>
    <cellStyle name="Normal 7 4 2 3 2 2" xfId="12192" xr:uid="{00000000-0005-0000-0000-0000F0BF0000}"/>
    <cellStyle name="Normal 7 4 2 3 2 2 2" xfId="22265" xr:uid="{00000000-0005-0000-0000-0000F1BF0000}"/>
    <cellStyle name="Normal 7 4 2 3 2 2 2 2" xfId="47818" xr:uid="{00000000-0005-0000-0000-0000F2BF0000}"/>
    <cellStyle name="Normal 7 4 2 3 2 2 3" xfId="37747" xr:uid="{00000000-0005-0000-0000-0000F3BF0000}"/>
    <cellStyle name="Normal 7 4 2 3 2 3" xfId="8450" xr:uid="{00000000-0005-0000-0000-0000F4BF0000}"/>
    <cellStyle name="Normal 7 4 2 3 2 3 2" xfId="34007" xr:uid="{00000000-0005-0000-0000-0000F5BF0000}"/>
    <cellStyle name="Normal 7 4 2 3 2 4" xfId="17258" xr:uid="{00000000-0005-0000-0000-0000F6BF0000}"/>
    <cellStyle name="Normal 7 4 2 3 2 4 2" xfId="42811" xr:uid="{00000000-0005-0000-0000-0000F7BF0000}"/>
    <cellStyle name="Normal 7 4 2 3 2 5" xfId="28748" xr:uid="{00000000-0005-0000-0000-0000F8BF0000}"/>
    <cellStyle name="Normal 7 4 2 3 3" xfId="4768" xr:uid="{00000000-0005-0000-0000-0000F9BF0000}"/>
    <cellStyle name="Normal 7 4 2 3 3 2" xfId="13605" xr:uid="{00000000-0005-0000-0000-0000FABF0000}"/>
    <cellStyle name="Normal 7 4 2 3 3 2 2" xfId="23856" xr:uid="{00000000-0005-0000-0000-0000FBBF0000}"/>
    <cellStyle name="Normal 7 4 2 3 3 2 2 2" xfId="49409" xr:uid="{00000000-0005-0000-0000-0000FCBF0000}"/>
    <cellStyle name="Normal 7 4 2 3 3 2 3" xfId="39160" xr:uid="{00000000-0005-0000-0000-0000FDBF0000}"/>
    <cellStyle name="Normal 7 4 2 3 3 3" xfId="10026" xr:uid="{00000000-0005-0000-0000-0000FEBF0000}"/>
    <cellStyle name="Normal 7 4 2 3 3 3 2" xfId="35583" xr:uid="{00000000-0005-0000-0000-0000FFBF0000}"/>
    <cellStyle name="Normal 7 4 2 3 3 4" xfId="18849" xr:uid="{00000000-0005-0000-0000-000000C00000}"/>
    <cellStyle name="Normal 7 4 2 3 3 4 2" xfId="44402" xr:uid="{00000000-0005-0000-0000-000001C00000}"/>
    <cellStyle name="Normal 7 4 2 3 3 5" xfId="30339" xr:uid="{00000000-0005-0000-0000-000002C00000}"/>
    <cellStyle name="Normal 7 4 2 3 4" xfId="2013" xr:uid="{00000000-0005-0000-0000-000003C00000}"/>
    <cellStyle name="Normal 7 4 2 3 4 2" xfId="11378" xr:uid="{00000000-0005-0000-0000-000004C00000}"/>
    <cellStyle name="Normal 7 4 2 3 4 2 2" xfId="36933" xr:uid="{00000000-0005-0000-0000-000005C00000}"/>
    <cellStyle name="Normal 7 4 2 3 4 3" xfId="21382" xr:uid="{00000000-0005-0000-0000-000006C00000}"/>
    <cellStyle name="Normal 7 4 2 3 4 3 2" xfId="46935" xr:uid="{00000000-0005-0000-0000-000007C00000}"/>
    <cellStyle name="Normal 7 4 2 3 4 4" xfId="27865" xr:uid="{00000000-0005-0000-0000-000008C00000}"/>
    <cellStyle name="Normal 7 4 2 3 5" xfId="6223" xr:uid="{00000000-0005-0000-0000-000009C00000}"/>
    <cellStyle name="Normal 7 4 2 3 5 2" xfId="15050" xr:uid="{00000000-0005-0000-0000-00000AC00000}"/>
    <cellStyle name="Normal 7 4 2 3 5 2 2" xfId="40605" xr:uid="{00000000-0005-0000-0000-00000BC00000}"/>
    <cellStyle name="Normal 7 4 2 3 5 3" xfId="25301" xr:uid="{00000000-0005-0000-0000-00000CC00000}"/>
    <cellStyle name="Normal 7 4 2 3 5 3 2" xfId="50854" xr:uid="{00000000-0005-0000-0000-00000DC00000}"/>
    <cellStyle name="Normal 7 4 2 3 5 4" xfId="31784" xr:uid="{00000000-0005-0000-0000-00000EC00000}"/>
    <cellStyle name="Normal 7 4 2 3 6" xfId="7669" xr:uid="{00000000-0005-0000-0000-00000FC00000}"/>
    <cellStyle name="Normal 7 4 2 3 6 2" xfId="19864" xr:uid="{00000000-0005-0000-0000-000010C00000}"/>
    <cellStyle name="Normal 7 4 2 3 6 2 2" xfId="45417" xr:uid="{00000000-0005-0000-0000-000011C00000}"/>
    <cellStyle name="Normal 7 4 2 3 6 3" xfId="33226" xr:uid="{00000000-0005-0000-0000-000012C00000}"/>
    <cellStyle name="Normal 7 4 2 3 7" xfId="16375" xr:uid="{00000000-0005-0000-0000-000013C00000}"/>
    <cellStyle name="Normal 7 4 2 3 7 2" xfId="41928" xr:uid="{00000000-0005-0000-0000-000014C00000}"/>
    <cellStyle name="Normal 7 4 2 3 8" xfId="26347" xr:uid="{00000000-0005-0000-0000-000015C00000}"/>
    <cellStyle name="Normal 7 4 2 4" xfId="962" xr:uid="{00000000-0005-0000-0000-000016C00000}"/>
    <cellStyle name="Normal 7 4 2 4 2" xfId="3438" xr:uid="{00000000-0005-0000-0000-000017C00000}"/>
    <cellStyle name="Normal 7 4 2 4 2 2" xfId="12580" xr:uid="{00000000-0005-0000-0000-000018C00000}"/>
    <cellStyle name="Normal 7 4 2 4 2 2 2" xfId="22799" xr:uid="{00000000-0005-0000-0000-000019C00000}"/>
    <cellStyle name="Normal 7 4 2 4 2 2 2 2" xfId="48352" xr:uid="{00000000-0005-0000-0000-00001AC00000}"/>
    <cellStyle name="Normal 7 4 2 4 2 2 3" xfId="38135" xr:uid="{00000000-0005-0000-0000-00001BC00000}"/>
    <cellStyle name="Normal 7 4 2 4 2 3" xfId="9002" xr:uid="{00000000-0005-0000-0000-00001CC00000}"/>
    <cellStyle name="Normal 7 4 2 4 2 3 2" xfId="34559" xr:uid="{00000000-0005-0000-0000-00001DC00000}"/>
    <cellStyle name="Normal 7 4 2 4 2 4" xfId="17792" xr:uid="{00000000-0005-0000-0000-00001EC00000}"/>
    <cellStyle name="Normal 7 4 2 4 2 4 2" xfId="43345" xr:uid="{00000000-0005-0000-0000-00001FC00000}"/>
    <cellStyle name="Normal 7 4 2 4 2 5" xfId="29282" xr:uid="{00000000-0005-0000-0000-000020C00000}"/>
    <cellStyle name="Normal 7 4 2 4 3" xfId="5116" xr:uid="{00000000-0005-0000-0000-000021C00000}"/>
    <cellStyle name="Normal 7 4 2 4 3 2" xfId="13953" xr:uid="{00000000-0005-0000-0000-000022C00000}"/>
    <cellStyle name="Normal 7 4 2 4 3 2 2" xfId="24204" xr:uid="{00000000-0005-0000-0000-000023C00000}"/>
    <cellStyle name="Normal 7 4 2 4 3 2 2 2" xfId="49757" xr:uid="{00000000-0005-0000-0000-000024C00000}"/>
    <cellStyle name="Normal 7 4 2 4 3 2 3" xfId="39508" xr:uid="{00000000-0005-0000-0000-000025C00000}"/>
    <cellStyle name="Normal 7 4 2 4 3 3" xfId="10374" xr:uid="{00000000-0005-0000-0000-000026C00000}"/>
    <cellStyle name="Normal 7 4 2 4 3 3 2" xfId="35931" xr:uid="{00000000-0005-0000-0000-000027C00000}"/>
    <cellStyle name="Normal 7 4 2 4 3 4" xfId="19197" xr:uid="{00000000-0005-0000-0000-000028C00000}"/>
    <cellStyle name="Normal 7 4 2 4 3 4 2" xfId="44750" xr:uid="{00000000-0005-0000-0000-000029C00000}"/>
    <cellStyle name="Normal 7 4 2 4 3 5" xfId="30687" xr:uid="{00000000-0005-0000-0000-00002AC00000}"/>
    <cellStyle name="Normal 7 4 2 4 4" xfId="2547" xr:uid="{00000000-0005-0000-0000-00002BC00000}"/>
    <cellStyle name="Normal 7 4 2 4 4 2" xfId="11912" xr:uid="{00000000-0005-0000-0000-00002CC00000}"/>
    <cellStyle name="Normal 7 4 2 4 4 2 2" xfId="37467" xr:uid="{00000000-0005-0000-0000-00002DC00000}"/>
    <cellStyle name="Normal 7 4 2 4 4 3" xfId="21916" xr:uid="{00000000-0005-0000-0000-00002EC00000}"/>
    <cellStyle name="Normal 7 4 2 4 4 3 2" xfId="47469" xr:uid="{00000000-0005-0000-0000-00002FC00000}"/>
    <cellStyle name="Normal 7 4 2 4 4 4" xfId="28399" xr:uid="{00000000-0005-0000-0000-000030C00000}"/>
    <cellStyle name="Normal 7 4 2 4 5" xfId="6571" xr:uid="{00000000-0005-0000-0000-000031C00000}"/>
    <cellStyle name="Normal 7 4 2 4 5 2" xfId="15398" xr:uid="{00000000-0005-0000-0000-000032C00000}"/>
    <cellStyle name="Normal 7 4 2 4 5 2 2" xfId="40953" xr:uid="{00000000-0005-0000-0000-000033C00000}"/>
    <cellStyle name="Normal 7 4 2 4 5 3" xfId="25649" xr:uid="{00000000-0005-0000-0000-000034C00000}"/>
    <cellStyle name="Normal 7 4 2 4 5 3 2" xfId="51202" xr:uid="{00000000-0005-0000-0000-000035C00000}"/>
    <cellStyle name="Normal 7 4 2 4 5 4" xfId="32132" xr:uid="{00000000-0005-0000-0000-000036C00000}"/>
    <cellStyle name="Normal 7 4 2 4 6" xfId="8017" xr:uid="{00000000-0005-0000-0000-000037C00000}"/>
    <cellStyle name="Normal 7 4 2 4 6 2" xfId="20398" xr:uid="{00000000-0005-0000-0000-000038C00000}"/>
    <cellStyle name="Normal 7 4 2 4 6 2 2" xfId="45951" xr:uid="{00000000-0005-0000-0000-000039C00000}"/>
    <cellStyle name="Normal 7 4 2 4 6 3" xfId="33574" xr:uid="{00000000-0005-0000-0000-00003AC00000}"/>
    <cellStyle name="Normal 7 4 2 4 7" xfId="16909" xr:uid="{00000000-0005-0000-0000-00003BC00000}"/>
    <cellStyle name="Normal 7 4 2 4 7 2" xfId="42462" xr:uid="{00000000-0005-0000-0000-00003CC00000}"/>
    <cellStyle name="Normal 7 4 2 4 8" xfId="26881" xr:uid="{00000000-0005-0000-0000-00003DC00000}"/>
    <cellStyle name="Normal 7 4 2 5" xfId="1190" xr:uid="{00000000-0005-0000-0000-00003EC00000}"/>
    <cellStyle name="Normal 7 4 2 5 2" xfId="3619" xr:uid="{00000000-0005-0000-0000-00003FC00000}"/>
    <cellStyle name="Normal 7 4 2 5 2 2" xfId="12755" xr:uid="{00000000-0005-0000-0000-000040C00000}"/>
    <cellStyle name="Normal 7 4 2 5 2 2 2" xfId="22974" xr:uid="{00000000-0005-0000-0000-000041C00000}"/>
    <cellStyle name="Normal 7 4 2 5 2 2 2 2" xfId="48527" xr:uid="{00000000-0005-0000-0000-000042C00000}"/>
    <cellStyle name="Normal 7 4 2 5 2 2 3" xfId="38310" xr:uid="{00000000-0005-0000-0000-000043C00000}"/>
    <cellStyle name="Normal 7 4 2 5 2 3" xfId="9176" xr:uid="{00000000-0005-0000-0000-000044C00000}"/>
    <cellStyle name="Normal 7 4 2 5 2 3 2" xfId="34733" xr:uid="{00000000-0005-0000-0000-000045C00000}"/>
    <cellStyle name="Normal 7 4 2 5 2 4" xfId="17967" xr:uid="{00000000-0005-0000-0000-000046C00000}"/>
    <cellStyle name="Normal 7 4 2 5 2 4 2" xfId="43520" xr:uid="{00000000-0005-0000-0000-000047C00000}"/>
    <cellStyle name="Normal 7 4 2 5 2 5" xfId="29457" xr:uid="{00000000-0005-0000-0000-000048C00000}"/>
    <cellStyle name="Normal 7 4 2 5 3" xfId="5282" xr:uid="{00000000-0005-0000-0000-000049C00000}"/>
    <cellStyle name="Normal 7 4 2 5 3 2" xfId="14119" xr:uid="{00000000-0005-0000-0000-00004AC00000}"/>
    <cellStyle name="Normal 7 4 2 5 3 2 2" xfId="24370" xr:uid="{00000000-0005-0000-0000-00004BC00000}"/>
    <cellStyle name="Normal 7 4 2 5 3 2 2 2" xfId="49923" xr:uid="{00000000-0005-0000-0000-00004CC00000}"/>
    <cellStyle name="Normal 7 4 2 5 3 2 3" xfId="39674" xr:uid="{00000000-0005-0000-0000-00004DC00000}"/>
    <cellStyle name="Normal 7 4 2 5 3 3" xfId="10540" xr:uid="{00000000-0005-0000-0000-00004EC00000}"/>
    <cellStyle name="Normal 7 4 2 5 3 3 2" xfId="36097" xr:uid="{00000000-0005-0000-0000-00004FC00000}"/>
    <cellStyle name="Normal 7 4 2 5 3 4" xfId="19363" xr:uid="{00000000-0005-0000-0000-000050C00000}"/>
    <cellStyle name="Normal 7 4 2 5 3 4 2" xfId="44916" xr:uid="{00000000-0005-0000-0000-000051C00000}"/>
    <cellStyle name="Normal 7 4 2 5 3 5" xfId="30853" xr:uid="{00000000-0005-0000-0000-000052C00000}"/>
    <cellStyle name="Normal 7 4 2 5 4" xfId="1792" xr:uid="{00000000-0005-0000-0000-000053C00000}"/>
    <cellStyle name="Normal 7 4 2 5 4 2" xfId="11161" xr:uid="{00000000-0005-0000-0000-000054C00000}"/>
    <cellStyle name="Normal 7 4 2 5 4 2 2" xfId="36716" xr:uid="{00000000-0005-0000-0000-000055C00000}"/>
    <cellStyle name="Normal 7 4 2 5 4 3" xfId="21165" xr:uid="{00000000-0005-0000-0000-000056C00000}"/>
    <cellStyle name="Normal 7 4 2 5 4 3 2" xfId="46718" xr:uid="{00000000-0005-0000-0000-000057C00000}"/>
    <cellStyle name="Normal 7 4 2 5 4 4" xfId="27648" xr:uid="{00000000-0005-0000-0000-000058C00000}"/>
    <cellStyle name="Normal 7 4 2 5 5" xfId="6737" xr:uid="{00000000-0005-0000-0000-000059C00000}"/>
    <cellStyle name="Normal 7 4 2 5 5 2" xfId="15564" xr:uid="{00000000-0005-0000-0000-00005AC00000}"/>
    <cellStyle name="Normal 7 4 2 5 5 2 2" xfId="41119" xr:uid="{00000000-0005-0000-0000-00005BC00000}"/>
    <cellStyle name="Normal 7 4 2 5 5 3" xfId="25815" xr:uid="{00000000-0005-0000-0000-00005CC00000}"/>
    <cellStyle name="Normal 7 4 2 5 5 3 2" xfId="51368" xr:uid="{00000000-0005-0000-0000-00005DC00000}"/>
    <cellStyle name="Normal 7 4 2 5 5 4" xfId="32298" xr:uid="{00000000-0005-0000-0000-00005EC00000}"/>
    <cellStyle name="Normal 7 4 2 5 6" xfId="8183" xr:uid="{00000000-0005-0000-0000-00005FC00000}"/>
    <cellStyle name="Normal 7 4 2 5 6 2" xfId="20573" xr:uid="{00000000-0005-0000-0000-000060C00000}"/>
    <cellStyle name="Normal 7 4 2 5 6 2 2" xfId="46126" xr:uid="{00000000-0005-0000-0000-000061C00000}"/>
    <cellStyle name="Normal 7 4 2 5 6 3" xfId="33740" xr:uid="{00000000-0005-0000-0000-000062C00000}"/>
    <cellStyle name="Normal 7 4 2 5 7" xfId="16158" xr:uid="{00000000-0005-0000-0000-000063C00000}"/>
    <cellStyle name="Normal 7 4 2 5 7 2" xfId="41711" xr:uid="{00000000-0005-0000-0000-000064C00000}"/>
    <cellStyle name="Normal 7 4 2 5 8" xfId="27056" xr:uid="{00000000-0005-0000-0000-000065C00000}"/>
    <cellStyle name="Normal 7 4 2 6" xfId="2687" xr:uid="{00000000-0005-0000-0000-000066C00000}"/>
    <cellStyle name="Normal 7 4 2 6 2" xfId="12004" xr:uid="{00000000-0005-0000-0000-000067C00000}"/>
    <cellStyle name="Normal 7 4 2 6 2 2" xfId="22048" xr:uid="{00000000-0005-0000-0000-000068C00000}"/>
    <cellStyle name="Normal 7 4 2 6 2 2 2" xfId="47601" xr:uid="{00000000-0005-0000-0000-000069C00000}"/>
    <cellStyle name="Normal 7 4 2 6 2 3" xfId="37559" xr:uid="{00000000-0005-0000-0000-00006AC00000}"/>
    <cellStyle name="Normal 7 4 2 6 3" xfId="8637" xr:uid="{00000000-0005-0000-0000-00006BC00000}"/>
    <cellStyle name="Normal 7 4 2 6 3 2" xfId="34194" xr:uid="{00000000-0005-0000-0000-00006CC00000}"/>
    <cellStyle name="Normal 7 4 2 6 4" xfId="17041" xr:uid="{00000000-0005-0000-0000-00006DC00000}"/>
    <cellStyle name="Normal 7 4 2 6 4 2" xfId="42594" xr:uid="{00000000-0005-0000-0000-00006EC00000}"/>
    <cellStyle name="Normal 7 4 2 6 5" xfId="28531" xr:uid="{00000000-0005-0000-0000-00006FC00000}"/>
    <cellStyle name="Normal 7 4 2 7" xfId="4238" xr:uid="{00000000-0005-0000-0000-000070C00000}"/>
    <cellStyle name="Normal 7 4 2 7 2" xfId="13076" xr:uid="{00000000-0005-0000-0000-000071C00000}"/>
    <cellStyle name="Normal 7 4 2 7 2 2" xfId="23327" xr:uid="{00000000-0005-0000-0000-000072C00000}"/>
    <cellStyle name="Normal 7 4 2 7 2 2 2" xfId="48880" xr:uid="{00000000-0005-0000-0000-000073C00000}"/>
    <cellStyle name="Normal 7 4 2 7 2 3" xfId="38631" xr:uid="{00000000-0005-0000-0000-000074C00000}"/>
    <cellStyle name="Normal 7 4 2 7 3" xfId="9497" xr:uid="{00000000-0005-0000-0000-000075C00000}"/>
    <cellStyle name="Normal 7 4 2 7 3 2" xfId="35054" xr:uid="{00000000-0005-0000-0000-000076C00000}"/>
    <cellStyle name="Normal 7 4 2 7 4" xfId="18320" xr:uid="{00000000-0005-0000-0000-000077C00000}"/>
    <cellStyle name="Normal 7 4 2 7 4 2" xfId="43873" xr:uid="{00000000-0005-0000-0000-000078C00000}"/>
    <cellStyle name="Normal 7 4 2 7 5" xfId="29810" xr:uid="{00000000-0005-0000-0000-000079C00000}"/>
    <cellStyle name="Normal 7 4 2 8" xfId="1510" xr:uid="{00000000-0005-0000-0000-00007AC00000}"/>
    <cellStyle name="Normal 7 4 2 8 2" xfId="10887" xr:uid="{00000000-0005-0000-0000-00007BC00000}"/>
    <cellStyle name="Normal 7 4 2 8 2 2" xfId="36442" xr:uid="{00000000-0005-0000-0000-00007CC00000}"/>
    <cellStyle name="Normal 7 4 2 8 3" xfId="20891" xr:uid="{00000000-0005-0000-0000-00007DC00000}"/>
    <cellStyle name="Normal 7 4 2 8 3 2" xfId="46444" xr:uid="{00000000-0005-0000-0000-00007EC00000}"/>
    <cellStyle name="Normal 7 4 2 8 4" xfId="27374" xr:uid="{00000000-0005-0000-0000-00007FC00000}"/>
    <cellStyle name="Normal 7 4 2 9" xfId="5694" xr:uid="{00000000-0005-0000-0000-000080C00000}"/>
    <cellStyle name="Normal 7 4 2 9 2" xfId="14521" xr:uid="{00000000-0005-0000-0000-000081C00000}"/>
    <cellStyle name="Normal 7 4 2 9 2 2" xfId="40076" xr:uid="{00000000-0005-0000-0000-000082C00000}"/>
    <cellStyle name="Normal 7 4 2 9 3" xfId="24772" xr:uid="{00000000-0005-0000-0000-000083C00000}"/>
    <cellStyle name="Normal 7 4 2 9 3 2" xfId="50325" xr:uid="{00000000-0005-0000-0000-000084C00000}"/>
    <cellStyle name="Normal 7 4 2 9 4" xfId="31255" xr:uid="{00000000-0005-0000-0000-000085C00000}"/>
    <cellStyle name="Normal 7 4 2_Degree data" xfId="4068" xr:uid="{00000000-0005-0000-0000-000086C00000}"/>
    <cellStyle name="Normal 7 4 3" xfId="257" xr:uid="{00000000-0005-0000-0000-000087C00000}"/>
    <cellStyle name="Normal 7 4 3 10" xfId="7095" xr:uid="{00000000-0005-0000-0000-000088C00000}"/>
    <cellStyle name="Normal 7 4 3 10 2" xfId="19709" xr:uid="{00000000-0005-0000-0000-000089C00000}"/>
    <cellStyle name="Normal 7 4 3 10 2 2" xfId="45262" xr:uid="{00000000-0005-0000-0000-00008AC00000}"/>
    <cellStyle name="Normal 7 4 3 10 3" xfId="32652" xr:uid="{00000000-0005-0000-0000-00008BC00000}"/>
    <cellStyle name="Normal 7 4 3 11" xfId="15841" xr:uid="{00000000-0005-0000-0000-00008CC00000}"/>
    <cellStyle name="Normal 7 4 3 11 2" xfId="41394" xr:uid="{00000000-0005-0000-0000-00008DC00000}"/>
    <cellStyle name="Normal 7 4 3 12" xfId="26192" xr:uid="{00000000-0005-0000-0000-00008EC00000}"/>
    <cellStyle name="Normal 7 4 3 2" xfId="580" xr:uid="{00000000-0005-0000-0000-00008FC00000}"/>
    <cellStyle name="Normal 7 4 3 2 10" xfId="26509" xr:uid="{00000000-0005-0000-0000-000090C00000}"/>
    <cellStyle name="Normal 7 4 3 2 2" xfId="965" xr:uid="{00000000-0005-0000-0000-000091C00000}"/>
    <cellStyle name="Normal 7 4 3 2 2 2" xfId="3441" xr:uid="{00000000-0005-0000-0000-000092C00000}"/>
    <cellStyle name="Normal 7 4 3 2 2 2 2" xfId="12583" xr:uid="{00000000-0005-0000-0000-000093C00000}"/>
    <cellStyle name="Normal 7 4 3 2 2 2 2 2" xfId="22802" xr:uid="{00000000-0005-0000-0000-000094C00000}"/>
    <cellStyle name="Normal 7 4 3 2 2 2 2 2 2" xfId="48355" xr:uid="{00000000-0005-0000-0000-000095C00000}"/>
    <cellStyle name="Normal 7 4 3 2 2 2 2 3" xfId="38138" xr:uid="{00000000-0005-0000-0000-000096C00000}"/>
    <cellStyle name="Normal 7 4 3 2 2 2 3" xfId="9005" xr:uid="{00000000-0005-0000-0000-000097C00000}"/>
    <cellStyle name="Normal 7 4 3 2 2 2 3 2" xfId="34562" xr:uid="{00000000-0005-0000-0000-000098C00000}"/>
    <cellStyle name="Normal 7 4 3 2 2 2 4" xfId="17795" xr:uid="{00000000-0005-0000-0000-000099C00000}"/>
    <cellStyle name="Normal 7 4 3 2 2 2 4 2" xfId="43348" xr:uid="{00000000-0005-0000-0000-00009AC00000}"/>
    <cellStyle name="Normal 7 4 3 2 2 2 5" xfId="29285" xr:uid="{00000000-0005-0000-0000-00009BC00000}"/>
    <cellStyle name="Normal 7 4 3 2 2 3" xfId="4771" xr:uid="{00000000-0005-0000-0000-00009CC00000}"/>
    <cellStyle name="Normal 7 4 3 2 2 3 2" xfId="13608" xr:uid="{00000000-0005-0000-0000-00009DC00000}"/>
    <cellStyle name="Normal 7 4 3 2 2 3 2 2" xfId="23859" xr:uid="{00000000-0005-0000-0000-00009EC00000}"/>
    <cellStyle name="Normal 7 4 3 2 2 3 2 2 2" xfId="49412" xr:uid="{00000000-0005-0000-0000-00009FC00000}"/>
    <cellStyle name="Normal 7 4 3 2 2 3 2 3" xfId="39163" xr:uid="{00000000-0005-0000-0000-0000A0C00000}"/>
    <cellStyle name="Normal 7 4 3 2 2 3 3" xfId="10029" xr:uid="{00000000-0005-0000-0000-0000A1C00000}"/>
    <cellStyle name="Normal 7 4 3 2 2 3 3 2" xfId="35586" xr:uid="{00000000-0005-0000-0000-0000A2C00000}"/>
    <cellStyle name="Normal 7 4 3 2 2 3 4" xfId="18852" xr:uid="{00000000-0005-0000-0000-0000A3C00000}"/>
    <cellStyle name="Normal 7 4 3 2 2 3 4 2" xfId="44405" xr:uid="{00000000-0005-0000-0000-0000A4C00000}"/>
    <cellStyle name="Normal 7 4 3 2 2 3 5" xfId="30342" xr:uid="{00000000-0005-0000-0000-0000A5C00000}"/>
    <cellStyle name="Normal 7 4 3 2 2 4" xfId="2550" xr:uid="{00000000-0005-0000-0000-0000A6C00000}"/>
    <cellStyle name="Normal 7 4 3 2 2 4 2" xfId="11915" xr:uid="{00000000-0005-0000-0000-0000A7C00000}"/>
    <cellStyle name="Normal 7 4 3 2 2 4 2 2" xfId="37470" xr:uid="{00000000-0005-0000-0000-0000A8C00000}"/>
    <cellStyle name="Normal 7 4 3 2 2 4 3" xfId="21919" xr:uid="{00000000-0005-0000-0000-0000A9C00000}"/>
    <cellStyle name="Normal 7 4 3 2 2 4 3 2" xfId="47472" xr:uid="{00000000-0005-0000-0000-0000AAC00000}"/>
    <cellStyle name="Normal 7 4 3 2 2 4 4" xfId="28402" xr:uid="{00000000-0005-0000-0000-0000ABC00000}"/>
    <cellStyle name="Normal 7 4 3 2 2 5" xfId="6226" xr:uid="{00000000-0005-0000-0000-0000ACC00000}"/>
    <cellStyle name="Normal 7 4 3 2 2 5 2" xfId="15053" xr:uid="{00000000-0005-0000-0000-0000ADC00000}"/>
    <cellStyle name="Normal 7 4 3 2 2 5 2 2" xfId="40608" xr:uid="{00000000-0005-0000-0000-0000AEC00000}"/>
    <cellStyle name="Normal 7 4 3 2 2 5 3" xfId="25304" xr:uid="{00000000-0005-0000-0000-0000AFC00000}"/>
    <cellStyle name="Normal 7 4 3 2 2 5 3 2" xfId="50857" xr:uid="{00000000-0005-0000-0000-0000B0C00000}"/>
    <cellStyle name="Normal 7 4 3 2 2 5 4" xfId="31787" xr:uid="{00000000-0005-0000-0000-0000B1C00000}"/>
    <cellStyle name="Normal 7 4 3 2 2 6" xfId="7672" xr:uid="{00000000-0005-0000-0000-0000B2C00000}"/>
    <cellStyle name="Normal 7 4 3 2 2 6 2" xfId="20401" xr:uid="{00000000-0005-0000-0000-0000B3C00000}"/>
    <cellStyle name="Normal 7 4 3 2 2 6 2 2" xfId="45954" xr:uid="{00000000-0005-0000-0000-0000B4C00000}"/>
    <cellStyle name="Normal 7 4 3 2 2 6 3" xfId="33229" xr:uid="{00000000-0005-0000-0000-0000B5C00000}"/>
    <cellStyle name="Normal 7 4 3 2 2 7" xfId="16912" xr:uid="{00000000-0005-0000-0000-0000B6C00000}"/>
    <cellStyle name="Normal 7 4 3 2 2 7 2" xfId="42465" xr:uid="{00000000-0005-0000-0000-0000B7C00000}"/>
    <cellStyle name="Normal 7 4 3 2 2 8" xfId="26884" xr:uid="{00000000-0005-0000-0000-0000B8C00000}"/>
    <cellStyle name="Normal 7 4 3 2 3" xfId="1352" xr:uid="{00000000-0005-0000-0000-0000B9C00000}"/>
    <cellStyle name="Normal 7 4 3 2 3 2" xfId="3781" xr:uid="{00000000-0005-0000-0000-0000BAC00000}"/>
    <cellStyle name="Normal 7 4 3 2 3 2 2" xfId="12917" xr:uid="{00000000-0005-0000-0000-0000BBC00000}"/>
    <cellStyle name="Normal 7 4 3 2 3 2 2 2" xfId="23136" xr:uid="{00000000-0005-0000-0000-0000BCC00000}"/>
    <cellStyle name="Normal 7 4 3 2 3 2 2 2 2" xfId="48689" xr:uid="{00000000-0005-0000-0000-0000BDC00000}"/>
    <cellStyle name="Normal 7 4 3 2 3 2 2 3" xfId="38472" xr:uid="{00000000-0005-0000-0000-0000BEC00000}"/>
    <cellStyle name="Normal 7 4 3 2 3 2 3" xfId="9338" xr:uid="{00000000-0005-0000-0000-0000BFC00000}"/>
    <cellStyle name="Normal 7 4 3 2 3 2 3 2" xfId="34895" xr:uid="{00000000-0005-0000-0000-0000C0C00000}"/>
    <cellStyle name="Normal 7 4 3 2 3 2 4" xfId="18129" xr:uid="{00000000-0005-0000-0000-0000C1C00000}"/>
    <cellStyle name="Normal 7 4 3 2 3 2 4 2" xfId="43682" xr:uid="{00000000-0005-0000-0000-0000C2C00000}"/>
    <cellStyle name="Normal 7 4 3 2 3 2 5" xfId="29619" xr:uid="{00000000-0005-0000-0000-0000C3C00000}"/>
    <cellStyle name="Normal 7 4 3 2 3 3" xfId="5119" xr:uid="{00000000-0005-0000-0000-0000C4C00000}"/>
    <cellStyle name="Normal 7 4 3 2 3 3 2" xfId="13956" xr:uid="{00000000-0005-0000-0000-0000C5C00000}"/>
    <cellStyle name="Normal 7 4 3 2 3 3 2 2" xfId="24207" xr:uid="{00000000-0005-0000-0000-0000C6C00000}"/>
    <cellStyle name="Normal 7 4 3 2 3 3 2 2 2" xfId="49760" xr:uid="{00000000-0005-0000-0000-0000C7C00000}"/>
    <cellStyle name="Normal 7 4 3 2 3 3 2 3" xfId="39511" xr:uid="{00000000-0005-0000-0000-0000C8C00000}"/>
    <cellStyle name="Normal 7 4 3 2 3 3 3" xfId="10377" xr:uid="{00000000-0005-0000-0000-0000C9C00000}"/>
    <cellStyle name="Normal 7 4 3 2 3 3 3 2" xfId="35934" xr:uid="{00000000-0005-0000-0000-0000CAC00000}"/>
    <cellStyle name="Normal 7 4 3 2 3 3 4" xfId="19200" xr:uid="{00000000-0005-0000-0000-0000CBC00000}"/>
    <cellStyle name="Normal 7 4 3 2 3 3 4 2" xfId="44753" xr:uid="{00000000-0005-0000-0000-0000CCC00000}"/>
    <cellStyle name="Normal 7 4 3 2 3 3 5" xfId="30690" xr:uid="{00000000-0005-0000-0000-0000CDC00000}"/>
    <cellStyle name="Normal 7 4 3 2 3 4" xfId="2175" xr:uid="{00000000-0005-0000-0000-0000CEC00000}"/>
    <cellStyle name="Normal 7 4 3 2 3 4 2" xfId="11540" xr:uid="{00000000-0005-0000-0000-0000CFC00000}"/>
    <cellStyle name="Normal 7 4 3 2 3 4 2 2" xfId="37095" xr:uid="{00000000-0005-0000-0000-0000D0C00000}"/>
    <cellStyle name="Normal 7 4 3 2 3 4 3" xfId="21544" xr:uid="{00000000-0005-0000-0000-0000D1C00000}"/>
    <cellStyle name="Normal 7 4 3 2 3 4 3 2" xfId="47097" xr:uid="{00000000-0005-0000-0000-0000D2C00000}"/>
    <cellStyle name="Normal 7 4 3 2 3 4 4" xfId="28027" xr:uid="{00000000-0005-0000-0000-0000D3C00000}"/>
    <cellStyle name="Normal 7 4 3 2 3 5" xfId="6574" xr:uid="{00000000-0005-0000-0000-0000D4C00000}"/>
    <cellStyle name="Normal 7 4 3 2 3 5 2" xfId="15401" xr:uid="{00000000-0005-0000-0000-0000D5C00000}"/>
    <cellStyle name="Normal 7 4 3 2 3 5 2 2" xfId="40956" xr:uid="{00000000-0005-0000-0000-0000D6C00000}"/>
    <cellStyle name="Normal 7 4 3 2 3 5 3" xfId="25652" xr:uid="{00000000-0005-0000-0000-0000D7C00000}"/>
    <cellStyle name="Normal 7 4 3 2 3 5 3 2" xfId="51205" xr:uid="{00000000-0005-0000-0000-0000D8C00000}"/>
    <cellStyle name="Normal 7 4 3 2 3 5 4" xfId="32135" xr:uid="{00000000-0005-0000-0000-0000D9C00000}"/>
    <cellStyle name="Normal 7 4 3 2 3 6" xfId="8020" xr:uid="{00000000-0005-0000-0000-0000DAC00000}"/>
    <cellStyle name="Normal 7 4 3 2 3 6 2" xfId="20735" xr:uid="{00000000-0005-0000-0000-0000DBC00000}"/>
    <cellStyle name="Normal 7 4 3 2 3 6 2 2" xfId="46288" xr:uid="{00000000-0005-0000-0000-0000DCC00000}"/>
    <cellStyle name="Normal 7 4 3 2 3 6 3" xfId="33577" xr:uid="{00000000-0005-0000-0000-0000DDC00000}"/>
    <cellStyle name="Normal 7 4 3 2 3 7" xfId="16537" xr:uid="{00000000-0005-0000-0000-0000DEC00000}"/>
    <cellStyle name="Normal 7 4 3 2 3 7 2" xfId="42090" xr:uid="{00000000-0005-0000-0000-0000DFC00000}"/>
    <cellStyle name="Normal 7 4 3 2 3 8" xfId="27218" xr:uid="{00000000-0005-0000-0000-0000E0C00000}"/>
    <cellStyle name="Normal 7 4 3 2 4" xfId="3066" xr:uid="{00000000-0005-0000-0000-0000E1C00000}"/>
    <cellStyle name="Normal 7 4 3 2 4 2" xfId="5444" xr:uid="{00000000-0005-0000-0000-0000E2C00000}"/>
    <cellStyle name="Normal 7 4 3 2 4 2 2" xfId="14281" xr:uid="{00000000-0005-0000-0000-0000E3C00000}"/>
    <cellStyle name="Normal 7 4 3 2 4 2 2 2" xfId="24532" xr:uid="{00000000-0005-0000-0000-0000E4C00000}"/>
    <cellStyle name="Normal 7 4 3 2 4 2 2 2 2" xfId="50085" xr:uid="{00000000-0005-0000-0000-0000E5C00000}"/>
    <cellStyle name="Normal 7 4 3 2 4 2 2 3" xfId="39836" xr:uid="{00000000-0005-0000-0000-0000E6C00000}"/>
    <cellStyle name="Normal 7 4 3 2 4 2 3" xfId="10702" xr:uid="{00000000-0005-0000-0000-0000E7C00000}"/>
    <cellStyle name="Normal 7 4 3 2 4 2 3 2" xfId="36259" xr:uid="{00000000-0005-0000-0000-0000E8C00000}"/>
    <cellStyle name="Normal 7 4 3 2 4 2 4" xfId="19525" xr:uid="{00000000-0005-0000-0000-0000E9C00000}"/>
    <cellStyle name="Normal 7 4 3 2 4 2 4 2" xfId="45078" xr:uid="{00000000-0005-0000-0000-0000EAC00000}"/>
    <cellStyle name="Normal 7 4 3 2 4 2 5" xfId="31015" xr:uid="{00000000-0005-0000-0000-0000EBC00000}"/>
    <cellStyle name="Normal 7 4 3 2 4 3" xfId="6899" xr:uid="{00000000-0005-0000-0000-0000ECC00000}"/>
    <cellStyle name="Normal 7 4 3 2 4 3 2" xfId="15726" xr:uid="{00000000-0005-0000-0000-0000EDC00000}"/>
    <cellStyle name="Normal 7 4 3 2 4 3 2 2" xfId="41281" xr:uid="{00000000-0005-0000-0000-0000EEC00000}"/>
    <cellStyle name="Normal 7 4 3 2 4 3 3" xfId="25977" xr:uid="{00000000-0005-0000-0000-0000EFC00000}"/>
    <cellStyle name="Normal 7 4 3 2 4 3 3 2" xfId="51530" xr:uid="{00000000-0005-0000-0000-0000F0C00000}"/>
    <cellStyle name="Normal 7 4 3 2 4 3 4" xfId="32460" xr:uid="{00000000-0005-0000-0000-0000F1C00000}"/>
    <cellStyle name="Normal 7 4 3 2 4 4" xfId="8345" xr:uid="{00000000-0005-0000-0000-0000F2C00000}"/>
    <cellStyle name="Normal 7 4 3 2 4 4 2" xfId="22427" xr:uid="{00000000-0005-0000-0000-0000F3C00000}"/>
    <cellStyle name="Normal 7 4 3 2 4 4 2 2" xfId="47980" xr:uid="{00000000-0005-0000-0000-0000F4C00000}"/>
    <cellStyle name="Normal 7 4 3 2 4 4 3" xfId="33902" xr:uid="{00000000-0005-0000-0000-0000F5C00000}"/>
    <cellStyle name="Normal 7 4 3 2 4 5" xfId="17420" xr:uid="{00000000-0005-0000-0000-0000F6C00000}"/>
    <cellStyle name="Normal 7 4 3 2 4 5 2" xfId="42973" xr:uid="{00000000-0005-0000-0000-0000F7C00000}"/>
    <cellStyle name="Normal 7 4 3 2 4 6" xfId="28910" xr:uid="{00000000-0005-0000-0000-0000F8C00000}"/>
    <cellStyle name="Normal 7 4 3 2 5" xfId="4400" xr:uid="{00000000-0005-0000-0000-0000F9C00000}"/>
    <cellStyle name="Normal 7 4 3 2 5 2" xfId="13238" xr:uid="{00000000-0005-0000-0000-0000FAC00000}"/>
    <cellStyle name="Normal 7 4 3 2 5 2 2" xfId="23489" xr:uid="{00000000-0005-0000-0000-0000FBC00000}"/>
    <cellStyle name="Normal 7 4 3 2 5 2 2 2" xfId="49042" xr:uid="{00000000-0005-0000-0000-0000FCC00000}"/>
    <cellStyle name="Normal 7 4 3 2 5 2 3" xfId="38793" xr:uid="{00000000-0005-0000-0000-0000FDC00000}"/>
    <cellStyle name="Normal 7 4 3 2 5 3" xfId="9659" xr:uid="{00000000-0005-0000-0000-0000FEC00000}"/>
    <cellStyle name="Normal 7 4 3 2 5 3 2" xfId="35216" xr:uid="{00000000-0005-0000-0000-0000FFC00000}"/>
    <cellStyle name="Normal 7 4 3 2 5 4" xfId="18482" xr:uid="{00000000-0005-0000-0000-000000C10000}"/>
    <cellStyle name="Normal 7 4 3 2 5 4 2" xfId="44035" xr:uid="{00000000-0005-0000-0000-000001C10000}"/>
    <cellStyle name="Normal 7 4 3 2 5 5" xfId="29972" xr:uid="{00000000-0005-0000-0000-000002C10000}"/>
    <cellStyle name="Normal 7 4 3 2 6" xfId="1672" xr:uid="{00000000-0005-0000-0000-000003C10000}"/>
    <cellStyle name="Normal 7 4 3 2 6 2" xfId="11049" xr:uid="{00000000-0005-0000-0000-000004C10000}"/>
    <cellStyle name="Normal 7 4 3 2 6 2 2" xfId="36604" xr:uid="{00000000-0005-0000-0000-000005C10000}"/>
    <cellStyle name="Normal 7 4 3 2 6 3" xfId="21053" xr:uid="{00000000-0005-0000-0000-000006C10000}"/>
    <cellStyle name="Normal 7 4 3 2 6 3 2" xfId="46606" xr:uid="{00000000-0005-0000-0000-000007C10000}"/>
    <cellStyle name="Normal 7 4 3 2 6 4" xfId="27536" xr:uid="{00000000-0005-0000-0000-000008C10000}"/>
    <cellStyle name="Normal 7 4 3 2 7" xfId="5856" xr:uid="{00000000-0005-0000-0000-000009C10000}"/>
    <cellStyle name="Normal 7 4 3 2 7 2" xfId="14683" xr:uid="{00000000-0005-0000-0000-00000AC10000}"/>
    <cellStyle name="Normal 7 4 3 2 7 2 2" xfId="40238" xr:uid="{00000000-0005-0000-0000-00000BC10000}"/>
    <cellStyle name="Normal 7 4 3 2 7 3" xfId="24934" xr:uid="{00000000-0005-0000-0000-00000CC10000}"/>
    <cellStyle name="Normal 7 4 3 2 7 3 2" xfId="50487" xr:uid="{00000000-0005-0000-0000-00000DC10000}"/>
    <cellStyle name="Normal 7 4 3 2 7 4" xfId="31417" xr:uid="{00000000-0005-0000-0000-00000EC10000}"/>
    <cellStyle name="Normal 7 4 3 2 8" xfId="7300" xr:uid="{00000000-0005-0000-0000-00000FC10000}"/>
    <cellStyle name="Normal 7 4 3 2 8 2" xfId="20026" xr:uid="{00000000-0005-0000-0000-000010C10000}"/>
    <cellStyle name="Normal 7 4 3 2 8 2 2" xfId="45579" xr:uid="{00000000-0005-0000-0000-000011C10000}"/>
    <cellStyle name="Normal 7 4 3 2 8 3" xfId="32857" xr:uid="{00000000-0005-0000-0000-000012C10000}"/>
    <cellStyle name="Normal 7 4 3 2 9" xfId="16046" xr:uid="{00000000-0005-0000-0000-000013C10000}"/>
    <cellStyle name="Normal 7 4 3 2 9 2" xfId="41599" xr:uid="{00000000-0005-0000-0000-000014C10000}"/>
    <cellStyle name="Normal 7 4 3 2_Degree data" xfId="4071" xr:uid="{00000000-0005-0000-0000-000015C10000}"/>
    <cellStyle name="Normal 7 4 3 3" xfId="375" xr:uid="{00000000-0005-0000-0000-000016C10000}"/>
    <cellStyle name="Normal 7 4 3 3 2" xfId="2861" xr:uid="{00000000-0005-0000-0000-000017C10000}"/>
    <cellStyle name="Normal 7 4 3 3 2 2" xfId="12149" xr:uid="{00000000-0005-0000-0000-000018C10000}"/>
    <cellStyle name="Normal 7 4 3 3 2 2 2" xfId="22222" xr:uid="{00000000-0005-0000-0000-000019C10000}"/>
    <cellStyle name="Normal 7 4 3 3 2 2 2 2" xfId="47775" xr:uid="{00000000-0005-0000-0000-00001AC10000}"/>
    <cellStyle name="Normal 7 4 3 3 2 2 3" xfId="37704" xr:uid="{00000000-0005-0000-0000-00001BC10000}"/>
    <cellStyle name="Normal 7 4 3 3 2 3" xfId="8523" xr:uid="{00000000-0005-0000-0000-00001CC10000}"/>
    <cellStyle name="Normal 7 4 3 3 2 3 2" xfId="34080" xr:uid="{00000000-0005-0000-0000-00001DC10000}"/>
    <cellStyle name="Normal 7 4 3 3 2 4" xfId="17215" xr:uid="{00000000-0005-0000-0000-00001EC10000}"/>
    <cellStyle name="Normal 7 4 3 3 2 4 2" xfId="42768" xr:uid="{00000000-0005-0000-0000-00001FC10000}"/>
    <cellStyle name="Normal 7 4 3 3 2 5" xfId="28705" xr:uid="{00000000-0005-0000-0000-000020C10000}"/>
    <cellStyle name="Normal 7 4 3 3 3" xfId="4770" xr:uid="{00000000-0005-0000-0000-000021C10000}"/>
    <cellStyle name="Normal 7 4 3 3 3 2" xfId="13607" xr:uid="{00000000-0005-0000-0000-000022C10000}"/>
    <cellStyle name="Normal 7 4 3 3 3 2 2" xfId="23858" xr:uid="{00000000-0005-0000-0000-000023C10000}"/>
    <cellStyle name="Normal 7 4 3 3 3 2 2 2" xfId="49411" xr:uid="{00000000-0005-0000-0000-000024C10000}"/>
    <cellStyle name="Normal 7 4 3 3 3 2 3" xfId="39162" xr:uid="{00000000-0005-0000-0000-000025C10000}"/>
    <cellStyle name="Normal 7 4 3 3 3 3" xfId="10028" xr:uid="{00000000-0005-0000-0000-000026C10000}"/>
    <cellStyle name="Normal 7 4 3 3 3 3 2" xfId="35585" xr:uid="{00000000-0005-0000-0000-000027C10000}"/>
    <cellStyle name="Normal 7 4 3 3 3 4" xfId="18851" xr:uid="{00000000-0005-0000-0000-000028C10000}"/>
    <cellStyle name="Normal 7 4 3 3 3 4 2" xfId="44404" xr:uid="{00000000-0005-0000-0000-000029C10000}"/>
    <cellStyle name="Normal 7 4 3 3 3 5" xfId="30341" xr:uid="{00000000-0005-0000-0000-00002AC10000}"/>
    <cellStyle name="Normal 7 4 3 3 4" xfId="1970" xr:uid="{00000000-0005-0000-0000-00002BC10000}"/>
    <cellStyle name="Normal 7 4 3 3 4 2" xfId="11335" xr:uid="{00000000-0005-0000-0000-00002CC10000}"/>
    <cellStyle name="Normal 7 4 3 3 4 2 2" xfId="36890" xr:uid="{00000000-0005-0000-0000-00002DC10000}"/>
    <cellStyle name="Normal 7 4 3 3 4 3" xfId="21339" xr:uid="{00000000-0005-0000-0000-00002EC10000}"/>
    <cellStyle name="Normal 7 4 3 3 4 3 2" xfId="46892" xr:uid="{00000000-0005-0000-0000-00002FC10000}"/>
    <cellStyle name="Normal 7 4 3 3 4 4" xfId="27822" xr:uid="{00000000-0005-0000-0000-000030C10000}"/>
    <cellStyle name="Normal 7 4 3 3 5" xfId="6225" xr:uid="{00000000-0005-0000-0000-000031C10000}"/>
    <cellStyle name="Normal 7 4 3 3 5 2" xfId="15052" xr:uid="{00000000-0005-0000-0000-000032C10000}"/>
    <cellStyle name="Normal 7 4 3 3 5 2 2" xfId="40607" xr:uid="{00000000-0005-0000-0000-000033C10000}"/>
    <cellStyle name="Normal 7 4 3 3 5 3" xfId="25303" xr:uid="{00000000-0005-0000-0000-000034C10000}"/>
    <cellStyle name="Normal 7 4 3 3 5 3 2" xfId="50856" xr:uid="{00000000-0005-0000-0000-000035C10000}"/>
    <cellStyle name="Normal 7 4 3 3 5 4" xfId="31786" xr:uid="{00000000-0005-0000-0000-000036C10000}"/>
    <cellStyle name="Normal 7 4 3 3 6" xfId="7671" xr:uid="{00000000-0005-0000-0000-000037C10000}"/>
    <cellStyle name="Normal 7 4 3 3 6 2" xfId="19821" xr:uid="{00000000-0005-0000-0000-000038C10000}"/>
    <cellStyle name="Normal 7 4 3 3 6 2 2" xfId="45374" xr:uid="{00000000-0005-0000-0000-000039C10000}"/>
    <cellStyle name="Normal 7 4 3 3 6 3" xfId="33228" xr:uid="{00000000-0005-0000-0000-00003AC10000}"/>
    <cellStyle name="Normal 7 4 3 3 7" xfId="16332" xr:uid="{00000000-0005-0000-0000-00003BC10000}"/>
    <cellStyle name="Normal 7 4 3 3 7 2" xfId="41885" xr:uid="{00000000-0005-0000-0000-00003CC10000}"/>
    <cellStyle name="Normal 7 4 3 3 8" xfId="26304" xr:uid="{00000000-0005-0000-0000-00003DC10000}"/>
    <cellStyle name="Normal 7 4 3 4" xfId="964" xr:uid="{00000000-0005-0000-0000-00003EC10000}"/>
    <cellStyle name="Normal 7 4 3 4 2" xfId="3440" xr:uid="{00000000-0005-0000-0000-00003FC10000}"/>
    <cellStyle name="Normal 7 4 3 4 2 2" xfId="12582" xr:uid="{00000000-0005-0000-0000-000040C10000}"/>
    <cellStyle name="Normal 7 4 3 4 2 2 2" xfId="22801" xr:uid="{00000000-0005-0000-0000-000041C10000}"/>
    <cellStyle name="Normal 7 4 3 4 2 2 2 2" xfId="48354" xr:uid="{00000000-0005-0000-0000-000042C10000}"/>
    <cellStyle name="Normal 7 4 3 4 2 2 3" xfId="38137" xr:uid="{00000000-0005-0000-0000-000043C10000}"/>
    <cellStyle name="Normal 7 4 3 4 2 3" xfId="9004" xr:uid="{00000000-0005-0000-0000-000044C10000}"/>
    <cellStyle name="Normal 7 4 3 4 2 3 2" xfId="34561" xr:uid="{00000000-0005-0000-0000-000045C10000}"/>
    <cellStyle name="Normal 7 4 3 4 2 4" xfId="17794" xr:uid="{00000000-0005-0000-0000-000046C10000}"/>
    <cellStyle name="Normal 7 4 3 4 2 4 2" xfId="43347" xr:uid="{00000000-0005-0000-0000-000047C10000}"/>
    <cellStyle name="Normal 7 4 3 4 2 5" xfId="29284" xr:uid="{00000000-0005-0000-0000-000048C10000}"/>
    <cellStyle name="Normal 7 4 3 4 3" xfId="5118" xr:uid="{00000000-0005-0000-0000-000049C10000}"/>
    <cellStyle name="Normal 7 4 3 4 3 2" xfId="13955" xr:uid="{00000000-0005-0000-0000-00004AC10000}"/>
    <cellStyle name="Normal 7 4 3 4 3 2 2" xfId="24206" xr:uid="{00000000-0005-0000-0000-00004BC10000}"/>
    <cellStyle name="Normal 7 4 3 4 3 2 2 2" xfId="49759" xr:uid="{00000000-0005-0000-0000-00004CC10000}"/>
    <cellStyle name="Normal 7 4 3 4 3 2 3" xfId="39510" xr:uid="{00000000-0005-0000-0000-00004DC10000}"/>
    <cellStyle name="Normal 7 4 3 4 3 3" xfId="10376" xr:uid="{00000000-0005-0000-0000-00004EC10000}"/>
    <cellStyle name="Normal 7 4 3 4 3 3 2" xfId="35933" xr:uid="{00000000-0005-0000-0000-00004FC10000}"/>
    <cellStyle name="Normal 7 4 3 4 3 4" xfId="19199" xr:uid="{00000000-0005-0000-0000-000050C10000}"/>
    <cellStyle name="Normal 7 4 3 4 3 4 2" xfId="44752" xr:uid="{00000000-0005-0000-0000-000051C10000}"/>
    <cellStyle name="Normal 7 4 3 4 3 5" xfId="30689" xr:uid="{00000000-0005-0000-0000-000052C10000}"/>
    <cellStyle name="Normal 7 4 3 4 4" xfId="2549" xr:uid="{00000000-0005-0000-0000-000053C10000}"/>
    <cellStyle name="Normal 7 4 3 4 4 2" xfId="11914" xr:uid="{00000000-0005-0000-0000-000054C10000}"/>
    <cellStyle name="Normal 7 4 3 4 4 2 2" xfId="37469" xr:uid="{00000000-0005-0000-0000-000055C10000}"/>
    <cellStyle name="Normal 7 4 3 4 4 3" xfId="21918" xr:uid="{00000000-0005-0000-0000-000056C10000}"/>
    <cellStyle name="Normal 7 4 3 4 4 3 2" xfId="47471" xr:uid="{00000000-0005-0000-0000-000057C10000}"/>
    <cellStyle name="Normal 7 4 3 4 4 4" xfId="28401" xr:uid="{00000000-0005-0000-0000-000058C10000}"/>
    <cellStyle name="Normal 7 4 3 4 5" xfId="6573" xr:uid="{00000000-0005-0000-0000-000059C10000}"/>
    <cellStyle name="Normal 7 4 3 4 5 2" xfId="15400" xr:uid="{00000000-0005-0000-0000-00005AC10000}"/>
    <cellStyle name="Normal 7 4 3 4 5 2 2" xfId="40955" xr:uid="{00000000-0005-0000-0000-00005BC10000}"/>
    <cellStyle name="Normal 7 4 3 4 5 3" xfId="25651" xr:uid="{00000000-0005-0000-0000-00005CC10000}"/>
    <cellStyle name="Normal 7 4 3 4 5 3 2" xfId="51204" xr:uid="{00000000-0005-0000-0000-00005DC10000}"/>
    <cellStyle name="Normal 7 4 3 4 5 4" xfId="32134" xr:uid="{00000000-0005-0000-0000-00005EC10000}"/>
    <cellStyle name="Normal 7 4 3 4 6" xfId="8019" xr:uid="{00000000-0005-0000-0000-00005FC10000}"/>
    <cellStyle name="Normal 7 4 3 4 6 2" xfId="20400" xr:uid="{00000000-0005-0000-0000-000060C10000}"/>
    <cellStyle name="Normal 7 4 3 4 6 2 2" xfId="45953" xr:uid="{00000000-0005-0000-0000-000061C10000}"/>
    <cellStyle name="Normal 7 4 3 4 6 3" xfId="33576" xr:uid="{00000000-0005-0000-0000-000062C10000}"/>
    <cellStyle name="Normal 7 4 3 4 7" xfId="16911" xr:uid="{00000000-0005-0000-0000-000063C10000}"/>
    <cellStyle name="Normal 7 4 3 4 7 2" xfId="42464" xr:uid="{00000000-0005-0000-0000-000064C10000}"/>
    <cellStyle name="Normal 7 4 3 4 8" xfId="26883" xr:uid="{00000000-0005-0000-0000-000065C10000}"/>
    <cellStyle name="Normal 7 4 3 5" xfId="1147" xr:uid="{00000000-0005-0000-0000-000066C10000}"/>
    <cellStyle name="Normal 7 4 3 5 2" xfId="3576" xr:uid="{00000000-0005-0000-0000-000067C10000}"/>
    <cellStyle name="Normal 7 4 3 5 2 2" xfId="12712" xr:uid="{00000000-0005-0000-0000-000068C10000}"/>
    <cellStyle name="Normal 7 4 3 5 2 2 2" xfId="22931" xr:uid="{00000000-0005-0000-0000-000069C10000}"/>
    <cellStyle name="Normal 7 4 3 5 2 2 2 2" xfId="48484" xr:uid="{00000000-0005-0000-0000-00006AC10000}"/>
    <cellStyle name="Normal 7 4 3 5 2 2 3" xfId="38267" xr:uid="{00000000-0005-0000-0000-00006BC10000}"/>
    <cellStyle name="Normal 7 4 3 5 2 3" xfId="9133" xr:uid="{00000000-0005-0000-0000-00006CC10000}"/>
    <cellStyle name="Normal 7 4 3 5 2 3 2" xfId="34690" xr:uid="{00000000-0005-0000-0000-00006DC10000}"/>
    <cellStyle name="Normal 7 4 3 5 2 4" xfId="17924" xr:uid="{00000000-0005-0000-0000-00006EC10000}"/>
    <cellStyle name="Normal 7 4 3 5 2 4 2" xfId="43477" xr:uid="{00000000-0005-0000-0000-00006FC10000}"/>
    <cellStyle name="Normal 7 4 3 5 2 5" xfId="29414" xr:uid="{00000000-0005-0000-0000-000070C10000}"/>
    <cellStyle name="Normal 7 4 3 5 3" xfId="5239" xr:uid="{00000000-0005-0000-0000-000071C10000}"/>
    <cellStyle name="Normal 7 4 3 5 3 2" xfId="14076" xr:uid="{00000000-0005-0000-0000-000072C10000}"/>
    <cellStyle name="Normal 7 4 3 5 3 2 2" xfId="24327" xr:uid="{00000000-0005-0000-0000-000073C10000}"/>
    <cellStyle name="Normal 7 4 3 5 3 2 2 2" xfId="49880" xr:uid="{00000000-0005-0000-0000-000074C10000}"/>
    <cellStyle name="Normal 7 4 3 5 3 2 3" xfId="39631" xr:uid="{00000000-0005-0000-0000-000075C10000}"/>
    <cellStyle name="Normal 7 4 3 5 3 3" xfId="10497" xr:uid="{00000000-0005-0000-0000-000076C10000}"/>
    <cellStyle name="Normal 7 4 3 5 3 3 2" xfId="36054" xr:uid="{00000000-0005-0000-0000-000077C10000}"/>
    <cellStyle name="Normal 7 4 3 5 3 4" xfId="19320" xr:uid="{00000000-0005-0000-0000-000078C10000}"/>
    <cellStyle name="Normal 7 4 3 5 3 4 2" xfId="44873" xr:uid="{00000000-0005-0000-0000-000079C10000}"/>
    <cellStyle name="Normal 7 4 3 5 3 5" xfId="30810" xr:uid="{00000000-0005-0000-0000-00007AC10000}"/>
    <cellStyle name="Normal 7 4 3 5 4" xfId="1855" xr:uid="{00000000-0005-0000-0000-00007BC10000}"/>
    <cellStyle name="Normal 7 4 3 5 4 2" xfId="11223" xr:uid="{00000000-0005-0000-0000-00007CC10000}"/>
    <cellStyle name="Normal 7 4 3 5 4 2 2" xfId="36778" xr:uid="{00000000-0005-0000-0000-00007DC10000}"/>
    <cellStyle name="Normal 7 4 3 5 4 3" xfId="21227" xr:uid="{00000000-0005-0000-0000-00007EC10000}"/>
    <cellStyle name="Normal 7 4 3 5 4 3 2" xfId="46780" xr:uid="{00000000-0005-0000-0000-00007FC10000}"/>
    <cellStyle name="Normal 7 4 3 5 4 4" xfId="27710" xr:uid="{00000000-0005-0000-0000-000080C10000}"/>
    <cellStyle name="Normal 7 4 3 5 5" xfId="6694" xr:uid="{00000000-0005-0000-0000-000081C10000}"/>
    <cellStyle name="Normal 7 4 3 5 5 2" xfId="15521" xr:uid="{00000000-0005-0000-0000-000082C10000}"/>
    <cellStyle name="Normal 7 4 3 5 5 2 2" xfId="41076" xr:uid="{00000000-0005-0000-0000-000083C10000}"/>
    <cellStyle name="Normal 7 4 3 5 5 3" xfId="25772" xr:uid="{00000000-0005-0000-0000-000084C10000}"/>
    <cellStyle name="Normal 7 4 3 5 5 3 2" xfId="51325" xr:uid="{00000000-0005-0000-0000-000085C10000}"/>
    <cellStyle name="Normal 7 4 3 5 5 4" xfId="32255" xr:uid="{00000000-0005-0000-0000-000086C10000}"/>
    <cellStyle name="Normal 7 4 3 5 6" xfId="8140" xr:uid="{00000000-0005-0000-0000-000087C10000}"/>
    <cellStyle name="Normal 7 4 3 5 6 2" xfId="20530" xr:uid="{00000000-0005-0000-0000-000088C10000}"/>
    <cellStyle name="Normal 7 4 3 5 6 2 2" xfId="46083" xr:uid="{00000000-0005-0000-0000-000089C10000}"/>
    <cellStyle name="Normal 7 4 3 5 6 3" xfId="33697" xr:uid="{00000000-0005-0000-0000-00008AC10000}"/>
    <cellStyle name="Normal 7 4 3 5 7" xfId="16220" xr:uid="{00000000-0005-0000-0000-00008BC10000}"/>
    <cellStyle name="Normal 7 4 3 5 7 2" xfId="41773" xr:uid="{00000000-0005-0000-0000-00008CC10000}"/>
    <cellStyle name="Normal 7 4 3 5 8" xfId="27013" xr:uid="{00000000-0005-0000-0000-00008DC10000}"/>
    <cellStyle name="Normal 7 4 3 6" xfId="2749" xr:uid="{00000000-0005-0000-0000-00008EC10000}"/>
    <cellStyle name="Normal 7 4 3 6 2" xfId="12066" xr:uid="{00000000-0005-0000-0000-00008FC10000}"/>
    <cellStyle name="Normal 7 4 3 6 2 2" xfId="22110" xr:uid="{00000000-0005-0000-0000-000090C10000}"/>
    <cellStyle name="Normal 7 4 3 6 2 2 2" xfId="47663" xr:uid="{00000000-0005-0000-0000-000091C10000}"/>
    <cellStyle name="Normal 7 4 3 6 2 3" xfId="37621" xr:uid="{00000000-0005-0000-0000-000092C10000}"/>
    <cellStyle name="Normal 7 4 3 6 3" xfId="8543" xr:uid="{00000000-0005-0000-0000-000093C10000}"/>
    <cellStyle name="Normal 7 4 3 6 3 2" xfId="34100" xr:uid="{00000000-0005-0000-0000-000094C10000}"/>
    <cellStyle name="Normal 7 4 3 6 4" xfId="17103" xr:uid="{00000000-0005-0000-0000-000095C10000}"/>
    <cellStyle name="Normal 7 4 3 6 4 2" xfId="42656" xr:uid="{00000000-0005-0000-0000-000096C10000}"/>
    <cellStyle name="Normal 7 4 3 6 5" xfId="28593" xr:uid="{00000000-0005-0000-0000-000097C10000}"/>
    <cellStyle name="Normal 7 4 3 7" xfId="4195" xr:uid="{00000000-0005-0000-0000-000098C10000}"/>
    <cellStyle name="Normal 7 4 3 7 2" xfId="13033" xr:uid="{00000000-0005-0000-0000-000099C10000}"/>
    <cellStyle name="Normal 7 4 3 7 2 2" xfId="23284" xr:uid="{00000000-0005-0000-0000-00009AC10000}"/>
    <cellStyle name="Normal 7 4 3 7 2 2 2" xfId="48837" xr:uid="{00000000-0005-0000-0000-00009BC10000}"/>
    <cellStyle name="Normal 7 4 3 7 2 3" xfId="38588" xr:uid="{00000000-0005-0000-0000-00009CC10000}"/>
    <cellStyle name="Normal 7 4 3 7 3" xfId="9454" xr:uid="{00000000-0005-0000-0000-00009DC10000}"/>
    <cellStyle name="Normal 7 4 3 7 3 2" xfId="35011" xr:uid="{00000000-0005-0000-0000-00009EC10000}"/>
    <cellStyle name="Normal 7 4 3 7 4" xfId="18277" xr:uid="{00000000-0005-0000-0000-00009FC10000}"/>
    <cellStyle name="Normal 7 4 3 7 4 2" xfId="43830" xr:uid="{00000000-0005-0000-0000-0000A0C10000}"/>
    <cellStyle name="Normal 7 4 3 7 5" xfId="29767" xr:uid="{00000000-0005-0000-0000-0000A1C10000}"/>
    <cellStyle name="Normal 7 4 3 8" xfId="1467" xr:uid="{00000000-0005-0000-0000-0000A2C10000}"/>
    <cellStyle name="Normal 7 4 3 8 2" xfId="10844" xr:uid="{00000000-0005-0000-0000-0000A3C10000}"/>
    <cellStyle name="Normal 7 4 3 8 2 2" xfId="36399" xr:uid="{00000000-0005-0000-0000-0000A4C10000}"/>
    <cellStyle name="Normal 7 4 3 8 3" xfId="20848" xr:uid="{00000000-0005-0000-0000-0000A5C10000}"/>
    <cellStyle name="Normal 7 4 3 8 3 2" xfId="46401" xr:uid="{00000000-0005-0000-0000-0000A6C10000}"/>
    <cellStyle name="Normal 7 4 3 8 4" xfId="27331" xr:uid="{00000000-0005-0000-0000-0000A7C10000}"/>
    <cellStyle name="Normal 7 4 3 9" xfId="5651" xr:uid="{00000000-0005-0000-0000-0000A8C10000}"/>
    <cellStyle name="Normal 7 4 3 9 2" xfId="14478" xr:uid="{00000000-0005-0000-0000-0000A9C10000}"/>
    <cellStyle name="Normal 7 4 3 9 2 2" xfId="40033" xr:uid="{00000000-0005-0000-0000-0000AAC10000}"/>
    <cellStyle name="Normal 7 4 3 9 3" xfId="24729" xr:uid="{00000000-0005-0000-0000-0000ABC10000}"/>
    <cellStyle name="Normal 7 4 3 9 3 2" xfId="50282" xr:uid="{00000000-0005-0000-0000-0000ACC10000}"/>
    <cellStyle name="Normal 7 4 3 9 4" xfId="31212" xr:uid="{00000000-0005-0000-0000-0000ADC10000}"/>
    <cellStyle name="Normal 7 4 3_Degree data" xfId="4070" xr:uid="{00000000-0005-0000-0000-0000AEC10000}"/>
    <cellStyle name="Normal 7 4 4" xfId="475" xr:uid="{00000000-0005-0000-0000-0000AFC10000}"/>
    <cellStyle name="Normal 7 4 4 10" xfId="26404" xr:uid="{00000000-0005-0000-0000-0000B0C10000}"/>
    <cellStyle name="Normal 7 4 4 2" xfId="966" xr:uid="{00000000-0005-0000-0000-0000B1C10000}"/>
    <cellStyle name="Normal 7 4 4 2 2" xfId="3442" xr:uid="{00000000-0005-0000-0000-0000B2C10000}"/>
    <cellStyle name="Normal 7 4 4 2 2 2" xfId="12584" xr:uid="{00000000-0005-0000-0000-0000B3C10000}"/>
    <cellStyle name="Normal 7 4 4 2 2 2 2" xfId="22803" xr:uid="{00000000-0005-0000-0000-0000B4C10000}"/>
    <cellStyle name="Normal 7 4 4 2 2 2 2 2" xfId="48356" xr:uid="{00000000-0005-0000-0000-0000B5C10000}"/>
    <cellStyle name="Normal 7 4 4 2 2 2 3" xfId="38139" xr:uid="{00000000-0005-0000-0000-0000B6C10000}"/>
    <cellStyle name="Normal 7 4 4 2 2 3" xfId="9006" xr:uid="{00000000-0005-0000-0000-0000B7C10000}"/>
    <cellStyle name="Normal 7 4 4 2 2 3 2" xfId="34563" xr:uid="{00000000-0005-0000-0000-0000B8C10000}"/>
    <cellStyle name="Normal 7 4 4 2 2 4" xfId="17796" xr:uid="{00000000-0005-0000-0000-0000B9C10000}"/>
    <cellStyle name="Normal 7 4 4 2 2 4 2" xfId="43349" xr:uid="{00000000-0005-0000-0000-0000BAC10000}"/>
    <cellStyle name="Normal 7 4 4 2 2 5" xfId="29286" xr:uid="{00000000-0005-0000-0000-0000BBC10000}"/>
    <cellStyle name="Normal 7 4 4 2 3" xfId="4772" xr:uid="{00000000-0005-0000-0000-0000BCC10000}"/>
    <cellStyle name="Normal 7 4 4 2 3 2" xfId="13609" xr:uid="{00000000-0005-0000-0000-0000BDC10000}"/>
    <cellStyle name="Normal 7 4 4 2 3 2 2" xfId="23860" xr:uid="{00000000-0005-0000-0000-0000BEC10000}"/>
    <cellStyle name="Normal 7 4 4 2 3 2 2 2" xfId="49413" xr:uid="{00000000-0005-0000-0000-0000BFC10000}"/>
    <cellStyle name="Normal 7 4 4 2 3 2 3" xfId="39164" xr:uid="{00000000-0005-0000-0000-0000C0C10000}"/>
    <cellStyle name="Normal 7 4 4 2 3 3" xfId="10030" xr:uid="{00000000-0005-0000-0000-0000C1C10000}"/>
    <cellStyle name="Normal 7 4 4 2 3 3 2" xfId="35587" xr:uid="{00000000-0005-0000-0000-0000C2C10000}"/>
    <cellStyle name="Normal 7 4 4 2 3 4" xfId="18853" xr:uid="{00000000-0005-0000-0000-0000C3C10000}"/>
    <cellStyle name="Normal 7 4 4 2 3 4 2" xfId="44406" xr:uid="{00000000-0005-0000-0000-0000C4C10000}"/>
    <cellStyle name="Normal 7 4 4 2 3 5" xfId="30343" xr:uid="{00000000-0005-0000-0000-0000C5C10000}"/>
    <cellStyle name="Normal 7 4 4 2 4" xfId="2551" xr:uid="{00000000-0005-0000-0000-0000C6C10000}"/>
    <cellStyle name="Normal 7 4 4 2 4 2" xfId="11916" xr:uid="{00000000-0005-0000-0000-0000C7C10000}"/>
    <cellStyle name="Normal 7 4 4 2 4 2 2" xfId="37471" xr:uid="{00000000-0005-0000-0000-0000C8C10000}"/>
    <cellStyle name="Normal 7 4 4 2 4 3" xfId="21920" xr:uid="{00000000-0005-0000-0000-0000C9C10000}"/>
    <cellStyle name="Normal 7 4 4 2 4 3 2" xfId="47473" xr:uid="{00000000-0005-0000-0000-0000CAC10000}"/>
    <cellStyle name="Normal 7 4 4 2 4 4" xfId="28403" xr:uid="{00000000-0005-0000-0000-0000CBC10000}"/>
    <cellStyle name="Normal 7 4 4 2 5" xfId="6227" xr:uid="{00000000-0005-0000-0000-0000CCC10000}"/>
    <cellStyle name="Normal 7 4 4 2 5 2" xfId="15054" xr:uid="{00000000-0005-0000-0000-0000CDC10000}"/>
    <cellStyle name="Normal 7 4 4 2 5 2 2" xfId="40609" xr:uid="{00000000-0005-0000-0000-0000CEC10000}"/>
    <cellStyle name="Normal 7 4 4 2 5 3" xfId="25305" xr:uid="{00000000-0005-0000-0000-0000CFC10000}"/>
    <cellStyle name="Normal 7 4 4 2 5 3 2" xfId="50858" xr:uid="{00000000-0005-0000-0000-0000D0C10000}"/>
    <cellStyle name="Normal 7 4 4 2 5 4" xfId="31788" xr:uid="{00000000-0005-0000-0000-0000D1C10000}"/>
    <cellStyle name="Normal 7 4 4 2 6" xfId="7673" xr:uid="{00000000-0005-0000-0000-0000D2C10000}"/>
    <cellStyle name="Normal 7 4 4 2 6 2" xfId="20402" xr:uid="{00000000-0005-0000-0000-0000D3C10000}"/>
    <cellStyle name="Normal 7 4 4 2 6 2 2" xfId="45955" xr:uid="{00000000-0005-0000-0000-0000D4C10000}"/>
    <cellStyle name="Normal 7 4 4 2 6 3" xfId="33230" xr:uid="{00000000-0005-0000-0000-0000D5C10000}"/>
    <cellStyle name="Normal 7 4 4 2 7" xfId="16913" xr:uid="{00000000-0005-0000-0000-0000D6C10000}"/>
    <cellStyle name="Normal 7 4 4 2 7 2" xfId="42466" xr:uid="{00000000-0005-0000-0000-0000D7C10000}"/>
    <cellStyle name="Normal 7 4 4 2 8" xfId="26885" xr:uid="{00000000-0005-0000-0000-0000D8C10000}"/>
    <cellStyle name="Normal 7 4 4 3" xfId="1247" xr:uid="{00000000-0005-0000-0000-0000D9C10000}"/>
    <cellStyle name="Normal 7 4 4 3 2" xfId="3676" xr:uid="{00000000-0005-0000-0000-0000DAC10000}"/>
    <cellStyle name="Normal 7 4 4 3 2 2" xfId="12812" xr:uid="{00000000-0005-0000-0000-0000DBC10000}"/>
    <cellStyle name="Normal 7 4 4 3 2 2 2" xfId="23031" xr:uid="{00000000-0005-0000-0000-0000DCC10000}"/>
    <cellStyle name="Normal 7 4 4 3 2 2 2 2" xfId="48584" xr:uid="{00000000-0005-0000-0000-0000DDC10000}"/>
    <cellStyle name="Normal 7 4 4 3 2 2 3" xfId="38367" xr:uid="{00000000-0005-0000-0000-0000DEC10000}"/>
    <cellStyle name="Normal 7 4 4 3 2 3" xfId="9233" xr:uid="{00000000-0005-0000-0000-0000DFC10000}"/>
    <cellStyle name="Normal 7 4 4 3 2 3 2" xfId="34790" xr:uid="{00000000-0005-0000-0000-0000E0C10000}"/>
    <cellStyle name="Normal 7 4 4 3 2 4" xfId="18024" xr:uid="{00000000-0005-0000-0000-0000E1C10000}"/>
    <cellStyle name="Normal 7 4 4 3 2 4 2" xfId="43577" xr:uid="{00000000-0005-0000-0000-0000E2C10000}"/>
    <cellStyle name="Normal 7 4 4 3 2 5" xfId="29514" xr:uid="{00000000-0005-0000-0000-0000E3C10000}"/>
    <cellStyle name="Normal 7 4 4 3 3" xfId="5120" xr:uid="{00000000-0005-0000-0000-0000E4C10000}"/>
    <cellStyle name="Normal 7 4 4 3 3 2" xfId="13957" xr:uid="{00000000-0005-0000-0000-0000E5C10000}"/>
    <cellStyle name="Normal 7 4 4 3 3 2 2" xfId="24208" xr:uid="{00000000-0005-0000-0000-0000E6C10000}"/>
    <cellStyle name="Normal 7 4 4 3 3 2 2 2" xfId="49761" xr:uid="{00000000-0005-0000-0000-0000E7C10000}"/>
    <cellStyle name="Normal 7 4 4 3 3 2 3" xfId="39512" xr:uid="{00000000-0005-0000-0000-0000E8C10000}"/>
    <cellStyle name="Normal 7 4 4 3 3 3" xfId="10378" xr:uid="{00000000-0005-0000-0000-0000E9C10000}"/>
    <cellStyle name="Normal 7 4 4 3 3 3 2" xfId="35935" xr:uid="{00000000-0005-0000-0000-0000EAC10000}"/>
    <cellStyle name="Normal 7 4 4 3 3 4" xfId="19201" xr:uid="{00000000-0005-0000-0000-0000EBC10000}"/>
    <cellStyle name="Normal 7 4 4 3 3 4 2" xfId="44754" xr:uid="{00000000-0005-0000-0000-0000ECC10000}"/>
    <cellStyle name="Normal 7 4 4 3 3 5" xfId="30691" xr:uid="{00000000-0005-0000-0000-0000EDC10000}"/>
    <cellStyle name="Normal 7 4 4 3 4" xfId="2070" xr:uid="{00000000-0005-0000-0000-0000EEC10000}"/>
    <cellStyle name="Normal 7 4 4 3 4 2" xfId="11435" xr:uid="{00000000-0005-0000-0000-0000EFC10000}"/>
    <cellStyle name="Normal 7 4 4 3 4 2 2" xfId="36990" xr:uid="{00000000-0005-0000-0000-0000F0C10000}"/>
    <cellStyle name="Normal 7 4 4 3 4 3" xfId="21439" xr:uid="{00000000-0005-0000-0000-0000F1C10000}"/>
    <cellStyle name="Normal 7 4 4 3 4 3 2" xfId="46992" xr:uid="{00000000-0005-0000-0000-0000F2C10000}"/>
    <cellStyle name="Normal 7 4 4 3 4 4" xfId="27922" xr:uid="{00000000-0005-0000-0000-0000F3C10000}"/>
    <cellStyle name="Normal 7 4 4 3 5" xfId="6575" xr:uid="{00000000-0005-0000-0000-0000F4C10000}"/>
    <cellStyle name="Normal 7 4 4 3 5 2" xfId="15402" xr:uid="{00000000-0005-0000-0000-0000F5C10000}"/>
    <cellStyle name="Normal 7 4 4 3 5 2 2" xfId="40957" xr:uid="{00000000-0005-0000-0000-0000F6C10000}"/>
    <cellStyle name="Normal 7 4 4 3 5 3" xfId="25653" xr:uid="{00000000-0005-0000-0000-0000F7C10000}"/>
    <cellStyle name="Normal 7 4 4 3 5 3 2" xfId="51206" xr:uid="{00000000-0005-0000-0000-0000F8C10000}"/>
    <cellStyle name="Normal 7 4 4 3 5 4" xfId="32136" xr:uid="{00000000-0005-0000-0000-0000F9C10000}"/>
    <cellStyle name="Normal 7 4 4 3 6" xfId="8021" xr:uid="{00000000-0005-0000-0000-0000FAC10000}"/>
    <cellStyle name="Normal 7 4 4 3 6 2" xfId="20630" xr:uid="{00000000-0005-0000-0000-0000FBC10000}"/>
    <cellStyle name="Normal 7 4 4 3 6 2 2" xfId="46183" xr:uid="{00000000-0005-0000-0000-0000FCC10000}"/>
    <cellStyle name="Normal 7 4 4 3 6 3" xfId="33578" xr:uid="{00000000-0005-0000-0000-0000FDC10000}"/>
    <cellStyle name="Normal 7 4 4 3 7" xfId="16432" xr:uid="{00000000-0005-0000-0000-0000FEC10000}"/>
    <cellStyle name="Normal 7 4 4 3 7 2" xfId="41985" xr:uid="{00000000-0005-0000-0000-0000FFC10000}"/>
    <cellStyle name="Normal 7 4 4 3 8" xfId="27113" xr:uid="{00000000-0005-0000-0000-000000C20000}"/>
    <cellStyle name="Normal 7 4 4 4" xfId="2961" xr:uid="{00000000-0005-0000-0000-000001C20000}"/>
    <cellStyle name="Normal 7 4 4 4 2" xfId="5339" xr:uid="{00000000-0005-0000-0000-000002C20000}"/>
    <cellStyle name="Normal 7 4 4 4 2 2" xfId="14176" xr:uid="{00000000-0005-0000-0000-000003C20000}"/>
    <cellStyle name="Normal 7 4 4 4 2 2 2" xfId="24427" xr:uid="{00000000-0005-0000-0000-000004C20000}"/>
    <cellStyle name="Normal 7 4 4 4 2 2 2 2" xfId="49980" xr:uid="{00000000-0005-0000-0000-000005C20000}"/>
    <cellStyle name="Normal 7 4 4 4 2 2 3" xfId="39731" xr:uid="{00000000-0005-0000-0000-000006C20000}"/>
    <cellStyle name="Normal 7 4 4 4 2 3" xfId="10597" xr:uid="{00000000-0005-0000-0000-000007C20000}"/>
    <cellStyle name="Normal 7 4 4 4 2 3 2" xfId="36154" xr:uid="{00000000-0005-0000-0000-000008C20000}"/>
    <cellStyle name="Normal 7 4 4 4 2 4" xfId="19420" xr:uid="{00000000-0005-0000-0000-000009C20000}"/>
    <cellStyle name="Normal 7 4 4 4 2 4 2" xfId="44973" xr:uid="{00000000-0005-0000-0000-00000AC20000}"/>
    <cellStyle name="Normal 7 4 4 4 2 5" xfId="30910" xr:uid="{00000000-0005-0000-0000-00000BC20000}"/>
    <cellStyle name="Normal 7 4 4 4 3" xfId="6794" xr:uid="{00000000-0005-0000-0000-00000CC20000}"/>
    <cellStyle name="Normal 7 4 4 4 3 2" xfId="15621" xr:uid="{00000000-0005-0000-0000-00000DC20000}"/>
    <cellStyle name="Normal 7 4 4 4 3 2 2" xfId="41176" xr:uid="{00000000-0005-0000-0000-00000EC20000}"/>
    <cellStyle name="Normal 7 4 4 4 3 3" xfId="25872" xr:uid="{00000000-0005-0000-0000-00000FC20000}"/>
    <cellStyle name="Normal 7 4 4 4 3 3 2" xfId="51425" xr:uid="{00000000-0005-0000-0000-000010C20000}"/>
    <cellStyle name="Normal 7 4 4 4 3 4" xfId="32355" xr:uid="{00000000-0005-0000-0000-000011C20000}"/>
    <cellStyle name="Normal 7 4 4 4 4" xfId="8240" xr:uid="{00000000-0005-0000-0000-000012C20000}"/>
    <cellStyle name="Normal 7 4 4 4 4 2" xfId="22322" xr:uid="{00000000-0005-0000-0000-000013C20000}"/>
    <cellStyle name="Normal 7 4 4 4 4 2 2" xfId="47875" xr:uid="{00000000-0005-0000-0000-000014C20000}"/>
    <cellStyle name="Normal 7 4 4 4 4 3" xfId="33797" xr:uid="{00000000-0005-0000-0000-000015C20000}"/>
    <cellStyle name="Normal 7 4 4 4 5" xfId="17315" xr:uid="{00000000-0005-0000-0000-000016C20000}"/>
    <cellStyle name="Normal 7 4 4 4 5 2" xfId="42868" xr:uid="{00000000-0005-0000-0000-000017C20000}"/>
    <cellStyle name="Normal 7 4 4 4 6" xfId="28805" xr:uid="{00000000-0005-0000-0000-000018C20000}"/>
    <cellStyle name="Normal 7 4 4 5" xfId="4295" xr:uid="{00000000-0005-0000-0000-000019C20000}"/>
    <cellStyle name="Normal 7 4 4 5 2" xfId="13133" xr:uid="{00000000-0005-0000-0000-00001AC20000}"/>
    <cellStyle name="Normal 7 4 4 5 2 2" xfId="23384" xr:uid="{00000000-0005-0000-0000-00001BC20000}"/>
    <cellStyle name="Normal 7 4 4 5 2 2 2" xfId="48937" xr:uid="{00000000-0005-0000-0000-00001CC20000}"/>
    <cellStyle name="Normal 7 4 4 5 2 3" xfId="38688" xr:uid="{00000000-0005-0000-0000-00001DC20000}"/>
    <cellStyle name="Normal 7 4 4 5 3" xfId="9554" xr:uid="{00000000-0005-0000-0000-00001EC20000}"/>
    <cellStyle name="Normal 7 4 4 5 3 2" xfId="35111" xr:uid="{00000000-0005-0000-0000-00001FC20000}"/>
    <cellStyle name="Normal 7 4 4 5 4" xfId="18377" xr:uid="{00000000-0005-0000-0000-000020C20000}"/>
    <cellStyle name="Normal 7 4 4 5 4 2" xfId="43930" xr:uid="{00000000-0005-0000-0000-000021C20000}"/>
    <cellStyle name="Normal 7 4 4 5 5" xfId="29867" xr:uid="{00000000-0005-0000-0000-000022C20000}"/>
    <cellStyle name="Normal 7 4 4 6" xfId="1567" xr:uid="{00000000-0005-0000-0000-000023C20000}"/>
    <cellStyle name="Normal 7 4 4 6 2" xfId="10944" xr:uid="{00000000-0005-0000-0000-000024C20000}"/>
    <cellStyle name="Normal 7 4 4 6 2 2" xfId="36499" xr:uid="{00000000-0005-0000-0000-000025C20000}"/>
    <cellStyle name="Normal 7 4 4 6 3" xfId="20948" xr:uid="{00000000-0005-0000-0000-000026C20000}"/>
    <cellStyle name="Normal 7 4 4 6 3 2" xfId="46501" xr:uid="{00000000-0005-0000-0000-000027C20000}"/>
    <cellStyle name="Normal 7 4 4 6 4" xfId="27431" xr:uid="{00000000-0005-0000-0000-000028C20000}"/>
    <cellStyle name="Normal 7 4 4 7" xfId="5751" xr:uid="{00000000-0005-0000-0000-000029C20000}"/>
    <cellStyle name="Normal 7 4 4 7 2" xfId="14578" xr:uid="{00000000-0005-0000-0000-00002AC20000}"/>
    <cellStyle name="Normal 7 4 4 7 2 2" xfId="40133" xr:uid="{00000000-0005-0000-0000-00002BC20000}"/>
    <cellStyle name="Normal 7 4 4 7 3" xfId="24829" xr:uid="{00000000-0005-0000-0000-00002CC20000}"/>
    <cellStyle name="Normal 7 4 4 7 3 2" xfId="50382" xr:uid="{00000000-0005-0000-0000-00002DC20000}"/>
    <cellStyle name="Normal 7 4 4 7 4" xfId="31312" xr:uid="{00000000-0005-0000-0000-00002EC20000}"/>
    <cellStyle name="Normal 7 4 4 8" xfId="7195" xr:uid="{00000000-0005-0000-0000-00002FC20000}"/>
    <cellStyle name="Normal 7 4 4 8 2" xfId="19921" xr:uid="{00000000-0005-0000-0000-000030C20000}"/>
    <cellStyle name="Normal 7 4 4 8 2 2" xfId="45474" xr:uid="{00000000-0005-0000-0000-000031C20000}"/>
    <cellStyle name="Normal 7 4 4 8 3" xfId="32752" xr:uid="{00000000-0005-0000-0000-000032C20000}"/>
    <cellStyle name="Normal 7 4 4 9" xfId="15941" xr:uid="{00000000-0005-0000-0000-000033C20000}"/>
    <cellStyle name="Normal 7 4 4 9 2" xfId="41494" xr:uid="{00000000-0005-0000-0000-000034C20000}"/>
    <cellStyle name="Normal 7 4 4_Degree data" xfId="4072" xr:uid="{00000000-0005-0000-0000-000035C20000}"/>
    <cellStyle name="Normal 7 4 5" xfId="316" xr:uid="{00000000-0005-0000-0000-000036C20000}"/>
    <cellStyle name="Normal 7 4 5 2" xfId="2802" xr:uid="{00000000-0005-0000-0000-000037C20000}"/>
    <cellStyle name="Normal 7 4 5 2 2" xfId="12106" xr:uid="{00000000-0005-0000-0000-000038C20000}"/>
    <cellStyle name="Normal 7 4 5 2 2 2" xfId="22163" xr:uid="{00000000-0005-0000-0000-000039C20000}"/>
    <cellStyle name="Normal 7 4 5 2 2 2 2" xfId="47716" xr:uid="{00000000-0005-0000-0000-00003AC20000}"/>
    <cellStyle name="Normal 7 4 5 2 2 3" xfId="37661" xr:uid="{00000000-0005-0000-0000-00003BC20000}"/>
    <cellStyle name="Normal 7 4 5 2 3" xfId="8423" xr:uid="{00000000-0005-0000-0000-00003CC20000}"/>
    <cellStyle name="Normal 7 4 5 2 3 2" xfId="33980" xr:uid="{00000000-0005-0000-0000-00003DC20000}"/>
    <cellStyle name="Normal 7 4 5 2 4" xfId="17156" xr:uid="{00000000-0005-0000-0000-00003EC20000}"/>
    <cellStyle name="Normal 7 4 5 2 4 2" xfId="42709" xr:uid="{00000000-0005-0000-0000-00003FC20000}"/>
    <cellStyle name="Normal 7 4 5 2 5" xfId="28646" xr:uid="{00000000-0005-0000-0000-000040C20000}"/>
    <cellStyle name="Normal 7 4 5 3" xfId="4767" xr:uid="{00000000-0005-0000-0000-000041C20000}"/>
    <cellStyle name="Normal 7 4 5 3 2" xfId="13604" xr:uid="{00000000-0005-0000-0000-000042C20000}"/>
    <cellStyle name="Normal 7 4 5 3 2 2" xfId="23855" xr:uid="{00000000-0005-0000-0000-000043C20000}"/>
    <cellStyle name="Normal 7 4 5 3 2 2 2" xfId="49408" xr:uid="{00000000-0005-0000-0000-000044C20000}"/>
    <cellStyle name="Normal 7 4 5 3 2 3" xfId="39159" xr:uid="{00000000-0005-0000-0000-000045C20000}"/>
    <cellStyle name="Normal 7 4 5 3 3" xfId="10025" xr:uid="{00000000-0005-0000-0000-000046C20000}"/>
    <cellStyle name="Normal 7 4 5 3 3 2" xfId="35582" xr:uid="{00000000-0005-0000-0000-000047C20000}"/>
    <cellStyle name="Normal 7 4 5 3 4" xfId="18848" xr:uid="{00000000-0005-0000-0000-000048C20000}"/>
    <cellStyle name="Normal 7 4 5 3 4 2" xfId="44401" xr:uid="{00000000-0005-0000-0000-000049C20000}"/>
    <cellStyle name="Normal 7 4 5 3 5" xfId="30338" xr:uid="{00000000-0005-0000-0000-00004AC20000}"/>
    <cellStyle name="Normal 7 4 5 4" xfId="1911" xr:uid="{00000000-0005-0000-0000-00004BC20000}"/>
    <cellStyle name="Normal 7 4 5 4 2" xfId="11276" xr:uid="{00000000-0005-0000-0000-00004CC20000}"/>
    <cellStyle name="Normal 7 4 5 4 2 2" xfId="36831" xr:uid="{00000000-0005-0000-0000-00004DC20000}"/>
    <cellStyle name="Normal 7 4 5 4 3" xfId="21280" xr:uid="{00000000-0005-0000-0000-00004EC20000}"/>
    <cellStyle name="Normal 7 4 5 4 3 2" xfId="46833" xr:uid="{00000000-0005-0000-0000-00004FC20000}"/>
    <cellStyle name="Normal 7 4 5 4 4" xfId="27763" xr:uid="{00000000-0005-0000-0000-000050C20000}"/>
    <cellStyle name="Normal 7 4 5 5" xfId="6222" xr:uid="{00000000-0005-0000-0000-000051C20000}"/>
    <cellStyle name="Normal 7 4 5 5 2" xfId="15049" xr:uid="{00000000-0005-0000-0000-000052C20000}"/>
    <cellStyle name="Normal 7 4 5 5 2 2" xfId="40604" xr:uid="{00000000-0005-0000-0000-000053C20000}"/>
    <cellStyle name="Normal 7 4 5 5 3" xfId="25300" xr:uid="{00000000-0005-0000-0000-000054C20000}"/>
    <cellStyle name="Normal 7 4 5 5 3 2" xfId="50853" xr:uid="{00000000-0005-0000-0000-000055C20000}"/>
    <cellStyle name="Normal 7 4 5 5 4" xfId="31783" xr:uid="{00000000-0005-0000-0000-000056C20000}"/>
    <cellStyle name="Normal 7 4 5 6" xfId="7668" xr:uid="{00000000-0005-0000-0000-000057C20000}"/>
    <cellStyle name="Normal 7 4 5 6 2" xfId="19762" xr:uid="{00000000-0005-0000-0000-000058C20000}"/>
    <cellStyle name="Normal 7 4 5 6 2 2" xfId="45315" xr:uid="{00000000-0005-0000-0000-000059C20000}"/>
    <cellStyle name="Normal 7 4 5 6 3" xfId="33225" xr:uid="{00000000-0005-0000-0000-00005AC20000}"/>
    <cellStyle name="Normal 7 4 5 7" xfId="16273" xr:uid="{00000000-0005-0000-0000-00005BC20000}"/>
    <cellStyle name="Normal 7 4 5 7 2" xfId="41826" xr:uid="{00000000-0005-0000-0000-00005CC20000}"/>
    <cellStyle name="Normal 7 4 5 8" xfId="26245" xr:uid="{00000000-0005-0000-0000-00005DC20000}"/>
    <cellStyle name="Normal 7 4 6" xfId="961" xr:uid="{00000000-0005-0000-0000-00005EC20000}"/>
    <cellStyle name="Normal 7 4 6 2" xfId="3437" xr:uid="{00000000-0005-0000-0000-00005FC20000}"/>
    <cellStyle name="Normal 7 4 6 2 2" xfId="12579" xr:uid="{00000000-0005-0000-0000-000060C20000}"/>
    <cellStyle name="Normal 7 4 6 2 2 2" xfId="22798" xr:uid="{00000000-0005-0000-0000-000061C20000}"/>
    <cellStyle name="Normal 7 4 6 2 2 2 2" xfId="48351" xr:uid="{00000000-0005-0000-0000-000062C20000}"/>
    <cellStyle name="Normal 7 4 6 2 2 3" xfId="38134" xr:uid="{00000000-0005-0000-0000-000063C20000}"/>
    <cellStyle name="Normal 7 4 6 2 3" xfId="9001" xr:uid="{00000000-0005-0000-0000-000064C20000}"/>
    <cellStyle name="Normal 7 4 6 2 3 2" xfId="34558" xr:uid="{00000000-0005-0000-0000-000065C20000}"/>
    <cellStyle name="Normal 7 4 6 2 4" xfId="17791" xr:uid="{00000000-0005-0000-0000-000066C20000}"/>
    <cellStyle name="Normal 7 4 6 2 4 2" xfId="43344" xr:uid="{00000000-0005-0000-0000-000067C20000}"/>
    <cellStyle name="Normal 7 4 6 2 5" xfId="29281" xr:uid="{00000000-0005-0000-0000-000068C20000}"/>
    <cellStyle name="Normal 7 4 6 3" xfId="5115" xr:uid="{00000000-0005-0000-0000-000069C20000}"/>
    <cellStyle name="Normal 7 4 6 3 2" xfId="13952" xr:uid="{00000000-0005-0000-0000-00006AC20000}"/>
    <cellStyle name="Normal 7 4 6 3 2 2" xfId="24203" xr:uid="{00000000-0005-0000-0000-00006BC20000}"/>
    <cellStyle name="Normal 7 4 6 3 2 2 2" xfId="49756" xr:uid="{00000000-0005-0000-0000-00006CC20000}"/>
    <cellStyle name="Normal 7 4 6 3 2 3" xfId="39507" xr:uid="{00000000-0005-0000-0000-00006DC20000}"/>
    <cellStyle name="Normal 7 4 6 3 3" xfId="10373" xr:uid="{00000000-0005-0000-0000-00006EC20000}"/>
    <cellStyle name="Normal 7 4 6 3 3 2" xfId="35930" xr:uid="{00000000-0005-0000-0000-00006FC20000}"/>
    <cellStyle name="Normal 7 4 6 3 4" xfId="19196" xr:uid="{00000000-0005-0000-0000-000070C20000}"/>
    <cellStyle name="Normal 7 4 6 3 4 2" xfId="44749" xr:uid="{00000000-0005-0000-0000-000071C20000}"/>
    <cellStyle name="Normal 7 4 6 3 5" xfId="30686" xr:uid="{00000000-0005-0000-0000-000072C20000}"/>
    <cellStyle name="Normal 7 4 6 4" xfId="2546" xr:uid="{00000000-0005-0000-0000-000073C20000}"/>
    <cellStyle name="Normal 7 4 6 4 2" xfId="11911" xr:uid="{00000000-0005-0000-0000-000074C20000}"/>
    <cellStyle name="Normal 7 4 6 4 2 2" xfId="37466" xr:uid="{00000000-0005-0000-0000-000075C20000}"/>
    <cellStyle name="Normal 7 4 6 4 3" xfId="21915" xr:uid="{00000000-0005-0000-0000-000076C20000}"/>
    <cellStyle name="Normal 7 4 6 4 3 2" xfId="47468" xr:uid="{00000000-0005-0000-0000-000077C20000}"/>
    <cellStyle name="Normal 7 4 6 4 4" xfId="28398" xr:uid="{00000000-0005-0000-0000-000078C20000}"/>
    <cellStyle name="Normal 7 4 6 5" xfId="6570" xr:uid="{00000000-0005-0000-0000-000079C20000}"/>
    <cellStyle name="Normal 7 4 6 5 2" xfId="15397" xr:uid="{00000000-0005-0000-0000-00007AC20000}"/>
    <cellStyle name="Normal 7 4 6 5 2 2" xfId="40952" xr:uid="{00000000-0005-0000-0000-00007BC20000}"/>
    <cellStyle name="Normal 7 4 6 5 3" xfId="25648" xr:uid="{00000000-0005-0000-0000-00007CC20000}"/>
    <cellStyle name="Normal 7 4 6 5 3 2" xfId="51201" xr:uid="{00000000-0005-0000-0000-00007DC20000}"/>
    <cellStyle name="Normal 7 4 6 5 4" xfId="32131" xr:uid="{00000000-0005-0000-0000-00007EC20000}"/>
    <cellStyle name="Normal 7 4 6 6" xfId="8016" xr:uid="{00000000-0005-0000-0000-00007FC20000}"/>
    <cellStyle name="Normal 7 4 6 6 2" xfId="20397" xr:uid="{00000000-0005-0000-0000-000080C20000}"/>
    <cellStyle name="Normal 7 4 6 6 2 2" xfId="45950" xr:uid="{00000000-0005-0000-0000-000081C20000}"/>
    <cellStyle name="Normal 7 4 6 6 3" xfId="33573" xr:uid="{00000000-0005-0000-0000-000082C20000}"/>
    <cellStyle name="Normal 7 4 6 7" xfId="16908" xr:uid="{00000000-0005-0000-0000-000083C20000}"/>
    <cellStyle name="Normal 7 4 6 7 2" xfId="42461" xr:uid="{00000000-0005-0000-0000-000084C20000}"/>
    <cellStyle name="Normal 7 4 6 8" xfId="26880" xr:uid="{00000000-0005-0000-0000-000085C20000}"/>
    <cellStyle name="Normal 7 4 7" xfId="1088" xr:uid="{00000000-0005-0000-0000-000086C20000}"/>
    <cellStyle name="Normal 7 4 7 2" xfId="3517" xr:uid="{00000000-0005-0000-0000-000087C20000}"/>
    <cellStyle name="Normal 7 4 7 2 2" xfId="12653" xr:uid="{00000000-0005-0000-0000-000088C20000}"/>
    <cellStyle name="Normal 7 4 7 2 2 2" xfId="22872" xr:uid="{00000000-0005-0000-0000-000089C20000}"/>
    <cellStyle name="Normal 7 4 7 2 2 2 2" xfId="48425" xr:uid="{00000000-0005-0000-0000-00008AC20000}"/>
    <cellStyle name="Normal 7 4 7 2 2 3" xfId="38208" xr:uid="{00000000-0005-0000-0000-00008BC20000}"/>
    <cellStyle name="Normal 7 4 7 2 3" xfId="9075" xr:uid="{00000000-0005-0000-0000-00008CC20000}"/>
    <cellStyle name="Normal 7 4 7 2 3 2" xfId="34632" xr:uid="{00000000-0005-0000-0000-00008DC20000}"/>
    <cellStyle name="Normal 7 4 7 2 4" xfId="17865" xr:uid="{00000000-0005-0000-0000-00008EC20000}"/>
    <cellStyle name="Normal 7 4 7 2 4 2" xfId="43418" xr:uid="{00000000-0005-0000-0000-00008FC20000}"/>
    <cellStyle name="Normal 7 4 7 2 5" xfId="29355" xr:uid="{00000000-0005-0000-0000-000090C20000}"/>
    <cellStyle name="Normal 7 4 7 3" xfId="5180" xr:uid="{00000000-0005-0000-0000-000091C20000}"/>
    <cellStyle name="Normal 7 4 7 3 2" xfId="14017" xr:uid="{00000000-0005-0000-0000-000092C20000}"/>
    <cellStyle name="Normal 7 4 7 3 2 2" xfId="24268" xr:uid="{00000000-0005-0000-0000-000093C20000}"/>
    <cellStyle name="Normal 7 4 7 3 2 2 2" xfId="49821" xr:uid="{00000000-0005-0000-0000-000094C20000}"/>
    <cellStyle name="Normal 7 4 7 3 2 3" xfId="39572" xr:uid="{00000000-0005-0000-0000-000095C20000}"/>
    <cellStyle name="Normal 7 4 7 3 3" xfId="10438" xr:uid="{00000000-0005-0000-0000-000096C20000}"/>
    <cellStyle name="Normal 7 4 7 3 3 2" xfId="35995" xr:uid="{00000000-0005-0000-0000-000097C20000}"/>
    <cellStyle name="Normal 7 4 7 3 4" xfId="19261" xr:uid="{00000000-0005-0000-0000-000098C20000}"/>
    <cellStyle name="Normal 7 4 7 3 4 2" xfId="44814" xr:uid="{00000000-0005-0000-0000-000099C20000}"/>
    <cellStyle name="Normal 7 4 7 3 5" xfId="30751" xr:uid="{00000000-0005-0000-0000-00009AC20000}"/>
    <cellStyle name="Normal 7 4 7 4" xfId="1746" xr:uid="{00000000-0005-0000-0000-00009BC20000}"/>
    <cellStyle name="Normal 7 4 7 4 2" xfId="11117" xr:uid="{00000000-0005-0000-0000-00009CC20000}"/>
    <cellStyle name="Normal 7 4 7 4 2 2" xfId="36672" xr:uid="{00000000-0005-0000-0000-00009DC20000}"/>
    <cellStyle name="Normal 7 4 7 4 3" xfId="21121" xr:uid="{00000000-0005-0000-0000-00009EC20000}"/>
    <cellStyle name="Normal 7 4 7 4 3 2" xfId="46674" xr:uid="{00000000-0005-0000-0000-00009FC20000}"/>
    <cellStyle name="Normal 7 4 7 4 4" xfId="27604" xr:uid="{00000000-0005-0000-0000-0000A0C20000}"/>
    <cellStyle name="Normal 7 4 7 5" xfId="6635" xr:uid="{00000000-0005-0000-0000-0000A1C20000}"/>
    <cellStyle name="Normal 7 4 7 5 2" xfId="15462" xr:uid="{00000000-0005-0000-0000-0000A2C20000}"/>
    <cellStyle name="Normal 7 4 7 5 2 2" xfId="41017" xr:uid="{00000000-0005-0000-0000-0000A3C20000}"/>
    <cellStyle name="Normal 7 4 7 5 3" xfId="25713" xr:uid="{00000000-0005-0000-0000-0000A4C20000}"/>
    <cellStyle name="Normal 7 4 7 5 3 2" xfId="51266" xr:uid="{00000000-0005-0000-0000-0000A5C20000}"/>
    <cellStyle name="Normal 7 4 7 5 4" xfId="32196" xr:uid="{00000000-0005-0000-0000-0000A6C20000}"/>
    <cellStyle name="Normal 7 4 7 6" xfId="8081" xr:uid="{00000000-0005-0000-0000-0000A7C20000}"/>
    <cellStyle name="Normal 7 4 7 6 2" xfId="20471" xr:uid="{00000000-0005-0000-0000-0000A8C20000}"/>
    <cellStyle name="Normal 7 4 7 6 2 2" xfId="46024" xr:uid="{00000000-0005-0000-0000-0000A9C20000}"/>
    <cellStyle name="Normal 7 4 7 6 3" xfId="33638" xr:uid="{00000000-0005-0000-0000-0000AAC20000}"/>
    <cellStyle name="Normal 7 4 7 7" xfId="16114" xr:uid="{00000000-0005-0000-0000-0000ABC20000}"/>
    <cellStyle name="Normal 7 4 7 7 2" xfId="41667" xr:uid="{00000000-0005-0000-0000-0000ACC20000}"/>
    <cellStyle name="Normal 7 4 7 8" xfId="26954" xr:uid="{00000000-0005-0000-0000-0000ADC20000}"/>
    <cellStyle name="Normal 7 4 8" xfId="2644" xr:uid="{00000000-0005-0000-0000-0000AEC20000}"/>
    <cellStyle name="Normal 7 4 8 2" xfId="5592" xr:uid="{00000000-0005-0000-0000-0000AFC20000}"/>
    <cellStyle name="Normal 7 4 8 2 2" xfId="14419" xr:uid="{00000000-0005-0000-0000-0000B0C20000}"/>
    <cellStyle name="Normal 7 4 8 2 2 2" xfId="39974" xr:uid="{00000000-0005-0000-0000-0000B1C20000}"/>
    <cellStyle name="Normal 7 4 8 2 3" xfId="24670" xr:uid="{00000000-0005-0000-0000-0000B2C20000}"/>
    <cellStyle name="Normal 7 4 8 2 3 2" xfId="50223" xr:uid="{00000000-0005-0000-0000-0000B3C20000}"/>
    <cellStyle name="Normal 7 4 8 2 4" xfId="31153" xr:uid="{00000000-0005-0000-0000-0000B4C20000}"/>
    <cellStyle name="Normal 7 4 8 3" xfId="7036" xr:uid="{00000000-0005-0000-0000-0000B5C20000}"/>
    <cellStyle name="Normal 7 4 8 3 2" xfId="22005" xr:uid="{00000000-0005-0000-0000-0000B6C20000}"/>
    <cellStyle name="Normal 7 4 8 3 2 2" xfId="47558" xr:uid="{00000000-0005-0000-0000-0000B7C20000}"/>
    <cellStyle name="Normal 7 4 8 3 3" xfId="32593" xr:uid="{00000000-0005-0000-0000-0000B8C20000}"/>
    <cellStyle name="Normal 7 4 8 4" xfId="16998" xr:uid="{00000000-0005-0000-0000-0000B9C20000}"/>
    <cellStyle name="Normal 7 4 8 4 2" xfId="42551" xr:uid="{00000000-0005-0000-0000-0000BAC20000}"/>
    <cellStyle name="Normal 7 4 8 5" xfId="28488" xr:uid="{00000000-0005-0000-0000-0000BBC20000}"/>
    <cellStyle name="Normal 7 4 9" xfId="4134" xr:uid="{00000000-0005-0000-0000-0000BCC20000}"/>
    <cellStyle name="Normal 7 4 9 2" xfId="12972" xr:uid="{00000000-0005-0000-0000-0000BDC20000}"/>
    <cellStyle name="Normal 7 4 9 2 2" xfId="23223" xr:uid="{00000000-0005-0000-0000-0000BEC20000}"/>
    <cellStyle name="Normal 7 4 9 2 2 2" xfId="48776" xr:uid="{00000000-0005-0000-0000-0000BFC20000}"/>
    <cellStyle name="Normal 7 4 9 2 3" xfId="38527" xr:uid="{00000000-0005-0000-0000-0000C0C20000}"/>
    <cellStyle name="Normal 7 4 9 3" xfId="9393" xr:uid="{00000000-0005-0000-0000-0000C1C20000}"/>
    <cellStyle name="Normal 7 4 9 3 2" xfId="34950" xr:uid="{00000000-0005-0000-0000-0000C2C20000}"/>
    <cellStyle name="Normal 7 4 9 4" xfId="18216" xr:uid="{00000000-0005-0000-0000-0000C3C20000}"/>
    <cellStyle name="Normal 7 4 9 4 2" xfId="43769" xr:uid="{00000000-0005-0000-0000-0000C4C20000}"/>
    <cellStyle name="Normal 7 4 9 5" xfId="29706" xr:uid="{00000000-0005-0000-0000-0000C5C20000}"/>
    <cellStyle name="Normal 7 4_Degree data" xfId="4067" xr:uid="{00000000-0005-0000-0000-0000C6C20000}"/>
    <cellStyle name="Normal 7 5" xfId="173" xr:uid="{00000000-0005-0000-0000-0000C7C20000}"/>
    <cellStyle name="Normal 7 5 10" xfId="7121" xr:uid="{00000000-0005-0000-0000-0000C8C20000}"/>
    <cellStyle name="Normal 7 5 10 2" xfId="19630" xr:uid="{00000000-0005-0000-0000-0000C9C20000}"/>
    <cellStyle name="Normal 7 5 10 2 2" xfId="45183" xr:uid="{00000000-0005-0000-0000-0000CAC20000}"/>
    <cellStyle name="Normal 7 5 10 3" xfId="32678" xr:uid="{00000000-0005-0000-0000-0000CBC20000}"/>
    <cellStyle name="Normal 7 5 11" xfId="15867" xr:uid="{00000000-0005-0000-0000-0000CCC20000}"/>
    <cellStyle name="Normal 7 5 11 2" xfId="41420" xr:uid="{00000000-0005-0000-0000-0000CDC20000}"/>
    <cellStyle name="Normal 7 5 12" xfId="26113" xr:uid="{00000000-0005-0000-0000-0000CEC20000}"/>
    <cellStyle name="Normal 7 5 2" xfId="501" xr:uid="{00000000-0005-0000-0000-0000CFC20000}"/>
    <cellStyle name="Normal 7 5 2 10" xfId="26430" xr:uid="{00000000-0005-0000-0000-0000D0C20000}"/>
    <cellStyle name="Normal 7 5 2 2" xfId="968" xr:uid="{00000000-0005-0000-0000-0000D1C20000}"/>
    <cellStyle name="Normal 7 5 2 2 2" xfId="3444" xr:uid="{00000000-0005-0000-0000-0000D2C20000}"/>
    <cellStyle name="Normal 7 5 2 2 2 2" xfId="12586" xr:uid="{00000000-0005-0000-0000-0000D3C20000}"/>
    <cellStyle name="Normal 7 5 2 2 2 2 2" xfId="22805" xr:uid="{00000000-0005-0000-0000-0000D4C20000}"/>
    <cellStyle name="Normal 7 5 2 2 2 2 2 2" xfId="48358" xr:uid="{00000000-0005-0000-0000-0000D5C20000}"/>
    <cellStyle name="Normal 7 5 2 2 2 2 3" xfId="38141" xr:uid="{00000000-0005-0000-0000-0000D6C20000}"/>
    <cellStyle name="Normal 7 5 2 2 2 3" xfId="9008" xr:uid="{00000000-0005-0000-0000-0000D7C20000}"/>
    <cellStyle name="Normal 7 5 2 2 2 3 2" xfId="34565" xr:uid="{00000000-0005-0000-0000-0000D8C20000}"/>
    <cellStyle name="Normal 7 5 2 2 2 4" xfId="17798" xr:uid="{00000000-0005-0000-0000-0000D9C20000}"/>
    <cellStyle name="Normal 7 5 2 2 2 4 2" xfId="43351" xr:uid="{00000000-0005-0000-0000-0000DAC20000}"/>
    <cellStyle name="Normal 7 5 2 2 2 5" xfId="29288" xr:uid="{00000000-0005-0000-0000-0000DBC20000}"/>
    <cellStyle name="Normal 7 5 2 2 3" xfId="4774" xr:uid="{00000000-0005-0000-0000-0000DCC20000}"/>
    <cellStyle name="Normal 7 5 2 2 3 2" xfId="13611" xr:uid="{00000000-0005-0000-0000-0000DDC20000}"/>
    <cellStyle name="Normal 7 5 2 2 3 2 2" xfId="23862" xr:uid="{00000000-0005-0000-0000-0000DEC20000}"/>
    <cellStyle name="Normal 7 5 2 2 3 2 2 2" xfId="49415" xr:uid="{00000000-0005-0000-0000-0000DFC20000}"/>
    <cellStyle name="Normal 7 5 2 2 3 2 3" xfId="39166" xr:uid="{00000000-0005-0000-0000-0000E0C20000}"/>
    <cellStyle name="Normal 7 5 2 2 3 3" xfId="10032" xr:uid="{00000000-0005-0000-0000-0000E1C20000}"/>
    <cellStyle name="Normal 7 5 2 2 3 3 2" xfId="35589" xr:uid="{00000000-0005-0000-0000-0000E2C20000}"/>
    <cellStyle name="Normal 7 5 2 2 3 4" xfId="18855" xr:uid="{00000000-0005-0000-0000-0000E3C20000}"/>
    <cellStyle name="Normal 7 5 2 2 3 4 2" xfId="44408" xr:uid="{00000000-0005-0000-0000-0000E4C20000}"/>
    <cellStyle name="Normal 7 5 2 2 3 5" xfId="30345" xr:uid="{00000000-0005-0000-0000-0000E5C20000}"/>
    <cellStyle name="Normal 7 5 2 2 4" xfId="2553" xr:uid="{00000000-0005-0000-0000-0000E6C20000}"/>
    <cellStyle name="Normal 7 5 2 2 4 2" xfId="11918" xr:uid="{00000000-0005-0000-0000-0000E7C20000}"/>
    <cellStyle name="Normal 7 5 2 2 4 2 2" xfId="37473" xr:uid="{00000000-0005-0000-0000-0000E8C20000}"/>
    <cellStyle name="Normal 7 5 2 2 4 3" xfId="21922" xr:uid="{00000000-0005-0000-0000-0000E9C20000}"/>
    <cellStyle name="Normal 7 5 2 2 4 3 2" xfId="47475" xr:uid="{00000000-0005-0000-0000-0000EAC20000}"/>
    <cellStyle name="Normal 7 5 2 2 4 4" xfId="28405" xr:uid="{00000000-0005-0000-0000-0000EBC20000}"/>
    <cellStyle name="Normal 7 5 2 2 5" xfId="6229" xr:uid="{00000000-0005-0000-0000-0000ECC20000}"/>
    <cellStyle name="Normal 7 5 2 2 5 2" xfId="15056" xr:uid="{00000000-0005-0000-0000-0000EDC20000}"/>
    <cellStyle name="Normal 7 5 2 2 5 2 2" xfId="40611" xr:uid="{00000000-0005-0000-0000-0000EEC20000}"/>
    <cellStyle name="Normal 7 5 2 2 5 3" xfId="25307" xr:uid="{00000000-0005-0000-0000-0000EFC20000}"/>
    <cellStyle name="Normal 7 5 2 2 5 3 2" xfId="50860" xr:uid="{00000000-0005-0000-0000-0000F0C20000}"/>
    <cellStyle name="Normal 7 5 2 2 5 4" xfId="31790" xr:uid="{00000000-0005-0000-0000-0000F1C20000}"/>
    <cellStyle name="Normal 7 5 2 2 6" xfId="7675" xr:uid="{00000000-0005-0000-0000-0000F2C20000}"/>
    <cellStyle name="Normal 7 5 2 2 6 2" xfId="20404" xr:uid="{00000000-0005-0000-0000-0000F3C20000}"/>
    <cellStyle name="Normal 7 5 2 2 6 2 2" xfId="45957" xr:uid="{00000000-0005-0000-0000-0000F4C20000}"/>
    <cellStyle name="Normal 7 5 2 2 6 3" xfId="33232" xr:uid="{00000000-0005-0000-0000-0000F5C20000}"/>
    <cellStyle name="Normal 7 5 2 2 7" xfId="16915" xr:uid="{00000000-0005-0000-0000-0000F6C20000}"/>
    <cellStyle name="Normal 7 5 2 2 7 2" xfId="42468" xr:uid="{00000000-0005-0000-0000-0000F7C20000}"/>
    <cellStyle name="Normal 7 5 2 2 8" xfId="26887" xr:uid="{00000000-0005-0000-0000-0000F8C20000}"/>
    <cellStyle name="Normal 7 5 2 3" xfId="1273" xr:uid="{00000000-0005-0000-0000-0000F9C20000}"/>
    <cellStyle name="Normal 7 5 2 3 2" xfId="3702" xr:uid="{00000000-0005-0000-0000-0000FAC20000}"/>
    <cellStyle name="Normal 7 5 2 3 2 2" xfId="12838" xr:uid="{00000000-0005-0000-0000-0000FBC20000}"/>
    <cellStyle name="Normal 7 5 2 3 2 2 2" xfId="23057" xr:uid="{00000000-0005-0000-0000-0000FCC20000}"/>
    <cellStyle name="Normal 7 5 2 3 2 2 2 2" xfId="48610" xr:uid="{00000000-0005-0000-0000-0000FDC20000}"/>
    <cellStyle name="Normal 7 5 2 3 2 2 3" xfId="38393" xr:uid="{00000000-0005-0000-0000-0000FEC20000}"/>
    <cellStyle name="Normal 7 5 2 3 2 3" xfId="9259" xr:uid="{00000000-0005-0000-0000-0000FFC20000}"/>
    <cellStyle name="Normal 7 5 2 3 2 3 2" xfId="34816" xr:uid="{00000000-0005-0000-0000-000000C30000}"/>
    <cellStyle name="Normal 7 5 2 3 2 4" xfId="18050" xr:uid="{00000000-0005-0000-0000-000001C30000}"/>
    <cellStyle name="Normal 7 5 2 3 2 4 2" xfId="43603" xr:uid="{00000000-0005-0000-0000-000002C30000}"/>
    <cellStyle name="Normal 7 5 2 3 2 5" xfId="29540" xr:uid="{00000000-0005-0000-0000-000003C30000}"/>
    <cellStyle name="Normal 7 5 2 3 3" xfId="5122" xr:uid="{00000000-0005-0000-0000-000004C30000}"/>
    <cellStyle name="Normal 7 5 2 3 3 2" xfId="13959" xr:uid="{00000000-0005-0000-0000-000005C30000}"/>
    <cellStyle name="Normal 7 5 2 3 3 2 2" xfId="24210" xr:uid="{00000000-0005-0000-0000-000006C30000}"/>
    <cellStyle name="Normal 7 5 2 3 3 2 2 2" xfId="49763" xr:uid="{00000000-0005-0000-0000-000007C30000}"/>
    <cellStyle name="Normal 7 5 2 3 3 2 3" xfId="39514" xr:uid="{00000000-0005-0000-0000-000008C30000}"/>
    <cellStyle name="Normal 7 5 2 3 3 3" xfId="10380" xr:uid="{00000000-0005-0000-0000-000009C30000}"/>
    <cellStyle name="Normal 7 5 2 3 3 3 2" xfId="35937" xr:uid="{00000000-0005-0000-0000-00000AC30000}"/>
    <cellStyle name="Normal 7 5 2 3 3 4" xfId="19203" xr:uid="{00000000-0005-0000-0000-00000BC30000}"/>
    <cellStyle name="Normal 7 5 2 3 3 4 2" xfId="44756" xr:uid="{00000000-0005-0000-0000-00000CC30000}"/>
    <cellStyle name="Normal 7 5 2 3 3 5" xfId="30693" xr:uid="{00000000-0005-0000-0000-00000DC30000}"/>
    <cellStyle name="Normal 7 5 2 3 4" xfId="2096" xr:uid="{00000000-0005-0000-0000-00000EC30000}"/>
    <cellStyle name="Normal 7 5 2 3 4 2" xfId="11461" xr:uid="{00000000-0005-0000-0000-00000FC30000}"/>
    <cellStyle name="Normal 7 5 2 3 4 2 2" xfId="37016" xr:uid="{00000000-0005-0000-0000-000010C30000}"/>
    <cellStyle name="Normal 7 5 2 3 4 3" xfId="21465" xr:uid="{00000000-0005-0000-0000-000011C30000}"/>
    <cellStyle name="Normal 7 5 2 3 4 3 2" xfId="47018" xr:uid="{00000000-0005-0000-0000-000012C30000}"/>
    <cellStyle name="Normal 7 5 2 3 4 4" xfId="27948" xr:uid="{00000000-0005-0000-0000-000013C30000}"/>
    <cellStyle name="Normal 7 5 2 3 5" xfId="6577" xr:uid="{00000000-0005-0000-0000-000014C30000}"/>
    <cellStyle name="Normal 7 5 2 3 5 2" xfId="15404" xr:uid="{00000000-0005-0000-0000-000015C30000}"/>
    <cellStyle name="Normal 7 5 2 3 5 2 2" xfId="40959" xr:uid="{00000000-0005-0000-0000-000016C30000}"/>
    <cellStyle name="Normal 7 5 2 3 5 3" xfId="25655" xr:uid="{00000000-0005-0000-0000-000017C30000}"/>
    <cellStyle name="Normal 7 5 2 3 5 3 2" xfId="51208" xr:uid="{00000000-0005-0000-0000-000018C30000}"/>
    <cellStyle name="Normal 7 5 2 3 5 4" xfId="32138" xr:uid="{00000000-0005-0000-0000-000019C30000}"/>
    <cellStyle name="Normal 7 5 2 3 6" xfId="8023" xr:uid="{00000000-0005-0000-0000-00001AC30000}"/>
    <cellStyle name="Normal 7 5 2 3 6 2" xfId="20656" xr:uid="{00000000-0005-0000-0000-00001BC30000}"/>
    <cellStyle name="Normal 7 5 2 3 6 2 2" xfId="46209" xr:uid="{00000000-0005-0000-0000-00001CC30000}"/>
    <cellStyle name="Normal 7 5 2 3 6 3" xfId="33580" xr:uid="{00000000-0005-0000-0000-00001DC30000}"/>
    <cellStyle name="Normal 7 5 2 3 7" xfId="16458" xr:uid="{00000000-0005-0000-0000-00001EC30000}"/>
    <cellStyle name="Normal 7 5 2 3 7 2" xfId="42011" xr:uid="{00000000-0005-0000-0000-00001FC30000}"/>
    <cellStyle name="Normal 7 5 2 3 8" xfId="27139" xr:uid="{00000000-0005-0000-0000-000020C30000}"/>
    <cellStyle name="Normal 7 5 2 4" xfId="2987" xr:uid="{00000000-0005-0000-0000-000021C30000}"/>
    <cellStyle name="Normal 7 5 2 4 2" xfId="5365" xr:uid="{00000000-0005-0000-0000-000022C30000}"/>
    <cellStyle name="Normal 7 5 2 4 2 2" xfId="14202" xr:uid="{00000000-0005-0000-0000-000023C30000}"/>
    <cellStyle name="Normal 7 5 2 4 2 2 2" xfId="24453" xr:uid="{00000000-0005-0000-0000-000024C30000}"/>
    <cellStyle name="Normal 7 5 2 4 2 2 2 2" xfId="50006" xr:uid="{00000000-0005-0000-0000-000025C30000}"/>
    <cellStyle name="Normal 7 5 2 4 2 2 3" xfId="39757" xr:uid="{00000000-0005-0000-0000-000026C30000}"/>
    <cellStyle name="Normal 7 5 2 4 2 3" xfId="10623" xr:uid="{00000000-0005-0000-0000-000027C30000}"/>
    <cellStyle name="Normal 7 5 2 4 2 3 2" xfId="36180" xr:uid="{00000000-0005-0000-0000-000028C30000}"/>
    <cellStyle name="Normal 7 5 2 4 2 4" xfId="19446" xr:uid="{00000000-0005-0000-0000-000029C30000}"/>
    <cellStyle name="Normal 7 5 2 4 2 4 2" xfId="44999" xr:uid="{00000000-0005-0000-0000-00002AC30000}"/>
    <cellStyle name="Normal 7 5 2 4 2 5" xfId="30936" xr:uid="{00000000-0005-0000-0000-00002BC30000}"/>
    <cellStyle name="Normal 7 5 2 4 3" xfId="6820" xr:uid="{00000000-0005-0000-0000-00002CC30000}"/>
    <cellStyle name="Normal 7 5 2 4 3 2" xfId="15647" xr:uid="{00000000-0005-0000-0000-00002DC30000}"/>
    <cellStyle name="Normal 7 5 2 4 3 2 2" xfId="41202" xr:uid="{00000000-0005-0000-0000-00002EC30000}"/>
    <cellStyle name="Normal 7 5 2 4 3 3" xfId="25898" xr:uid="{00000000-0005-0000-0000-00002FC30000}"/>
    <cellStyle name="Normal 7 5 2 4 3 3 2" xfId="51451" xr:uid="{00000000-0005-0000-0000-000030C30000}"/>
    <cellStyle name="Normal 7 5 2 4 3 4" xfId="32381" xr:uid="{00000000-0005-0000-0000-000031C30000}"/>
    <cellStyle name="Normal 7 5 2 4 4" xfId="8266" xr:uid="{00000000-0005-0000-0000-000032C30000}"/>
    <cellStyle name="Normal 7 5 2 4 4 2" xfId="22348" xr:uid="{00000000-0005-0000-0000-000033C30000}"/>
    <cellStyle name="Normal 7 5 2 4 4 2 2" xfId="47901" xr:uid="{00000000-0005-0000-0000-000034C30000}"/>
    <cellStyle name="Normal 7 5 2 4 4 3" xfId="33823" xr:uid="{00000000-0005-0000-0000-000035C30000}"/>
    <cellStyle name="Normal 7 5 2 4 5" xfId="17341" xr:uid="{00000000-0005-0000-0000-000036C30000}"/>
    <cellStyle name="Normal 7 5 2 4 5 2" xfId="42894" xr:uid="{00000000-0005-0000-0000-000037C30000}"/>
    <cellStyle name="Normal 7 5 2 4 6" xfId="28831" xr:uid="{00000000-0005-0000-0000-000038C30000}"/>
    <cellStyle name="Normal 7 5 2 5" xfId="4321" xr:uid="{00000000-0005-0000-0000-000039C30000}"/>
    <cellStyle name="Normal 7 5 2 5 2" xfId="13159" xr:uid="{00000000-0005-0000-0000-00003AC30000}"/>
    <cellStyle name="Normal 7 5 2 5 2 2" xfId="23410" xr:uid="{00000000-0005-0000-0000-00003BC30000}"/>
    <cellStyle name="Normal 7 5 2 5 2 2 2" xfId="48963" xr:uid="{00000000-0005-0000-0000-00003CC30000}"/>
    <cellStyle name="Normal 7 5 2 5 2 3" xfId="38714" xr:uid="{00000000-0005-0000-0000-00003DC30000}"/>
    <cellStyle name="Normal 7 5 2 5 3" xfId="9580" xr:uid="{00000000-0005-0000-0000-00003EC30000}"/>
    <cellStyle name="Normal 7 5 2 5 3 2" xfId="35137" xr:uid="{00000000-0005-0000-0000-00003FC30000}"/>
    <cellStyle name="Normal 7 5 2 5 4" xfId="18403" xr:uid="{00000000-0005-0000-0000-000040C30000}"/>
    <cellStyle name="Normal 7 5 2 5 4 2" xfId="43956" xr:uid="{00000000-0005-0000-0000-000041C30000}"/>
    <cellStyle name="Normal 7 5 2 5 5" xfId="29893" xr:uid="{00000000-0005-0000-0000-000042C30000}"/>
    <cellStyle name="Normal 7 5 2 6" xfId="1593" xr:uid="{00000000-0005-0000-0000-000043C30000}"/>
    <cellStyle name="Normal 7 5 2 6 2" xfId="10970" xr:uid="{00000000-0005-0000-0000-000044C30000}"/>
    <cellStyle name="Normal 7 5 2 6 2 2" xfId="36525" xr:uid="{00000000-0005-0000-0000-000045C30000}"/>
    <cellStyle name="Normal 7 5 2 6 3" xfId="20974" xr:uid="{00000000-0005-0000-0000-000046C30000}"/>
    <cellStyle name="Normal 7 5 2 6 3 2" xfId="46527" xr:uid="{00000000-0005-0000-0000-000047C30000}"/>
    <cellStyle name="Normal 7 5 2 6 4" xfId="27457" xr:uid="{00000000-0005-0000-0000-000048C30000}"/>
    <cellStyle name="Normal 7 5 2 7" xfId="5777" xr:uid="{00000000-0005-0000-0000-000049C30000}"/>
    <cellStyle name="Normal 7 5 2 7 2" xfId="14604" xr:uid="{00000000-0005-0000-0000-00004AC30000}"/>
    <cellStyle name="Normal 7 5 2 7 2 2" xfId="40159" xr:uid="{00000000-0005-0000-0000-00004BC30000}"/>
    <cellStyle name="Normal 7 5 2 7 3" xfId="24855" xr:uid="{00000000-0005-0000-0000-00004CC30000}"/>
    <cellStyle name="Normal 7 5 2 7 3 2" xfId="50408" xr:uid="{00000000-0005-0000-0000-00004DC30000}"/>
    <cellStyle name="Normal 7 5 2 7 4" xfId="31338" xr:uid="{00000000-0005-0000-0000-00004EC30000}"/>
    <cellStyle name="Normal 7 5 2 8" xfId="7221" xr:uid="{00000000-0005-0000-0000-00004FC30000}"/>
    <cellStyle name="Normal 7 5 2 8 2" xfId="19947" xr:uid="{00000000-0005-0000-0000-000050C30000}"/>
    <cellStyle name="Normal 7 5 2 8 2 2" xfId="45500" xr:uid="{00000000-0005-0000-0000-000051C30000}"/>
    <cellStyle name="Normal 7 5 2 8 3" xfId="32778" xr:uid="{00000000-0005-0000-0000-000052C30000}"/>
    <cellStyle name="Normal 7 5 2 9" xfId="15967" xr:uid="{00000000-0005-0000-0000-000053C30000}"/>
    <cellStyle name="Normal 7 5 2 9 2" xfId="41520" xr:uid="{00000000-0005-0000-0000-000054C30000}"/>
    <cellStyle name="Normal 7 5 2_Degree data" xfId="4074" xr:uid="{00000000-0005-0000-0000-000055C30000}"/>
    <cellStyle name="Normal 7 5 3" xfId="401" xr:uid="{00000000-0005-0000-0000-000056C30000}"/>
    <cellStyle name="Normal 7 5 3 2" xfId="2887" xr:uid="{00000000-0005-0000-0000-000057C30000}"/>
    <cellStyle name="Normal 7 5 3 2 2" xfId="12175" xr:uid="{00000000-0005-0000-0000-000058C30000}"/>
    <cellStyle name="Normal 7 5 3 2 2 2" xfId="22248" xr:uid="{00000000-0005-0000-0000-000059C30000}"/>
    <cellStyle name="Normal 7 5 3 2 2 2 2" xfId="47801" xr:uid="{00000000-0005-0000-0000-00005AC30000}"/>
    <cellStyle name="Normal 7 5 3 2 2 3" xfId="37730" xr:uid="{00000000-0005-0000-0000-00005BC30000}"/>
    <cellStyle name="Normal 7 5 3 2 3" xfId="8580" xr:uid="{00000000-0005-0000-0000-00005CC30000}"/>
    <cellStyle name="Normal 7 5 3 2 3 2" xfId="34137" xr:uid="{00000000-0005-0000-0000-00005DC30000}"/>
    <cellStyle name="Normal 7 5 3 2 4" xfId="17241" xr:uid="{00000000-0005-0000-0000-00005EC30000}"/>
    <cellStyle name="Normal 7 5 3 2 4 2" xfId="42794" xr:uid="{00000000-0005-0000-0000-00005FC30000}"/>
    <cellStyle name="Normal 7 5 3 2 5" xfId="28731" xr:uid="{00000000-0005-0000-0000-000060C30000}"/>
    <cellStyle name="Normal 7 5 3 3" xfId="4773" xr:uid="{00000000-0005-0000-0000-000061C30000}"/>
    <cellStyle name="Normal 7 5 3 3 2" xfId="13610" xr:uid="{00000000-0005-0000-0000-000062C30000}"/>
    <cellStyle name="Normal 7 5 3 3 2 2" xfId="23861" xr:uid="{00000000-0005-0000-0000-000063C30000}"/>
    <cellStyle name="Normal 7 5 3 3 2 2 2" xfId="49414" xr:uid="{00000000-0005-0000-0000-000064C30000}"/>
    <cellStyle name="Normal 7 5 3 3 2 3" xfId="39165" xr:uid="{00000000-0005-0000-0000-000065C30000}"/>
    <cellStyle name="Normal 7 5 3 3 3" xfId="10031" xr:uid="{00000000-0005-0000-0000-000066C30000}"/>
    <cellStyle name="Normal 7 5 3 3 3 2" xfId="35588" xr:uid="{00000000-0005-0000-0000-000067C30000}"/>
    <cellStyle name="Normal 7 5 3 3 4" xfId="18854" xr:uid="{00000000-0005-0000-0000-000068C30000}"/>
    <cellStyle name="Normal 7 5 3 3 4 2" xfId="44407" xr:uid="{00000000-0005-0000-0000-000069C30000}"/>
    <cellStyle name="Normal 7 5 3 3 5" xfId="30344" xr:uid="{00000000-0005-0000-0000-00006AC30000}"/>
    <cellStyle name="Normal 7 5 3 4" xfId="1996" xr:uid="{00000000-0005-0000-0000-00006BC30000}"/>
    <cellStyle name="Normal 7 5 3 4 2" xfId="11361" xr:uid="{00000000-0005-0000-0000-00006CC30000}"/>
    <cellStyle name="Normal 7 5 3 4 2 2" xfId="36916" xr:uid="{00000000-0005-0000-0000-00006DC30000}"/>
    <cellStyle name="Normal 7 5 3 4 3" xfId="21365" xr:uid="{00000000-0005-0000-0000-00006EC30000}"/>
    <cellStyle name="Normal 7 5 3 4 3 2" xfId="46918" xr:uid="{00000000-0005-0000-0000-00006FC30000}"/>
    <cellStyle name="Normal 7 5 3 4 4" xfId="27848" xr:uid="{00000000-0005-0000-0000-000070C30000}"/>
    <cellStyle name="Normal 7 5 3 5" xfId="6228" xr:uid="{00000000-0005-0000-0000-000071C30000}"/>
    <cellStyle name="Normal 7 5 3 5 2" xfId="15055" xr:uid="{00000000-0005-0000-0000-000072C30000}"/>
    <cellStyle name="Normal 7 5 3 5 2 2" xfId="40610" xr:uid="{00000000-0005-0000-0000-000073C30000}"/>
    <cellStyle name="Normal 7 5 3 5 3" xfId="25306" xr:uid="{00000000-0005-0000-0000-000074C30000}"/>
    <cellStyle name="Normal 7 5 3 5 3 2" xfId="50859" xr:uid="{00000000-0005-0000-0000-000075C30000}"/>
    <cellStyle name="Normal 7 5 3 5 4" xfId="31789" xr:uid="{00000000-0005-0000-0000-000076C30000}"/>
    <cellStyle name="Normal 7 5 3 6" xfId="7674" xr:uid="{00000000-0005-0000-0000-000077C30000}"/>
    <cellStyle name="Normal 7 5 3 6 2" xfId="19847" xr:uid="{00000000-0005-0000-0000-000078C30000}"/>
    <cellStyle name="Normal 7 5 3 6 2 2" xfId="45400" xr:uid="{00000000-0005-0000-0000-000079C30000}"/>
    <cellStyle name="Normal 7 5 3 6 3" xfId="33231" xr:uid="{00000000-0005-0000-0000-00007AC30000}"/>
    <cellStyle name="Normal 7 5 3 7" xfId="16358" xr:uid="{00000000-0005-0000-0000-00007BC30000}"/>
    <cellStyle name="Normal 7 5 3 7 2" xfId="41911" xr:uid="{00000000-0005-0000-0000-00007CC30000}"/>
    <cellStyle name="Normal 7 5 3 8" xfId="26330" xr:uid="{00000000-0005-0000-0000-00007DC30000}"/>
    <cellStyle name="Normal 7 5 4" xfId="967" xr:uid="{00000000-0005-0000-0000-00007EC30000}"/>
    <cellStyle name="Normal 7 5 4 2" xfId="3443" xr:uid="{00000000-0005-0000-0000-00007FC30000}"/>
    <cellStyle name="Normal 7 5 4 2 2" xfId="12585" xr:uid="{00000000-0005-0000-0000-000080C30000}"/>
    <cellStyle name="Normal 7 5 4 2 2 2" xfId="22804" xr:uid="{00000000-0005-0000-0000-000081C30000}"/>
    <cellStyle name="Normal 7 5 4 2 2 2 2" xfId="48357" xr:uid="{00000000-0005-0000-0000-000082C30000}"/>
    <cellStyle name="Normal 7 5 4 2 2 3" xfId="38140" xr:uid="{00000000-0005-0000-0000-000083C30000}"/>
    <cellStyle name="Normal 7 5 4 2 3" xfId="9007" xr:uid="{00000000-0005-0000-0000-000084C30000}"/>
    <cellStyle name="Normal 7 5 4 2 3 2" xfId="34564" xr:uid="{00000000-0005-0000-0000-000085C30000}"/>
    <cellStyle name="Normal 7 5 4 2 4" xfId="17797" xr:uid="{00000000-0005-0000-0000-000086C30000}"/>
    <cellStyle name="Normal 7 5 4 2 4 2" xfId="43350" xr:uid="{00000000-0005-0000-0000-000087C30000}"/>
    <cellStyle name="Normal 7 5 4 2 5" xfId="29287" xr:uid="{00000000-0005-0000-0000-000088C30000}"/>
    <cellStyle name="Normal 7 5 4 3" xfId="5121" xr:uid="{00000000-0005-0000-0000-000089C30000}"/>
    <cellStyle name="Normal 7 5 4 3 2" xfId="13958" xr:uid="{00000000-0005-0000-0000-00008AC30000}"/>
    <cellStyle name="Normal 7 5 4 3 2 2" xfId="24209" xr:uid="{00000000-0005-0000-0000-00008BC30000}"/>
    <cellStyle name="Normal 7 5 4 3 2 2 2" xfId="49762" xr:uid="{00000000-0005-0000-0000-00008CC30000}"/>
    <cellStyle name="Normal 7 5 4 3 2 3" xfId="39513" xr:uid="{00000000-0005-0000-0000-00008DC30000}"/>
    <cellStyle name="Normal 7 5 4 3 3" xfId="10379" xr:uid="{00000000-0005-0000-0000-00008EC30000}"/>
    <cellStyle name="Normal 7 5 4 3 3 2" xfId="35936" xr:uid="{00000000-0005-0000-0000-00008FC30000}"/>
    <cellStyle name="Normal 7 5 4 3 4" xfId="19202" xr:uid="{00000000-0005-0000-0000-000090C30000}"/>
    <cellStyle name="Normal 7 5 4 3 4 2" xfId="44755" xr:uid="{00000000-0005-0000-0000-000091C30000}"/>
    <cellStyle name="Normal 7 5 4 3 5" xfId="30692" xr:uid="{00000000-0005-0000-0000-000092C30000}"/>
    <cellStyle name="Normal 7 5 4 4" xfId="2552" xr:uid="{00000000-0005-0000-0000-000093C30000}"/>
    <cellStyle name="Normal 7 5 4 4 2" xfId="11917" xr:uid="{00000000-0005-0000-0000-000094C30000}"/>
    <cellStyle name="Normal 7 5 4 4 2 2" xfId="37472" xr:uid="{00000000-0005-0000-0000-000095C30000}"/>
    <cellStyle name="Normal 7 5 4 4 3" xfId="21921" xr:uid="{00000000-0005-0000-0000-000096C30000}"/>
    <cellStyle name="Normal 7 5 4 4 3 2" xfId="47474" xr:uid="{00000000-0005-0000-0000-000097C30000}"/>
    <cellStyle name="Normal 7 5 4 4 4" xfId="28404" xr:uid="{00000000-0005-0000-0000-000098C30000}"/>
    <cellStyle name="Normal 7 5 4 5" xfId="6576" xr:uid="{00000000-0005-0000-0000-000099C30000}"/>
    <cellStyle name="Normal 7 5 4 5 2" xfId="15403" xr:uid="{00000000-0005-0000-0000-00009AC30000}"/>
    <cellStyle name="Normal 7 5 4 5 2 2" xfId="40958" xr:uid="{00000000-0005-0000-0000-00009BC30000}"/>
    <cellStyle name="Normal 7 5 4 5 3" xfId="25654" xr:uid="{00000000-0005-0000-0000-00009CC30000}"/>
    <cellStyle name="Normal 7 5 4 5 3 2" xfId="51207" xr:uid="{00000000-0005-0000-0000-00009DC30000}"/>
    <cellStyle name="Normal 7 5 4 5 4" xfId="32137" xr:uid="{00000000-0005-0000-0000-00009EC30000}"/>
    <cellStyle name="Normal 7 5 4 6" xfId="8022" xr:uid="{00000000-0005-0000-0000-00009FC30000}"/>
    <cellStyle name="Normal 7 5 4 6 2" xfId="20403" xr:uid="{00000000-0005-0000-0000-0000A0C30000}"/>
    <cellStyle name="Normal 7 5 4 6 2 2" xfId="45956" xr:uid="{00000000-0005-0000-0000-0000A1C30000}"/>
    <cellStyle name="Normal 7 5 4 6 3" xfId="33579" xr:uid="{00000000-0005-0000-0000-0000A2C30000}"/>
    <cellStyle name="Normal 7 5 4 7" xfId="16914" xr:uid="{00000000-0005-0000-0000-0000A3C30000}"/>
    <cellStyle name="Normal 7 5 4 7 2" xfId="42467" xr:uid="{00000000-0005-0000-0000-0000A4C30000}"/>
    <cellStyle name="Normal 7 5 4 8" xfId="26886" xr:uid="{00000000-0005-0000-0000-0000A5C30000}"/>
    <cellStyle name="Normal 7 5 5" xfId="1173" xr:uid="{00000000-0005-0000-0000-0000A6C30000}"/>
    <cellStyle name="Normal 7 5 5 2" xfId="3602" xr:uid="{00000000-0005-0000-0000-0000A7C30000}"/>
    <cellStyle name="Normal 7 5 5 2 2" xfId="12738" xr:uid="{00000000-0005-0000-0000-0000A8C30000}"/>
    <cellStyle name="Normal 7 5 5 2 2 2" xfId="22957" xr:uid="{00000000-0005-0000-0000-0000A9C30000}"/>
    <cellStyle name="Normal 7 5 5 2 2 2 2" xfId="48510" xr:uid="{00000000-0005-0000-0000-0000AAC30000}"/>
    <cellStyle name="Normal 7 5 5 2 2 3" xfId="38293" xr:uid="{00000000-0005-0000-0000-0000ABC30000}"/>
    <cellStyle name="Normal 7 5 5 2 3" xfId="9159" xr:uid="{00000000-0005-0000-0000-0000ACC30000}"/>
    <cellStyle name="Normal 7 5 5 2 3 2" xfId="34716" xr:uid="{00000000-0005-0000-0000-0000ADC30000}"/>
    <cellStyle name="Normal 7 5 5 2 4" xfId="17950" xr:uid="{00000000-0005-0000-0000-0000AEC30000}"/>
    <cellStyle name="Normal 7 5 5 2 4 2" xfId="43503" xr:uid="{00000000-0005-0000-0000-0000AFC30000}"/>
    <cellStyle name="Normal 7 5 5 2 5" xfId="29440" xr:uid="{00000000-0005-0000-0000-0000B0C30000}"/>
    <cellStyle name="Normal 7 5 5 3" xfId="5265" xr:uid="{00000000-0005-0000-0000-0000B1C30000}"/>
    <cellStyle name="Normal 7 5 5 3 2" xfId="14102" xr:uid="{00000000-0005-0000-0000-0000B2C30000}"/>
    <cellStyle name="Normal 7 5 5 3 2 2" xfId="24353" xr:uid="{00000000-0005-0000-0000-0000B3C30000}"/>
    <cellStyle name="Normal 7 5 5 3 2 2 2" xfId="49906" xr:uid="{00000000-0005-0000-0000-0000B4C30000}"/>
    <cellStyle name="Normal 7 5 5 3 2 3" xfId="39657" xr:uid="{00000000-0005-0000-0000-0000B5C30000}"/>
    <cellStyle name="Normal 7 5 5 3 3" xfId="10523" xr:uid="{00000000-0005-0000-0000-0000B6C30000}"/>
    <cellStyle name="Normal 7 5 5 3 3 2" xfId="36080" xr:uid="{00000000-0005-0000-0000-0000B7C30000}"/>
    <cellStyle name="Normal 7 5 5 3 4" xfId="19346" xr:uid="{00000000-0005-0000-0000-0000B8C30000}"/>
    <cellStyle name="Normal 7 5 5 3 4 2" xfId="44899" xr:uid="{00000000-0005-0000-0000-0000B9C30000}"/>
    <cellStyle name="Normal 7 5 5 3 5" xfId="30836" xr:uid="{00000000-0005-0000-0000-0000BAC30000}"/>
    <cellStyle name="Normal 7 5 5 4" xfId="1775" xr:uid="{00000000-0005-0000-0000-0000BBC30000}"/>
    <cellStyle name="Normal 7 5 5 4 2" xfId="11144" xr:uid="{00000000-0005-0000-0000-0000BCC30000}"/>
    <cellStyle name="Normal 7 5 5 4 2 2" xfId="36699" xr:uid="{00000000-0005-0000-0000-0000BDC30000}"/>
    <cellStyle name="Normal 7 5 5 4 3" xfId="21148" xr:uid="{00000000-0005-0000-0000-0000BEC30000}"/>
    <cellStyle name="Normal 7 5 5 4 3 2" xfId="46701" xr:uid="{00000000-0005-0000-0000-0000BFC30000}"/>
    <cellStyle name="Normal 7 5 5 4 4" xfId="27631" xr:uid="{00000000-0005-0000-0000-0000C0C30000}"/>
    <cellStyle name="Normal 7 5 5 5" xfId="6720" xr:uid="{00000000-0005-0000-0000-0000C1C30000}"/>
    <cellStyle name="Normal 7 5 5 5 2" xfId="15547" xr:uid="{00000000-0005-0000-0000-0000C2C30000}"/>
    <cellStyle name="Normal 7 5 5 5 2 2" xfId="41102" xr:uid="{00000000-0005-0000-0000-0000C3C30000}"/>
    <cellStyle name="Normal 7 5 5 5 3" xfId="25798" xr:uid="{00000000-0005-0000-0000-0000C4C30000}"/>
    <cellStyle name="Normal 7 5 5 5 3 2" xfId="51351" xr:uid="{00000000-0005-0000-0000-0000C5C30000}"/>
    <cellStyle name="Normal 7 5 5 5 4" xfId="32281" xr:uid="{00000000-0005-0000-0000-0000C6C30000}"/>
    <cellStyle name="Normal 7 5 5 6" xfId="8166" xr:uid="{00000000-0005-0000-0000-0000C7C30000}"/>
    <cellStyle name="Normal 7 5 5 6 2" xfId="20556" xr:uid="{00000000-0005-0000-0000-0000C8C30000}"/>
    <cellStyle name="Normal 7 5 5 6 2 2" xfId="46109" xr:uid="{00000000-0005-0000-0000-0000C9C30000}"/>
    <cellStyle name="Normal 7 5 5 6 3" xfId="33723" xr:uid="{00000000-0005-0000-0000-0000CAC30000}"/>
    <cellStyle name="Normal 7 5 5 7" xfId="16141" xr:uid="{00000000-0005-0000-0000-0000CBC30000}"/>
    <cellStyle name="Normal 7 5 5 7 2" xfId="41694" xr:uid="{00000000-0005-0000-0000-0000CCC30000}"/>
    <cellStyle name="Normal 7 5 5 8" xfId="27039" xr:uid="{00000000-0005-0000-0000-0000CDC30000}"/>
    <cellStyle name="Normal 7 5 6" xfId="2670" xr:uid="{00000000-0005-0000-0000-0000CEC30000}"/>
    <cellStyle name="Normal 7 5 6 2" xfId="11987" xr:uid="{00000000-0005-0000-0000-0000CFC30000}"/>
    <cellStyle name="Normal 7 5 6 2 2" xfId="22031" xr:uid="{00000000-0005-0000-0000-0000D0C30000}"/>
    <cellStyle name="Normal 7 5 6 2 2 2" xfId="47584" xr:uid="{00000000-0005-0000-0000-0000D1C30000}"/>
    <cellStyle name="Normal 7 5 6 2 3" xfId="37542" xr:uid="{00000000-0005-0000-0000-0000D2C30000}"/>
    <cellStyle name="Normal 7 5 6 3" xfId="8422" xr:uid="{00000000-0005-0000-0000-0000D3C30000}"/>
    <cellStyle name="Normal 7 5 6 3 2" xfId="33979" xr:uid="{00000000-0005-0000-0000-0000D4C30000}"/>
    <cellStyle name="Normal 7 5 6 4" xfId="17024" xr:uid="{00000000-0005-0000-0000-0000D5C30000}"/>
    <cellStyle name="Normal 7 5 6 4 2" xfId="42577" xr:uid="{00000000-0005-0000-0000-0000D6C30000}"/>
    <cellStyle name="Normal 7 5 6 5" xfId="28514" xr:uid="{00000000-0005-0000-0000-0000D7C30000}"/>
    <cellStyle name="Normal 7 5 7" xfId="4221" xr:uid="{00000000-0005-0000-0000-0000D8C30000}"/>
    <cellStyle name="Normal 7 5 7 2" xfId="13059" xr:uid="{00000000-0005-0000-0000-0000D9C30000}"/>
    <cellStyle name="Normal 7 5 7 2 2" xfId="23310" xr:uid="{00000000-0005-0000-0000-0000DAC30000}"/>
    <cellStyle name="Normal 7 5 7 2 2 2" xfId="48863" xr:uid="{00000000-0005-0000-0000-0000DBC30000}"/>
    <cellStyle name="Normal 7 5 7 2 3" xfId="38614" xr:uid="{00000000-0005-0000-0000-0000DCC30000}"/>
    <cellStyle name="Normal 7 5 7 3" xfId="9480" xr:uid="{00000000-0005-0000-0000-0000DDC30000}"/>
    <cellStyle name="Normal 7 5 7 3 2" xfId="35037" xr:uid="{00000000-0005-0000-0000-0000DEC30000}"/>
    <cellStyle name="Normal 7 5 7 4" xfId="18303" xr:uid="{00000000-0005-0000-0000-0000DFC30000}"/>
    <cellStyle name="Normal 7 5 7 4 2" xfId="43856" xr:uid="{00000000-0005-0000-0000-0000E0C30000}"/>
    <cellStyle name="Normal 7 5 7 5" xfId="29793" xr:uid="{00000000-0005-0000-0000-0000E1C30000}"/>
    <cellStyle name="Normal 7 5 8" xfId="1493" xr:uid="{00000000-0005-0000-0000-0000E2C30000}"/>
    <cellStyle name="Normal 7 5 8 2" xfId="10870" xr:uid="{00000000-0005-0000-0000-0000E3C30000}"/>
    <cellStyle name="Normal 7 5 8 2 2" xfId="36425" xr:uid="{00000000-0005-0000-0000-0000E4C30000}"/>
    <cellStyle name="Normal 7 5 8 3" xfId="20874" xr:uid="{00000000-0005-0000-0000-0000E5C30000}"/>
    <cellStyle name="Normal 7 5 8 3 2" xfId="46427" xr:uid="{00000000-0005-0000-0000-0000E6C30000}"/>
    <cellStyle name="Normal 7 5 8 4" xfId="27357" xr:uid="{00000000-0005-0000-0000-0000E7C30000}"/>
    <cellStyle name="Normal 7 5 9" xfId="5677" xr:uid="{00000000-0005-0000-0000-0000E8C30000}"/>
    <cellStyle name="Normal 7 5 9 2" xfId="14504" xr:uid="{00000000-0005-0000-0000-0000E9C30000}"/>
    <cellStyle name="Normal 7 5 9 2 2" xfId="40059" xr:uid="{00000000-0005-0000-0000-0000EAC30000}"/>
    <cellStyle name="Normal 7 5 9 3" xfId="24755" xr:uid="{00000000-0005-0000-0000-0000EBC30000}"/>
    <cellStyle name="Normal 7 5 9 3 2" xfId="50308" xr:uid="{00000000-0005-0000-0000-0000ECC30000}"/>
    <cellStyle name="Normal 7 5 9 4" xfId="31238" xr:uid="{00000000-0005-0000-0000-0000EDC30000}"/>
    <cellStyle name="Normal 7 5_Degree data" xfId="4073" xr:uid="{00000000-0005-0000-0000-0000EEC30000}"/>
    <cellStyle name="Normal 7 6" xfId="226" xr:uid="{00000000-0005-0000-0000-0000EFC30000}"/>
    <cellStyle name="Normal 7 6 10" xfId="7064" xr:uid="{00000000-0005-0000-0000-0000F0C30000}"/>
    <cellStyle name="Normal 7 6 10 2" xfId="19678" xr:uid="{00000000-0005-0000-0000-0000F1C30000}"/>
    <cellStyle name="Normal 7 6 10 2 2" xfId="45231" xr:uid="{00000000-0005-0000-0000-0000F2C30000}"/>
    <cellStyle name="Normal 7 6 10 3" xfId="32621" xr:uid="{00000000-0005-0000-0000-0000F3C30000}"/>
    <cellStyle name="Normal 7 6 11" xfId="15810" xr:uid="{00000000-0005-0000-0000-0000F4C30000}"/>
    <cellStyle name="Normal 7 6 11 2" xfId="41363" xr:uid="{00000000-0005-0000-0000-0000F5C30000}"/>
    <cellStyle name="Normal 7 6 12" xfId="26161" xr:uid="{00000000-0005-0000-0000-0000F6C30000}"/>
    <cellStyle name="Normal 7 6 2" xfId="549" xr:uid="{00000000-0005-0000-0000-0000F7C30000}"/>
    <cellStyle name="Normal 7 6 2 10" xfId="26478" xr:uid="{00000000-0005-0000-0000-0000F8C30000}"/>
    <cellStyle name="Normal 7 6 2 2" xfId="970" xr:uid="{00000000-0005-0000-0000-0000F9C30000}"/>
    <cellStyle name="Normal 7 6 2 2 2" xfId="3446" xr:uid="{00000000-0005-0000-0000-0000FAC30000}"/>
    <cellStyle name="Normal 7 6 2 2 2 2" xfId="12588" xr:uid="{00000000-0005-0000-0000-0000FBC30000}"/>
    <cellStyle name="Normal 7 6 2 2 2 2 2" xfId="22807" xr:uid="{00000000-0005-0000-0000-0000FCC30000}"/>
    <cellStyle name="Normal 7 6 2 2 2 2 2 2" xfId="48360" xr:uid="{00000000-0005-0000-0000-0000FDC30000}"/>
    <cellStyle name="Normal 7 6 2 2 2 2 3" xfId="38143" xr:uid="{00000000-0005-0000-0000-0000FEC30000}"/>
    <cellStyle name="Normal 7 6 2 2 2 3" xfId="9010" xr:uid="{00000000-0005-0000-0000-0000FFC30000}"/>
    <cellStyle name="Normal 7 6 2 2 2 3 2" xfId="34567" xr:uid="{00000000-0005-0000-0000-000000C40000}"/>
    <cellStyle name="Normal 7 6 2 2 2 4" xfId="17800" xr:uid="{00000000-0005-0000-0000-000001C40000}"/>
    <cellStyle name="Normal 7 6 2 2 2 4 2" xfId="43353" xr:uid="{00000000-0005-0000-0000-000002C40000}"/>
    <cellStyle name="Normal 7 6 2 2 2 5" xfId="29290" xr:uid="{00000000-0005-0000-0000-000003C40000}"/>
    <cellStyle name="Normal 7 6 2 2 3" xfId="4776" xr:uid="{00000000-0005-0000-0000-000004C40000}"/>
    <cellStyle name="Normal 7 6 2 2 3 2" xfId="13613" xr:uid="{00000000-0005-0000-0000-000005C40000}"/>
    <cellStyle name="Normal 7 6 2 2 3 2 2" xfId="23864" xr:uid="{00000000-0005-0000-0000-000006C40000}"/>
    <cellStyle name="Normal 7 6 2 2 3 2 2 2" xfId="49417" xr:uid="{00000000-0005-0000-0000-000007C40000}"/>
    <cellStyle name="Normal 7 6 2 2 3 2 3" xfId="39168" xr:uid="{00000000-0005-0000-0000-000008C40000}"/>
    <cellStyle name="Normal 7 6 2 2 3 3" xfId="10034" xr:uid="{00000000-0005-0000-0000-000009C40000}"/>
    <cellStyle name="Normal 7 6 2 2 3 3 2" xfId="35591" xr:uid="{00000000-0005-0000-0000-00000AC40000}"/>
    <cellStyle name="Normal 7 6 2 2 3 4" xfId="18857" xr:uid="{00000000-0005-0000-0000-00000BC40000}"/>
    <cellStyle name="Normal 7 6 2 2 3 4 2" xfId="44410" xr:uid="{00000000-0005-0000-0000-00000CC40000}"/>
    <cellStyle name="Normal 7 6 2 2 3 5" xfId="30347" xr:uid="{00000000-0005-0000-0000-00000DC40000}"/>
    <cellStyle name="Normal 7 6 2 2 4" xfId="2555" xr:uid="{00000000-0005-0000-0000-00000EC40000}"/>
    <cellStyle name="Normal 7 6 2 2 4 2" xfId="11920" xr:uid="{00000000-0005-0000-0000-00000FC40000}"/>
    <cellStyle name="Normal 7 6 2 2 4 2 2" xfId="37475" xr:uid="{00000000-0005-0000-0000-000010C40000}"/>
    <cellStyle name="Normal 7 6 2 2 4 3" xfId="21924" xr:uid="{00000000-0005-0000-0000-000011C40000}"/>
    <cellStyle name="Normal 7 6 2 2 4 3 2" xfId="47477" xr:uid="{00000000-0005-0000-0000-000012C40000}"/>
    <cellStyle name="Normal 7 6 2 2 4 4" xfId="28407" xr:uid="{00000000-0005-0000-0000-000013C40000}"/>
    <cellStyle name="Normal 7 6 2 2 5" xfId="6231" xr:uid="{00000000-0005-0000-0000-000014C40000}"/>
    <cellStyle name="Normal 7 6 2 2 5 2" xfId="15058" xr:uid="{00000000-0005-0000-0000-000015C40000}"/>
    <cellStyle name="Normal 7 6 2 2 5 2 2" xfId="40613" xr:uid="{00000000-0005-0000-0000-000016C40000}"/>
    <cellStyle name="Normal 7 6 2 2 5 3" xfId="25309" xr:uid="{00000000-0005-0000-0000-000017C40000}"/>
    <cellStyle name="Normal 7 6 2 2 5 3 2" xfId="50862" xr:uid="{00000000-0005-0000-0000-000018C40000}"/>
    <cellStyle name="Normal 7 6 2 2 5 4" xfId="31792" xr:uid="{00000000-0005-0000-0000-000019C40000}"/>
    <cellStyle name="Normal 7 6 2 2 6" xfId="7677" xr:uid="{00000000-0005-0000-0000-00001AC40000}"/>
    <cellStyle name="Normal 7 6 2 2 6 2" xfId="20406" xr:uid="{00000000-0005-0000-0000-00001BC40000}"/>
    <cellStyle name="Normal 7 6 2 2 6 2 2" xfId="45959" xr:uid="{00000000-0005-0000-0000-00001CC40000}"/>
    <cellStyle name="Normal 7 6 2 2 6 3" xfId="33234" xr:uid="{00000000-0005-0000-0000-00001DC40000}"/>
    <cellStyle name="Normal 7 6 2 2 7" xfId="16917" xr:uid="{00000000-0005-0000-0000-00001EC40000}"/>
    <cellStyle name="Normal 7 6 2 2 7 2" xfId="42470" xr:uid="{00000000-0005-0000-0000-00001FC40000}"/>
    <cellStyle name="Normal 7 6 2 2 8" xfId="26889" xr:uid="{00000000-0005-0000-0000-000020C40000}"/>
    <cellStyle name="Normal 7 6 2 3" xfId="1321" xr:uid="{00000000-0005-0000-0000-000021C40000}"/>
    <cellStyle name="Normal 7 6 2 3 2" xfId="3750" xr:uid="{00000000-0005-0000-0000-000022C40000}"/>
    <cellStyle name="Normal 7 6 2 3 2 2" xfId="12886" xr:uid="{00000000-0005-0000-0000-000023C40000}"/>
    <cellStyle name="Normal 7 6 2 3 2 2 2" xfId="23105" xr:uid="{00000000-0005-0000-0000-000024C40000}"/>
    <cellStyle name="Normal 7 6 2 3 2 2 2 2" xfId="48658" xr:uid="{00000000-0005-0000-0000-000025C40000}"/>
    <cellStyle name="Normal 7 6 2 3 2 2 3" xfId="38441" xr:uid="{00000000-0005-0000-0000-000026C40000}"/>
    <cellStyle name="Normal 7 6 2 3 2 3" xfId="9307" xr:uid="{00000000-0005-0000-0000-000027C40000}"/>
    <cellStyle name="Normal 7 6 2 3 2 3 2" xfId="34864" xr:uid="{00000000-0005-0000-0000-000028C40000}"/>
    <cellStyle name="Normal 7 6 2 3 2 4" xfId="18098" xr:uid="{00000000-0005-0000-0000-000029C40000}"/>
    <cellStyle name="Normal 7 6 2 3 2 4 2" xfId="43651" xr:uid="{00000000-0005-0000-0000-00002AC40000}"/>
    <cellStyle name="Normal 7 6 2 3 2 5" xfId="29588" xr:uid="{00000000-0005-0000-0000-00002BC40000}"/>
    <cellStyle name="Normal 7 6 2 3 3" xfId="5124" xr:uid="{00000000-0005-0000-0000-00002CC40000}"/>
    <cellStyle name="Normal 7 6 2 3 3 2" xfId="13961" xr:uid="{00000000-0005-0000-0000-00002DC40000}"/>
    <cellStyle name="Normal 7 6 2 3 3 2 2" xfId="24212" xr:uid="{00000000-0005-0000-0000-00002EC40000}"/>
    <cellStyle name="Normal 7 6 2 3 3 2 2 2" xfId="49765" xr:uid="{00000000-0005-0000-0000-00002FC40000}"/>
    <cellStyle name="Normal 7 6 2 3 3 2 3" xfId="39516" xr:uid="{00000000-0005-0000-0000-000030C40000}"/>
    <cellStyle name="Normal 7 6 2 3 3 3" xfId="10382" xr:uid="{00000000-0005-0000-0000-000031C40000}"/>
    <cellStyle name="Normal 7 6 2 3 3 3 2" xfId="35939" xr:uid="{00000000-0005-0000-0000-000032C40000}"/>
    <cellStyle name="Normal 7 6 2 3 3 4" xfId="19205" xr:uid="{00000000-0005-0000-0000-000033C40000}"/>
    <cellStyle name="Normal 7 6 2 3 3 4 2" xfId="44758" xr:uid="{00000000-0005-0000-0000-000034C40000}"/>
    <cellStyle name="Normal 7 6 2 3 3 5" xfId="30695" xr:uid="{00000000-0005-0000-0000-000035C40000}"/>
    <cellStyle name="Normal 7 6 2 3 4" xfId="2144" xr:uid="{00000000-0005-0000-0000-000036C40000}"/>
    <cellStyle name="Normal 7 6 2 3 4 2" xfId="11509" xr:uid="{00000000-0005-0000-0000-000037C40000}"/>
    <cellStyle name="Normal 7 6 2 3 4 2 2" xfId="37064" xr:uid="{00000000-0005-0000-0000-000038C40000}"/>
    <cellStyle name="Normal 7 6 2 3 4 3" xfId="21513" xr:uid="{00000000-0005-0000-0000-000039C40000}"/>
    <cellStyle name="Normal 7 6 2 3 4 3 2" xfId="47066" xr:uid="{00000000-0005-0000-0000-00003AC40000}"/>
    <cellStyle name="Normal 7 6 2 3 4 4" xfId="27996" xr:uid="{00000000-0005-0000-0000-00003BC40000}"/>
    <cellStyle name="Normal 7 6 2 3 5" xfId="6579" xr:uid="{00000000-0005-0000-0000-00003CC40000}"/>
    <cellStyle name="Normal 7 6 2 3 5 2" xfId="15406" xr:uid="{00000000-0005-0000-0000-00003DC40000}"/>
    <cellStyle name="Normal 7 6 2 3 5 2 2" xfId="40961" xr:uid="{00000000-0005-0000-0000-00003EC40000}"/>
    <cellStyle name="Normal 7 6 2 3 5 3" xfId="25657" xr:uid="{00000000-0005-0000-0000-00003FC40000}"/>
    <cellStyle name="Normal 7 6 2 3 5 3 2" xfId="51210" xr:uid="{00000000-0005-0000-0000-000040C40000}"/>
    <cellStyle name="Normal 7 6 2 3 5 4" xfId="32140" xr:uid="{00000000-0005-0000-0000-000041C40000}"/>
    <cellStyle name="Normal 7 6 2 3 6" xfId="8025" xr:uid="{00000000-0005-0000-0000-000042C40000}"/>
    <cellStyle name="Normal 7 6 2 3 6 2" xfId="20704" xr:uid="{00000000-0005-0000-0000-000043C40000}"/>
    <cellStyle name="Normal 7 6 2 3 6 2 2" xfId="46257" xr:uid="{00000000-0005-0000-0000-000044C40000}"/>
    <cellStyle name="Normal 7 6 2 3 6 3" xfId="33582" xr:uid="{00000000-0005-0000-0000-000045C40000}"/>
    <cellStyle name="Normal 7 6 2 3 7" xfId="16506" xr:uid="{00000000-0005-0000-0000-000046C40000}"/>
    <cellStyle name="Normal 7 6 2 3 7 2" xfId="42059" xr:uid="{00000000-0005-0000-0000-000047C40000}"/>
    <cellStyle name="Normal 7 6 2 3 8" xfId="27187" xr:uid="{00000000-0005-0000-0000-000048C40000}"/>
    <cellStyle name="Normal 7 6 2 4" xfId="3035" xr:uid="{00000000-0005-0000-0000-000049C40000}"/>
    <cellStyle name="Normal 7 6 2 4 2" xfId="5413" xr:uid="{00000000-0005-0000-0000-00004AC40000}"/>
    <cellStyle name="Normal 7 6 2 4 2 2" xfId="14250" xr:uid="{00000000-0005-0000-0000-00004BC40000}"/>
    <cellStyle name="Normal 7 6 2 4 2 2 2" xfId="24501" xr:uid="{00000000-0005-0000-0000-00004CC40000}"/>
    <cellStyle name="Normal 7 6 2 4 2 2 2 2" xfId="50054" xr:uid="{00000000-0005-0000-0000-00004DC40000}"/>
    <cellStyle name="Normal 7 6 2 4 2 2 3" xfId="39805" xr:uid="{00000000-0005-0000-0000-00004EC40000}"/>
    <cellStyle name="Normal 7 6 2 4 2 3" xfId="10671" xr:uid="{00000000-0005-0000-0000-00004FC40000}"/>
    <cellStyle name="Normal 7 6 2 4 2 3 2" xfId="36228" xr:uid="{00000000-0005-0000-0000-000050C40000}"/>
    <cellStyle name="Normal 7 6 2 4 2 4" xfId="19494" xr:uid="{00000000-0005-0000-0000-000051C40000}"/>
    <cellStyle name="Normal 7 6 2 4 2 4 2" xfId="45047" xr:uid="{00000000-0005-0000-0000-000052C40000}"/>
    <cellStyle name="Normal 7 6 2 4 2 5" xfId="30984" xr:uid="{00000000-0005-0000-0000-000053C40000}"/>
    <cellStyle name="Normal 7 6 2 4 3" xfId="6868" xr:uid="{00000000-0005-0000-0000-000054C40000}"/>
    <cellStyle name="Normal 7 6 2 4 3 2" xfId="15695" xr:uid="{00000000-0005-0000-0000-000055C40000}"/>
    <cellStyle name="Normal 7 6 2 4 3 2 2" xfId="41250" xr:uid="{00000000-0005-0000-0000-000056C40000}"/>
    <cellStyle name="Normal 7 6 2 4 3 3" xfId="25946" xr:uid="{00000000-0005-0000-0000-000057C40000}"/>
    <cellStyle name="Normal 7 6 2 4 3 3 2" xfId="51499" xr:uid="{00000000-0005-0000-0000-000058C40000}"/>
    <cellStyle name="Normal 7 6 2 4 3 4" xfId="32429" xr:uid="{00000000-0005-0000-0000-000059C40000}"/>
    <cellStyle name="Normal 7 6 2 4 4" xfId="8314" xr:uid="{00000000-0005-0000-0000-00005AC40000}"/>
    <cellStyle name="Normal 7 6 2 4 4 2" xfId="22396" xr:uid="{00000000-0005-0000-0000-00005BC40000}"/>
    <cellStyle name="Normal 7 6 2 4 4 2 2" xfId="47949" xr:uid="{00000000-0005-0000-0000-00005CC40000}"/>
    <cellStyle name="Normal 7 6 2 4 4 3" xfId="33871" xr:uid="{00000000-0005-0000-0000-00005DC40000}"/>
    <cellStyle name="Normal 7 6 2 4 5" xfId="17389" xr:uid="{00000000-0005-0000-0000-00005EC40000}"/>
    <cellStyle name="Normal 7 6 2 4 5 2" xfId="42942" xr:uid="{00000000-0005-0000-0000-00005FC40000}"/>
    <cellStyle name="Normal 7 6 2 4 6" xfId="28879" xr:uid="{00000000-0005-0000-0000-000060C40000}"/>
    <cellStyle name="Normal 7 6 2 5" xfId="4369" xr:uid="{00000000-0005-0000-0000-000061C40000}"/>
    <cellStyle name="Normal 7 6 2 5 2" xfId="13207" xr:uid="{00000000-0005-0000-0000-000062C40000}"/>
    <cellStyle name="Normal 7 6 2 5 2 2" xfId="23458" xr:uid="{00000000-0005-0000-0000-000063C40000}"/>
    <cellStyle name="Normal 7 6 2 5 2 2 2" xfId="49011" xr:uid="{00000000-0005-0000-0000-000064C40000}"/>
    <cellStyle name="Normal 7 6 2 5 2 3" xfId="38762" xr:uid="{00000000-0005-0000-0000-000065C40000}"/>
    <cellStyle name="Normal 7 6 2 5 3" xfId="9628" xr:uid="{00000000-0005-0000-0000-000066C40000}"/>
    <cellStyle name="Normal 7 6 2 5 3 2" xfId="35185" xr:uid="{00000000-0005-0000-0000-000067C40000}"/>
    <cellStyle name="Normal 7 6 2 5 4" xfId="18451" xr:uid="{00000000-0005-0000-0000-000068C40000}"/>
    <cellStyle name="Normal 7 6 2 5 4 2" xfId="44004" xr:uid="{00000000-0005-0000-0000-000069C40000}"/>
    <cellStyle name="Normal 7 6 2 5 5" xfId="29941" xr:uid="{00000000-0005-0000-0000-00006AC40000}"/>
    <cellStyle name="Normal 7 6 2 6" xfId="1641" xr:uid="{00000000-0005-0000-0000-00006BC40000}"/>
    <cellStyle name="Normal 7 6 2 6 2" xfId="11018" xr:uid="{00000000-0005-0000-0000-00006CC40000}"/>
    <cellStyle name="Normal 7 6 2 6 2 2" xfId="36573" xr:uid="{00000000-0005-0000-0000-00006DC40000}"/>
    <cellStyle name="Normal 7 6 2 6 3" xfId="21022" xr:uid="{00000000-0005-0000-0000-00006EC40000}"/>
    <cellStyle name="Normal 7 6 2 6 3 2" xfId="46575" xr:uid="{00000000-0005-0000-0000-00006FC40000}"/>
    <cellStyle name="Normal 7 6 2 6 4" xfId="27505" xr:uid="{00000000-0005-0000-0000-000070C40000}"/>
    <cellStyle name="Normal 7 6 2 7" xfId="5825" xr:uid="{00000000-0005-0000-0000-000071C40000}"/>
    <cellStyle name="Normal 7 6 2 7 2" xfId="14652" xr:uid="{00000000-0005-0000-0000-000072C40000}"/>
    <cellStyle name="Normal 7 6 2 7 2 2" xfId="40207" xr:uid="{00000000-0005-0000-0000-000073C40000}"/>
    <cellStyle name="Normal 7 6 2 7 3" xfId="24903" xr:uid="{00000000-0005-0000-0000-000074C40000}"/>
    <cellStyle name="Normal 7 6 2 7 3 2" xfId="50456" xr:uid="{00000000-0005-0000-0000-000075C40000}"/>
    <cellStyle name="Normal 7 6 2 7 4" xfId="31386" xr:uid="{00000000-0005-0000-0000-000076C40000}"/>
    <cellStyle name="Normal 7 6 2 8" xfId="7269" xr:uid="{00000000-0005-0000-0000-000077C40000}"/>
    <cellStyle name="Normal 7 6 2 8 2" xfId="19995" xr:uid="{00000000-0005-0000-0000-000078C40000}"/>
    <cellStyle name="Normal 7 6 2 8 2 2" xfId="45548" xr:uid="{00000000-0005-0000-0000-000079C40000}"/>
    <cellStyle name="Normal 7 6 2 8 3" xfId="32826" xr:uid="{00000000-0005-0000-0000-00007AC40000}"/>
    <cellStyle name="Normal 7 6 2 9" xfId="16015" xr:uid="{00000000-0005-0000-0000-00007BC40000}"/>
    <cellStyle name="Normal 7 6 2 9 2" xfId="41568" xr:uid="{00000000-0005-0000-0000-00007CC40000}"/>
    <cellStyle name="Normal 7 6 2_Degree data" xfId="4076" xr:uid="{00000000-0005-0000-0000-00007DC40000}"/>
    <cellStyle name="Normal 7 6 3" xfId="344" xr:uid="{00000000-0005-0000-0000-00007EC40000}"/>
    <cellStyle name="Normal 7 6 3 2" xfId="2830" xr:uid="{00000000-0005-0000-0000-00007FC40000}"/>
    <cellStyle name="Normal 7 6 3 2 2" xfId="12118" xr:uid="{00000000-0005-0000-0000-000080C40000}"/>
    <cellStyle name="Normal 7 6 3 2 2 2" xfId="22191" xr:uid="{00000000-0005-0000-0000-000081C40000}"/>
    <cellStyle name="Normal 7 6 3 2 2 2 2" xfId="47744" xr:uid="{00000000-0005-0000-0000-000082C40000}"/>
    <cellStyle name="Normal 7 6 3 2 2 3" xfId="37673" xr:uid="{00000000-0005-0000-0000-000083C40000}"/>
    <cellStyle name="Normal 7 6 3 2 3" xfId="8427" xr:uid="{00000000-0005-0000-0000-000084C40000}"/>
    <cellStyle name="Normal 7 6 3 2 3 2" xfId="33984" xr:uid="{00000000-0005-0000-0000-000085C40000}"/>
    <cellStyle name="Normal 7 6 3 2 4" xfId="17184" xr:uid="{00000000-0005-0000-0000-000086C40000}"/>
    <cellStyle name="Normal 7 6 3 2 4 2" xfId="42737" xr:uid="{00000000-0005-0000-0000-000087C40000}"/>
    <cellStyle name="Normal 7 6 3 2 5" xfId="28674" xr:uid="{00000000-0005-0000-0000-000088C40000}"/>
    <cellStyle name="Normal 7 6 3 3" xfId="4775" xr:uid="{00000000-0005-0000-0000-000089C40000}"/>
    <cellStyle name="Normal 7 6 3 3 2" xfId="13612" xr:uid="{00000000-0005-0000-0000-00008AC40000}"/>
    <cellStyle name="Normal 7 6 3 3 2 2" xfId="23863" xr:uid="{00000000-0005-0000-0000-00008BC40000}"/>
    <cellStyle name="Normal 7 6 3 3 2 2 2" xfId="49416" xr:uid="{00000000-0005-0000-0000-00008CC40000}"/>
    <cellStyle name="Normal 7 6 3 3 2 3" xfId="39167" xr:uid="{00000000-0005-0000-0000-00008DC40000}"/>
    <cellStyle name="Normal 7 6 3 3 3" xfId="10033" xr:uid="{00000000-0005-0000-0000-00008EC40000}"/>
    <cellStyle name="Normal 7 6 3 3 3 2" xfId="35590" xr:uid="{00000000-0005-0000-0000-00008FC40000}"/>
    <cellStyle name="Normal 7 6 3 3 4" xfId="18856" xr:uid="{00000000-0005-0000-0000-000090C40000}"/>
    <cellStyle name="Normal 7 6 3 3 4 2" xfId="44409" xr:uid="{00000000-0005-0000-0000-000091C40000}"/>
    <cellStyle name="Normal 7 6 3 3 5" xfId="30346" xr:uid="{00000000-0005-0000-0000-000092C40000}"/>
    <cellStyle name="Normal 7 6 3 4" xfId="1939" xr:uid="{00000000-0005-0000-0000-000093C40000}"/>
    <cellStyle name="Normal 7 6 3 4 2" xfId="11304" xr:uid="{00000000-0005-0000-0000-000094C40000}"/>
    <cellStyle name="Normal 7 6 3 4 2 2" xfId="36859" xr:uid="{00000000-0005-0000-0000-000095C40000}"/>
    <cellStyle name="Normal 7 6 3 4 3" xfId="21308" xr:uid="{00000000-0005-0000-0000-000096C40000}"/>
    <cellStyle name="Normal 7 6 3 4 3 2" xfId="46861" xr:uid="{00000000-0005-0000-0000-000097C40000}"/>
    <cellStyle name="Normal 7 6 3 4 4" xfId="27791" xr:uid="{00000000-0005-0000-0000-000098C40000}"/>
    <cellStyle name="Normal 7 6 3 5" xfId="6230" xr:uid="{00000000-0005-0000-0000-000099C40000}"/>
    <cellStyle name="Normal 7 6 3 5 2" xfId="15057" xr:uid="{00000000-0005-0000-0000-00009AC40000}"/>
    <cellStyle name="Normal 7 6 3 5 2 2" xfId="40612" xr:uid="{00000000-0005-0000-0000-00009BC40000}"/>
    <cellStyle name="Normal 7 6 3 5 3" xfId="25308" xr:uid="{00000000-0005-0000-0000-00009CC40000}"/>
    <cellStyle name="Normal 7 6 3 5 3 2" xfId="50861" xr:uid="{00000000-0005-0000-0000-00009DC40000}"/>
    <cellStyle name="Normal 7 6 3 5 4" xfId="31791" xr:uid="{00000000-0005-0000-0000-00009EC40000}"/>
    <cellStyle name="Normal 7 6 3 6" xfId="7676" xr:uid="{00000000-0005-0000-0000-00009FC40000}"/>
    <cellStyle name="Normal 7 6 3 6 2" xfId="19790" xr:uid="{00000000-0005-0000-0000-0000A0C40000}"/>
    <cellStyle name="Normal 7 6 3 6 2 2" xfId="45343" xr:uid="{00000000-0005-0000-0000-0000A1C40000}"/>
    <cellStyle name="Normal 7 6 3 6 3" xfId="33233" xr:uid="{00000000-0005-0000-0000-0000A2C40000}"/>
    <cellStyle name="Normal 7 6 3 7" xfId="16301" xr:uid="{00000000-0005-0000-0000-0000A3C40000}"/>
    <cellStyle name="Normal 7 6 3 7 2" xfId="41854" xr:uid="{00000000-0005-0000-0000-0000A4C40000}"/>
    <cellStyle name="Normal 7 6 3 8" xfId="26273" xr:uid="{00000000-0005-0000-0000-0000A5C40000}"/>
    <cellStyle name="Normal 7 6 4" xfId="969" xr:uid="{00000000-0005-0000-0000-0000A6C40000}"/>
    <cellStyle name="Normal 7 6 4 2" xfId="3445" xr:uid="{00000000-0005-0000-0000-0000A7C40000}"/>
    <cellStyle name="Normal 7 6 4 2 2" xfId="12587" xr:uid="{00000000-0005-0000-0000-0000A8C40000}"/>
    <cellStyle name="Normal 7 6 4 2 2 2" xfId="22806" xr:uid="{00000000-0005-0000-0000-0000A9C40000}"/>
    <cellStyle name="Normal 7 6 4 2 2 2 2" xfId="48359" xr:uid="{00000000-0005-0000-0000-0000AAC40000}"/>
    <cellStyle name="Normal 7 6 4 2 2 3" xfId="38142" xr:uid="{00000000-0005-0000-0000-0000ABC40000}"/>
    <cellStyle name="Normal 7 6 4 2 3" xfId="9009" xr:uid="{00000000-0005-0000-0000-0000ACC40000}"/>
    <cellStyle name="Normal 7 6 4 2 3 2" xfId="34566" xr:uid="{00000000-0005-0000-0000-0000ADC40000}"/>
    <cellStyle name="Normal 7 6 4 2 4" xfId="17799" xr:uid="{00000000-0005-0000-0000-0000AEC40000}"/>
    <cellStyle name="Normal 7 6 4 2 4 2" xfId="43352" xr:uid="{00000000-0005-0000-0000-0000AFC40000}"/>
    <cellStyle name="Normal 7 6 4 2 5" xfId="29289" xr:uid="{00000000-0005-0000-0000-0000B0C40000}"/>
    <cellStyle name="Normal 7 6 4 3" xfId="5123" xr:uid="{00000000-0005-0000-0000-0000B1C40000}"/>
    <cellStyle name="Normal 7 6 4 3 2" xfId="13960" xr:uid="{00000000-0005-0000-0000-0000B2C40000}"/>
    <cellStyle name="Normal 7 6 4 3 2 2" xfId="24211" xr:uid="{00000000-0005-0000-0000-0000B3C40000}"/>
    <cellStyle name="Normal 7 6 4 3 2 2 2" xfId="49764" xr:uid="{00000000-0005-0000-0000-0000B4C40000}"/>
    <cellStyle name="Normal 7 6 4 3 2 3" xfId="39515" xr:uid="{00000000-0005-0000-0000-0000B5C40000}"/>
    <cellStyle name="Normal 7 6 4 3 3" xfId="10381" xr:uid="{00000000-0005-0000-0000-0000B6C40000}"/>
    <cellStyle name="Normal 7 6 4 3 3 2" xfId="35938" xr:uid="{00000000-0005-0000-0000-0000B7C40000}"/>
    <cellStyle name="Normal 7 6 4 3 4" xfId="19204" xr:uid="{00000000-0005-0000-0000-0000B8C40000}"/>
    <cellStyle name="Normal 7 6 4 3 4 2" xfId="44757" xr:uid="{00000000-0005-0000-0000-0000B9C40000}"/>
    <cellStyle name="Normal 7 6 4 3 5" xfId="30694" xr:uid="{00000000-0005-0000-0000-0000BAC40000}"/>
    <cellStyle name="Normal 7 6 4 4" xfId="2554" xr:uid="{00000000-0005-0000-0000-0000BBC40000}"/>
    <cellStyle name="Normal 7 6 4 4 2" xfId="11919" xr:uid="{00000000-0005-0000-0000-0000BCC40000}"/>
    <cellStyle name="Normal 7 6 4 4 2 2" xfId="37474" xr:uid="{00000000-0005-0000-0000-0000BDC40000}"/>
    <cellStyle name="Normal 7 6 4 4 3" xfId="21923" xr:uid="{00000000-0005-0000-0000-0000BEC40000}"/>
    <cellStyle name="Normal 7 6 4 4 3 2" xfId="47476" xr:uid="{00000000-0005-0000-0000-0000BFC40000}"/>
    <cellStyle name="Normal 7 6 4 4 4" xfId="28406" xr:uid="{00000000-0005-0000-0000-0000C0C40000}"/>
    <cellStyle name="Normal 7 6 4 5" xfId="6578" xr:uid="{00000000-0005-0000-0000-0000C1C40000}"/>
    <cellStyle name="Normal 7 6 4 5 2" xfId="15405" xr:uid="{00000000-0005-0000-0000-0000C2C40000}"/>
    <cellStyle name="Normal 7 6 4 5 2 2" xfId="40960" xr:uid="{00000000-0005-0000-0000-0000C3C40000}"/>
    <cellStyle name="Normal 7 6 4 5 3" xfId="25656" xr:uid="{00000000-0005-0000-0000-0000C4C40000}"/>
    <cellStyle name="Normal 7 6 4 5 3 2" xfId="51209" xr:uid="{00000000-0005-0000-0000-0000C5C40000}"/>
    <cellStyle name="Normal 7 6 4 5 4" xfId="32139" xr:uid="{00000000-0005-0000-0000-0000C6C40000}"/>
    <cellStyle name="Normal 7 6 4 6" xfId="8024" xr:uid="{00000000-0005-0000-0000-0000C7C40000}"/>
    <cellStyle name="Normal 7 6 4 6 2" xfId="20405" xr:uid="{00000000-0005-0000-0000-0000C8C40000}"/>
    <cellStyle name="Normal 7 6 4 6 2 2" xfId="45958" xr:uid="{00000000-0005-0000-0000-0000C9C40000}"/>
    <cellStyle name="Normal 7 6 4 6 3" xfId="33581" xr:uid="{00000000-0005-0000-0000-0000CAC40000}"/>
    <cellStyle name="Normal 7 6 4 7" xfId="16916" xr:uid="{00000000-0005-0000-0000-0000CBC40000}"/>
    <cellStyle name="Normal 7 6 4 7 2" xfId="42469" xr:uid="{00000000-0005-0000-0000-0000CCC40000}"/>
    <cellStyle name="Normal 7 6 4 8" xfId="26888" xr:uid="{00000000-0005-0000-0000-0000CDC40000}"/>
    <cellStyle name="Normal 7 6 5" xfId="1116" xr:uid="{00000000-0005-0000-0000-0000CEC40000}"/>
    <cellStyle name="Normal 7 6 5 2" xfId="3545" xr:uid="{00000000-0005-0000-0000-0000CFC40000}"/>
    <cellStyle name="Normal 7 6 5 2 2" xfId="12681" xr:uid="{00000000-0005-0000-0000-0000D0C40000}"/>
    <cellStyle name="Normal 7 6 5 2 2 2" xfId="22900" xr:uid="{00000000-0005-0000-0000-0000D1C40000}"/>
    <cellStyle name="Normal 7 6 5 2 2 2 2" xfId="48453" xr:uid="{00000000-0005-0000-0000-0000D2C40000}"/>
    <cellStyle name="Normal 7 6 5 2 2 3" xfId="38236" xr:uid="{00000000-0005-0000-0000-0000D3C40000}"/>
    <cellStyle name="Normal 7 6 5 2 3" xfId="9102" xr:uid="{00000000-0005-0000-0000-0000D4C40000}"/>
    <cellStyle name="Normal 7 6 5 2 3 2" xfId="34659" xr:uid="{00000000-0005-0000-0000-0000D5C40000}"/>
    <cellStyle name="Normal 7 6 5 2 4" xfId="17893" xr:uid="{00000000-0005-0000-0000-0000D6C40000}"/>
    <cellStyle name="Normal 7 6 5 2 4 2" xfId="43446" xr:uid="{00000000-0005-0000-0000-0000D7C40000}"/>
    <cellStyle name="Normal 7 6 5 2 5" xfId="29383" xr:uid="{00000000-0005-0000-0000-0000D8C40000}"/>
    <cellStyle name="Normal 7 6 5 3" xfId="5208" xr:uid="{00000000-0005-0000-0000-0000D9C40000}"/>
    <cellStyle name="Normal 7 6 5 3 2" xfId="14045" xr:uid="{00000000-0005-0000-0000-0000DAC40000}"/>
    <cellStyle name="Normal 7 6 5 3 2 2" xfId="24296" xr:uid="{00000000-0005-0000-0000-0000DBC40000}"/>
    <cellStyle name="Normal 7 6 5 3 2 2 2" xfId="49849" xr:uid="{00000000-0005-0000-0000-0000DCC40000}"/>
    <cellStyle name="Normal 7 6 5 3 2 3" xfId="39600" xr:uid="{00000000-0005-0000-0000-0000DDC40000}"/>
    <cellStyle name="Normal 7 6 5 3 3" xfId="10466" xr:uid="{00000000-0005-0000-0000-0000DEC40000}"/>
    <cellStyle name="Normal 7 6 5 3 3 2" xfId="36023" xr:uid="{00000000-0005-0000-0000-0000DFC40000}"/>
    <cellStyle name="Normal 7 6 5 3 4" xfId="19289" xr:uid="{00000000-0005-0000-0000-0000E0C40000}"/>
    <cellStyle name="Normal 7 6 5 3 4 2" xfId="44842" xr:uid="{00000000-0005-0000-0000-0000E1C40000}"/>
    <cellStyle name="Normal 7 6 5 3 5" xfId="30779" xr:uid="{00000000-0005-0000-0000-0000E2C40000}"/>
    <cellStyle name="Normal 7 6 5 4" xfId="1824" xr:uid="{00000000-0005-0000-0000-0000E3C40000}"/>
    <cellStyle name="Normal 7 6 5 4 2" xfId="11192" xr:uid="{00000000-0005-0000-0000-0000E4C40000}"/>
    <cellStyle name="Normal 7 6 5 4 2 2" xfId="36747" xr:uid="{00000000-0005-0000-0000-0000E5C40000}"/>
    <cellStyle name="Normal 7 6 5 4 3" xfId="21196" xr:uid="{00000000-0005-0000-0000-0000E6C40000}"/>
    <cellStyle name="Normal 7 6 5 4 3 2" xfId="46749" xr:uid="{00000000-0005-0000-0000-0000E7C40000}"/>
    <cellStyle name="Normal 7 6 5 4 4" xfId="27679" xr:uid="{00000000-0005-0000-0000-0000E8C40000}"/>
    <cellStyle name="Normal 7 6 5 5" xfId="6663" xr:uid="{00000000-0005-0000-0000-0000E9C40000}"/>
    <cellStyle name="Normal 7 6 5 5 2" xfId="15490" xr:uid="{00000000-0005-0000-0000-0000EAC40000}"/>
    <cellStyle name="Normal 7 6 5 5 2 2" xfId="41045" xr:uid="{00000000-0005-0000-0000-0000EBC40000}"/>
    <cellStyle name="Normal 7 6 5 5 3" xfId="25741" xr:uid="{00000000-0005-0000-0000-0000ECC40000}"/>
    <cellStyle name="Normal 7 6 5 5 3 2" xfId="51294" xr:uid="{00000000-0005-0000-0000-0000EDC40000}"/>
    <cellStyle name="Normal 7 6 5 5 4" xfId="32224" xr:uid="{00000000-0005-0000-0000-0000EEC40000}"/>
    <cellStyle name="Normal 7 6 5 6" xfId="8109" xr:uid="{00000000-0005-0000-0000-0000EFC40000}"/>
    <cellStyle name="Normal 7 6 5 6 2" xfId="20499" xr:uid="{00000000-0005-0000-0000-0000F0C40000}"/>
    <cellStyle name="Normal 7 6 5 6 2 2" xfId="46052" xr:uid="{00000000-0005-0000-0000-0000F1C40000}"/>
    <cellStyle name="Normal 7 6 5 6 3" xfId="33666" xr:uid="{00000000-0005-0000-0000-0000F2C40000}"/>
    <cellStyle name="Normal 7 6 5 7" xfId="16189" xr:uid="{00000000-0005-0000-0000-0000F3C40000}"/>
    <cellStyle name="Normal 7 6 5 7 2" xfId="41742" xr:uid="{00000000-0005-0000-0000-0000F4C40000}"/>
    <cellStyle name="Normal 7 6 5 8" xfId="26982" xr:uid="{00000000-0005-0000-0000-0000F5C40000}"/>
    <cellStyle name="Normal 7 6 6" xfId="2718" xr:uid="{00000000-0005-0000-0000-0000F6C40000}"/>
    <cellStyle name="Normal 7 6 6 2" xfId="12035" xr:uid="{00000000-0005-0000-0000-0000F7C40000}"/>
    <cellStyle name="Normal 7 6 6 2 2" xfId="22079" xr:uid="{00000000-0005-0000-0000-0000F8C40000}"/>
    <cellStyle name="Normal 7 6 6 2 2 2" xfId="47632" xr:uid="{00000000-0005-0000-0000-0000F9C40000}"/>
    <cellStyle name="Normal 7 6 6 2 3" xfId="37590" xr:uid="{00000000-0005-0000-0000-0000FAC40000}"/>
    <cellStyle name="Normal 7 6 6 3" xfId="8593" xr:uid="{00000000-0005-0000-0000-0000FBC40000}"/>
    <cellStyle name="Normal 7 6 6 3 2" xfId="34150" xr:uid="{00000000-0005-0000-0000-0000FCC40000}"/>
    <cellStyle name="Normal 7 6 6 4" xfId="17072" xr:uid="{00000000-0005-0000-0000-0000FDC40000}"/>
    <cellStyle name="Normal 7 6 6 4 2" xfId="42625" xr:uid="{00000000-0005-0000-0000-0000FEC40000}"/>
    <cellStyle name="Normal 7 6 6 5" xfId="28562" xr:uid="{00000000-0005-0000-0000-0000FFC40000}"/>
    <cellStyle name="Normal 7 6 7" xfId="4164" xr:uid="{00000000-0005-0000-0000-000000C50000}"/>
    <cellStyle name="Normal 7 6 7 2" xfId="13002" xr:uid="{00000000-0005-0000-0000-000001C50000}"/>
    <cellStyle name="Normal 7 6 7 2 2" xfId="23253" xr:uid="{00000000-0005-0000-0000-000002C50000}"/>
    <cellStyle name="Normal 7 6 7 2 2 2" xfId="48806" xr:uid="{00000000-0005-0000-0000-000003C50000}"/>
    <cellStyle name="Normal 7 6 7 2 3" xfId="38557" xr:uid="{00000000-0005-0000-0000-000004C50000}"/>
    <cellStyle name="Normal 7 6 7 3" xfId="9423" xr:uid="{00000000-0005-0000-0000-000005C50000}"/>
    <cellStyle name="Normal 7 6 7 3 2" xfId="34980" xr:uid="{00000000-0005-0000-0000-000006C50000}"/>
    <cellStyle name="Normal 7 6 7 4" xfId="18246" xr:uid="{00000000-0005-0000-0000-000007C50000}"/>
    <cellStyle name="Normal 7 6 7 4 2" xfId="43799" xr:uid="{00000000-0005-0000-0000-000008C50000}"/>
    <cellStyle name="Normal 7 6 7 5" xfId="29736" xr:uid="{00000000-0005-0000-0000-000009C50000}"/>
    <cellStyle name="Normal 7 6 8" xfId="1436" xr:uid="{00000000-0005-0000-0000-00000AC50000}"/>
    <cellStyle name="Normal 7 6 8 2" xfId="10813" xr:uid="{00000000-0005-0000-0000-00000BC50000}"/>
    <cellStyle name="Normal 7 6 8 2 2" xfId="36368" xr:uid="{00000000-0005-0000-0000-00000CC50000}"/>
    <cellStyle name="Normal 7 6 8 3" xfId="20817" xr:uid="{00000000-0005-0000-0000-00000DC50000}"/>
    <cellStyle name="Normal 7 6 8 3 2" xfId="46370" xr:uid="{00000000-0005-0000-0000-00000EC50000}"/>
    <cellStyle name="Normal 7 6 8 4" xfId="27300" xr:uid="{00000000-0005-0000-0000-00000FC50000}"/>
    <cellStyle name="Normal 7 6 9" xfId="5620" xr:uid="{00000000-0005-0000-0000-000010C50000}"/>
    <cellStyle name="Normal 7 6 9 2" xfId="14447" xr:uid="{00000000-0005-0000-0000-000011C50000}"/>
    <cellStyle name="Normal 7 6 9 2 2" xfId="40002" xr:uid="{00000000-0005-0000-0000-000012C50000}"/>
    <cellStyle name="Normal 7 6 9 3" xfId="24698" xr:uid="{00000000-0005-0000-0000-000013C50000}"/>
    <cellStyle name="Normal 7 6 9 3 2" xfId="50251" xr:uid="{00000000-0005-0000-0000-000014C50000}"/>
    <cellStyle name="Normal 7 6 9 4" xfId="31181" xr:uid="{00000000-0005-0000-0000-000015C50000}"/>
    <cellStyle name="Normal 7 6_Degree data" xfId="4075" xr:uid="{00000000-0005-0000-0000-000016C50000}"/>
    <cellStyle name="Normal 7 7" xfId="283" xr:uid="{00000000-0005-0000-0000-000017C50000}"/>
    <cellStyle name="Normal 7 7 10" xfId="16071" xr:uid="{00000000-0005-0000-0000-000018C50000}"/>
    <cellStyle name="Normal 7 7 10 2" xfId="41624" xr:uid="{00000000-0005-0000-0000-000019C50000}"/>
    <cellStyle name="Normal 7 7 11" xfId="26217" xr:uid="{00000000-0005-0000-0000-00001AC50000}"/>
    <cellStyle name="Normal 7 7 2" xfId="605" xr:uid="{00000000-0005-0000-0000-00001BC50000}"/>
    <cellStyle name="Normal 7 7 2 2" xfId="3091" xr:uid="{00000000-0005-0000-0000-00001CC50000}"/>
    <cellStyle name="Normal 7 7 2 2 2" xfId="12234" xr:uid="{00000000-0005-0000-0000-00001DC50000}"/>
    <cellStyle name="Normal 7 7 2 2 2 2" xfId="22452" xr:uid="{00000000-0005-0000-0000-00001EC50000}"/>
    <cellStyle name="Normal 7 7 2 2 2 2 2" xfId="48005" xr:uid="{00000000-0005-0000-0000-00001FC50000}"/>
    <cellStyle name="Normal 7 7 2 2 2 3" xfId="37789" xr:uid="{00000000-0005-0000-0000-000020C50000}"/>
    <cellStyle name="Normal 7 7 2 2 3" xfId="8656" xr:uid="{00000000-0005-0000-0000-000021C50000}"/>
    <cellStyle name="Normal 7 7 2 2 3 2" xfId="34213" xr:uid="{00000000-0005-0000-0000-000022C50000}"/>
    <cellStyle name="Normal 7 7 2 2 4" xfId="17445" xr:uid="{00000000-0005-0000-0000-000023C50000}"/>
    <cellStyle name="Normal 7 7 2 2 4 2" xfId="42998" xr:uid="{00000000-0005-0000-0000-000024C50000}"/>
    <cellStyle name="Normal 7 7 2 2 5" xfId="28935" xr:uid="{00000000-0005-0000-0000-000025C50000}"/>
    <cellStyle name="Normal 7 7 2 3" xfId="4777" xr:uid="{00000000-0005-0000-0000-000026C50000}"/>
    <cellStyle name="Normal 7 7 2 3 2" xfId="13614" xr:uid="{00000000-0005-0000-0000-000027C50000}"/>
    <cellStyle name="Normal 7 7 2 3 2 2" xfId="23865" xr:uid="{00000000-0005-0000-0000-000028C50000}"/>
    <cellStyle name="Normal 7 7 2 3 2 2 2" xfId="49418" xr:uid="{00000000-0005-0000-0000-000029C50000}"/>
    <cellStyle name="Normal 7 7 2 3 2 3" xfId="39169" xr:uid="{00000000-0005-0000-0000-00002AC50000}"/>
    <cellStyle name="Normal 7 7 2 3 3" xfId="10035" xr:uid="{00000000-0005-0000-0000-00002BC50000}"/>
    <cellStyle name="Normal 7 7 2 3 3 2" xfId="35592" xr:uid="{00000000-0005-0000-0000-00002CC50000}"/>
    <cellStyle name="Normal 7 7 2 3 4" xfId="18858" xr:uid="{00000000-0005-0000-0000-00002DC50000}"/>
    <cellStyle name="Normal 7 7 2 3 4 2" xfId="44411" xr:uid="{00000000-0005-0000-0000-00002EC50000}"/>
    <cellStyle name="Normal 7 7 2 3 5" xfId="30348" xr:uid="{00000000-0005-0000-0000-00002FC50000}"/>
    <cellStyle name="Normal 7 7 2 4" xfId="2200" xr:uid="{00000000-0005-0000-0000-000030C50000}"/>
    <cellStyle name="Normal 7 7 2 4 2" xfId="11565" xr:uid="{00000000-0005-0000-0000-000031C50000}"/>
    <cellStyle name="Normal 7 7 2 4 2 2" xfId="37120" xr:uid="{00000000-0005-0000-0000-000032C50000}"/>
    <cellStyle name="Normal 7 7 2 4 3" xfId="21569" xr:uid="{00000000-0005-0000-0000-000033C50000}"/>
    <cellStyle name="Normal 7 7 2 4 3 2" xfId="47122" xr:uid="{00000000-0005-0000-0000-000034C50000}"/>
    <cellStyle name="Normal 7 7 2 4 4" xfId="28052" xr:uid="{00000000-0005-0000-0000-000035C50000}"/>
    <cellStyle name="Normal 7 7 2 5" xfId="6232" xr:uid="{00000000-0005-0000-0000-000036C50000}"/>
    <cellStyle name="Normal 7 7 2 5 2" xfId="15059" xr:uid="{00000000-0005-0000-0000-000037C50000}"/>
    <cellStyle name="Normal 7 7 2 5 2 2" xfId="40614" xr:uid="{00000000-0005-0000-0000-000038C50000}"/>
    <cellStyle name="Normal 7 7 2 5 3" xfId="25310" xr:uid="{00000000-0005-0000-0000-000039C50000}"/>
    <cellStyle name="Normal 7 7 2 5 3 2" xfId="50863" xr:uid="{00000000-0005-0000-0000-00003AC50000}"/>
    <cellStyle name="Normal 7 7 2 5 4" xfId="31793" xr:uid="{00000000-0005-0000-0000-00003BC50000}"/>
    <cellStyle name="Normal 7 7 2 6" xfId="7678" xr:uid="{00000000-0005-0000-0000-00003CC50000}"/>
    <cellStyle name="Normal 7 7 2 6 2" xfId="20051" xr:uid="{00000000-0005-0000-0000-00003DC50000}"/>
    <cellStyle name="Normal 7 7 2 6 2 2" xfId="45604" xr:uid="{00000000-0005-0000-0000-00003EC50000}"/>
    <cellStyle name="Normal 7 7 2 6 3" xfId="33235" xr:uid="{00000000-0005-0000-0000-00003FC50000}"/>
    <cellStyle name="Normal 7 7 2 7" xfId="16562" xr:uid="{00000000-0005-0000-0000-000040C50000}"/>
    <cellStyle name="Normal 7 7 2 7 2" xfId="42115" xr:uid="{00000000-0005-0000-0000-000041C50000}"/>
    <cellStyle name="Normal 7 7 2 8" xfId="26534" xr:uid="{00000000-0005-0000-0000-000042C50000}"/>
    <cellStyle name="Normal 7 7 3" xfId="971" xr:uid="{00000000-0005-0000-0000-000043C50000}"/>
    <cellStyle name="Normal 7 7 3 2" xfId="3447" xr:uid="{00000000-0005-0000-0000-000044C50000}"/>
    <cellStyle name="Normal 7 7 3 2 2" xfId="12589" xr:uid="{00000000-0005-0000-0000-000045C50000}"/>
    <cellStyle name="Normal 7 7 3 2 2 2" xfId="22808" xr:uid="{00000000-0005-0000-0000-000046C50000}"/>
    <cellStyle name="Normal 7 7 3 2 2 2 2" xfId="48361" xr:uid="{00000000-0005-0000-0000-000047C50000}"/>
    <cellStyle name="Normal 7 7 3 2 2 3" xfId="38144" xr:uid="{00000000-0005-0000-0000-000048C50000}"/>
    <cellStyle name="Normal 7 7 3 2 3" xfId="9011" xr:uid="{00000000-0005-0000-0000-000049C50000}"/>
    <cellStyle name="Normal 7 7 3 2 3 2" xfId="34568" xr:uid="{00000000-0005-0000-0000-00004AC50000}"/>
    <cellStyle name="Normal 7 7 3 2 4" xfId="17801" xr:uid="{00000000-0005-0000-0000-00004BC50000}"/>
    <cellStyle name="Normal 7 7 3 2 4 2" xfId="43354" xr:uid="{00000000-0005-0000-0000-00004CC50000}"/>
    <cellStyle name="Normal 7 7 3 2 5" xfId="29291" xr:uid="{00000000-0005-0000-0000-00004DC50000}"/>
    <cellStyle name="Normal 7 7 3 3" xfId="5125" xr:uid="{00000000-0005-0000-0000-00004EC50000}"/>
    <cellStyle name="Normal 7 7 3 3 2" xfId="13962" xr:uid="{00000000-0005-0000-0000-00004FC50000}"/>
    <cellStyle name="Normal 7 7 3 3 2 2" xfId="24213" xr:uid="{00000000-0005-0000-0000-000050C50000}"/>
    <cellStyle name="Normal 7 7 3 3 2 2 2" xfId="49766" xr:uid="{00000000-0005-0000-0000-000051C50000}"/>
    <cellStyle name="Normal 7 7 3 3 2 3" xfId="39517" xr:uid="{00000000-0005-0000-0000-000052C50000}"/>
    <cellStyle name="Normal 7 7 3 3 3" xfId="10383" xr:uid="{00000000-0005-0000-0000-000053C50000}"/>
    <cellStyle name="Normal 7 7 3 3 3 2" xfId="35940" xr:uid="{00000000-0005-0000-0000-000054C50000}"/>
    <cellStyle name="Normal 7 7 3 3 4" xfId="19206" xr:uid="{00000000-0005-0000-0000-000055C50000}"/>
    <cellStyle name="Normal 7 7 3 3 4 2" xfId="44759" xr:uid="{00000000-0005-0000-0000-000056C50000}"/>
    <cellStyle name="Normal 7 7 3 3 5" xfId="30696" xr:uid="{00000000-0005-0000-0000-000057C50000}"/>
    <cellStyle name="Normal 7 7 3 4" xfId="2556" xr:uid="{00000000-0005-0000-0000-000058C50000}"/>
    <cellStyle name="Normal 7 7 3 4 2" xfId="11921" xr:uid="{00000000-0005-0000-0000-000059C50000}"/>
    <cellStyle name="Normal 7 7 3 4 2 2" xfId="37476" xr:uid="{00000000-0005-0000-0000-00005AC50000}"/>
    <cellStyle name="Normal 7 7 3 4 3" xfId="21925" xr:uid="{00000000-0005-0000-0000-00005BC50000}"/>
    <cellStyle name="Normal 7 7 3 4 3 2" xfId="47478" xr:uid="{00000000-0005-0000-0000-00005CC50000}"/>
    <cellStyle name="Normal 7 7 3 4 4" xfId="28408" xr:uid="{00000000-0005-0000-0000-00005DC50000}"/>
    <cellStyle name="Normal 7 7 3 5" xfId="6580" xr:uid="{00000000-0005-0000-0000-00005EC50000}"/>
    <cellStyle name="Normal 7 7 3 5 2" xfId="15407" xr:uid="{00000000-0005-0000-0000-00005FC50000}"/>
    <cellStyle name="Normal 7 7 3 5 2 2" xfId="40962" xr:uid="{00000000-0005-0000-0000-000060C50000}"/>
    <cellStyle name="Normal 7 7 3 5 3" xfId="25658" xr:uid="{00000000-0005-0000-0000-000061C50000}"/>
    <cellStyle name="Normal 7 7 3 5 3 2" xfId="51211" xr:uid="{00000000-0005-0000-0000-000062C50000}"/>
    <cellStyle name="Normal 7 7 3 5 4" xfId="32141" xr:uid="{00000000-0005-0000-0000-000063C50000}"/>
    <cellStyle name="Normal 7 7 3 6" xfId="8026" xr:uid="{00000000-0005-0000-0000-000064C50000}"/>
    <cellStyle name="Normal 7 7 3 6 2" xfId="20407" xr:uid="{00000000-0005-0000-0000-000065C50000}"/>
    <cellStyle name="Normal 7 7 3 6 2 2" xfId="45960" xr:uid="{00000000-0005-0000-0000-000066C50000}"/>
    <cellStyle name="Normal 7 7 3 6 3" xfId="33583" xr:uid="{00000000-0005-0000-0000-000067C50000}"/>
    <cellStyle name="Normal 7 7 3 7" xfId="16918" xr:uid="{00000000-0005-0000-0000-000068C50000}"/>
    <cellStyle name="Normal 7 7 3 7 2" xfId="42471" xr:uid="{00000000-0005-0000-0000-000069C50000}"/>
    <cellStyle name="Normal 7 7 3 8" xfId="26890" xr:uid="{00000000-0005-0000-0000-00006AC50000}"/>
    <cellStyle name="Normal 7 7 4" xfId="1377" xr:uid="{00000000-0005-0000-0000-00006BC50000}"/>
    <cellStyle name="Normal 7 7 4 2" xfId="3806" xr:uid="{00000000-0005-0000-0000-00006CC50000}"/>
    <cellStyle name="Normal 7 7 4 2 2" xfId="12942" xr:uid="{00000000-0005-0000-0000-00006DC50000}"/>
    <cellStyle name="Normal 7 7 4 2 2 2" xfId="23161" xr:uid="{00000000-0005-0000-0000-00006EC50000}"/>
    <cellStyle name="Normal 7 7 4 2 2 2 2" xfId="48714" xr:uid="{00000000-0005-0000-0000-00006FC50000}"/>
    <cellStyle name="Normal 7 7 4 2 2 3" xfId="38497" xr:uid="{00000000-0005-0000-0000-000070C50000}"/>
    <cellStyle name="Normal 7 7 4 2 3" xfId="9363" xr:uid="{00000000-0005-0000-0000-000071C50000}"/>
    <cellStyle name="Normal 7 7 4 2 3 2" xfId="34920" xr:uid="{00000000-0005-0000-0000-000072C50000}"/>
    <cellStyle name="Normal 7 7 4 2 4" xfId="18154" xr:uid="{00000000-0005-0000-0000-000073C50000}"/>
    <cellStyle name="Normal 7 7 4 2 4 2" xfId="43707" xr:uid="{00000000-0005-0000-0000-000074C50000}"/>
    <cellStyle name="Normal 7 7 4 2 5" xfId="29644" xr:uid="{00000000-0005-0000-0000-000075C50000}"/>
    <cellStyle name="Normal 7 7 4 3" xfId="5469" xr:uid="{00000000-0005-0000-0000-000076C50000}"/>
    <cellStyle name="Normal 7 7 4 3 2" xfId="14306" xr:uid="{00000000-0005-0000-0000-000077C50000}"/>
    <cellStyle name="Normal 7 7 4 3 2 2" xfId="24557" xr:uid="{00000000-0005-0000-0000-000078C50000}"/>
    <cellStyle name="Normal 7 7 4 3 2 2 2" xfId="50110" xr:uid="{00000000-0005-0000-0000-000079C50000}"/>
    <cellStyle name="Normal 7 7 4 3 2 3" xfId="39861" xr:uid="{00000000-0005-0000-0000-00007AC50000}"/>
    <cellStyle name="Normal 7 7 4 3 3" xfId="10727" xr:uid="{00000000-0005-0000-0000-00007BC50000}"/>
    <cellStyle name="Normal 7 7 4 3 3 2" xfId="36284" xr:uid="{00000000-0005-0000-0000-00007CC50000}"/>
    <cellStyle name="Normal 7 7 4 3 4" xfId="19550" xr:uid="{00000000-0005-0000-0000-00007DC50000}"/>
    <cellStyle name="Normal 7 7 4 3 4 2" xfId="45103" xr:uid="{00000000-0005-0000-0000-00007EC50000}"/>
    <cellStyle name="Normal 7 7 4 3 5" xfId="31040" xr:uid="{00000000-0005-0000-0000-00007FC50000}"/>
    <cellStyle name="Normal 7 7 4 4" xfId="1880" xr:uid="{00000000-0005-0000-0000-000080C50000}"/>
    <cellStyle name="Normal 7 7 4 4 2" xfId="11248" xr:uid="{00000000-0005-0000-0000-000081C50000}"/>
    <cellStyle name="Normal 7 7 4 4 2 2" xfId="36803" xr:uid="{00000000-0005-0000-0000-000082C50000}"/>
    <cellStyle name="Normal 7 7 4 4 3" xfId="21252" xr:uid="{00000000-0005-0000-0000-000083C50000}"/>
    <cellStyle name="Normal 7 7 4 4 3 2" xfId="46805" xr:uid="{00000000-0005-0000-0000-000084C50000}"/>
    <cellStyle name="Normal 7 7 4 4 4" xfId="27735" xr:uid="{00000000-0005-0000-0000-000085C50000}"/>
    <cellStyle name="Normal 7 7 4 5" xfId="6924" xr:uid="{00000000-0005-0000-0000-000086C50000}"/>
    <cellStyle name="Normal 7 7 4 5 2" xfId="15751" xr:uid="{00000000-0005-0000-0000-000087C50000}"/>
    <cellStyle name="Normal 7 7 4 5 2 2" xfId="41306" xr:uid="{00000000-0005-0000-0000-000088C50000}"/>
    <cellStyle name="Normal 7 7 4 5 3" xfId="26002" xr:uid="{00000000-0005-0000-0000-000089C50000}"/>
    <cellStyle name="Normal 7 7 4 5 3 2" xfId="51555" xr:uid="{00000000-0005-0000-0000-00008AC50000}"/>
    <cellStyle name="Normal 7 7 4 5 4" xfId="32485" xr:uid="{00000000-0005-0000-0000-00008BC50000}"/>
    <cellStyle name="Normal 7 7 4 6" xfId="8370" xr:uid="{00000000-0005-0000-0000-00008CC50000}"/>
    <cellStyle name="Normal 7 7 4 6 2" xfId="20760" xr:uid="{00000000-0005-0000-0000-00008DC50000}"/>
    <cellStyle name="Normal 7 7 4 6 2 2" xfId="46313" xr:uid="{00000000-0005-0000-0000-00008EC50000}"/>
    <cellStyle name="Normal 7 7 4 6 3" xfId="33927" xr:uid="{00000000-0005-0000-0000-00008FC50000}"/>
    <cellStyle name="Normal 7 7 4 7" xfId="16245" xr:uid="{00000000-0005-0000-0000-000090C50000}"/>
    <cellStyle name="Normal 7 7 4 7 2" xfId="41798" xr:uid="{00000000-0005-0000-0000-000091C50000}"/>
    <cellStyle name="Normal 7 7 4 8" xfId="27243" xr:uid="{00000000-0005-0000-0000-000092C50000}"/>
    <cellStyle name="Normal 7 7 5" xfId="2774" xr:uid="{00000000-0005-0000-0000-000093C50000}"/>
    <cellStyle name="Normal 7 7 5 2" xfId="12091" xr:uid="{00000000-0005-0000-0000-000094C50000}"/>
    <cellStyle name="Normal 7 7 5 2 2" xfId="22135" xr:uid="{00000000-0005-0000-0000-000095C50000}"/>
    <cellStyle name="Normal 7 7 5 2 2 2" xfId="47688" xr:uid="{00000000-0005-0000-0000-000096C50000}"/>
    <cellStyle name="Normal 7 7 5 2 3" xfId="37646" xr:uid="{00000000-0005-0000-0000-000097C50000}"/>
    <cellStyle name="Normal 7 7 5 3" xfId="8473" xr:uid="{00000000-0005-0000-0000-000098C50000}"/>
    <cellStyle name="Normal 7 7 5 3 2" xfId="34030" xr:uid="{00000000-0005-0000-0000-000099C50000}"/>
    <cellStyle name="Normal 7 7 5 4" xfId="17128" xr:uid="{00000000-0005-0000-0000-00009AC50000}"/>
    <cellStyle name="Normal 7 7 5 4 2" xfId="42681" xr:uid="{00000000-0005-0000-0000-00009BC50000}"/>
    <cellStyle name="Normal 7 7 5 5" xfId="28618" xr:uid="{00000000-0005-0000-0000-00009CC50000}"/>
    <cellStyle name="Normal 7 7 6" xfId="4425" xr:uid="{00000000-0005-0000-0000-00009DC50000}"/>
    <cellStyle name="Normal 7 7 6 2" xfId="13263" xr:uid="{00000000-0005-0000-0000-00009EC50000}"/>
    <cellStyle name="Normal 7 7 6 2 2" xfId="23514" xr:uid="{00000000-0005-0000-0000-00009FC50000}"/>
    <cellStyle name="Normal 7 7 6 2 2 2" xfId="49067" xr:uid="{00000000-0005-0000-0000-0000A0C50000}"/>
    <cellStyle name="Normal 7 7 6 2 3" xfId="38818" xr:uid="{00000000-0005-0000-0000-0000A1C50000}"/>
    <cellStyle name="Normal 7 7 6 3" xfId="9684" xr:uid="{00000000-0005-0000-0000-0000A2C50000}"/>
    <cellStyle name="Normal 7 7 6 3 2" xfId="35241" xr:uid="{00000000-0005-0000-0000-0000A3C50000}"/>
    <cellStyle name="Normal 7 7 6 4" xfId="18507" xr:uid="{00000000-0005-0000-0000-0000A4C50000}"/>
    <cellStyle name="Normal 7 7 6 4 2" xfId="44060" xr:uid="{00000000-0005-0000-0000-0000A5C50000}"/>
    <cellStyle name="Normal 7 7 6 5" xfId="29997" xr:uid="{00000000-0005-0000-0000-0000A6C50000}"/>
    <cellStyle name="Normal 7 7 7" xfId="1697" xr:uid="{00000000-0005-0000-0000-0000A7C50000}"/>
    <cellStyle name="Normal 7 7 7 2" xfId="11074" xr:uid="{00000000-0005-0000-0000-0000A8C50000}"/>
    <cellStyle name="Normal 7 7 7 2 2" xfId="36629" xr:uid="{00000000-0005-0000-0000-0000A9C50000}"/>
    <cellStyle name="Normal 7 7 7 3" xfId="21078" xr:uid="{00000000-0005-0000-0000-0000AAC50000}"/>
    <cellStyle name="Normal 7 7 7 3 2" xfId="46631" xr:uid="{00000000-0005-0000-0000-0000ABC50000}"/>
    <cellStyle name="Normal 7 7 7 4" xfId="27561" xr:uid="{00000000-0005-0000-0000-0000ACC50000}"/>
    <cellStyle name="Normal 7 7 8" xfId="5881" xr:uid="{00000000-0005-0000-0000-0000ADC50000}"/>
    <cellStyle name="Normal 7 7 8 2" xfId="14708" xr:uid="{00000000-0005-0000-0000-0000AEC50000}"/>
    <cellStyle name="Normal 7 7 8 2 2" xfId="40263" xr:uid="{00000000-0005-0000-0000-0000AFC50000}"/>
    <cellStyle name="Normal 7 7 8 3" xfId="24959" xr:uid="{00000000-0005-0000-0000-0000B0C50000}"/>
    <cellStyle name="Normal 7 7 8 3 2" xfId="50512" xr:uid="{00000000-0005-0000-0000-0000B1C50000}"/>
    <cellStyle name="Normal 7 7 8 4" xfId="31442" xr:uid="{00000000-0005-0000-0000-0000B2C50000}"/>
    <cellStyle name="Normal 7 7 9" xfId="7325" xr:uid="{00000000-0005-0000-0000-0000B3C50000}"/>
    <cellStyle name="Normal 7 7 9 2" xfId="19734" xr:uid="{00000000-0005-0000-0000-0000B4C50000}"/>
    <cellStyle name="Normal 7 7 9 2 2" xfId="45287" xr:uid="{00000000-0005-0000-0000-0000B5C50000}"/>
    <cellStyle name="Normal 7 7 9 3" xfId="32882" xr:uid="{00000000-0005-0000-0000-0000B6C50000}"/>
    <cellStyle name="Normal 7 7_Degree data" xfId="4077" xr:uid="{00000000-0005-0000-0000-0000B7C50000}"/>
    <cellStyle name="Normal 7 8" xfId="444" xr:uid="{00000000-0005-0000-0000-0000B8C50000}"/>
    <cellStyle name="Normal 7 8 10" xfId="26373" xr:uid="{00000000-0005-0000-0000-0000B9C50000}"/>
    <cellStyle name="Normal 7 8 2" xfId="972" xr:uid="{00000000-0005-0000-0000-0000BAC50000}"/>
    <cellStyle name="Normal 7 8 2 2" xfId="3448" xr:uid="{00000000-0005-0000-0000-0000BBC50000}"/>
    <cellStyle name="Normal 7 8 2 2 2" xfId="12590" xr:uid="{00000000-0005-0000-0000-0000BCC50000}"/>
    <cellStyle name="Normal 7 8 2 2 2 2" xfId="22809" xr:uid="{00000000-0005-0000-0000-0000BDC50000}"/>
    <cellStyle name="Normal 7 8 2 2 2 2 2" xfId="48362" xr:uid="{00000000-0005-0000-0000-0000BEC50000}"/>
    <cellStyle name="Normal 7 8 2 2 2 3" xfId="38145" xr:uid="{00000000-0005-0000-0000-0000BFC50000}"/>
    <cellStyle name="Normal 7 8 2 2 3" xfId="9012" xr:uid="{00000000-0005-0000-0000-0000C0C50000}"/>
    <cellStyle name="Normal 7 8 2 2 3 2" xfId="34569" xr:uid="{00000000-0005-0000-0000-0000C1C50000}"/>
    <cellStyle name="Normal 7 8 2 2 4" xfId="17802" xr:uid="{00000000-0005-0000-0000-0000C2C50000}"/>
    <cellStyle name="Normal 7 8 2 2 4 2" xfId="43355" xr:uid="{00000000-0005-0000-0000-0000C3C50000}"/>
    <cellStyle name="Normal 7 8 2 2 5" xfId="29292" xr:uid="{00000000-0005-0000-0000-0000C4C50000}"/>
    <cellStyle name="Normal 7 8 2 3" xfId="4778" xr:uid="{00000000-0005-0000-0000-0000C5C50000}"/>
    <cellStyle name="Normal 7 8 2 3 2" xfId="13615" xr:uid="{00000000-0005-0000-0000-0000C6C50000}"/>
    <cellStyle name="Normal 7 8 2 3 2 2" xfId="23866" xr:uid="{00000000-0005-0000-0000-0000C7C50000}"/>
    <cellStyle name="Normal 7 8 2 3 2 2 2" xfId="49419" xr:uid="{00000000-0005-0000-0000-0000C8C50000}"/>
    <cellStyle name="Normal 7 8 2 3 2 3" xfId="39170" xr:uid="{00000000-0005-0000-0000-0000C9C50000}"/>
    <cellStyle name="Normal 7 8 2 3 3" xfId="10036" xr:uid="{00000000-0005-0000-0000-0000CAC50000}"/>
    <cellStyle name="Normal 7 8 2 3 3 2" xfId="35593" xr:uid="{00000000-0005-0000-0000-0000CBC50000}"/>
    <cellStyle name="Normal 7 8 2 3 4" xfId="18859" xr:uid="{00000000-0005-0000-0000-0000CCC50000}"/>
    <cellStyle name="Normal 7 8 2 3 4 2" xfId="44412" xr:uid="{00000000-0005-0000-0000-0000CDC50000}"/>
    <cellStyle name="Normal 7 8 2 3 5" xfId="30349" xr:uid="{00000000-0005-0000-0000-0000CEC50000}"/>
    <cellStyle name="Normal 7 8 2 4" xfId="2557" xr:uid="{00000000-0005-0000-0000-0000CFC50000}"/>
    <cellStyle name="Normal 7 8 2 4 2" xfId="11922" xr:uid="{00000000-0005-0000-0000-0000D0C50000}"/>
    <cellStyle name="Normal 7 8 2 4 2 2" xfId="37477" xr:uid="{00000000-0005-0000-0000-0000D1C50000}"/>
    <cellStyle name="Normal 7 8 2 4 3" xfId="21926" xr:uid="{00000000-0005-0000-0000-0000D2C50000}"/>
    <cellStyle name="Normal 7 8 2 4 3 2" xfId="47479" xr:uid="{00000000-0005-0000-0000-0000D3C50000}"/>
    <cellStyle name="Normal 7 8 2 4 4" xfId="28409" xr:uid="{00000000-0005-0000-0000-0000D4C50000}"/>
    <cellStyle name="Normal 7 8 2 5" xfId="6233" xr:uid="{00000000-0005-0000-0000-0000D5C50000}"/>
    <cellStyle name="Normal 7 8 2 5 2" xfId="15060" xr:uid="{00000000-0005-0000-0000-0000D6C50000}"/>
    <cellStyle name="Normal 7 8 2 5 2 2" xfId="40615" xr:uid="{00000000-0005-0000-0000-0000D7C50000}"/>
    <cellStyle name="Normal 7 8 2 5 3" xfId="25311" xr:uid="{00000000-0005-0000-0000-0000D8C50000}"/>
    <cellStyle name="Normal 7 8 2 5 3 2" xfId="50864" xr:uid="{00000000-0005-0000-0000-0000D9C50000}"/>
    <cellStyle name="Normal 7 8 2 5 4" xfId="31794" xr:uid="{00000000-0005-0000-0000-0000DAC50000}"/>
    <cellStyle name="Normal 7 8 2 6" xfId="7679" xr:uid="{00000000-0005-0000-0000-0000DBC50000}"/>
    <cellStyle name="Normal 7 8 2 6 2" xfId="20408" xr:uid="{00000000-0005-0000-0000-0000DCC50000}"/>
    <cellStyle name="Normal 7 8 2 6 2 2" xfId="45961" xr:uid="{00000000-0005-0000-0000-0000DDC50000}"/>
    <cellStyle name="Normal 7 8 2 6 3" xfId="33236" xr:uid="{00000000-0005-0000-0000-0000DEC50000}"/>
    <cellStyle name="Normal 7 8 2 7" xfId="16919" xr:uid="{00000000-0005-0000-0000-0000DFC50000}"/>
    <cellStyle name="Normal 7 8 2 7 2" xfId="42472" xr:uid="{00000000-0005-0000-0000-0000E0C50000}"/>
    <cellStyle name="Normal 7 8 2 8" xfId="26891" xr:uid="{00000000-0005-0000-0000-0000E1C50000}"/>
    <cellStyle name="Normal 7 8 3" xfId="1216" xr:uid="{00000000-0005-0000-0000-0000E2C50000}"/>
    <cellStyle name="Normal 7 8 3 2" xfId="3645" xr:uid="{00000000-0005-0000-0000-0000E3C50000}"/>
    <cellStyle name="Normal 7 8 3 2 2" xfId="12781" xr:uid="{00000000-0005-0000-0000-0000E4C50000}"/>
    <cellStyle name="Normal 7 8 3 2 2 2" xfId="23000" xr:uid="{00000000-0005-0000-0000-0000E5C50000}"/>
    <cellStyle name="Normal 7 8 3 2 2 2 2" xfId="48553" xr:uid="{00000000-0005-0000-0000-0000E6C50000}"/>
    <cellStyle name="Normal 7 8 3 2 2 3" xfId="38336" xr:uid="{00000000-0005-0000-0000-0000E7C50000}"/>
    <cellStyle name="Normal 7 8 3 2 3" xfId="9202" xr:uid="{00000000-0005-0000-0000-0000E8C50000}"/>
    <cellStyle name="Normal 7 8 3 2 3 2" xfId="34759" xr:uid="{00000000-0005-0000-0000-0000E9C50000}"/>
    <cellStyle name="Normal 7 8 3 2 4" xfId="17993" xr:uid="{00000000-0005-0000-0000-0000EAC50000}"/>
    <cellStyle name="Normal 7 8 3 2 4 2" xfId="43546" xr:uid="{00000000-0005-0000-0000-0000EBC50000}"/>
    <cellStyle name="Normal 7 8 3 2 5" xfId="29483" xr:uid="{00000000-0005-0000-0000-0000ECC50000}"/>
    <cellStyle name="Normal 7 8 3 3" xfId="5126" xr:uid="{00000000-0005-0000-0000-0000EDC50000}"/>
    <cellStyle name="Normal 7 8 3 3 2" xfId="13963" xr:uid="{00000000-0005-0000-0000-0000EEC50000}"/>
    <cellStyle name="Normal 7 8 3 3 2 2" xfId="24214" xr:uid="{00000000-0005-0000-0000-0000EFC50000}"/>
    <cellStyle name="Normal 7 8 3 3 2 2 2" xfId="49767" xr:uid="{00000000-0005-0000-0000-0000F0C50000}"/>
    <cellStyle name="Normal 7 8 3 3 2 3" xfId="39518" xr:uid="{00000000-0005-0000-0000-0000F1C50000}"/>
    <cellStyle name="Normal 7 8 3 3 3" xfId="10384" xr:uid="{00000000-0005-0000-0000-0000F2C50000}"/>
    <cellStyle name="Normal 7 8 3 3 3 2" xfId="35941" xr:uid="{00000000-0005-0000-0000-0000F3C50000}"/>
    <cellStyle name="Normal 7 8 3 3 4" xfId="19207" xr:uid="{00000000-0005-0000-0000-0000F4C50000}"/>
    <cellStyle name="Normal 7 8 3 3 4 2" xfId="44760" xr:uid="{00000000-0005-0000-0000-0000F5C50000}"/>
    <cellStyle name="Normal 7 8 3 3 5" xfId="30697" xr:uid="{00000000-0005-0000-0000-0000F6C50000}"/>
    <cellStyle name="Normal 7 8 3 4" xfId="2039" xr:uid="{00000000-0005-0000-0000-0000F7C50000}"/>
    <cellStyle name="Normal 7 8 3 4 2" xfId="11404" xr:uid="{00000000-0005-0000-0000-0000F8C50000}"/>
    <cellStyle name="Normal 7 8 3 4 2 2" xfId="36959" xr:uid="{00000000-0005-0000-0000-0000F9C50000}"/>
    <cellStyle name="Normal 7 8 3 4 3" xfId="21408" xr:uid="{00000000-0005-0000-0000-0000FAC50000}"/>
    <cellStyle name="Normal 7 8 3 4 3 2" xfId="46961" xr:uid="{00000000-0005-0000-0000-0000FBC50000}"/>
    <cellStyle name="Normal 7 8 3 4 4" xfId="27891" xr:uid="{00000000-0005-0000-0000-0000FCC50000}"/>
    <cellStyle name="Normal 7 8 3 5" xfId="6581" xr:uid="{00000000-0005-0000-0000-0000FDC50000}"/>
    <cellStyle name="Normal 7 8 3 5 2" xfId="15408" xr:uid="{00000000-0005-0000-0000-0000FEC50000}"/>
    <cellStyle name="Normal 7 8 3 5 2 2" xfId="40963" xr:uid="{00000000-0005-0000-0000-0000FFC50000}"/>
    <cellStyle name="Normal 7 8 3 5 3" xfId="25659" xr:uid="{00000000-0005-0000-0000-000000C60000}"/>
    <cellStyle name="Normal 7 8 3 5 3 2" xfId="51212" xr:uid="{00000000-0005-0000-0000-000001C60000}"/>
    <cellStyle name="Normal 7 8 3 5 4" xfId="32142" xr:uid="{00000000-0005-0000-0000-000002C60000}"/>
    <cellStyle name="Normal 7 8 3 6" xfId="8027" xr:uid="{00000000-0005-0000-0000-000003C60000}"/>
    <cellStyle name="Normal 7 8 3 6 2" xfId="20599" xr:uid="{00000000-0005-0000-0000-000004C60000}"/>
    <cellStyle name="Normal 7 8 3 6 2 2" xfId="46152" xr:uid="{00000000-0005-0000-0000-000005C60000}"/>
    <cellStyle name="Normal 7 8 3 6 3" xfId="33584" xr:uid="{00000000-0005-0000-0000-000006C60000}"/>
    <cellStyle name="Normal 7 8 3 7" xfId="16401" xr:uid="{00000000-0005-0000-0000-000007C60000}"/>
    <cellStyle name="Normal 7 8 3 7 2" xfId="41954" xr:uid="{00000000-0005-0000-0000-000008C60000}"/>
    <cellStyle name="Normal 7 8 3 8" xfId="27082" xr:uid="{00000000-0005-0000-0000-000009C60000}"/>
    <cellStyle name="Normal 7 8 4" xfId="2930" xr:uid="{00000000-0005-0000-0000-00000AC60000}"/>
    <cellStyle name="Normal 7 8 4 2" xfId="5308" xr:uid="{00000000-0005-0000-0000-00000BC60000}"/>
    <cellStyle name="Normal 7 8 4 2 2" xfId="14145" xr:uid="{00000000-0005-0000-0000-00000CC60000}"/>
    <cellStyle name="Normal 7 8 4 2 2 2" xfId="24396" xr:uid="{00000000-0005-0000-0000-00000DC60000}"/>
    <cellStyle name="Normal 7 8 4 2 2 2 2" xfId="49949" xr:uid="{00000000-0005-0000-0000-00000EC60000}"/>
    <cellStyle name="Normal 7 8 4 2 2 3" xfId="39700" xr:uid="{00000000-0005-0000-0000-00000FC60000}"/>
    <cellStyle name="Normal 7 8 4 2 3" xfId="10566" xr:uid="{00000000-0005-0000-0000-000010C60000}"/>
    <cellStyle name="Normal 7 8 4 2 3 2" xfId="36123" xr:uid="{00000000-0005-0000-0000-000011C60000}"/>
    <cellStyle name="Normal 7 8 4 2 4" xfId="19389" xr:uid="{00000000-0005-0000-0000-000012C60000}"/>
    <cellStyle name="Normal 7 8 4 2 4 2" xfId="44942" xr:uid="{00000000-0005-0000-0000-000013C60000}"/>
    <cellStyle name="Normal 7 8 4 2 5" xfId="30879" xr:uid="{00000000-0005-0000-0000-000014C60000}"/>
    <cellStyle name="Normal 7 8 4 3" xfId="6763" xr:uid="{00000000-0005-0000-0000-000015C60000}"/>
    <cellStyle name="Normal 7 8 4 3 2" xfId="15590" xr:uid="{00000000-0005-0000-0000-000016C60000}"/>
    <cellStyle name="Normal 7 8 4 3 2 2" xfId="41145" xr:uid="{00000000-0005-0000-0000-000017C60000}"/>
    <cellStyle name="Normal 7 8 4 3 3" xfId="25841" xr:uid="{00000000-0005-0000-0000-000018C60000}"/>
    <cellStyle name="Normal 7 8 4 3 3 2" xfId="51394" xr:uid="{00000000-0005-0000-0000-000019C60000}"/>
    <cellStyle name="Normal 7 8 4 3 4" xfId="32324" xr:uid="{00000000-0005-0000-0000-00001AC60000}"/>
    <cellStyle name="Normal 7 8 4 4" xfId="8209" xr:uid="{00000000-0005-0000-0000-00001BC60000}"/>
    <cellStyle name="Normal 7 8 4 4 2" xfId="22291" xr:uid="{00000000-0005-0000-0000-00001CC60000}"/>
    <cellStyle name="Normal 7 8 4 4 2 2" xfId="47844" xr:uid="{00000000-0005-0000-0000-00001DC60000}"/>
    <cellStyle name="Normal 7 8 4 4 3" xfId="33766" xr:uid="{00000000-0005-0000-0000-00001EC60000}"/>
    <cellStyle name="Normal 7 8 4 5" xfId="17284" xr:uid="{00000000-0005-0000-0000-00001FC60000}"/>
    <cellStyle name="Normal 7 8 4 5 2" xfId="42837" xr:uid="{00000000-0005-0000-0000-000020C60000}"/>
    <cellStyle name="Normal 7 8 4 6" xfId="28774" xr:uid="{00000000-0005-0000-0000-000021C60000}"/>
    <cellStyle name="Normal 7 8 5" xfId="4264" xr:uid="{00000000-0005-0000-0000-000022C60000}"/>
    <cellStyle name="Normal 7 8 5 2" xfId="13102" xr:uid="{00000000-0005-0000-0000-000023C60000}"/>
    <cellStyle name="Normal 7 8 5 2 2" xfId="23353" xr:uid="{00000000-0005-0000-0000-000024C60000}"/>
    <cellStyle name="Normal 7 8 5 2 2 2" xfId="48906" xr:uid="{00000000-0005-0000-0000-000025C60000}"/>
    <cellStyle name="Normal 7 8 5 2 3" xfId="38657" xr:uid="{00000000-0005-0000-0000-000026C60000}"/>
    <cellStyle name="Normal 7 8 5 3" xfId="9523" xr:uid="{00000000-0005-0000-0000-000027C60000}"/>
    <cellStyle name="Normal 7 8 5 3 2" xfId="35080" xr:uid="{00000000-0005-0000-0000-000028C60000}"/>
    <cellStyle name="Normal 7 8 5 4" xfId="18346" xr:uid="{00000000-0005-0000-0000-000029C60000}"/>
    <cellStyle name="Normal 7 8 5 4 2" xfId="43899" xr:uid="{00000000-0005-0000-0000-00002AC60000}"/>
    <cellStyle name="Normal 7 8 5 5" xfId="29836" xr:uid="{00000000-0005-0000-0000-00002BC60000}"/>
    <cellStyle name="Normal 7 8 6" xfId="1536" xr:uid="{00000000-0005-0000-0000-00002CC60000}"/>
    <cellStyle name="Normal 7 8 6 2" xfId="10913" xr:uid="{00000000-0005-0000-0000-00002DC60000}"/>
    <cellStyle name="Normal 7 8 6 2 2" xfId="36468" xr:uid="{00000000-0005-0000-0000-00002EC60000}"/>
    <cellStyle name="Normal 7 8 6 3" xfId="20917" xr:uid="{00000000-0005-0000-0000-00002FC60000}"/>
    <cellStyle name="Normal 7 8 6 3 2" xfId="46470" xr:uid="{00000000-0005-0000-0000-000030C60000}"/>
    <cellStyle name="Normal 7 8 6 4" xfId="27400" xr:uid="{00000000-0005-0000-0000-000031C60000}"/>
    <cellStyle name="Normal 7 8 7" xfId="5720" xr:uid="{00000000-0005-0000-0000-000032C60000}"/>
    <cellStyle name="Normal 7 8 7 2" xfId="14547" xr:uid="{00000000-0005-0000-0000-000033C60000}"/>
    <cellStyle name="Normal 7 8 7 2 2" xfId="40102" xr:uid="{00000000-0005-0000-0000-000034C60000}"/>
    <cellStyle name="Normal 7 8 7 3" xfId="24798" xr:uid="{00000000-0005-0000-0000-000035C60000}"/>
    <cellStyle name="Normal 7 8 7 3 2" xfId="50351" xr:uid="{00000000-0005-0000-0000-000036C60000}"/>
    <cellStyle name="Normal 7 8 7 4" xfId="31281" xr:uid="{00000000-0005-0000-0000-000037C60000}"/>
    <cellStyle name="Normal 7 8 8" xfId="7164" xr:uid="{00000000-0005-0000-0000-000038C60000}"/>
    <cellStyle name="Normal 7 8 8 2" xfId="19890" xr:uid="{00000000-0005-0000-0000-000039C60000}"/>
    <cellStyle name="Normal 7 8 8 2 2" xfId="45443" xr:uid="{00000000-0005-0000-0000-00003AC60000}"/>
    <cellStyle name="Normal 7 8 8 3" xfId="32721" xr:uid="{00000000-0005-0000-0000-00003BC60000}"/>
    <cellStyle name="Normal 7 8 9" xfId="15910" xr:uid="{00000000-0005-0000-0000-00003CC60000}"/>
    <cellStyle name="Normal 7 8 9 2" xfId="41463" xr:uid="{00000000-0005-0000-0000-00003DC60000}"/>
    <cellStyle name="Normal 7 8_Degree data" xfId="4078" xr:uid="{00000000-0005-0000-0000-00003EC60000}"/>
    <cellStyle name="Normal 7 9" xfId="305" xr:uid="{00000000-0005-0000-0000-00003FC60000}"/>
    <cellStyle name="Normal 7 9 10" xfId="26234" xr:uid="{00000000-0005-0000-0000-000040C60000}"/>
    <cellStyle name="Normal 7 9 2" xfId="973" xr:uid="{00000000-0005-0000-0000-000041C60000}"/>
    <cellStyle name="Normal 7 9 2 2" xfId="3449" xr:uid="{00000000-0005-0000-0000-000042C60000}"/>
    <cellStyle name="Normal 7 9 2 2 2" xfId="12591" xr:uid="{00000000-0005-0000-0000-000043C60000}"/>
    <cellStyle name="Normal 7 9 2 2 2 2" xfId="22810" xr:uid="{00000000-0005-0000-0000-000044C60000}"/>
    <cellStyle name="Normal 7 9 2 2 2 2 2" xfId="48363" xr:uid="{00000000-0005-0000-0000-000045C60000}"/>
    <cellStyle name="Normal 7 9 2 2 2 3" xfId="38146" xr:uid="{00000000-0005-0000-0000-000046C60000}"/>
    <cellStyle name="Normal 7 9 2 2 3" xfId="9013" xr:uid="{00000000-0005-0000-0000-000047C60000}"/>
    <cellStyle name="Normal 7 9 2 2 3 2" xfId="34570" xr:uid="{00000000-0005-0000-0000-000048C60000}"/>
    <cellStyle name="Normal 7 9 2 2 4" xfId="17803" xr:uid="{00000000-0005-0000-0000-000049C60000}"/>
    <cellStyle name="Normal 7 9 2 2 4 2" xfId="43356" xr:uid="{00000000-0005-0000-0000-00004AC60000}"/>
    <cellStyle name="Normal 7 9 2 2 5" xfId="29293" xr:uid="{00000000-0005-0000-0000-00004BC60000}"/>
    <cellStyle name="Normal 7 9 2 3" xfId="4779" xr:uid="{00000000-0005-0000-0000-00004CC60000}"/>
    <cellStyle name="Normal 7 9 2 3 2" xfId="13616" xr:uid="{00000000-0005-0000-0000-00004DC60000}"/>
    <cellStyle name="Normal 7 9 2 3 2 2" xfId="23867" xr:uid="{00000000-0005-0000-0000-00004EC60000}"/>
    <cellStyle name="Normal 7 9 2 3 2 2 2" xfId="49420" xr:uid="{00000000-0005-0000-0000-00004FC60000}"/>
    <cellStyle name="Normal 7 9 2 3 2 3" xfId="39171" xr:uid="{00000000-0005-0000-0000-000050C60000}"/>
    <cellStyle name="Normal 7 9 2 3 3" xfId="10037" xr:uid="{00000000-0005-0000-0000-000051C60000}"/>
    <cellStyle name="Normal 7 9 2 3 3 2" xfId="35594" xr:uid="{00000000-0005-0000-0000-000052C60000}"/>
    <cellStyle name="Normal 7 9 2 3 4" xfId="18860" xr:uid="{00000000-0005-0000-0000-000053C60000}"/>
    <cellStyle name="Normal 7 9 2 3 4 2" xfId="44413" xr:uid="{00000000-0005-0000-0000-000054C60000}"/>
    <cellStyle name="Normal 7 9 2 3 5" xfId="30350" xr:uid="{00000000-0005-0000-0000-000055C60000}"/>
    <cellStyle name="Normal 7 9 2 4" xfId="2558" xr:uid="{00000000-0005-0000-0000-000056C60000}"/>
    <cellStyle name="Normal 7 9 2 4 2" xfId="11923" xr:uid="{00000000-0005-0000-0000-000057C60000}"/>
    <cellStyle name="Normal 7 9 2 4 2 2" xfId="37478" xr:uid="{00000000-0005-0000-0000-000058C60000}"/>
    <cellStyle name="Normal 7 9 2 4 3" xfId="21927" xr:uid="{00000000-0005-0000-0000-000059C60000}"/>
    <cellStyle name="Normal 7 9 2 4 3 2" xfId="47480" xr:uid="{00000000-0005-0000-0000-00005AC60000}"/>
    <cellStyle name="Normal 7 9 2 4 4" xfId="28410" xr:uid="{00000000-0005-0000-0000-00005BC60000}"/>
    <cellStyle name="Normal 7 9 2 5" xfId="6234" xr:uid="{00000000-0005-0000-0000-00005CC60000}"/>
    <cellStyle name="Normal 7 9 2 5 2" xfId="15061" xr:uid="{00000000-0005-0000-0000-00005DC60000}"/>
    <cellStyle name="Normal 7 9 2 5 2 2" xfId="40616" xr:uid="{00000000-0005-0000-0000-00005EC60000}"/>
    <cellStyle name="Normal 7 9 2 5 3" xfId="25312" xr:uid="{00000000-0005-0000-0000-00005FC60000}"/>
    <cellStyle name="Normal 7 9 2 5 3 2" xfId="50865" xr:uid="{00000000-0005-0000-0000-000060C60000}"/>
    <cellStyle name="Normal 7 9 2 5 4" xfId="31795" xr:uid="{00000000-0005-0000-0000-000061C60000}"/>
    <cellStyle name="Normal 7 9 2 6" xfId="7680" xr:uid="{00000000-0005-0000-0000-000062C60000}"/>
    <cellStyle name="Normal 7 9 2 6 2" xfId="20409" xr:uid="{00000000-0005-0000-0000-000063C60000}"/>
    <cellStyle name="Normal 7 9 2 6 2 2" xfId="45962" xr:uid="{00000000-0005-0000-0000-000064C60000}"/>
    <cellStyle name="Normal 7 9 2 6 3" xfId="33237" xr:uid="{00000000-0005-0000-0000-000065C60000}"/>
    <cellStyle name="Normal 7 9 2 7" xfId="16920" xr:uid="{00000000-0005-0000-0000-000066C60000}"/>
    <cellStyle name="Normal 7 9 2 7 2" xfId="42473" xr:uid="{00000000-0005-0000-0000-000067C60000}"/>
    <cellStyle name="Normal 7 9 2 8" xfId="26892" xr:uid="{00000000-0005-0000-0000-000068C60000}"/>
    <cellStyle name="Normal 7 9 3" xfId="1077" xr:uid="{00000000-0005-0000-0000-000069C60000}"/>
    <cellStyle name="Normal 7 9 3 2" xfId="3506" xr:uid="{00000000-0005-0000-0000-00006AC60000}"/>
    <cellStyle name="Normal 7 9 3 2 2" xfId="12642" xr:uid="{00000000-0005-0000-0000-00006BC60000}"/>
    <cellStyle name="Normal 7 9 3 2 2 2" xfId="22861" xr:uid="{00000000-0005-0000-0000-00006CC60000}"/>
    <cellStyle name="Normal 7 9 3 2 2 2 2" xfId="48414" xr:uid="{00000000-0005-0000-0000-00006DC60000}"/>
    <cellStyle name="Normal 7 9 3 2 2 3" xfId="38197" xr:uid="{00000000-0005-0000-0000-00006EC60000}"/>
    <cellStyle name="Normal 7 9 3 2 3" xfId="9064" xr:uid="{00000000-0005-0000-0000-00006FC60000}"/>
    <cellStyle name="Normal 7 9 3 2 3 2" xfId="34621" xr:uid="{00000000-0005-0000-0000-000070C60000}"/>
    <cellStyle name="Normal 7 9 3 2 4" xfId="17854" xr:uid="{00000000-0005-0000-0000-000071C60000}"/>
    <cellStyle name="Normal 7 9 3 2 4 2" xfId="43407" xr:uid="{00000000-0005-0000-0000-000072C60000}"/>
    <cellStyle name="Normal 7 9 3 2 5" xfId="29344" xr:uid="{00000000-0005-0000-0000-000073C60000}"/>
    <cellStyle name="Normal 7 9 3 3" xfId="5127" xr:uid="{00000000-0005-0000-0000-000074C60000}"/>
    <cellStyle name="Normal 7 9 3 3 2" xfId="13964" xr:uid="{00000000-0005-0000-0000-000075C60000}"/>
    <cellStyle name="Normal 7 9 3 3 2 2" xfId="24215" xr:uid="{00000000-0005-0000-0000-000076C60000}"/>
    <cellStyle name="Normal 7 9 3 3 2 2 2" xfId="49768" xr:uid="{00000000-0005-0000-0000-000077C60000}"/>
    <cellStyle name="Normal 7 9 3 3 2 3" xfId="39519" xr:uid="{00000000-0005-0000-0000-000078C60000}"/>
    <cellStyle name="Normal 7 9 3 3 3" xfId="10385" xr:uid="{00000000-0005-0000-0000-000079C60000}"/>
    <cellStyle name="Normal 7 9 3 3 3 2" xfId="35942" xr:uid="{00000000-0005-0000-0000-00007AC60000}"/>
    <cellStyle name="Normal 7 9 3 3 4" xfId="19208" xr:uid="{00000000-0005-0000-0000-00007BC60000}"/>
    <cellStyle name="Normal 7 9 3 3 4 2" xfId="44761" xr:uid="{00000000-0005-0000-0000-00007CC60000}"/>
    <cellStyle name="Normal 7 9 3 3 5" xfId="30698" xr:uid="{00000000-0005-0000-0000-00007DC60000}"/>
    <cellStyle name="Normal 7 9 3 4" xfId="2600" xr:uid="{00000000-0005-0000-0000-00007EC60000}"/>
    <cellStyle name="Normal 7 9 3 4 2" xfId="11964" xr:uid="{00000000-0005-0000-0000-00007FC60000}"/>
    <cellStyle name="Normal 7 9 3 4 2 2" xfId="37519" xr:uid="{00000000-0005-0000-0000-000080C60000}"/>
    <cellStyle name="Normal 7 9 3 4 3" xfId="21968" xr:uid="{00000000-0005-0000-0000-000081C60000}"/>
    <cellStyle name="Normal 7 9 3 4 3 2" xfId="47521" xr:uid="{00000000-0005-0000-0000-000082C60000}"/>
    <cellStyle name="Normal 7 9 3 4 4" xfId="28451" xr:uid="{00000000-0005-0000-0000-000083C60000}"/>
    <cellStyle name="Normal 7 9 3 5" xfId="6582" xr:uid="{00000000-0005-0000-0000-000084C60000}"/>
    <cellStyle name="Normal 7 9 3 5 2" xfId="15409" xr:uid="{00000000-0005-0000-0000-000085C60000}"/>
    <cellStyle name="Normal 7 9 3 5 2 2" xfId="40964" xr:uid="{00000000-0005-0000-0000-000086C60000}"/>
    <cellStyle name="Normal 7 9 3 5 3" xfId="25660" xr:uid="{00000000-0005-0000-0000-000087C60000}"/>
    <cellStyle name="Normal 7 9 3 5 3 2" xfId="51213" xr:uid="{00000000-0005-0000-0000-000088C60000}"/>
    <cellStyle name="Normal 7 9 3 5 4" xfId="32143" xr:uid="{00000000-0005-0000-0000-000089C60000}"/>
    <cellStyle name="Normal 7 9 3 6" xfId="8028" xr:uid="{00000000-0005-0000-0000-00008AC60000}"/>
    <cellStyle name="Normal 7 9 3 6 2" xfId="20460" xr:uid="{00000000-0005-0000-0000-00008BC60000}"/>
    <cellStyle name="Normal 7 9 3 6 2 2" xfId="46013" xr:uid="{00000000-0005-0000-0000-00008CC60000}"/>
    <cellStyle name="Normal 7 9 3 6 3" xfId="33585" xr:uid="{00000000-0005-0000-0000-00008DC60000}"/>
    <cellStyle name="Normal 7 9 3 7" xfId="16961" xr:uid="{00000000-0005-0000-0000-00008EC60000}"/>
    <cellStyle name="Normal 7 9 3 7 2" xfId="42514" xr:uid="{00000000-0005-0000-0000-00008FC60000}"/>
    <cellStyle name="Normal 7 9 3 8" xfId="26943" xr:uid="{00000000-0005-0000-0000-000090C60000}"/>
    <cellStyle name="Normal 7 9 4" xfId="2791" xr:uid="{00000000-0005-0000-0000-000091C60000}"/>
    <cellStyle name="Normal 7 9 4 2" xfId="5169" xr:uid="{00000000-0005-0000-0000-000092C60000}"/>
    <cellStyle name="Normal 7 9 4 2 2" xfId="14006" xr:uid="{00000000-0005-0000-0000-000093C60000}"/>
    <cellStyle name="Normal 7 9 4 2 2 2" xfId="24257" xr:uid="{00000000-0005-0000-0000-000094C60000}"/>
    <cellStyle name="Normal 7 9 4 2 2 2 2" xfId="49810" xr:uid="{00000000-0005-0000-0000-000095C60000}"/>
    <cellStyle name="Normal 7 9 4 2 2 3" xfId="39561" xr:uid="{00000000-0005-0000-0000-000096C60000}"/>
    <cellStyle name="Normal 7 9 4 2 3" xfId="10427" xr:uid="{00000000-0005-0000-0000-000097C60000}"/>
    <cellStyle name="Normal 7 9 4 2 3 2" xfId="35984" xr:uid="{00000000-0005-0000-0000-000098C60000}"/>
    <cellStyle name="Normal 7 9 4 2 4" xfId="19250" xr:uid="{00000000-0005-0000-0000-000099C60000}"/>
    <cellStyle name="Normal 7 9 4 2 4 2" xfId="44803" xr:uid="{00000000-0005-0000-0000-00009AC60000}"/>
    <cellStyle name="Normal 7 9 4 2 5" xfId="30740" xr:uid="{00000000-0005-0000-0000-00009BC60000}"/>
    <cellStyle name="Normal 7 9 4 3" xfId="6624" xr:uid="{00000000-0005-0000-0000-00009CC60000}"/>
    <cellStyle name="Normal 7 9 4 3 2" xfId="15451" xr:uid="{00000000-0005-0000-0000-00009DC60000}"/>
    <cellStyle name="Normal 7 9 4 3 2 2" xfId="41006" xr:uid="{00000000-0005-0000-0000-00009EC60000}"/>
    <cellStyle name="Normal 7 9 4 3 3" xfId="25702" xr:uid="{00000000-0005-0000-0000-00009FC60000}"/>
    <cellStyle name="Normal 7 9 4 3 3 2" xfId="51255" xr:uid="{00000000-0005-0000-0000-0000A0C60000}"/>
    <cellStyle name="Normal 7 9 4 3 4" xfId="32185" xr:uid="{00000000-0005-0000-0000-0000A1C60000}"/>
    <cellStyle name="Normal 7 9 4 4" xfId="8070" xr:uid="{00000000-0005-0000-0000-0000A2C60000}"/>
    <cellStyle name="Normal 7 9 4 4 2" xfId="22152" xr:uid="{00000000-0005-0000-0000-0000A3C60000}"/>
    <cellStyle name="Normal 7 9 4 4 2 2" xfId="47705" xr:uid="{00000000-0005-0000-0000-0000A4C60000}"/>
    <cellStyle name="Normal 7 9 4 4 3" xfId="33627" xr:uid="{00000000-0005-0000-0000-0000A5C60000}"/>
    <cellStyle name="Normal 7 9 4 5" xfId="17145" xr:uid="{00000000-0005-0000-0000-0000A6C60000}"/>
    <cellStyle name="Normal 7 9 4 5 2" xfId="42698" xr:uid="{00000000-0005-0000-0000-0000A7C60000}"/>
    <cellStyle name="Normal 7 9 4 6" xfId="28635" xr:uid="{00000000-0005-0000-0000-0000A8C60000}"/>
    <cellStyle name="Normal 7 9 5" xfId="4123" xr:uid="{00000000-0005-0000-0000-0000A9C60000}"/>
    <cellStyle name="Normal 7 9 5 2" xfId="12961" xr:uid="{00000000-0005-0000-0000-0000AAC60000}"/>
    <cellStyle name="Normal 7 9 5 2 2" xfId="23212" xr:uid="{00000000-0005-0000-0000-0000ABC60000}"/>
    <cellStyle name="Normal 7 9 5 2 2 2" xfId="48765" xr:uid="{00000000-0005-0000-0000-0000ACC60000}"/>
    <cellStyle name="Normal 7 9 5 2 3" xfId="38516" xr:uid="{00000000-0005-0000-0000-0000ADC60000}"/>
    <cellStyle name="Normal 7 9 5 3" xfId="9382" xr:uid="{00000000-0005-0000-0000-0000AEC60000}"/>
    <cellStyle name="Normal 7 9 5 3 2" xfId="34939" xr:uid="{00000000-0005-0000-0000-0000AFC60000}"/>
    <cellStyle name="Normal 7 9 5 4" xfId="18205" xr:uid="{00000000-0005-0000-0000-0000B0C60000}"/>
    <cellStyle name="Normal 7 9 5 4 2" xfId="43758" xr:uid="{00000000-0005-0000-0000-0000B1C60000}"/>
    <cellStyle name="Normal 7 9 5 5" xfId="29695" xr:uid="{00000000-0005-0000-0000-0000B2C60000}"/>
    <cellStyle name="Normal 7 9 6" xfId="1900" xr:uid="{00000000-0005-0000-0000-0000B3C60000}"/>
    <cellStyle name="Normal 7 9 6 2" xfId="11265" xr:uid="{00000000-0005-0000-0000-0000B4C60000}"/>
    <cellStyle name="Normal 7 9 6 2 2" xfId="36820" xr:uid="{00000000-0005-0000-0000-0000B5C60000}"/>
    <cellStyle name="Normal 7 9 6 3" xfId="21269" xr:uid="{00000000-0005-0000-0000-0000B6C60000}"/>
    <cellStyle name="Normal 7 9 6 3 2" xfId="46822" xr:uid="{00000000-0005-0000-0000-0000B7C60000}"/>
    <cellStyle name="Normal 7 9 6 4" xfId="27752" xr:uid="{00000000-0005-0000-0000-0000B8C60000}"/>
    <cellStyle name="Normal 7 9 7" xfId="5581" xr:uid="{00000000-0005-0000-0000-0000B9C60000}"/>
    <cellStyle name="Normal 7 9 7 2" xfId="14408" xr:uid="{00000000-0005-0000-0000-0000BAC60000}"/>
    <cellStyle name="Normal 7 9 7 2 2" xfId="39963" xr:uid="{00000000-0005-0000-0000-0000BBC60000}"/>
    <cellStyle name="Normal 7 9 7 3" xfId="24659" xr:uid="{00000000-0005-0000-0000-0000BCC60000}"/>
    <cellStyle name="Normal 7 9 7 3 2" xfId="50212" xr:uid="{00000000-0005-0000-0000-0000BDC60000}"/>
    <cellStyle name="Normal 7 9 7 4" xfId="31142" xr:uid="{00000000-0005-0000-0000-0000BEC60000}"/>
    <cellStyle name="Normal 7 9 8" xfId="7025" xr:uid="{00000000-0005-0000-0000-0000BFC60000}"/>
    <cellStyle name="Normal 7 9 8 2" xfId="19751" xr:uid="{00000000-0005-0000-0000-0000C0C60000}"/>
    <cellStyle name="Normal 7 9 8 2 2" xfId="45304" xr:uid="{00000000-0005-0000-0000-0000C1C60000}"/>
    <cellStyle name="Normal 7 9 8 3" xfId="32582" xr:uid="{00000000-0005-0000-0000-0000C2C60000}"/>
    <cellStyle name="Normal 7 9 9" xfId="16262" xr:uid="{00000000-0005-0000-0000-0000C3C60000}"/>
    <cellStyle name="Normal 7 9 9 2" xfId="41815" xr:uid="{00000000-0005-0000-0000-0000C4C60000}"/>
    <cellStyle name="Normal 7 9_Degree data" xfId="4079" xr:uid="{00000000-0005-0000-0000-0000C5C60000}"/>
    <cellStyle name="Normal 7_Degree data" xfId="4046" xr:uid="{00000000-0005-0000-0000-0000C6C60000}"/>
    <cellStyle name="Normal 70" xfId="293" xr:uid="{00000000-0005-0000-0000-0000C7C60000}"/>
    <cellStyle name="Normal 70 2" xfId="974" xr:uid="{00000000-0005-0000-0000-0000C8C60000}"/>
    <cellStyle name="Normal 70 2 2" xfId="3450" xr:uid="{00000000-0005-0000-0000-0000C9C60000}"/>
    <cellStyle name="Normal 70 2 2 2" xfId="12592" xr:uid="{00000000-0005-0000-0000-0000CAC60000}"/>
    <cellStyle name="Normal 70 2 2 2 2" xfId="22811" xr:uid="{00000000-0005-0000-0000-0000CBC60000}"/>
    <cellStyle name="Normal 70 2 2 2 2 2" xfId="48364" xr:uid="{00000000-0005-0000-0000-0000CCC60000}"/>
    <cellStyle name="Normal 70 2 2 2 3" xfId="38147" xr:uid="{00000000-0005-0000-0000-0000CDC60000}"/>
    <cellStyle name="Normal 70 2 2 3" xfId="9014" xr:uid="{00000000-0005-0000-0000-0000CEC60000}"/>
    <cellStyle name="Normal 70 2 2 3 2" xfId="34571" xr:uid="{00000000-0005-0000-0000-0000CFC60000}"/>
    <cellStyle name="Normal 70 2 2 4" xfId="17804" xr:uid="{00000000-0005-0000-0000-0000D0C60000}"/>
    <cellStyle name="Normal 70 2 2 4 2" xfId="43357" xr:uid="{00000000-0005-0000-0000-0000D1C60000}"/>
    <cellStyle name="Normal 70 2 2 5" xfId="29294" xr:uid="{00000000-0005-0000-0000-0000D2C60000}"/>
    <cellStyle name="Normal 70 2 3" xfId="5485" xr:uid="{00000000-0005-0000-0000-0000D3C60000}"/>
    <cellStyle name="Normal 70 2 3 2" xfId="14321" xr:uid="{00000000-0005-0000-0000-0000D4C60000}"/>
    <cellStyle name="Normal 70 2 3 2 2" xfId="24572" xr:uid="{00000000-0005-0000-0000-0000D5C60000}"/>
    <cellStyle name="Normal 70 2 3 2 2 2" xfId="50125" xr:uid="{00000000-0005-0000-0000-0000D6C60000}"/>
    <cellStyle name="Normal 70 2 3 2 3" xfId="39876" xr:uid="{00000000-0005-0000-0000-0000D7C60000}"/>
    <cellStyle name="Normal 70 2 3 3" xfId="10742" xr:uid="{00000000-0005-0000-0000-0000D8C60000}"/>
    <cellStyle name="Normal 70 2 3 3 2" xfId="36299" xr:uid="{00000000-0005-0000-0000-0000D9C60000}"/>
    <cellStyle name="Normal 70 2 3 4" xfId="19565" xr:uid="{00000000-0005-0000-0000-0000DAC60000}"/>
    <cellStyle name="Normal 70 2 3 4 2" xfId="45118" xr:uid="{00000000-0005-0000-0000-0000DBC60000}"/>
    <cellStyle name="Normal 70 2 3 5" xfId="31055" xr:uid="{00000000-0005-0000-0000-0000DCC60000}"/>
    <cellStyle name="Normal 70 2 4" xfId="2559" xr:uid="{00000000-0005-0000-0000-0000DDC60000}"/>
    <cellStyle name="Normal 70 2 4 2" xfId="11924" xr:uid="{00000000-0005-0000-0000-0000DEC60000}"/>
    <cellStyle name="Normal 70 2 4 2 2" xfId="37479" xr:uid="{00000000-0005-0000-0000-0000DFC60000}"/>
    <cellStyle name="Normal 70 2 4 3" xfId="21928" xr:uid="{00000000-0005-0000-0000-0000E0C60000}"/>
    <cellStyle name="Normal 70 2 4 3 2" xfId="47481" xr:uid="{00000000-0005-0000-0000-0000E1C60000}"/>
    <cellStyle name="Normal 70 2 4 4" xfId="28411" xr:uid="{00000000-0005-0000-0000-0000E2C60000}"/>
    <cellStyle name="Normal 70 2 5" xfId="10754" xr:uid="{00000000-0005-0000-0000-0000E3C60000}"/>
    <cellStyle name="Normal 70 2 5 2" xfId="20410" xr:uid="{00000000-0005-0000-0000-0000E4C60000}"/>
    <cellStyle name="Normal 70 2 5 2 2" xfId="45963" xr:uid="{00000000-0005-0000-0000-0000E5C60000}"/>
    <cellStyle name="Normal 70 2 5 3" xfId="36310" xr:uid="{00000000-0005-0000-0000-0000E6C60000}"/>
    <cellStyle name="Normal 70 2 6" xfId="8564" xr:uid="{00000000-0005-0000-0000-0000E7C60000}"/>
    <cellStyle name="Normal 70 2 6 2" xfId="34121" xr:uid="{00000000-0005-0000-0000-0000E8C60000}"/>
    <cellStyle name="Normal 70 2 7" xfId="16921" xr:uid="{00000000-0005-0000-0000-0000E9C60000}"/>
    <cellStyle name="Normal 70 2 7 2" xfId="42474" xr:uid="{00000000-0005-0000-0000-0000EAC60000}"/>
    <cellStyle name="Normal 70 2 8" xfId="26893" xr:uid="{00000000-0005-0000-0000-0000EBC60000}"/>
    <cellStyle name="Normal 70 3" xfId="1888" xr:uid="{00000000-0005-0000-0000-0000ECC60000}"/>
    <cellStyle name="Normal 71" xfId="50" xr:uid="{00000000-0005-0000-0000-0000EDC60000}"/>
    <cellStyle name="Normal 72" xfId="51" xr:uid="{00000000-0005-0000-0000-0000EEC60000}"/>
    <cellStyle name="Normal 73" xfId="294" xr:uid="{00000000-0005-0000-0000-0000EFC60000}"/>
    <cellStyle name="Normal 73 2" xfId="975" xr:uid="{00000000-0005-0000-0000-0000F0C60000}"/>
    <cellStyle name="Normal 73 2 2" xfId="3451" xr:uid="{00000000-0005-0000-0000-0000F1C60000}"/>
    <cellStyle name="Normal 73 2 2 2" xfId="12593" xr:uid="{00000000-0005-0000-0000-0000F2C60000}"/>
    <cellStyle name="Normal 73 2 2 2 2" xfId="22812" xr:uid="{00000000-0005-0000-0000-0000F3C60000}"/>
    <cellStyle name="Normal 73 2 2 2 2 2" xfId="48365" xr:uid="{00000000-0005-0000-0000-0000F4C60000}"/>
    <cellStyle name="Normal 73 2 2 2 3" xfId="38148" xr:uid="{00000000-0005-0000-0000-0000F5C60000}"/>
    <cellStyle name="Normal 73 2 2 3" xfId="9015" xr:uid="{00000000-0005-0000-0000-0000F6C60000}"/>
    <cellStyle name="Normal 73 2 2 3 2" xfId="34572" xr:uid="{00000000-0005-0000-0000-0000F7C60000}"/>
    <cellStyle name="Normal 73 2 2 4" xfId="17805" xr:uid="{00000000-0005-0000-0000-0000F8C60000}"/>
    <cellStyle name="Normal 73 2 2 4 2" xfId="43358" xr:uid="{00000000-0005-0000-0000-0000F9C60000}"/>
    <cellStyle name="Normal 73 2 2 5" xfId="29295" xr:uid="{00000000-0005-0000-0000-0000FAC60000}"/>
    <cellStyle name="Normal 73 2 3" xfId="5483" xr:uid="{00000000-0005-0000-0000-0000FBC60000}"/>
    <cellStyle name="Normal 73 2 3 2" xfId="14319" xr:uid="{00000000-0005-0000-0000-0000FCC60000}"/>
    <cellStyle name="Normal 73 2 3 2 2" xfId="24570" xr:uid="{00000000-0005-0000-0000-0000FDC60000}"/>
    <cellStyle name="Normal 73 2 3 2 2 2" xfId="50123" xr:uid="{00000000-0005-0000-0000-0000FEC60000}"/>
    <cellStyle name="Normal 73 2 3 2 3" xfId="39874" xr:uid="{00000000-0005-0000-0000-0000FFC60000}"/>
    <cellStyle name="Normal 73 2 3 3" xfId="10740" xr:uid="{00000000-0005-0000-0000-000000C70000}"/>
    <cellStyle name="Normal 73 2 3 3 2" xfId="36297" xr:uid="{00000000-0005-0000-0000-000001C70000}"/>
    <cellStyle name="Normal 73 2 3 4" xfId="19563" xr:uid="{00000000-0005-0000-0000-000002C70000}"/>
    <cellStyle name="Normal 73 2 3 4 2" xfId="45116" xr:uid="{00000000-0005-0000-0000-000003C70000}"/>
    <cellStyle name="Normal 73 2 3 5" xfId="31053" xr:uid="{00000000-0005-0000-0000-000004C70000}"/>
    <cellStyle name="Normal 73 2 4" xfId="2560" xr:uid="{00000000-0005-0000-0000-000005C70000}"/>
    <cellStyle name="Normal 73 2 4 2" xfId="11925" xr:uid="{00000000-0005-0000-0000-000006C70000}"/>
    <cellStyle name="Normal 73 2 4 2 2" xfId="37480" xr:uid="{00000000-0005-0000-0000-000007C70000}"/>
    <cellStyle name="Normal 73 2 4 3" xfId="21929" xr:uid="{00000000-0005-0000-0000-000008C70000}"/>
    <cellStyle name="Normal 73 2 4 3 2" xfId="47482" xr:uid="{00000000-0005-0000-0000-000009C70000}"/>
    <cellStyle name="Normal 73 2 4 4" xfId="28412" xr:uid="{00000000-0005-0000-0000-00000AC70000}"/>
    <cellStyle name="Normal 73 2 5" xfId="10755" xr:uid="{00000000-0005-0000-0000-00000BC70000}"/>
    <cellStyle name="Normal 73 2 5 2" xfId="20411" xr:uid="{00000000-0005-0000-0000-00000CC70000}"/>
    <cellStyle name="Normal 73 2 5 2 2" xfId="45964" xr:uid="{00000000-0005-0000-0000-00000DC70000}"/>
    <cellStyle name="Normal 73 2 5 3" xfId="36311" xr:uid="{00000000-0005-0000-0000-00000EC70000}"/>
    <cellStyle name="Normal 73 2 6" xfId="8503" xr:uid="{00000000-0005-0000-0000-00000FC70000}"/>
    <cellStyle name="Normal 73 2 6 2" xfId="34060" xr:uid="{00000000-0005-0000-0000-000010C70000}"/>
    <cellStyle name="Normal 73 2 7" xfId="16922" xr:uid="{00000000-0005-0000-0000-000011C70000}"/>
    <cellStyle name="Normal 73 2 7 2" xfId="42475" xr:uid="{00000000-0005-0000-0000-000012C70000}"/>
    <cellStyle name="Normal 73 2 8" xfId="26894" xr:uid="{00000000-0005-0000-0000-000013C70000}"/>
    <cellStyle name="Normal 73 3" xfId="1889" xr:uid="{00000000-0005-0000-0000-000014C70000}"/>
    <cellStyle name="Normal 74" xfId="976" xr:uid="{00000000-0005-0000-0000-000015C70000}"/>
    <cellStyle name="Normal 74 2" xfId="3452" xr:uid="{00000000-0005-0000-0000-000016C70000}"/>
    <cellStyle name="Normal 74 2 2" xfId="12594" xr:uid="{00000000-0005-0000-0000-000017C70000}"/>
    <cellStyle name="Normal 74 2 2 2" xfId="22813" xr:uid="{00000000-0005-0000-0000-000018C70000}"/>
    <cellStyle name="Normal 74 2 2 2 2" xfId="48366" xr:uid="{00000000-0005-0000-0000-000019C70000}"/>
    <cellStyle name="Normal 74 2 2 3" xfId="38149" xr:uid="{00000000-0005-0000-0000-00001AC70000}"/>
    <cellStyle name="Normal 74 2 3" xfId="9016" xr:uid="{00000000-0005-0000-0000-00001BC70000}"/>
    <cellStyle name="Normal 74 2 3 2" xfId="34573" xr:uid="{00000000-0005-0000-0000-00001CC70000}"/>
    <cellStyle name="Normal 74 2 4" xfId="17806" xr:uid="{00000000-0005-0000-0000-00001DC70000}"/>
    <cellStyle name="Normal 74 2 4 2" xfId="43359" xr:uid="{00000000-0005-0000-0000-00001EC70000}"/>
    <cellStyle name="Normal 74 2 5" xfId="29296" xr:uid="{00000000-0005-0000-0000-00001FC70000}"/>
    <cellStyle name="Normal 74 3" xfId="5481" xr:uid="{00000000-0005-0000-0000-000020C70000}"/>
    <cellStyle name="Normal 74 3 2" xfId="14318" xr:uid="{00000000-0005-0000-0000-000021C70000}"/>
    <cellStyle name="Normal 74 3 2 2" xfId="24569" xr:uid="{00000000-0005-0000-0000-000022C70000}"/>
    <cellStyle name="Normal 74 3 2 2 2" xfId="50122" xr:uid="{00000000-0005-0000-0000-000023C70000}"/>
    <cellStyle name="Normal 74 3 2 3" xfId="39873" xr:uid="{00000000-0005-0000-0000-000024C70000}"/>
    <cellStyle name="Normal 74 3 3" xfId="10739" xr:uid="{00000000-0005-0000-0000-000025C70000}"/>
    <cellStyle name="Normal 74 3 3 2" xfId="36296" xr:uid="{00000000-0005-0000-0000-000026C70000}"/>
    <cellStyle name="Normal 74 3 4" xfId="19562" xr:uid="{00000000-0005-0000-0000-000027C70000}"/>
    <cellStyle name="Normal 74 3 4 2" xfId="45115" xr:uid="{00000000-0005-0000-0000-000028C70000}"/>
    <cellStyle name="Normal 74 3 5" xfId="31052" xr:uid="{00000000-0005-0000-0000-000029C70000}"/>
    <cellStyle name="Normal 74 4" xfId="2561" xr:uid="{00000000-0005-0000-0000-00002AC70000}"/>
    <cellStyle name="Normal 74 4 2" xfId="11926" xr:uid="{00000000-0005-0000-0000-00002BC70000}"/>
    <cellStyle name="Normal 74 4 2 2" xfId="37481" xr:uid="{00000000-0005-0000-0000-00002CC70000}"/>
    <cellStyle name="Normal 74 4 3" xfId="21930" xr:uid="{00000000-0005-0000-0000-00002DC70000}"/>
    <cellStyle name="Normal 74 4 3 2" xfId="47483" xr:uid="{00000000-0005-0000-0000-00002EC70000}"/>
    <cellStyle name="Normal 74 4 4" xfId="28413" xr:uid="{00000000-0005-0000-0000-00002FC70000}"/>
    <cellStyle name="Normal 74 5" xfId="10756" xr:uid="{00000000-0005-0000-0000-000030C70000}"/>
    <cellStyle name="Normal 74 5 2" xfId="20412" xr:uid="{00000000-0005-0000-0000-000031C70000}"/>
    <cellStyle name="Normal 74 5 2 2" xfId="45965" xr:uid="{00000000-0005-0000-0000-000032C70000}"/>
    <cellStyle name="Normal 74 5 3" xfId="36312" xr:uid="{00000000-0005-0000-0000-000033C70000}"/>
    <cellStyle name="Normal 74 6" xfId="8438" xr:uid="{00000000-0005-0000-0000-000034C70000}"/>
    <cellStyle name="Normal 74 6 2" xfId="33995" xr:uid="{00000000-0005-0000-0000-000035C70000}"/>
    <cellStyle name="Normal 74 7" xfId="16923" xr:uid="{00000000-0005-0000-0000-000036C70000}"/>
    <cellStyle name="Normal 74 7 2" xfId="42476" xr:uid="{00000000-0005-0000-0000-000037C70000}"/>
    <cellStyle name="Normal 74 8" xfId="26895" xr:uid="{00000000-0005-0000-0000-000038C70000}"/>
    <cellStyle name="Normal 75" xfId="977" xr:uid="{00000000-0005-0000-0000-000039C70000}"/>
    <cellStyle name="Normal 75 2" xfId="3453" xr:uid="{00000000-0005-0000-0000-00003AC70000}"/>
    <cellStyle name="Normal 75 2 2" xfId="12595" xr:uid="{00000000-0005-0000-0000-00003BC70000}"/>
    <cellStyle name="Normal 75 2 2 2" xfId="22814" xr:uid="{00000000-0005-0000-0000-00003CC70000}"/>
    <cellStyle name="Normal 75 2 2 2 2" xfId="48367" xr:uid="{00000000-0005-0000-0000-00003DC70000}"/>
    <cellStyle name="Normal 75 2 2 3" xfId="38150" xr:uid="{00000000-0005-0000-0000-00003EC70000}"/>
    <cellStyle name="Normal 75 2 3" xfId="9017" xr:uid="{00000000-0005-0000-0000-00003FC70000}"/>
    <cellStyle name="Normal 75 2 3 2" xfId="34574" xr:uid="{00000000-0005-0000-0000-000040C70000}"/>
    <cellStyle name="Normal 75 2 4" xfId="17807" xr:uid="{00000000-0005-0000-0000-000041C70000}"/>
    <cellStyle name="Normal 75 2 4 2" xfId="43360" xr:uid="{00000000-0005-0000-0000-000042C70000}"/>
    <cellStyle name="Normal 75 2 5" xfId="29297" xr:uid="{00000000-0005-0000-0000-000043C70000}"/>
    <cellStyle name="Normal 75 3" xfId="5478" xr:uid="{00000000-0005-0000-0000-000044C70000}"/>
    <cellStyle name="Normal 75 3 2" xfId="14315" xr:uid="{00000000-0005-0000-0000-000045C70000}"/>
    <cellStyle name="Normal 75 3 2 2" xfId="24566" xr:uid="{00000000-0005-0000-0000-000046C70000}"/>
    <cellStyle name="Normal 75 3 2 2 2" xfId="50119" xr:uid="{00000000-0005-0000-0000-000047C70000}"/>
    <cellStyle name="Normal 75 3 2 3" xfId="39870" xr:uid="{00000000-0005-0000-0000-000048C70000}"/>
    <cellStyle name="Normal 75 3 3" xfId="10736" xr:uid="{00000000-0005-0000-0000-000049C70000}"/>
    <cellStyle name="Normal 75 3 3 2" xfId="36293" xr:uid="{00000000-0005-0000-0000-00004AC70000}"/>
    <cellStyle name="Normal 75 3 4" xfId="19559" xr:uid="{00000000-0005-0000-0000-00004BC70000}"/>
    <cellStyle name="Normal 75 3 4 2" xfId="45112" xr:uid="{00000000-0005-0000-0000-00004CC70000}"/>
    <cellStyle name="Normal 75 3 5" xfId="31049" xr:uid="{00000000-0005-0000-0000-00004DC70000}"/>
    <cellStyle name="Normal 75 4" xfId="2562" xr:uid="{00000000-0005-0000-0000-00004EC70000}"/>
    <cellStyle name="Normal 75 4 2" xfId="11927" xr:uid="{00000000-0005-0000-0000-00004FC70000}"/>
    <cellStyle name="Normal 75 4 2 2" xfId="37482" xr:uid="{00000000-0005-0000-0000-000050C70000}"/>
    <cellStyle name="Normal 75 4 3" xfId="21931" xr:uid="{00000000-0005-0000-0000-000051C70000}"/>
    <cellStyle name="Normal 75 4 3 2" xfId="47484" xr:uid="{00000000-0005-0000-0000-000052C70000}"/>
    <cellStyle name="Normal 75 4 4" xfId="28414" xr:uid="{00000000-0005-0000-0000-000053C70000}"/>
    <cellStyle name="Normal 75 5" xfId="10757" xr:uid="{00000000-0005-0000-0000-000054C70000}"/>
    <cellStyle name="Normal 75 5 2" xfId="20413" xr:uid="{00000000-0005-0000-0000-000055C70000}"/>
    <cellStyle name="Normal 75 5 2 2" xfId="45966" xr:uid="{00000000-0005-0000-0000-000056C70000}"/>
    <cellStyle name="Normal 75 5 3" xfId="36313" xr:uid="{00000000-0005-0000-0000-000057C70000}"/>
    <cellStyle name="Normal 75 6" xfId="8399" xr:uid="{00000000-0005-0000-0000-000058C70000}"/>
    <cellStyle name="Normal 75 6 2" xfId="33956" xr:uid="{00000000-0005-0000-0000-000059C70000}"/>
    <cellStyle name="Normal 75 7" xfId="16924" xr:uid="{00000000-0005-0000-0000-00005AC70000}"/>
    <cellStyle name="Normal 75 7 2" xfId="42477" xr:uid="{00000000-0005-0000-0000-00005BC70000}"/>
    <cellStyle name="Normal 75 8" xfId="26896" xr:uid="{00000000-0005-0000-0000-00005CC70000}"/>
    <cellStyle name="Normal 76" xfId="978" xr:uid="{00000000-0005-0000-0000-00005DC70000}"/>
    <cellStyle name="Normal 76 2" xfId="3454" xr:uid="{00000000-0005-0000-0000-00005EC70000}"/>
    <cellStyle name="Normal 76 2 2" xfId="12596" xr:uid="{00000000-0005-0000-0000-00005FC70000}"/>
    <cellStyle name="Normal 76 2 2 2" xfId="22815" xr:uid="{00000000-0005-0000-0000-000060C70000}"/>
    <cellStyle name="Normal 76 2 2 2 2" xfId="48368" xr:uid="{00000000-0005-0000-0000-000061C70000}"/>
    <cellStyle name="Normal 76 2 2 3" xfId="38151" xr:uid="{00000000-0005-0000-0000-000062C70000}"/>
    <cellStyle name="Normal 76 2 3" xfId="9018" xr:uid="{00000000-0005-0000-0000-000063C70000}"/>
    <cellStyle name="Normal 76 2 3 2" xfId="34575" xr:uid="{00000000-0005-0000-0000-000064C70000}"/>
    <cellStyle name="Normal 76 2 4" xfId="17808" xr:uid="{00000000-0005-0000-0000-000065C70000}"/>
    <cellStyle name="Normal 76 2 4 2" xfId="43361" xr:uid="{00000000-0005-0000-0000-000066C70000}"/>
    <cellStyle name="Normal 76 2 5" xfId="29298" xr:uid="{00000000-0005-0000-0000-000067C70000}"/>
    <cellStyle name="Normal 76 3" xfId="5477" xr:uid="{00000000-0005-0000-0000-000068C70000}"/>
    <cellStyle name="Normal 76 3 2" xfId="14314" xr:uid="{00000000-0005-0000-0000-000069C70000}"/>
    <cellStyle name="Normal 76 3 2 2" xfId="24565" xr:uid="{00000000-0005-0000-0000-00006AC70000}"/>
    <cellStyle name="Normal 76 3 2 2 2" xfId="50118" xr:uid="{00000000-0005-0000-0000-00006BC70000}"/>
    <cellStyle name="Normal 76 3 2 3" xfId="39869" xr:uid="{00000000-0005-0000-0000-00006CC70000}"/>
    <cellStyle name="Normal 76 3 3" xfId="10735" xr:uid="{00000000-0005-0000-0000-00006DC70000}"/>
    <cellStyle name="Normal 76 3 3 2" xfId="36292" xr:uid="{00000000-0005-0000-0000-00006EC70000}"/>
    <cellStyle name="Normal 76 3 4" xfId="19558" xr:uid="{00000000-0005-0000-0000-00006FC70000}"/>
    <cellStyle name="Normal 76 3 4 2" xfId="45111" xr:uid="{00000000-0005-0000-0000-000070C70000}"/>
    <cellStyle name="Normal 76 3 5" xfId="31048" xr:uid="{00000000-0005-0000-0000-000071C70000}"/>
    <cellStyle name="Normal 76 4" xfId="2563" xr:uid="{00000000-0005-0000-0000-000072C70000}"/>
    <cellStyle name="Normal 76 4 2" xfId="11928" xr:uid="{00000000-0005-0000-0000-000073C70000}"/>
    <cellStyle name="Normal 76 4 2 2" xfId="37483" xr:uid="{00000000-0005-0000-0000-000074C70000}"/>
    <cellStyle name="Normal 76 4 3" xfId="21932" xr:uid="{00000000-0005-0000-0000-000075C70000}"/>
    <cellStyle name="Normal 76 4 3 2" xfId="47485" xr:uid="{00000000-0005-0000-0000-000076C70000}"/>
    <cellStyle name="Normal 76 4 4" xfId="28415" xr:uid="{00000000-0005-0000-0000-000077C70000}"/>
    <cellStyle name="Normal 76 5" xfId="10758" xr:uid="{00000000-0005-0000-0000-000078C70000}"/>
    <cellStyle name="Normal 76 5 2" xfId="20414" xr:uid="{00000000-0005-0000-0000-000079C70000}"/>
    <cellStyle name="Normal 76 5 2 2" xfId="45967" xr:uid="{00000000-0005-0000-0000-00007AC70000}"/>
    <cellStyle name="Normal 76 5 3" xfId="36314" xr:uid="{00000000-0005-0000-0000-00007BC70000}"/>
    <cellStyle name="Normal 76 6" xfId="8594" xr:uid="{00000000-0005-0000-0000-00007CC70000}"/>
    <cellStyle name="Normal 76 6 2" xfId="34151" xr:uid="{00000000-0005-0000-0000-00007DC70000}"/>
    <cellStyle name="Normal 76 7" xfId="16925" xr:uid="{00000000-0005-0000-0000-00007EC70000}"/>
    <cellStyle name="Normal 76 7 2" xfId="42478" xr:uid="{00000000-0005-0000-0000-00007FC70000}"/>
    <cellStyle name="Normal 76 8" xfId="26897" xr:uid="{00000000-0005-0000-0000-000080C70000}"/>
    <cellStyle name="Normal 77" xfId="613" xr:uid="{00000000-0005-0000-0000-000081C70000}"/>
    <cellStyle name="Normal 77 2" xfId="3099" xr:uid="{00000000-0005-0000-0000-000082C70000}"/>
    <cellStyle name="Normal 77 2 2" xfId="12242" xr:uid="{00000000-0005-0000-0000-000083C70000}"/>
    <cellStyle name="Normal 77 2 2 2" xfId="22460" xr:uid="{00000000-0005-0000-0000-000084C70000}"/>
    <cellStyle name="Normal 77 2 2 2 2" xfId="48013" xr:uid="{00000000-0005-0000-0000-000085C70000}"/>
    <cellStyle name="Normal 77 2 2 3" xfId="37797" xr:uid="{00000000-0005-0000-0000-000086C70000}"/>
    <cellStyle name="Normal 77 2 3" xfId="8664" xr:uid="{00000000-0005-0000-0000-000087C70000}"/>
    <cellStyle name="Normal 77 2 3 2" xfId="34221" xr:uid="{00000000-0005-0000-0000-000088C70000}"/>
    <cellStyle name="Normal 77 2 4" xfId="17453" xr:uid="{00000000-0005-0000-0000-000089C70000}"/>
    <cellStyle name="Normal 77 2 4 2" xfId="43006" xr:uid="{00000000-0005-0000-0000-00008AC70000}"/>
    <cellStyle name="Normal 77 2 5" xfId="28943" xr:uid="{00000000-0005-0000-0000-00008BC70000}"/>
    <cellStyle name="Normal 77 3" xfId="5486" xr:uid="{00000000-0005-0000-0000-00008CC70000}"/>
    <cellStyle name="Normal 77 3 2" xfId="14322" xr:uid="{00000000-0005-0000-0000-00008DC70000}"/>
    <cellStyle name="Normal 77 3 2 2" xfId="24573" xr:uid="{00000000-0005-0000-0000-00008EC70000}"/>
    <cellStyle name="Normal 77 3 2 2 2" xfId="50126" xr:uid="{00000000-0005-0000-0000-00008FC70000}"/>
    <cellStyle name="Normal 77 3 2 3" xfId="39877" xr:uid="{00000000-0005-0000-0000-000090C70000}"/>
    <cellStyle name="Normal 77 3 3" xfId="10743" xr:uid="{00000000-0005-0000-0000-000091C70000}"/>
    <cellStyle name="Normal 77 3 3 2" xfId="36300" xr:uid="{00000000-0005-0000-0000-000092C70000}"/>
    <cellStyle name="Normal 77 3 4" xfId="19566" xr:uid="{00000000-0005-0000-0000-000093C70000}"/>
    <cellStyle name="Normal 77 3 4 2" xfId="45119" xr:uid="{00000000-0005-0000-0000-000094C70000}"/>
    <cellStyle name="Normal 77 3 5" xfId="31056" xr:uid="{00000000-0005-0000-0000-000095C70000}"/>
    <cellStyle name="Normal 77 4" xfId="2208" xr:uid="{00000000-0005-0000-0000-000096C70000}"/>
    <cellStyle name="Normal 77 4 2" xfId="11573" xr:uid="{00000000-0005-0000-0000-000097C70000}"/>
    <cellStyle name="Normal 77 4 2 2" xfId="37128" xr:uid="{00000000-0005-0000-0000-000098C70000}"/>
    <cellStyle name="Normal 77 4 3" xfId="21577" xr:uid="{00000000-0005-0000-0000-000099C70000}"/>
    <cellStyle name="Normal 77 4 3 2" xfId="47130" xr:uid="{00000000-0005-0000-0000-00009AC70000}"/>
    <cellStyle name="Normal 77 4 4" xfId="28060" xr:uid="{00000000-0005-0000-0000-00009BC70000}"/>
    <cellStyle name="Normal 77 5" xfId="10750" xr:uid="{00000000-0005-0000-0000-00009CC70000}"/>
    <cellStyle name="Normal 77 5 2" xfId="20059" xr:uid="{00000000-0005-0000-0000-00009DC70000}"/>
    <cellStyle name="Normal 77 5 2 2" xfId="45612" xr:uid="{00000000-0005-0000-0000-00009EC70000}"/>
    <cellStyle name="Normal 77 5 3" xfId="36306" xr:uid="{00000000-0005-0000-0000-00009FC70000}"/>
    <cellStyle name="Normal 77 6" xfId="8565" xr:uid="{00000000-0005-0000-0000-0000A0C70000}"/>
    <cellStyle name="Normal 77 6 2" xfId="34122" xr:uid="{00000000-0005-0000-0000-0000A1C70000}"/>
    <cellStyle name="Normal 77 7" xfId="16570" xr:uid="{00000000-0005-0000-0000-0000A2C70000}"/>
    <cellStyle name="Normal 77 7 2" xfId="42123" xr:uid="{00000000-0005-0000-0000-0000A3C70000}"/>
    <cellStyle name="Normal 77 8" xfId="26542" xr:uid="{00000000-0005-0000-0000-0000A4C70000}"/>
    <cellStyle name="Normal 78" xfId="979" xr:uid="{00000000-0005-0000-0000-0000A5C70000}"/>
    <cellStyle name="Normal 78 2" xfId="3455" xr:uid="{00000000-0005-0000-0000-0000A6C70000}"/>
    <cellStyle name="Normal 78 2 2" xfId="12597" xr:uid="{00000000-0005-0000-0000-0000A7C70000}"/>
    <cellStyle name="Normal 78 2 2 2" xfId="22816" xr:uid="{00000000-0005-0000-0000-0000A8C70000}"/>
    <cellStyle name="Normal 78 2 2 2 2" xfId="48369" xr:uid="{00000000-0005-0000-0000-0000A9C70000}"/>
    <cellStyle name="Normal 78 2 2 3" xfId="38152" xr:uid="{00000000-0005-0000-0000-0000AAC70000}"/>
    <cellStyle name="Normal 78 2 3" xfId="9019" xr:uid="{00000000-0005-0000-0000-0000ABC70000}"/>
    <cellStyle name="Normal 78 2 3 2" xfId="34576" xr:uid="{00000000-0005-0000-0000-0000ACC70000}"/>
    <cellStyle name="Normal 78 2 4" xfId="17809" xr:uid="{00000000-0005-0000-0000-0000ADC70000}"/>
    <cellStyle name="Normal 78 2 4 2" xfId="43362" xr:uid="{00000000-0005-0000-0000-0000AEC70000}"/>
    <cellStyle name="Normal 78 2 5" xfId="29299" xr:uid="{00000000-0005-0000-0000-0000AFC70000}"/>
    <cellStyle name="Normal 78 3" xfId="4159" xr:uid="{00000000-0005-0000-0000-0000B0C70000}"/>
    <cellStyle name="Normal 78 3 2" xfId="12997" xr:uid="{00000000-0005-0000-0000-0000B1C70000}"/>
    <cellStyle name="Normal 78 3 2 2" xfId="23248" xr:uid="{00000000-0005-0000-0000-0000B2C70000}"/>
    <cellStyle name="Normal 78 3 2 2 2" xfId="48801" xr:uid="{00000000-0005-0000-0000-0000B3C70000}"/>
    <cellStyle name="Normal 78 3 2 3" xfId="38552" xr:uid="{00000000-0005-0000-0000-0000B4C70000}"/>
    <cellStyle name="Normal 78 3 3" xfId="9418" xr:uid="{00000000-0005-0000-0000-0000B5C70000}"/>
    <cellStyle name="Normal 78 3 3 2" xfId="34975" xr:uid="{00000000-0005-0000-0000-0000B6C70000}"/>
    <cellStyle name="Normal 78 3 4" xfId="18241" xr:uid="{00000000-0005-0000-0000-0000B7C70000}"/>
    <cellStyle name="Normal 78 3 4 2" xfId="43794" xr:uid="{00000000-0005-0000-0000-0000B8C70000}"/>
    <cellStyle name="Normal 78 3 5" xfId="29731" xr:uid="{00000000-0005-0000-0000-0000B9C70000}"/>
    <cellStyle name="Normal 78 4" xfId="2564" xr:uid="{00000000-0005-0000-0000-0000BAC70000}"/>
    <cellStyle name="Normal 78 4 2" xfId="11929" xr:uid="{00000000-0005-0000-0000-0000BBC70000}"/>
    <cellStyle name="Normal 78 4 2 2" xfId="37484" xr:uid="{00000000-0005-0000-0000-0000BCC70000}"/>
    <cellStyle name="Normal 78 4 3" xfId="21933" xr:uid="{00000000-0005-0000-0000-0000BDC70000}"/>
    <cellStyle name="Normal 78 4 3 2" xfId="47486" xr:uid="{00000000-0005-0000-0000-0000BEC70000}"/>
    <cellStyle name="Normal 78 4 4" xfId="28416" xr:uid="{00000000-0005-0000-0000-0000BFC70000}"/>
    <cellStyle name="Normal 78 5" xfId="10759" xr:uid="{00000000-0005-0000-0000-0000C0C70000}"/>
    <cellStyle name="Normal 78 5 2" xfId="20415" xr:uid="{00000000-0005-0000-0000-0000C1C70000}"/>
    <cellStyle name="Normal 78 5 2 2" xfId="45968" xr:uid="{00000000-0005-0000-0000-0000C2C70000}"/>
    <cellStyle name="Normal 78 5 3" xfId="36315" xr:uid="{00000000-0005-0000-0000-0000C3C70000}"/>
    <cellStyle name="Normal 78 6" xfId="8607" xr:uid="{00000000-0005-0000-0000-0000C4C70000}"/>
    <cellStyle name="Normal 78 6 2" xfId="34164" xr:uid="{00000000-0005-0000-0000-0000C5C70000}"/>
    <cellStyle name="Normal 78 7" xfId="16926" xr:uid="{00000000-0005-0000-0000-0000C6C70000}"/>
    <cellStyle name="Normal 78 7 2" xfId="42479" xr:uid="{00000000-0005-0000-0000-0000C7C70000}"/>
    <cellStyle name="Normal 78 8" xfId="26898" xr:uid="{00000000-0005-0000-0000-0000C8C70000}"/>
    <cellStyle name="Normal 79" xfId="614" xr:uid="{00000000-0005-0000-0000-0000C9C70000}"/>
    <cellStyle name="Normal 79 2" xfId="3100" xr:uid="{00000000-0005-0000-0000-0000CAC70000}"/>
    <cellStyle name="Normal 79 2 2" xfId="12243" xr:uid="{00000000-0005-0000-0000-0000CBC70000}"/>
    <cellStyle name="Normal 79 2 2 2" xfId="22461" xr:uid="{00000000-0005-0000-0000-0000CCC70000}"/>
    <cellStyle name="Normal 79 2 2 2 2" xfId="48014" xr:uid="{00000000-0005-0000-0000-0000CDC70000}"/>
    <cellStyle name="Normal 79 2 2 3" xfId="37798" xr:uid="{00000000-0005-0000-0000-0000CEC70000}"/>
    <cellStyle name="Normal 79 2 3" xfId="8665" xr:uid="{00000000-0005-0000-0000-0000CFC70000}"/>
    <cellStyle name="Normal 79 2 3 2" xfId="34222" xr:uid="{00000000-0005-0000-0000-0000D0C70000}"/>
    <cellStyle name="Normal 79 2 4" xfId="17454" xr:uid="{00000000-0005-0000-0000-0000D1C70000}"/>
    <cellStyle name="Normal 79 2 4 2" xfId="43007" xr:uid="{00000000-0005-0000-0000-0000D2C70000}"/>
    <cellStyle name="Normal 79 2 5" xfId="28944" xr:uid="{00000000-0005-0000-0000-0000D3C70000}"/>
    <cellStyle name="Normal 79 3" xfId="5484" xr:uid="{00000000-0005-0000-0000-0000D4C70000}"/>
    <cellStyle name="Normal 79 3 2" xfId="14320" xr:uid="{00000000-0005-0000-0000-0000D5C70000}"/>
    <cellStyle name="Normal 79 3 2 2" xfId="24571" xr:uid="{00000000-0005-0000-0000-0000D6C70000}"/>
    <cellStyle name="Normal 79 3 2 2 2" xfId="50124" xr:uid="{00000000-0005-0000-0000-0000D7C70000}"/>
    <cellStyle name="Normal 79 3 2 3" xfId="39875" xr:uid="{00000000-0005-0000-0000-0000D8C70000}"/>
    <cellStyle name="Normal 79 3 3" xfId="10741" xr:uid="{00000000-0005-0000-0000-0000D9C70000}"/>
    <cellStyle name="Normal 79 3 3 2" xfId="36298" xr:uid="{00000000-0005-0000-0000-0000DAC70000}"/>
    <cellStyle name="Normal 79 3 4" xfId="19564" xr:uid="{00000000-0005-0000-0000-0000DBC70000}"/>
    <cellStyle name="Normal 79 3 4 2" xfId="45117" xr:uid="{00000000-0005-0000-0000-0000DCC70000}"/>
    <cellStyle name="Normal 79 3 5" xfId="31054" xr:uid="{00000000-0005-0000-0000-0000DDC70000}"/>
    <cellStyle name="Normal 79 4" xfId="2209" xr:uid="{00000000-0005-0000-0000-0000DEC70000}"/>
    <cellStyle name="Normal 79 4 2" xfId="11574" xr:uid="{00000000-0005-0000-0000-0000DFC70000}"/>
    <cellStyle name="Normal 79 4 2 2" xfId="37129" xr:uid="{00000000-0005-0000-0000-0000E0C70000}"/>
    <cellStyle name="Normal 79 4 3" xfId="21578" xr:uid="{00000000-0005-0000-0000-0000E1C70000}"/>
    <cellStyle name="Normal 79 4 3 2" xfId="47131" xr:uid="{00000000-0005-0000-0000-0000E2C70000}"/>
    <cellStyle name="Normal 79 4 4" xfId="28061" xr:uid="{00000000-0005-0000-0000-0000E3C70000}"/>
    <cellStyle name="Normal 79 5" xfId="10751" xr:uid="{00000000-0005-0000-0000-0000E4C70000}"/>
    <cellStyle name="Normal 79 5 2" xfId="20060" xr:uid="{00000000-0005-0000-0000-0000E5C70000}"/>
    <cellStyle name="Normal 79 5 2 2" xfId="45613" xr:uid="{00000000-0005-0000-0000-0000E6C70000}"/>
    <cellStyle name="Normal 79 5 3" xfId="36307" xr:uid="{00000000-0005-0000-0000-0000E7C70000}"/>
    <cellStyle name="Normal 79 6" xfId="8504" xr:uid="{00000000-0005-0000-0000-0000E8C70000}"/>
    <cellStyle name="Normal 79 6 2" xfId="34061" xr:uid="{00000000-0005-0000-0000-0000E9C70000}"/>
    <cellStyle name="Normal 79 7" xfId="16571" xr:uid="{00000000-0005-0000-0000-0000EAC70000}"/>
    <cellStyle name="Normal 79 7 2" xfId="42124" xr:uid="{00000000-0005-0000-0000-0000EBC70000}"/>
    <cellStyle name="Normal 79 8" xfId="26543" xr:uid="{00000000-0005-0000-0000-0000ECC70000}"/>
    <cellStyle name="Normal 8" xfId="14" xr:uid="{00000000-0005-0000-0000-0000EDC70000}"/>
    <cellStyle name="Normal 8 2" xfId="30" xr:uid="{00000000-0005-0000-0000-0000EEC70000}"/>
    <cellStyle name="Normal 8 3" xfId="150" xr:uid="{00000000-0005-0000-0000-0000EFC70000}"/>
    <cellStyle name="Normal 80" xfId="615" xr:uid="{00000000-0005-0000-0000-0000F0C70000}"/>
    <cellStyle name="Normal 80 2" xfId="3101" xr:uid="{00000000-0005-0000-0000-0000F1C70000}"/>
    <cellStyle name="Normal 80 2 2" xfId="12244" xr:uid="{00000000-0005-0000-0000-0000F2C70000}"/>
    <cellStyle name="Normal 80 2 2 2" xfId="22462" xr:uid="{00000000-0005-0000-0000-0000F3C70000}"/>
    <cellStyle name="Normal 80 2 2 2 2" xfId="48015" xr:uid="{00000000-0005-0000-0000-0000F4C70000}"/>
    <cellStyle name="Normal 80 2 2 3" xfId="37799" xr:uid="{00000000-0005-0000-0000-0000F5C70000}"/>
    <cellStyle name="Normal 80 2 3" xfId="8666" xr:uid="{00000000-0005-0000-0000-0000F6C70000}"/>
    <cellStyle name="Normal 80 2 3 2" xfId="34223" xr:uid="{00000000-0005-0000-0000-0000F7C70000}"/>
    <cellStyle name="Normal 80 2 4" xfId="17455" xr:uid="{00000000-0005-0000-0000-0000F8C70000}"/>
    <cellStyle name="Normal 80 2 4 2" xfId="43008" xr:uid="{00000000-0005-0000-0000-0000F9C70000}"/>
    <cellStyle name="Normal 80 2 5" xfId="28945" xr:uid="{00000000-0005-0000-0000-0000FAC70000}"/>
    <cellStyle name="Normal 80 3" xfId="5480" xr:uid="{00000000-0005-0000-0000-0000FBC70000}"/>
    <cellStyle name="Normal 80 3 2" xfId="14317" xr:uid="{00000000-0005-0000-0000-0000FCC70000}"/>
    <cellStyle name="Normal 80 3 2 2" xfId="24568" xr:uid="{00000000-0005-0000-0000-0000FDC70000}"/>
    <cellStyle name="Normal 80 3 2 2 2" xfId="50121" xr:uid="{00000000-0005-0000-0000-0000FEC70000}"/>
    <cellStyle name="Normal 80 3 2 3" xfId="39872" xr:uid="{00000000-0005-0000-0000-0000FFC70000}"/>
    <cellStyle name="Normal 80 3 3" xfId="10738" xr:uid="{00000000-0005-0000-0000-000000C80000}"/>
    <cellStyle name="Normal 80 3 3 2" xfId="36295" xr:uid="{00000000-0005-0000-0000-000001C80000}"/>
    <cellStyle name="Normal 80 3 4" xfId="19561" xr:uid="{00000000-0005-0000-0000-000002C80000}"/>
    <cellStyle name="Normal 80 3 4 2" xfId="45114" xr:uid="{00000000-0005-0000-0000-000003C80000}"/>
    <cellStyle name="Normal 80 3 5" xfId="31051" xr:uid="{00000000-0005-0000-0000-000004C80000}"/>
    <cellStyle name="Normal 80 4" xfId="2210" xr:uid="{00000000-0005-0000-0000-000005C80000}"/>
    <cellStyle name="Normal 80 4 2" xfId="11575" xr:uid="{00000000-0005-0000-0000-000006C80000}"/>
    <cellStyle name="Normal 80 4 2 2" xfId="37130" xr:uid="{00000000-0005-0000-0000-000007C80000}"/>
    <cellStyle name="Normal 80 4 3" xfId="21579" xr:uid="{00000000-0005-0000-0000-000008C80000}"/>
    <cellStyle name="Normal 80 4 3 2" xfId="47132" xr:uid="{00000000-0005-0000-0000-000009C80000}"/>
    <cellStyle name="Normal 80 4 4" xfId="28062" xr:uid="{00000000-0005-0000-0000-00000AC80000}"/>
    <cellStyle name="Normal 80 5" xfId="10752" xr:uid="{00000000-0005-0000-0000-00000BC80000}"/>
    <cellStyle name="Normal 80 5 2" xfId="20061" xr:uid="{00000000-0005-0000-0000-00000CC80000}"/>
    <cellStyle name="Normal 80 5 2 2" xfId="45614" xr:uid="{00000000-0005-0000-0000-00000DC80000}"/>
    <cellStyle name="Normal 80 5 3" xfId="36308" xr:uid="{00000000-0005-0000-0000-00000EC80000}"/>
    <cellStyle name="Normal 80 6" xfId="8570" xr:uid="{00000000-0005-0000-0000-00000FC80000}"/>
    <cellStyle name="Normal 80 6 2" xfId="34127" xr:uid="{00000000-0005-0000-0000-000010C80000}"/>
    <cellStyle name="Normal 80 7" xfId="16572" xr:uid="{00000000-0005-0000-0000-000011C80000}"/>
    <cellStyle name="Normal 80 7 2" xfId="42125" xr:uid="{00000000-0005-0000-0000-000012C80000}"/>
    <cellStyle name="Normal 80 8" xfId="26544" xr:uid="{00000000-0005-0000-0000-000013C80000}"/>
    <cellStyle name="Normal 80 9" xfId="26010" xr:uid="{00000000-0005-0000-0000-000014C80000}"/>
    <cellStyle name="Normal 80 9 2" xfId="51563" xr:uid="{00000000-0005-0000-0000-000015C80000}"/>
    <cellStyle name="Normal 81" xfId="980" xr:uid="{00000000-0005-0000-0000-000016C80000}"/>
    <cellStyle name="Normal 81 2" xfId="3456" xr:uid="{00000000-0005-0000-0000-000017C80000}"/>
    <cellStyle name="Normal 81 2 2" xfId="12598" xr:uid="{00000000-0005-0000-0000-000018C80000}"/>
    <cellStyle name="Normal 81 2 2 2" xfId="22817" xr:uid="{00000000-0005-0000-0000-000019C80000}"/>
    <cellStyle name="Normal 81 2 2 2 2" xfId="48370" xr:uid="{00000000-0005-0000-0000-00001AC80000}"/>
    <cellStyle name="Normal 81 2 2 3" xfId="38153" xr:uid="{00000000-0005-0000-0000-00001BC80000}"/>
    <cellStyle name="Normal 81 2 3" xfId="9020" xr:uid="{00000000-0005-0000-0000-00001CC80000}"/>
    <cellStyle name="Normal 81 2 3 2" xfId="34577" xr:uid="{00000000-0005-0000-0000-00001DC80000}"/>
    <cellStyle name="Normal 81 2 4" xfId="17810" xr:uid="{00000000-0005-0000-0000-00001EC80000}"/>
    <cellStyle name="Normal 81 2 4 2" xfId="43363" xr:uid="{00000000-0005-0000-0000-00001FC80000}"/>
    <cellStyle name="Normal 81 2 5" xfId="29300" xr:uid="{00000000-0005-0000-0000-000020C80000}"/>
    <cellStyle name="Normal 81 3" xfId="4087" xr:uid="{00000000-0005-0000-0000-000021C80000}"/>
    <cellStyle name="Normal 81 3 2" xfId="12950" xr:uid="{00000000-0005-0000-0000-000022C80000}"/>
    <cellStyle name="Normal 81 3 2 2" xfId="23176" xr:uid="{00000000-0005-0000-0000-000023C80000}"/>
    <cellStyle name="Normal 81 3 2 2 2" xfId="48729" xr:uid="{00000000-0005-0000-0000-000024C80000}"/>
    <cellStyle name="Normal 81 3 2 3" xfId="38505" xr:uid="{00000000-0005-0000-0000-000025C80000}"/>
    <cellStyle name="Normal 81 3 3" xfId="9371" xr:uid="{00000000-0005-0000-0000-000026C80000}"/>
    <cellStyle name="Normal 81 3 3 2" xfId="34928" xr:uid="{00000000-0005-0000-0000-000027C80000}"/>
    <cellStyle name="Normal 81 3 4" xfId="18169" xr:uid="{00000000-0005-0000-0000-000028C80000}"/>
    <cellStyle name="Normal 81 3 4 2" xfId="43722" xr:uid="{00000000-0005-0000-0000-000029C80000}"/>
    <cellStyle name="Normal 81 3 5" xfId="29659" xr:uid="{00000000-0005-0000-0000-00002AC80000}"/>
    <cellStyle name="Normal 81 4" xfId="2565" xr:uid="{00000000-0005-0000-0000-00002BC80000}"/>
    <cellStyle name="Normal 81 4 2" xfId="11930" xr:uid="{00000000-0005-0000-0000-00002CC80000}"/>
    <cellStyle name="Normal 81 4 2 2" xfId="37485" xr:uid="{00000000-0005-0000-0000-00002DC80000}"/>
    <cellStyle name="Normal 81 4 3" xfId="21934" xr:uid="{00000000-0005-0000-0000-00002EC80000}"/>
    <cellStyle name="Normal 81 4 3 2" xfId="47487" xr:uid="{00000000-0005-0000-0000-00002FC80000}"/>
    <cellStyle name="Normal 81 4 4" xfId="28417" xr:uid="{00000000-0005-0000-0000-000030C80000}"/>
    <cellStyle name="Normal 81 5" xfId="10760" xr:uid="{00000000-0005-0000-0000-000031C80000}"/>
    <cellStyle name="Normal 81 5 2" xfId="20416" xr:uid="{00000000-0005-0000-0000-000032C80000}"/>
    <cellStyle name="Normal 81 5 2 2" xfId="45969" xr:uid="{00000000-0005-0000-0000-000033C80000}"/>
    <cellStyle name="Normal 81 5 3" xfId="36316" xr:uid="{00000000-0005-0000-0000-000034C80000}"/>
    <cellStyle name="Normal 81 6" xfId="8563" xr:uid="{00000000-0005-0000-0000-000035C80000}"/>
    <cellStyle name="Normal 81 6 2" xfId="34120" xr:uid="{00000000-0005-0000-0000-000036C80000}"/>
    <cellStyle name="Normal 81 7" xfId="16927" xr:uid="{00000000-0005-0000-0000-000037C80000}"/>
    <cellStyle name="Normal 81 7 2" xfId="42480" xr:uid="{00000000-0005-0000-0000-000038C80000}"/>
    <cellStyle name="Normal 81 8" xfId="26899" xr:uid="{00000000-0005-0000-0000-000039C80000}"/>
    <cellStyle name="Normal 82" xfId="981" xr:uid="{00000000-0005-0000-0000-00003AC80000}"/>
    <cellStyle name="Normal 82 2" xfId="3457" xr:uid="{00000000-0005-0000-0000-00003BC80000}"/>
    <cellStyle name="Normal 82 2 2" xfId="12599" xr:uid="{00000000-0005-0000-0000-00003CC80000}"/>
    <cellStyle name="Normal 82 2 2 2" xfId="22818" xr:uid="{00000000-0005-0000-0000-00003DC80000}"/>
    <cellStyle name="Normal 82 2 2 2 2" xfId="48371" xr:uid="{00000000-0005-0000-0000-00003EC80000}"/>
    <cellStyle name="Normal 82 2 2 3" xfId="38154" xr:uid="{00000000-0005-0000-0000-00003FC80000}"/>
    <cellStyle name="Normal 82 2 3" xfId="9021" xr:uid="{00000000-0005-0000-0000-000040C80000}"/>
    <cellStyle name="Normal 82 2 3 2" xfId="34578" xr:uid="{00000000-0005-0000-0000-000041C80000}"/>
    <cellStyle name="Normal 82 2 4" xfId="17811" xr:uid="{00000000-0005-0000-0000-000042C80000}"/>
    <cellStyle name="Normal 82 2 4 2" xfId="43364" xr:uid="{00000000-0005-0000-0000-000043C80000}"/>
    <cellStyle name="Normal 82 2 5" xfId="29301" xr:uid="{00000000-0005-0000-0000-000044C80000}"/>
    <cellStyle name="Normal 82 3" xfId="5487" xr:uid="{00000000-0005-0000-0000-000045C80000}"/>
    <cellStyle name="Normal 82 3 2" xfId="14323" xr:uid="{00000000-0005-0000-0000-000046C80000}"/>
    <cellStyle name="Normal 82 3 2 2" xfId="24574" xr:uid="{00000000-0005-0000-0000-000047C80000}"/>
    <cellStyle name="Normal 82 3 2 2 2" xfId="50127" xr:uid="{00000000-0005-0000-0000-000048C80000}"/>
    <cellStyle name="Normal 82 3 2 3" xfId="39878" xr:uid="{00000000-0005-0000-0000-000049C80000}"/>
    <cellStyle name="Normal 82 3 3" xfId="10744" xr:uid="{00000000-0005-0000-0000-00004AC80000}"/>
    <cellStyle name="Normal 82 3 3 2" xfId="36301" xr:uid="{00000000-0005-0000-0000-00004BC80000}"/>
    <cellStyle name="Normal 82 3 4" xfId="19567" xr:uid="{00000000-0005-0000-0000-00004CC80000}"/>
    <cellStyle name="Normal 82 3 4 2" xfId="45120" xr:uid="{00000000-0005-0000-0000-00004DC80000}"/>
    <cellStyle name="Normal 82 3 5" xfId="31057" xr:uid="{00000000-0005-0000-0000-00004EC80000}"/>
    <cellStyle name="Normal 82 4" xfId="2566" xr:uid="{00000000-0005-0000-0000-00004FC80000}"/>
    <cellStyle name="Normal 82 4 2" xfId="11931" xr:uid="{00000000-0005-0000-0000-000050C80000}"/>
    <cellStyle name="Normal 82 4 2 2" xfId="37486" xr:uid="{00000000-0005-0000-0000-000051C80000}"/>
    <cellStyle name="Normal 82 4 3" xfId="21935" xr:uid="{00000000-0005-0000-0000-000052C80000}"/>
    <cellStyle name="Normal 82 4 3 2" xfId="47488" xr:uid="{00000000-0005-0000-0000-000053C80000}"/>
    <cellStyle name="Normal 82 4 4" xfId="28418" xr:uid="{00000000-0005-0000-0000-000054C80000}"/>
    <cellStyle name="Normal 82 5" xfId="10761" xr:uid="{00000000-0005-0000-0000-000055C80000}"/>
    <cellStyle name="Normal 82 5 2" xfId="20417" xr:uid="{00000000-0005-0000-0000-000056C80000}"/>
    <cellStyle name="Normal 82 5 2 2" xfId="45970" xr:uid="{00000000-0005-0000-0000-000057C80000}"/>
    <cellStyle name="Normal 82 5 3" xfId="36317" xr:uid="{00000000-0005-0000-0000-000058C80000}"/>
    <cellStyle name="Normal 82 6" xfId="8502" xr:uid="{00000000-0005-0000-0000-000059C80000}"/>
    <cellStyle name="Normal 82 6 2" xfId="34059" xr:uid="{00000000-0005-0000-0000-00005AC80000}"/>
    <cellStyle name="Normal 82 7" xfId="16928" xr:uid="{00000000-0005-0000-0000-00005BC80000}"/>
    <cellStyle name="Normal 82 7 2" xfId="42481" xr:uid="{00000000-0005-0000-0000-00005CC80000}"/>
    <cellStyle name="Normal 82 8" xfId="26900" xr:uid="{00000000-0005-0000-0000-00005DC80000}"/>
    <cellStyle name="Normal 83" xfId="52" xr:uid="{00000000-0005-0000-0000-00005EC80000}"/>
    <cellStyle name="Normal 84" xfId="53" xr:uid="{00000000-0005-0000-0000-00005FC80000}"/>
    <cellStyle name="Normal 85" xfId="616" xr:uid="{00000000-0005-0000-0000-000060C80000}"/>
    <cellStyle name="Normal 85 2" xfId="3102" xr:uid="{00000000-0005-0000-0000-000061C80000}"/>
    <cellStyle name="Normal 85 2 2" xfId="12245" xr:uid="{00000000-0005-0000-0000-000062C80000}"/>
    <cellStyle name="Normal 85 2 2 2" xfId="22463" xr:uid="{00000000-0005-0000-0000-000063C80000}"/>
    <cellStyle name="Normal 85 2 2 2 2" xfId="48016" xr:uid="{00000000-0005-0000-0000-000064C80000}"/>
    <cellStyle name="Normal 85 2 2 3" xfId="37800" xr:uid="{00000000-0005-0000-0000-000065C80000}"/>
    <cellStyle name="Normal 85 2 3" xfId="8667" xr:uid="{00000000-0005-0000-0000-000066C80000}"/>
    <cellStyle name="Normal 85 2 3 2" xfId="34224" xr:uid="{00000000-0005-0000-0000-000067C80000}"/>
    <cellStyle name="Normal 85 2 4" xfId="17456" xr:uid="{00000000-0005-0000-0000-000068C80000}"/>
    <cellStyle name="Normal 85 2 4 2" xfId="43009" xr:uid="{00000000-0005-0000-0000-000069C80000}"/>
    <cellStyle name="Normal 85 2 5" xfId="28946" xr:uid="{00000000-0005-0000-0000-00006AC80000}"/>
    <cellStyle name="Normal 85 3" xfId="5479" xr:uid="{00000000-0005-0000-0000-00006BC80000}"/>
    <cellStyle name="Normal 85 3 2" xfId="14316" xr:uid="{00000000-0005-0000-0000-00006CC80000}"/>
    <cellStyle name="Normal 85 3 2 2" xfId="24567" xr:uid="{00000000-0005-0000-0000-00006DC80000}"/>
    <cellStyle name="Normal 85 3 2 2 2" xfId="50120" xr:uid="{00000000-0005-0000-0000-00006EC80000}"/>
    <cellStyle name="Normal 85 3 2 3" xfId="39871" xr:uid="{00000000-0005-0000-0000-00006FC80000}"/>
    <cellStyle name="Normal 85 3 3" xfId="10737" xr:uid="{00000000-0005-0000-0000-000070C80000}"/>
    <cellStyle name="Normal 85 3 3 2" xfId="36294" xr:uid="{00000000-0005-0000-0000-000071C80000}"/>
    <cellStyle name="Normal 85 3 4" xfId="19560" xr:uid="{00000000-0005-0000-0000-000072C80000}"/>
    <cellStyle name="Normal 85 3 4 2" xfId="45113" xr:uid="{00000000-0005-0000-0000-000073C80000}"/>
    <cellStyle name="Normal 85 3 5" xfId="31050" xr:uid="{00000000-0005-0000-0000-000074C80000}"/>
    <cellStyle name="Normal 85 4" xfId="2211" xr:uid="{00000000-0005-0000-0000-000075C80000}"/>
    <cellStyle name="Normal 85 4 2" xfId="11576" xr:uid="{00000000-0005-0000-0000-000076C80000}"/>
    <cellStyle name="Normal 85 4 2 2" xfId="37131" xr:uid="{00000000-0005-0000-0000-000077C80000}"/>
    <cellStyle name="Normal 85 4 3" xfId="21580" xr:uid="{00000000-0005-0000-0000-000078C80000}"/>
    <cellStyle name="Normal 85 4 3 2" xfId="47133" xr:uid="{00000000-0005-0000-0000-000079C80000}"/>
    <cellStyle name="Normal 85 4 4" xfId="28063" xr:uid="{00000000-0005-0000-0000-00007AC80000}"/>
    <cellStyle name="Normal 85 5" xfId="10753" xr:uid="{00000000-0005-0000-0000-00007BC80000}"/>
    <cellStyle name="Normal 85 5 2" xfId="20062" xr:uid="{00000000-0005-0000-0000-00007CC80000}"/>
    <cellStyle name="Normal 85 5 2 2" xfId="45615" xr:uid="{00000000-0005-0000-0000-00007DC80000}"/>
    <cellStyle name="Normal 85 5 3" xfId="36309" xr:uid="{00000000-0005-0000-0000-00007EC80000}"/>
    <cellStyle name="Normal 85 6" xfId="8631" xr:uid="{00000000-0005-0000-0000-00007FC80000}"/>
    <cellStyle name="Normal 85 6 2" xfId="34188" xr:uid="{00000000-0005-0000-0000-000080C80000}"/>
    <cellStyle name="Normal 85 7" xfId="16573" xr:uid="{00000000-0005-0000-0000-000081C80000}"/>
    <cellStyle name="Normal 85 7 2" xfId="42126" xr:uid="{00000000-0005-0000-0000-000082C80000}"/>
    <cellStyle name="Normal 85 8" xfId="26545" xr:uid="{00000000-0005-0000-0000-000083C80000}"/>
    <cellStyle name="Normal 86" xfId="54" xr:uid="{00000000-0005-0000-0000-000084C80000}"/>
    <cellStyle name="Normal 87" xfId="612" xr:uid="{00000000-0005-0000-0000-000085C80000}"/>
    <cellStyle name="Normal 87 2" xfId="3098" xr:uid="{00000000-0005-0000-0000-000086C80000}"/>
    <cellStyle name="Normal 87 2 2" xfId="12241" xr:uid="{00000000-0005-0000-0000-000087C80000}"/>
    <cellStyle name="Normal 87 2 2 2" xfId="22459" xr:uid="{00000000-0005-0000-0000-000088C80000}"/>
    <cellStyle name="Normal 87 2 2 2 2" xfId="48012" xr:uid="{00000000-0005-0000-0000-000089C80000}"/>
    <cellStyle name="Normal 87 2 2 3" xfId="37796" xr:uid="{00000000-0005-0000-0000-00008AC80000}"/>
    <cellStyle name="Normal 87 2 3" xfId="8663" xr:uid="{00000000-0005-0000-0000-00008BC80000}"/>
    <cellStyle name="Normal 87 2 3 2" xfId="34220" xr:uid="{00000000-0005-0000-0000-00008CC80000}"/>
    <cellStyle name="Normal 87 2 4" xfId="17452" xr:uid="{00000000-0005-0000-0000-00008DC80000}"/>
    <cellStyle name="Normal 87 2 4 2" xfId="43005" xr:uid="{00000000-0005-0000-0000-00008EC80000}"/>
    <cellStyle name="Normal 87 2 5" xfId="28942" xr:uid="{00000000-0005-0000-0000-00008FC80000}"/>
    <cellStyle name="Normal 87 3" xfId="5488" xr:uid="{00000000-0005-0000-0000-000090C80000}"/>
    <cellStyle name="Normal 87 3 2" xfId="14324" xr:uid="{00000000-0005-0000-0000-000091C80000}"/>
    <cellStyle name="Normal 87 3 2 2" xfId="24575" xr:uid="{00000000-0005-0000-0000-000092C80000}"/>
    <cellStyle name="Normal 87 3 2 2 2" xfId="50128" xr:uid="{00000000-0005-0000-0000-000093C80000}"/>
    <cellStyle name="Normal 87 3 2 3" xfId="39879" xr:uid="{00000000-0005-0000-0000-000094C80000}"/>
    <cellStyle name="Normal 87 3 3" xfId="10745" xr:uid="{00000000-0005-0000-0000-000095C80000}"/>
    <cellStyle name="Normal 87 3 3 2" xfId="36302" xr:uid="{00000000-0005-0000-0000-000096C80000}"/>
    <cellStyle name="Normal 87 3 4" xfId="19568" xr:uid="{00000000-0005-0000-0000-000097C80000}"/>
    <cellStyle name="Normal 87 3 4 2" xfId="45121" xr:uid="{00000000-0005-0000-0000-000098C80000}"/>
    <cellStyle name="Normal 87 3 5" xfId="31058" xr:uid="{00000000-0005-0000-0000-000099C80000}"/>
    <cellStyle name="Normal 87 4" xfId="2207" xr:uid="{00000000-0005-0000-0000-00009AC80000}"/>
    <cellStyle name="Normal 87 4 2" xfId="11572" xr:uid="{00000000-0005-0000-0000-00009BC80000}"/>
    <cellStyle name="Normal 87 4 2 2" xfId="37127" xr:uid="{00000000-0005-0000-0000-00009CC80000}"/>
    <cellStyle name="Normal 87 4 3" xfId="21576" xr:uid="{00000000-0005-0000-0000-00009DC80000}"/>
    <cellStyle name="Normal 87 4 3 2" xfId="47129" xr:uid="{00000000-0005-0000-0000-00009EC80000}"/>
    <cellStyle name="Normal 87 4 4" xfId="28059" xr:uid="{00000000-0005-0000-0000-00009FC80000}"/>
    <cellStyle name="Normal 87 5" xfId="10749" xr:uid="{00000000-0005-0000-0000-0000A0C80000}"/>
    <cellStyle name="Normal 87 5 2" xfId="20058" xr:uid="{00000000-0005-0000-0000-0000A1C80000}"/>
    <cellStyle name="Normal 87 5 2 2" xfId="45611" xr:uid="{00000000-0005-0000-0000-0000A2C80000}"/>
    <cellStyle name="Normal 87 5 3" xfId="36305" xr:uid="{00000000-0005-0000-0000-0000A3C80000}"/>
    <cellStyle name="Normal 87 6" xfId="8590" xr:uid="{00000000-0005-0000-0000-0000A4C80000}"/>
    <cellStyle name="Normal 87 6 2" xfId="34147" xr:uid="{00000000-0005-0000-0000-0000A5C80000}"/>
    <cellStyle name="Normal 87 7" xfId="16569" xr:uid="{00000000-0005-0000-0000-0000A6C80000}"/>
    <cellStyle name="Normal 87 7 2" xfId="42122" xr:uid="{00000000-0005-0000-0000-0000A7C80000}"/>
    <cellStyle name="Normal 87 8" xfId="26541" xr:uid="{00000000-0005-0000-0000-0000A8C80000}"/>
    <cellStyle name="Normal 88" xfId="1036" xr:uid="{00000000-0005-0000-0000-0000A9C80000}"/>
    <cellStyle name="Normal 89" xfId="4081" xr:uid="{00000000-0005-0000-0000-0000AAC80000}"/>
    <cellStyle name="Normal 9" xfId="15" xr:uid="{00000000-0005-0000-0000-0000ABC80000}"/>
    <cellStyle name="Normal 9 2" xfId="289" xr:uid="{00000000-0005-0000-0000-0000ACC80000}"/>
    <cellStyle name="Normal 9 2 10" xfId="16075" xr:uid="{00000000-0005-0000-0000-0000ADC80000}"/>
    <cellStyle name="Normal 9 2 10 2" xfId="41628" xr:uid="{00000000-0005-0000-0000-0000AEC80000}"/>
    <cellStyle name="Normal 9 2 11" xfId="26221" xr:uid="{00000000-0005-0000-0000-0000AFC80000}"/>
    <cellStyle name="Normal 9 2 2" xfId="609" xr:uid="{00000000-0005-0000-0000-0000B0C80000}"/>
    <cellStyle name="Normal 9 2 2 2" xfId="3095" xr:uid="{00000000-0005-0000-0000-0000B1C80000}"/>
    <cellStyle name="Normal 9 2 2 2 2" xfId="12238" xr:uid="{00000000-0005-0000-0000-0000B2C80000}"/>
    <cellStyle name="Normal 9 2 2 2 2 2" xfId="22456" xr:uid="{00000000-0005-0000-0000-0000B3C80000}"/>
    <cellStyle name="Normal 9 2 2 2 2 2 2" xfId="48009" xr:uid="{00000000-0005-0000-0000-0000B4C80000}"/>
    <cellStyle name="Normal 9 2 2 2 2 3" xfId="37793" xr:uid="{00000000-0005-0000-0000-0000B5C80000}"/>
    <cellStyle name="Normal 9 2 2 2 3" xfId="8660" xr:uid="{00000000-0005-0000-0000-0000B6C80000}"/>
    <cellStyle name="Normal 9 2 2 2 3 2" xfId="34217" xr:uid="{00000000-0005-0000-0000-0000B7C80000}"/>
    <cellStyle name="Normal 9 2 2 2 4" xfId="17449" xr:uid="{00000000-0005-0000-0000-0000B8C80000}"/>
    <cellStyle name="Normal 9 2 2 2 4 2" xfId="43002" xr:uid="{00000000-0005-0000-0000-0000B9C80000}"/>
    <cellStyle name="Normal 9 2 2 2 5" xfId="28939" xr:uid="{00000000-0005-0000-0000-0000BAC80000}"/>
    <cellStyle name="Normal 9 2 2 3" xfId="4780" xr:uid="{00000000-0005-0000-0000-0000BBC80000}"/>
    <cellStyle name="Normal 9 2 2 3 2" xfId="13617" xr:uid="{00000000-0005-0000-0000-0000BCC80000}"/>
    <cellStyle name="Normal 9 2 2 3 2 2" xfId="23868" xr:uid="{00000000-0005-0000-0000-0000BDC80000}"/>
    <cellStyle name="Normal 9 2 2 3 2 2 2" xfId="49421" xr:uid="{00000000-0005-0000-0000-0000BEC80000}"/>
    <cellStyle name="Normal 9 2 2 3 2 3" xfId="39172" xr:uid="{00000000-0005-0000-0000-0000BFC80000}"/>
    <cellStyle name="Normal 9 2 2 3 3" xfId="10038" xr:uid="{00000000-0005-0000-0000-0000C0C80000}"/>
    <cellStyle name="Normal 9 2 2 3 3 2" xfId="35595" xr:uid="{00000000-0005-0000-0000-0000C1C80000}"/>
    <cellStyle name="Normal 9 2 2 3 4" xfId="18861" xr:uid="{00000000-0005-0000-0000-0000C2C80000}"/>
    <cellStyle name="Normal 9 2 2 3 4 2" xfId="44414" xr:uid="{00000000-0005-0000-0000-0000C3C80000}"/>
    <cellStyle name="Normal 9 2 2 3 5" xfId="30351" xr:uid="{00000000-0005-0000-0000-0000C4C80000}"/>
    <cellStyle name="Normal 9 2 2 4" xfId="2204" xr:uid="{00000000-0005-0000-0000-0000C5C80000}"/>
    <cellStyle name="Normal 9 2 2 4 2" xfId="11569" xr:uid="{00000000-0005-0000-0000-0000C6C80000}"/>
    <cellStyle name="Normal 9 2 2 4 2 2" xfId="37124" xr:uid="{00000000-0005-0000-0000-0000C7C80000}"/>
    <cellStyle name="Normal 9 2 2 4 3" xfId="21573" xr:uid="{00000000-0005-0000-0000-0000C8C80000}"/>
    <cellStyle name="Normal 9 2 2 4 3 2" xfId="47126" xr:uid="{00000000-0005-0000-0000-0000C9C80000}"/>
    <cellStyle name="Normal 9 2 2 4 4" xfId="28056" xr:uid="{00000000-0005-0000-0000-0000CAC80000}"/>
    <cellStyle name="Normal 9 2 2 5" xfId="6235" xr:uid="{00000000-0005-0000-0000-0000CBC80000}"/>
    <cellStyle name="Normal 9 2 2 5 2" xfId="15062" xr:uid="{00000000-0005-0000-0000-0000CCC80000}"/>
    <cellStyle name="Normal 9 2 2 5 2 2" xfId="40617" xr:uid="{00000000-0005-0000-0000-0000CDC80000}"/>
    <cellStyle name="Normal 9 2 2 5 3" xfId="25313" xr:uid="{00000000-0005-0000-0000-0000CEC80000}"/>
    <cellStyle name="Normal 9 2 2 5 3 2" xfId="50866" xr:uid="{00000000-0005-0000-0000-0000CFC80000}"/>
    <cellStyle name="Normal 9 2 2 5 4" xfId="31796" xr:uid="{00000000-0005-0000-0000-0000D0C80000}"/>
    <cellStyle name="Normal 9 2 2 6" xfId="7681" xr:uid="{00000000-0005-0000-0000-0000D1C80000}"/>
    <cellStyle name="Normal 9 2 2 6 2" xfId="20055" xr:uid="{00000000-0005-0000-0000-0000D2C80000}"/>
    <cellStyle name="Normal 9 2 2 6 2 2" xfId="45608" xr:uid="{00000000-0005-0000-0000-0000D3C80000}"/>
    <cellStyle name="Normal 9 2 2 6 3" xfId="33238" xr:uid="{00000000-0005-0000-0000-0000D4C80000}"/>
    <cellStyle name="Normal 9 2 2 7" xfId="16566" xr:uid="{00000000-0005-0000-0000-0000D5C80000}"/>
    <cellStyle name="Normal 9 2 2 7 2" xfId="42119" xr:uid="{00000000-0005-0000-0000-0000D6C80000}"/>
    <cellStyle name="Normal 9 2 2 8" xfId="26538" xr:uid="{00000000-0005-0000-0000-0000D7C80000}"/>
    <cellStyle name="Normal 9 2 3" xfId="982" xr:uid="{00000000-0005-0000-0000-0000D8C80000}"/>
    <cellStyle name="Normal 9 2 3 2" xfId="3458" xr:uid="{00000000-0005-0000-0000-0000D9C80000}"/>
    <cellStyle name="Normal 9 2 3 2 2" xfId="12600" xr:uid="{00000000-0005-0000-0000-0000DAC80000}"/>
    <cellStyle name="Normal 9 2 3 2 2 2" xfId="22819" xr:uid="{00000000-0005-0000-0000-0000DBC80000}"/>
    <cellStyle name="Normal 9 2 3 2 2 2 2" xfId="48372" xr:uid="{00000000-0005-0000-0000-0000DCC80000}"/>
    <cellStyle name="Normal 9 2 3 2 2 3" xfId="38155" xr:uid="{00000000-0005-0000-0000-0000DDC80000}"/>
    <cellStyle name="Normal 9 2 3 2 3" xfId="9022" xr:uid="{00000000-0005-0000-0000-0000DEC80000}"/>
    <cellStyle name="Normal 9 2 3 2 3 2" xfId="34579" xr:uid="{00000000-0005-0000-0000-0000DFC80000}"/>
    <cellStyle name="Normal 9 2 3 2 4" xfId="17812" xr:uid="{00000000-0005-0000-0000-0000E0C80000}"/>
    <cellStyle name="Normal 9 2 3 2 4 2" xfId="43365" xr:uid="{00000000-0005-0000-0000-0000E1C80000}"/>
    <cellStyle name="Normal 9 2 3 2 5" xfId="29302" xr:uid="{00000000-0005-0000-0000-0000E2C80000}"/>
    <cellStyle name="Normal 9 2 3 3" xfId="5128" xr:uid="{00000000-0005-0000-0000-0000E3C80000}"/>
    <cellStyle name="Normal 9 2 3 3 2" xfId="13965" xr:uid="{00000000-0005-0000-0000-0000E4C80000}"/>
    <cellStyle name="Normal 9 2 3 3 2 2" xfId="24216" xr:uid="{00000000-0005-0000-0000-0000E5C80000}"/>
    <cellStyle name="Normal 9 2 3 3 2 2 2" xfId="49769" xr:uid="{00000000-0005-0000-0000-0000E6C80000}"/>
    <cellStyle name="Normal 9 2 3 3 2 3" xfId="39520" xr:uid="{00000000-0005-0000-0000-0000E7C80000}"/>
    <cellStyle name="Normal 9 2 3 3 3" xfId="10386" xr:uid="{00000000-0005-0000-0000-0000E8C80000}"/>
    <cellStyle name="Normal 9 2 3 3 3 2" xfId="35943" xr:uid="{00000000-0005-0000-0000-0000E9C80000}"/>
    <cellStyle name="Normal 9 2 3 3 4" xfId="19209" xr:uid="{00000000-0005-0000-0000-0000EAC80000}"/>
    <cellStyle name="Normal 9 2 3 3 4 2" xfId="44762" xr:uid="{00000000-0005-0000-0000-0000EBC80000}"/>
    <cellStyle name="Normal 9 2 3 3 5" xfId="30699" xr:uid="{00000000-0005-0000-0000-0000ECC80000}"/>
    <cellStyle name="Normal 9 2 3 4" xfId="2567" xr:uid="{00000000-0005-0000-0000-0000EDC80000}"/>
    <cellStyle name="Normal 9 2 3 4 2" xfId="11932" xr:uid="{00000000-0005-0000-0000-0000EEC80000}"/>
    <cellStyle name="Normal 9 2 3 4 2 2" xfId="37487" xr:uid="{00000000-0005-0000-0000-0000EFC80000}"/>
    <cellStyle name="Normal 9 2 3 4 3" xfId="21936" xr:uid="{00000000-0005-0000-0000-0000F0C80000}"/>
    <cellStyle name="Normal 9 2 3 4 3 2" xfId="47489" xr:uid="{00000000-0005-0000-0000-0000F1C80000}"/>
    <cellStyle name="Normal 9 2 3 4 4" xfId="28419" xr:uid="{00000000-0005-0000-0000-0000F2C80000}"/>
    <cellStyle name="Normal 9 2 3 5" xfId="6583" xr:uid="{00000000-0005-0000-0000-0000F3C80000}"/>
    <cellStyle name="Normal 9 2 3 5 2" xfId="15410" xr:uid="{00000000-0005-0000-0000-0000F4C80000}"/>
    <cellStyle name="Normal 9 2 3 5 2 2" xfId="40965" xr:uid="{00000000-0005-0000-0000-0000F5C80000}"/>
    <cellStyle name="Normal 9 2 3 5 3" xfId="25661" xr:uid="{00000000-0005-0000-0000-0000F6C80000}"/>
    <cellStyle name="Normal 9 2 3 5 3 2" xfId="51214" xr:uid="{00000000-0005-0000-0000-0000F7C80000}"/>
    <cellStyle name="Normal 9 2 3 5 4" xfId="32144" xr:uid="{00000000-0005-0000-0000-0000F8C80000}"/>
    <cellStyle name="Normal 9 2 3 6" xfId="8029" xr:uid="{00000000-0005-0000-0000-0000F9C80000}"/>
    <cellStyle name="Normal 9 2 3 6 2" xfId="20418" xr:uid="{00000000-0005-0000-0000-0000FAC80000}"/>
    <cellStyle name="Normal 9 2 3 6 2 2" xfId="45971" xr:uid="{00000000-0005-0000-0000-0000FBC80000}"/>
    <cellStyle name="Normal 9 2 3 6 3" xfId="33586" xr:uid="{00000000-0005-0000-0000-0000FCC80000}"/>
    <cellStyle name="Normal 9 2 3 7" xfId="16929" xr:uid="{00000000-0005-0000-0000-0000FDC80000}"/>
    <cellStyle name="Normal 9 2 3 7 2" xfId="42482" xr:uid="{00000000-0005-0000-0000-0000FEC80000}"/>
    <cellStyle name="Normal 9 2 3 8" xfId="26901" xr:uid="{00000000-0005-0000-0000-0000FFC80000}"/>
    <cellStyle name="Normal 9 2 4" xfId="1381" xr:uid="{00000000-0005-0000-0000-000000C90000}"/>
    <cellStyle name="Normal 9 2 4 2" xfId="3810" xr:uid="{00000000-0005-0000-0000-000001C90000}"/>
    <cellStyle name="Normal 9 2 4 2 2" xfId="12946" xr:uid="{00000000-0005-0000-0000-000002C90000}"/>
    <cellStyle name="Normal 9 2 4 2 2 2" xfId="23165" xr:uid="{00000000-0005-0000-0000-000003C90000}"/>
    <cellStyle name="Normal 9 2 4 2 2 2 2" xfId="48718" xr:uid="{00000000-0005-0000-0000-000004C90000}"/>
    <cellStyle name="Normal 9 2 4 2 2 3" xfId="38501" xr:uid="{00000000-0005-0000-0000-000005C90000}"/>
    <cellStyle name="Normal 9 2 4 2 3" xfId="9367" xr:uid="{00000000-0005-0000-0000-000006C90000}"/>
    <cellStyle name="Normal 9 2 4 2 3 2" xfId="34924" xr:uid="{00000000-0005-0000-0000-000007C90000}"/>
    <cellStyle name="Normal 9 2 4 2 4" xfId="18158" xr:uid="{00000000-0005-0000-0000-000008C90000}"/>
    <cellStyle name="Normal 9 2 4 2 4 2" xfId="43711" xr:uid="{00000000-0005-0000-0000-000009C90000}"/>
    <cellStyle name="Normal 9 2 4 2 5" xfId="29648" xr:uid="{00000000-0005-0000-0000-00000AC90000}"/>
    <cellStyle name="Normal 9 2 4 3" xfId="5473" xr:uid="{00000000-0005-0000-0000-00000BC90000}"/>
    <cellStyle name="Normal 9 2 4 3 2" xfId="14310" xr:uid="{00000000-0005-0000-0000-00000CC90000}"/>
    <cellStyle name="Normal 9 2 4 3 2 2" xfId="24561" xr:uid="{00000000-0005-0000-0000-00000DC90000}"/>
    <cellStyle name="Normal 9 2 4 3 2 2 2" xfId="50114" xr:uid="{00000000-0005-0000-0000-00000EC90000}"/>
    <cellStyle name="Normal 9 2 4 3 2 3" xfId="39865" xr:uid="{00000000-0005-0000-0000-00000FC90000}"/>
    <cellStyle name="Normal 9 2 4 3 3" xfId="10731" xr:uid="{00000000-0005-0000-0000-000010C90000}"/>
    <cellStyle name="Normal 9 2 4 3 3 2" xfId="36288" xr:uid="{00000000-0005-0000-0000-000011C90000}"/>
    <cellStyle name="Normal 9 2 4 3 4" xfId="19554" xr:uid="{00000000-0005-0000-0000-000012C90000}"/>
    <cellStyle name="Normal 9 2 4 3 4 2" xfId="45107" xr:uid="{00000000-0005-0000-0000-000013C90000}"/>
    <cellStyle name="Normal 9 2 4 3 5" xfId="31044" xr:uid="{00000000-0005-0000-0000-000014C90000}"/>
    <cellStyle name="Normal 9 2 4 4" xfId="1885" xr:uid="{00000000-0005-0000-0000-000015C90000}"/>
    <cellStyle name="Normal 9 2 4 4 2" xfId="11252" xr:uid="{00000000-0005-0000-0000-000016C90000}"/>
    <cellStyle name="Normal 9 2 4 4 2 2" xfId="36807" xr:uid="{00000000-0005-0000-0000-000017C90000}"/>
    <cellStyle name="Normal 9 2 4 4 3" xfId="21256" xr:uid="{00000000-0005-0000-0000-000018C90000}"/>
    <cellStyle name="Normal 9 2 4 4 3 2" xfId="46809" xr:uid="{00000000-0005-0000-0000-000019C90000}"/>
    <cellStyle name="Normal 9 2 4 4 4" xfId="27739" xr:uid="{00000000-0005-0000-0000-00001AC90000}"/>
    <cellStyle name="Normal 9 2 4 5" xfId="6928" xr:uid="{00000000-0005-0000-0000-00001BC90000}"/>
    <cellStyle name="Normal 9 2 4 5 2" xfId="15755" xr:uid="{00000000-0005-0000-0000-00001CC90000}"/>
    <cellStyle name="Normal 9 2 4 5 2 2" xfId="41310" xr:uid="{00000000-0005-0000-0000-00001DC90000}"/>
    <cellStyle name="Normal 9 2 4 5 3" xfId="26006" xr:uid="{00000000-0005-0000-0000-00001EC90000}"/>
    <cellStyle name="Normal 9 2 4 5 3 2" xfId="51559" xr:uid="{00000000-0005-0000-0000-00001FC90000}"/>
    <cellStyle name="Normal 9 2 4 5 4" xfId="32489" xr:uid="{00000000-0005-0000-0000-000020C90000}"/>
    <cellStyle name="Normal 9 2 4 6" xfId="8374" xr:uid="{00000000-0005-0000-0000-000021C90000}"/>
    <cellStyle name="Normal 9 2 4 6 2" xfId="20764" xr:uid="{00000000-0005-0000-0000-000022C90000}"/>
    <cellStyle name="Normal 9 2 4 6 2 2" xfId="46317" xr:uid="{00000000-0005-0000-0000-000023C90000}"/>
    <cellStyle name="Normal 9 2 4 6 3" xfId="33931" xr:uid="{00000000-0005-0000-0000-000024C90000}"/>
    <cellStyle name="Normal 9 2 4 7" xfId="16249" xr:uid="{00000000-0005-0000-0000-000025C90000}"/>
    <cellStyle name="Normal 9 2 4 7 2" xfId="41802" xr:uid="{00000000-0005-0000-0000-000026C90000}"/>
    <cellStyle name="Normal 9 2 4 8" xfId="27247" xr:uid="{00000000-0005-0000-0000-000027C90000}"/>
    <cellStyle name="Normal 9 2 5" xfId="2778" xr:uid="{00000000-0005-0000-0000-000028C90000}"/>
    <cellStyle name="Normal 9 2 5 2" xfId="12095" xr:uid="{00000000-0005-0000-0000-000029C90000}"/>
    <cellStyle name="Normal 9 2 5 2 2" xfId="22139" xr:uid="{00000000-0005-0000-0000-00002AC90000}"/>
    <cellStyle name="Normal 9 2 5 2 2 2" xfId="47692" xr:uid="{00000000-0005-0000-0000-00002BC90000}"/>
    <cellStyle name="Normal 9 2 5 2 3" xfId="37650" xr:uid="{00000000-0005-0000-0000-00002CC90000}"/>
    <cellStyle name="Normal 9 2 5 3" xfId="8420" xr:uid="{00000000-0005-0000-0000-00002DC90000}"/>
    <cellStyle name="Normal 9 2 5 3 2" xfId="33977" xr:uid="{00000000-0005-0000-0000-00002EC90000}"/>
    <cellStyle name="Normal 9 2 5 4" xfId="17132" xr:uid="{00000000-0005-0000-0000-00002FC90000}"/>
    <cellStyle name="Normal 9 2 5 4 2" xfId="42685" xr:uid="{00000000-0005-0000-0000-000030C90000}"/>
    <cellStyle name="Normal 9 2 5 5" xfId="28622" xr:uid="{00000000-0005-0000-0000-000031C90000}"/>
    <cellStyle name="Normal 9 2 6" xfId="4429" xr:uid="{00000000-0005-0000-0000-000032C90000}"/>
    <cellStyle name="Normal 9 2 6 2" xfId="13267" xr:uid="{00000000-0005-0000-0000-000033C90000}"/>
    <cellStyle name="Normal 9 2 6 2 2" xfId="23518" xr:uid="{00000000-0005-0000-0000-000034C90000}"/>
    <cellStyle name="Normal 9 2 6 2 2 2" xfId="49071" xr:uid="{00000000-0005-0000-0000-000035C90000}"/>
    <cellStyle name="Normal 9 2 6 2 3" xfId="38822" xr:uid="{00000000-0005-0000-0000-000036C90000}"/>
    <cellStyle name="Normal 9 2 6 3" xfId="9688" xr:uid="{00000000-0005-0000-0000-000037C90000}"/>
    <cellStyle name="Normal 9 2 6 3 2" xfId="35245" xr:uid="{00000000-0005-0000-0000-000038C90000}"/>
    <cellStyle name="Normal 9 2 6 4" xfId="18511" xr:uid="{00000000-0005-0000-0000-000039C90000}"/>
    <cellStyle name="Normal 9 2 6 4 2" xfId="44064" xr:uid="{00000000-0005-0000-0000-00003AC90000}"/>
    <cellStyle name="Normal 9 2 6 5" xfId="30001" xr:uid="{00000000-0005-0000-0000-00003BC90000}"/>
    <cellStyle name="Normal 9 2 7" xfId="1701" xr:uid="{00000000-0005-0000-0000-00003CC90000}"/>
    <cellStyle name="Normal 9 2 7 2" xfId="11078" xr:uid="{00000000-0005-0000-0000-00003DC90000}"/>
    <cellStyle name="Normal 9 2 7 2 2" xfId="36633" xr:uid="{00000000-0005-0000-0000-00003EC90000}"/>
    <cellStyle name="Normal 9 2 7 3" xfId="21082" xr:uid="{00000000-0005-0000-0000-00003FC90000}"/>
    <cellStyle name="Normal 9 2 7 3 2" xfId="46635" xr:uid="{00000000-0005-0000-0000-000040C90000}"/>
    <cellStyle name="Normal 9 2 7 4" xfId="27565" xr:uid="{00000000-0005-0000-0000-000041C90000}"/>
    <cellStyle name="Normal 9 2 8" xfId="5885" xr:uid="{00000000-0005-0000-0000-000042C90000}"/>
    <cellStyle name="Normal 9 2 8 2" xfId="14712" xr:uid="{00000000-0005-0000-0000-000043C90000}"/>
    <cellStyle name="Normal 9 2 8 2 2" xfId="40267" xr:uid="{00000000-0005-0000-0000-000044C90000}"/>
    <cellStyle name="Normal 9 2 8 3" xfId="24963" xr:uid="{00000000-0005-0000-0000-000045C90000}"/>
    <cellStyle name="Normal 9 2 8 3 2" xfId="50516" xr:uid="{00000000-0005-0000-0000-000046C90000}"/>
    <cellStyle name="Normal 9 2 8 4" xfId="31446" xr:uid="{00000000-0005-0000-0000-000047C90000}"/>
    <cellStyle name="Normal 9 2 9" xfId="7329" xr:uid="{00000000-0005-0000-0000-000048C90000}"/>
    <cellStyle name="Normal 9 2 9 2" xfId="19738" xr:uid="{00000000-0005-0000-0000-000049C90000}"/>
    <cellStyle name="Normal 9 2 9 2 2" xfId="45291" xr:uid="{00000000-0005-0000-0000-00004AC90000}"/>
    <cellStyle name="Normal 9 2 9 3" xfId="32886" xr:uid="{00000000-0005-0000-0000-00004BC90000}"/>
    <cellStyle name="Normal 9 2_Degree data" xfId="4080" xr:uid="{00000000-0005-0000-0000-00004CC90000}"/>
    <cellStyle name="Normal 90" xfId="4745" xr:uid="{00000000-0005-0000-0000-00004DC90000}"/>
    <cellStyle name="Normal 91" xfId="5482" xr:uid="{00000000-0005-0000-0000-00004EC90000}"/>
    <cellStyle name="Normal 92" xfId="1385" xr:uid="{00000000-0005-0000-0000-00004FC90000}"/>
    <cellStyle name="Normal 93" xfId="2569" xr:uid="{00000000-0005-0000-0000-000050C90000}"/>
    <cellStyle name="Normal 94" xfId="5490" xr:uid="{00000000-0005-0000-0000-000051C90000}"/>
    <cellStyle name="Normal 95" xfId="5489" xr:uid="{00000000-0005-0000-0000-000052C90000}"/>
    <cellStyle name="Normal 96" xfId="5494" xr:uid="{00000000-0005-0000-0000-000053C90000}"/>
    <cellStyle name="Normal 97" xfId="5495" xr:uid="{00000000-0005-0000-0000-000054C90000}"/>
    <cellStyle name="Normal 98" xfId="55" xr:uid="{00000000-0005-0000-0000-000055C90000}"/>
    <cellStyle name="Normal 99" xfId="5497" xr:uid="{00000000-0005-0000-0000-000056C90000}"/>
    <cellStyle name="Note 2" xfId="983" xr:uid="{00000000-0005-0000-0000-00005EC90000}"/>
    <cellStyle name="Note 2 10" xfId="26902" xr:uid="{00000000-0005-0000-0000-00005FC90000}"/>
    <cellStyle name="Note 2 2" xfId="1023" xr:uid="{00000000-0005-0000-0000-000060C90000}"/>
    <cellStyle name="Note 2 3" xfId="1030" xr:uid="{00000000-0005-0000-0000-000061C90000}"/>
    <cellStyle name="Note 2 4" xfId="3459" xr:uid="{00000000-0005-0000-0000-000062C90000}"/>
    <cellStyle name="Note 2 4 2" xfId="12601" xr:uid="{00000000-0005-0000-0000-000063C90000}"/>
    <cellStyle name="Note 2 4 2 2" xfId="22820" xr:uid="{00000000-0005-0000-0000-000064C90000}"/>
    <cellStyle name="Note 2 4 2 2 2" xfId="48373" xr:uid="{00000000-0005-0000-0000-000065C90000}"/>
    <cellStyle name="Note 2 4 2 3" xfId="38156" xr:uid="{00000000-0005-0000-0000-000066C90000}"/>
    <cellStyle name="Note 2 4 3" xfId="9023" xr:uid="{00000000-0005-0000-0000-000067C90000}"/>
    <cellStyle name="Note 2 4 3 2" xfId="34580" xr:uid="{00000000-0005-0000-0000-000068C90000}"/>
    <cellStyle name="Note 2 4 4" xfId="17813" xr:uid="{00000000-0005-0000-0000-000069C90000}"/>
    <cellStyle name="Note 2 4 4 2" xfId="43366" xr:uid="{00000000-0005-0000-0000-00006AC90000}"/>
    <cellStyle name="Note 2 4 5" xfId="29303" xr:uid="{00000000-0005-0000-0000-00006BC90000}"/>
    <cellStyle name="Note 2 5" xfId="4158" xr:uid="{00000000-0005-0000-0000-00006CC90000}"/>
    <cellStyle name="Note 2 5 2" xfId="12996" xr:uid="{00000000-0005-0000-0000-00006DC90000}"/>
    <cellStyle name="Note 2 5 2 2" xfId="23247" xr:uid="{00000000-0005-0000-0000-00006EC90000}"/>
    <cellStyle name="Note 2 5 2 2 2" xfId="48800" xr:uid="{00000000-0005-0000-0000-00006FC90000}"/>
    <cellStyle name="Note 2 5 2 3" xfId="38551" xr:uid="{00000000-0005-0000-0000-000070C90000}"/>
    <cellStyle name="Note 2 5 3" xfId="9417" xr:uid="{00000000-0005-0000-0000-000071C90000}"/>
    <cellStyle name="Note 2 5 3 2" xfId="34974" xr:uid="{00000000-0005-0000-0000-000072C90000}"/>
    <cellStyle name="Note 2 5 4" xfId="18240" xr:uid="{00000000-0005-0000-0000-000073C90000}"/>
    <cellStyle name="Note 2 5 4 2" xfId="43793" xr:uid="{00000000-0005-0000-0000-000074C90000}"/>
    <cellStyle name="Note 2 5 5" xfId="29730" xr:uid="{00000000-0005-0000-0000-000075C90000}"/>
    <cellStyle name="Note 2 6" xfId="2568" xr:uid="{00000000-0005-0000-0000-000076C90000}"/>
    <cellStyle name="Note 2 6 2" xfId="11933" xr:uid="{00000000-0005-0000-0000-000077C90000}"/>
    <cellStyle name="Note 2 6 2 2" xfId="37488" xr:uid="{00000000-0005-0000-0000-000078C90000}"/>
    <cellStyle name="Note 2 6 3" xfId="21937" xr:uid="{00000000-0005-0000-0000-000079C90000}"/>
    <cellStyle name="Note 2 6 3 2" xfId="47490" xr:uid="{00000000-0005-0000-0000-00007AC90000}"/>
    <cellStyle name="Note 2 6 4" xfId="28420" xr:uid="{00000000-0005-0000-0000-00007BC90000}"/>
    <cellStyle name="Note 2 7" xfId="10762" xr:uid="{00000000-0005-0000-0000-00007CC90000}"/>
    <cellStyle name="Note 2 7 2" xfId="20419" xr:uid="{00000000-0005-0000-0000-00007DC90000}"/>
    <cellStyle name="Note 2 7 2 2" xfId="45972" xr:uid="{00000000-0005-0000-0000-00007EC90000}"/>
    <cellStyle name="Note 2 7 3" xfId="36318" xr:uid="{00000000-0005-0000-0000-00007FC90000}"/>
    <cellStyle name="Note 2 8" xfId="8625" xr:uid="{00000000-0005-0000-0000-000080C90000}"/>
    <cellStyle name="Note 2 8 2" xfId="34182" xr:uid="{00000000-0005-0000-0000-000081C90000}"/>
    <cellStyle name="Note 2 9" xfId="16930" xr:uid="{00000000-0005-0000-0000-000082C90000}"/>
    <cellStyle name="Note 2 9 2" xfId="42483" xr:uid="{00000000-0005-0000-0000-000083C90000}"/>
    <cellStyle name="Note 3" xfId="1022" xr:uid="{00000000-0005-0000-0000-000084C90000}"/>
    <cellStyle name="Note 4" xfId="1031" xr:uid="{00000000-0005-0000-0000-000085C90000}"/>
    <cellStyle name="Output 2" xfId="1024" xr:uid="{00000000-0005-0000-0000-000086C90000}"/>
    <cellStyle name="Output 3" xfId="1034" xr:uid="{00000000-0005-0000-0000-000087C90000}"/>
    <cellStyle name="Percent 2" xfId="23" xr:uid="{00000000-0005-0000-0000-000088C90000}"/>
    <cellStyle name="Percent 2 2" xfId="59" xr:uid="{00000000-0005-0000-0000-000089C90000}"/>
    <cellStyle name="Percent 2 2 2" xfId="120" xr:uid="{00000000-0005-0000-0000-00008AC90000}"/>
    <cellStyle name="Percent 2 2 3" xfId="219" xr:uid="{00000000-0005-0000-0000-00008BC90000}"/>
    <cellStyle name="Percent 2 3" xfId="1026" xr:uid="{00000000-0005-0000-0000-00008CC90000}"/>
    <cellStyle name="Percent 3" xfId="24" xr:uid="{00000000-0005-0000-0000-00008DC90000}"/>
    <cellStyle name="Percent 4" xfId="28" xr:uid="{00000000-0005-0000-0000-00008EC90000}"/>
    <cellStyle name="Percent 5" xfId="108" xr:uid="{00000000-0005-0000-0000-00008FC90000}"/>
    <cellStyle name="Percent 6" xfId="1025" xr:uid="{00000000-0005-0000-0000-000090C90000}"/>
    <cellStyle name="questionable" xfId="3" xr:uid="{00000000-0005-0000-0000-000091C90000}"/>
    <cellStyle name="questionable 2" xfId="96" xr:uid="{00000000-0005-0000-0000-000092C90000}"/>
    <cellStyle name="review" xfId="4" xr:uid="{00000000-0005-0000-0000-000093C90000}"/>
    <cellStyle name="Title 2" xfId="1027" xr:uid="{00000000-0005-0000-0000-000094C90000}"/>
    <cellStyle name="Total 2" xfId="1028" xr:uid="{00000000-0005-0000-0000-000095C90000}"/>
    <cellStyle name="Total 3" xfId="1035" xr:uid="{00000000-0005-0000-0000-000096C90000}"/>
    <cellStyle name="Warning Text 2" xfId="1029" xr:uid="{00000000-0005-0000-0000-000097C90000}"/>
  </cellStyles>
  <dxfs count="1009">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font>
    </dxf>
    <dxf>
      <font>
        <sz val="10"/>
      </font>
    </dxf>
    <dxf>
      <font>
        <sz val="10"/>
      </font>
    </dxf>
    <dxf>
      <font>
        <b/>
        <sz val="10"/>
      </font>
      <numFmt numFmtId="168" formatCode="0.0%"/>
    </dxf>
    <dxf>
      <font>
        <b/>
        <sz val="10"/>
      </font>
      <numFmt numFmtId="168" formatCode="0.0%"/>
    </dxf>
    <dxf>
      <numFmt numFmtId="168" formatCode="0.0%"/>
    </dxf>
    <dxf>
      <font>
        <b/>
      </font>
    </dxf>
    <dxf>
      <font>
        <b/>
      </font>
      <numFmt numFmtId="168" formatCode="0.0%"/>
    </dxf>
    <dxf>
      <font>
        <b/>
      </font>
      <numFmt numFmtId="168" formatCode="0.0%"/>
    </dxf>
    <dxf>
      <font>
        <b/>
      </font>
    </dxf>
    <dxf>
      <font>
        <b/>
      </font>
    </dxf>
    <dxf>
      <font>
        <b/>
      </font>
    </dxf>
    <dxf>
      <font>
        <b/>
      </font>
    </dxf>
    <dxf>
      <font>
        <b/>
      </font>
    </dxf>
    <dxf>
      <font>
        <b/>
      </font>
    </dxf>
    <dxf>
      <font>
        <b/>
      </font>
    </dxf>
    <dxf>
      <numFmt numFmtId="14" formatCode="0.00%"/>
    </dxf>
    <dxf>
      <numFmt numFmtId="14" formatCode="0.00%"/>
    </dxf>
    <dxf>
      <numFmt numFmtId="14" formatCode="0.00%"/>
    </dxf>
    <dxf>
      <numFmt numFmtId="14" formatCode="0.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249977111117893"/>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sz val="10"/>
      </font>
    </dxf>
    <dxf>
      <font>
        <sz val="10"/>
      </font>
    </dxf>
    <dxf>
      <font>
        <b/>
        <sz val="10"/>
      </font>
      <numFmt numFmtId="168" formatCode="0.0%"/>
    </dxf>
    <dxf>
      <font>
        <b/>
        <sz val="10"/>
      </font>
      <numFmt numFmtId="168" formatCode="0.0%"/>
    </dxf>
    <dxf>
      <numFmt numFmtId="168" formatCode="0.0%"/>
    </dxf>
    <dxf>
      <font>
        <b/>
      </font>
    </dxf>
    <dxf>
      <font>
        <b/>
      </font>
      <numFmt numFmtId="168" formatCode="0.0%"/>
    </dxf>
    <dxf>
      <font>
        <b/>
      </font>
      <numFmt numFmtId="168" formatCode="0.0%"/>
    </dxf>
    <dxf>
      <font>
        <b/>
      </font>
    </dxf>
    <dxf>
      <font>
        <b/>
      </font>
    </dxf>
    <dxf>
      <font>
        <b/>
      </font>
    </dxf>
    <dxf>
      <font>
        <b/>
      </font>
    </dxf>
    <dxf>
      <font>
        <b/>
      </font>
    </dxf>
    <dxf>
      <font>
        <b/>
      </font>
    </dxf>
    <dxf>
      <font>
        <b/>
      </font>
    </dxf>
    <dxf>
      <numFmt numFmtId="14" formatCode="0.00%"/>
    </dxf>
    <dxf>
      <numFmt numFmtId="14" formatCode="0.00%"/>
    </dxf>
    <dxf>
      <numFmt numFmtId="14" formatCode="0.00%"/>
    </dxf>
    <dxf>
      <numFmt numFmtId="14" formatCode="0.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249977111117893"/>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4966.62976585648" createdVersion="8" refreshedVersion="8" minRefreshableVersion="3" recordCount="623" xr:uid="{341774AC-B13D-4C08-9195-3634B30E7A62}">
  <cacheSource type="worksheet">
    <worksheetSource ref="A6:AM629" sheet="04SCH_FTE"/>
  </cacheSource>
  <cacheFields count="47">
    <cacheField name="State" numFmtId="0">
      <sharedItems containsBlank="1" count="17">
        <s v="AL"/>
        <s v="AR"/>
        <s v="DE"/>
        <s v="FL"/>
        <s v="GA"/>
        <s v="KY"/>
        <s v="LA"/>
        <s v="MD"/>
        <s v="MS"/>
        <s v="NC"/>
        <s v="ok"/>
        <s v="SC"/>
        <s v="TN"/>
        <s v="TX"/>
        <s v="VA"/>
        <s v="WV"/>
        <m u="1"/>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20">
        <n v="1"/>
        <n v="2"/>
        <n v="3"/>
        <n v="4"/>
        <n v="5"/>
        <n v="6"/>
        <n v="8"/>
        <n v="9"/>
        <n v="10"/>
        <n v="12"/>
        <n v="13"/>
        <n v="15"/>
        <n v="7"/>
        <m/>
        <n v="11"/>
        <s v="08b"/>
        <s v="09b"/>
        <s v="10b"/>
        <n v="14" u="1"/>
        <n v="99" u="1"/>
      </sharedItems>
      <fieldGroup par="43"/>
    </cacheField>
    <cacheField name="Old-Term Code" numFmtId="0">
      <sharedItems containsBlank="1"/>
    </cacheField>
    <cacheField name="New-Term Code" numFmtId="0">
      <sharedItems containsBlank="1"/>
    </cacheField>
    <cacheField name="old-Winter Undg SCH" numFmtId="0">
      <sharedItems containsString="0" containsBlank="1" containsNumber="1" minValue="0" maxValue="593461"/>
    </cacheField>
    <cacheField name="new-Winter Undg SCH" numFmtId="0">
      <sharedItems containsString="0" containsBlank="1" containsNumber="1" minValue="0" maxValue="612679"/>
    </cacheField>
    <cacheField name="old-Spring Undg SCH" numFmtId="0">
      <sharedItems containsString="0" containsBlank="1" containsNumber="1" minValue="9" maxValue="1226533"/>
    </cacheField>
    <cacheField name="new-Spring Undg SCH" numFmtId="0">
      <sharedItems containsString="0" containsBlank="1" containsNumber="1" minValue="0" maxValue="1187696"/>
    </cacheField>
    <cacheField name="old-Summer Undg SCH" numFmtId="0">
      <sharedItems containsString="0" containsBlank="1" containsNumber="1" minValue="0" maxValue="376716"/>
    </cacheField>
    <cacheField name="new-Summer Undg SCH" numFmtId="0">
      <sharedItems containsString="0" containsBlank="1" containsNumber="1" minValue="0" maxValue="353284"/>
    </cacheField>
    <cacheField name="old-Fall Undg SCH" numFmtId="0">
      <sharedItems containsString="0" containsBlank="1" containsNumber="1" minValue="667" maxValue="1326707"/>
    </cacheField>
    <cacheField name="new-Fall Undg SCH" numFmtId="0">
      <sharedItems containsString="0" containsBlank="1" containsNumber="1" minValue="0" maxValue="1272996"/>
    </cacheField>
    <cacheField name="Old-Total Undg SCH" numFmtId="38">
      <sharedItems containsSemiMixedTypes="0" containsString="0" containsNumber="1" minValue="0" maxValue="2929956"/>
    </cacheField>
    <cacheField name="Old-Total Undg SCH FTE" numFmtId="38">
      <sharedItems containsSemiMixedTypes="0" containsString="0" containsNumber="1" minValue="0" maxValue="97665.2"/>
    </cacheField>
    <cacheField name="New-Total Undg SCH" numFmtId="38">
      <sharedItems containsSemiMixedTypes="0" containsString="0" containsNumber="1" minValue="0" maxValue="2813976"/>
    </cacheField>
    <cacheField name="New-Total Undg SCH FTE" numFmtId="38">
      <sharedItems containsSemiMixedTypes="0" containsString="0" containsNumber="1" minValue="0" maxValue="93799.2"/>
    </cacheField>
    <cacheField name="Old-Total HS SCH" numFmtId="0">
      <sharedItems containsString="0" containsBlank="1" containsNumber="1" minValue="0" maxValue="890041"/>
    </cacheField>
    <cacheField name="New-Total HS SCH" numFmtId="0">
      <sharedItems containsString="0" containsBlank="1" containsNumber="1" minValue="0" maxValue="918047"/>
    </cacheField>
    <cacheField name="Old-Total Undg SCH2" numFmtId="38">
      <sharedItems containsSemiMixedTypes="0" containsString="0" containsNumber="1" minValue="0" maxValue="2929956"/>
    </cacheField>
    <cacheField name="New-Total Undg SCH2" numFmtId="38">
      <sharedItems containsSemiMixedTypes="0" containsString="0" containsNumber="1" minValue="0" maxValue="2813976"/>
    </cacheField>
    <cacheField name="old-Winter Undg CH" numFmtId="0">
      <sharedItems containsString="0" containsBlank="1" containsNumber="1" containsInteger="1" minValue="0" maxValue="472429"/>
    </cacheField>
    <cacheField name="new-Winter Undg CH" numFmtId="0">
      <sharedItems containsString="0" containsBlank="1" containsNumber="1" containsInteger="1" minValue="0" maxValue="594370"/>
    </cacheField>
    <cacheField name="old-Spring Undg CH" numFmtId="0">
      <sharedItems containsString="0" containsBlank="1" containsNumber="1" containsInteger="1" minValue="0" maxValue="919395"/>
    </cacheField>
    <cacheField name="new-Spring Undg CH" numFmtId="0">
      <sharedItems containsString="0" containsBlank="1" containsNumber="1" containsInteger="1" minValue="0" maxValue="890680"/>
    </cacheField>
    <cacheField name="old-Summer Undg CH" numFmtId="0">
      <sharedItems containsString="0" containsBlank="1" containsNumber="1" containsInteger="1" minValue="0" maxValue="650272"/>
    </cacheField>
    <cacheField name="new-Summer Undg CH" numFmtId="0">
      <sharedItems containsString="0" containsBlank="1" containsNumber="1" containsInteger="1" minValue="0" maxValue="439923"/>
    </cacheField>
    <cacheField name="old-Fall Undg CH" numFmtId="0">
      <sharedItems containsString="0" containsBlank="1" containsNumber="1" minValue="0" maxValue="1578505.76"/>
    </cacheField>
    <cacheField name="new-Fall Undg CH" numFmtId="0">
      <sharedItems containsString="0" containsBlank="1" containsNumber="1" minValue="0" maxValue="1970282.5"/>
    </cacheField>
    <cacheField name="Old-Total Undg CH" numFmtId="38">
      <sharedItems containsSemiMixedTypes="0" containsString="0" containsNumber="1" minValue="0" maxValue="2432269"/>
    </cacheField>
    <cacheField name="Old-Total Undg CH FTE" numFmtId="38">
      <sharedItems containsSemiMixedTypes="0" containsString="0" containsNumber="1" minValue="0" maxValue="2702.5211111111112"/>
    </cacheField>
    <cacheField name="New-Total Undg CH" numFmtId="38">
      <sharedItems containsSemiMixedTypes="0" containsString="0" containsNumber="1" minValue="0" maxValue="1970282.5"/>
    </cacheField>
    <cacheField name="New-Total Undg CH FTE" numFmtId="38">
      <sharedItems containsSemiMixedTypes="0" containsString="0" containsNumber="1" minValue="0" maxValue="2189.2027777777776"/>
    </cacheField>
    <cacheField name="Old-Total HS CH" numFmtId="0">
      <sharedItems containsString="0" containsBlank="1" containsNumber="1" containsInteger="1" minValue="0" maxValue="67477"/>
    </cacheField>
    <cacheField name="New-Total HS CH" numFmtId="0">
      <sharedItems containsString="0" containsBlank="1" containsNumber="1" containsInteger="1" minValue="0" maxValue="66660"/>
    </cacheField>
    <cacheField name="Old-Total Undg CH2" numFmtId="38">
      <sharedItems containsSemiMixedTypes="0" containsString="0" containsNumber="1" containsInteger="1" minValue="0" maxValue="1996251"/>
    </cacheField>
    <cacheField name="New-Total Undg CH2" numFmtId="38">
      <sharedItems containsSemiMixedTypes="0" containsString="0" containsNumber="1" containsInteger="1" minValue="0" maxValue="1786163"/>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20">
          <x v="2"/>
          <x v="2"/>
          <x v="2"/>
          <x v="2"/>
          <x v="2"/>
          <x v="2"/>
          <x v="3"/>
          <x v="3"/>
          <x v="3"/>
          <x v="4"/>
          <x v="4"/>
          <x v="0"/>
          <x v="3"/>
          <x v="9"/>
          <x v="1"/>
          <x v="6"/>
          <x v="7"/>
          <x v="8"/>
          <x v="4"/>
          <x v="5"/>
        </discretePr>
        <groupItems count="10">
          <n v="15"/>
          <n v="11"/>
          <s v="Group1"/>
          <s v="Group2"/>
          <s v="Group3"/>
          <n v="99"/>
          <s v="08b"/>
          <s v="09b"/>
          <s v="10b"/>
          <m/>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4966.629767592596" createdVersion="8" refreshedVersion="8" minRefreshableVersion="3" recordCount="623" xr:uid="{08662246-D96D-48F5-9FA6-654C43B336DA}">
  <cacheSource type="worksheet">
    <worksheetSource ref="A6:BA629" sheet="04SCH_FTE"/>
  </cacheSource>
  <cacheFields count="58">
    <cacheField name="State" numFmtId="0">
      <sharedItems containsBlank="1" count="17">
        <s v="AL"/>
        <s v="AR"/>
        <s v="DE"/>
        <s v="FL"/>
        <s v="GA"/>
        <s v="KY"/>
        <s v="LA"/>
        <s v="MD"/>
        <s v="MS"/>
        <s v="NC"/>
        <s v="ok"/>
        <s v="SC"/>
        <s v="TN"/>
        <s v="TX"/>
        <s v="VA"/>
        <s v="WV"/>
        <m u="1"/>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19">
        <n v="1"/>
        <n v="2"/>
        <n v="3"/>
        <n v="4"/>
        <n v="5"/>
        <n v="6"/>
        <n v="8"/>
        <n v="9"/>
        <n v="10"/>
        <n v="12"/>
        <n v="13"/>
        <n v="15"/>
        <n v="7"/>
        <m/>
        <n v="11"/>
        <s v="08b"/>
        <s v="09b"/>
        <s v="10b"/>
        <n v="99" u="1"/>
      </sharedItems>
      <fieldGroup par="54"/>
    </cacheField>
    <cacheField name="Old-Term Code" numFmtId="0">
      <sharedItems containsBlank="1"/>
    </cacheField>
    <cacheField name="New-Term Code" numFmtId="0">
      <sharedItems containsBlank="1"/>
    </cacheField>
    <cacheField name="old-Winter Undg SCH" numFmtId="0">
      <sharedItems containsString="0" containsBlank="1" containsNumber="1" minValue="0" maxValue="593461"/>
    </cacheField>
    <cacheField name="new-Winter Undg SCH" numFmtId="0">
      <sharedItems containsString="0" containsBlank="1" containsNumber="1" minValue="0" maxValue="612679"/>
    </cacheField>
    <cacheField name="old-Spring Undg SCH" numFmtId="0">
      <sharedItems containsString="0" containsBlank="1" containsNumber="1" minValue="9" maxValue="1226533"/>
    </cacheField>
    <cacheField name="new-Spring Undg SCH" numFmtId="0">
      <sharedItems containsString="0" containsBlank="1" containsNumber="1" minValue="0" maxValue="1187696"/>
    </cacheField>
    <cacheField name="old-Summer Undg SCH" numFmtId="0">
      <sharedItems containsString="0" containsBlank="1" containsNumber="1" minValue="0" maxValue="376716"/>
    </cacheField>
    <cacheField name="new-Summer Undg SCH" numFmtId="0">
      <sharedItems containsString="0" containsBlank="1" containsNumber="1" minValue="0" maxValue="353284"/>
    </cacheField>
    <cacheField name="old-Fall Undg SCH" numFmtId="0">
      <sharedItems containsString="0" containsBlank="1" containsNumber="1" minValue="667" maxValue="1326707"/>
    </cacheField>
    <cacheField name="new-Fall Undg SCH" numFmtId="0">
      <sharedItems containsString="0" containsBlank="1" containsNumber="1" minValue="0" maxValue="1272996"/>
    </cacheField>
    <cacheField name="Old-Total Undg SCH" numFmtId="38">
      <sharedItems containsSemiMixedTypes="0" containsString="0" containsNumber="1" minValue="0" maxValue="2929956"/>
    </cacheField>
    <cacheField name="Old-Total Undg SCH FTE" numFmtId="38">
      <sharedItems containsSemiMixedTypes="0" containsString="0" containsNumber="1" minValue="0" maxValue="97665.2"/>
    </cacheField>
    <cacheField name="New-Total Undg SCH" numFmtId="38">
      <sharedItems containsSemiMixedTypes="0" containsString="0" containsNumber="1" minValue="0" maxValue="2813976"/>
    </cacheField>
    <cacheField name="New-Total Undg SCH FTE" numFmtId="38">
      <sharedItems containsSemiMixedTypes="0" containsString="0" containsNumber="1" minValue="0" maxValue="93799.2"/>
    </cacheField>
    <cacheField name="Old-Total HS SCH" numFmtId="0">
      <sharedItems containsString="0" containsBlank="1" containsNumber="1" minValue="0" maxValue="890041"/>
    </cacheField>
    <cacheField name="New-Total HS SCH" numFmtId="0">
      <sharedItems containsString="0" containsBlank="1" containsNumber="1" minValue="0" maxValue="918047"/>
    </cacheField>
    <cacheField name="Old-Total Undg SCH2" numFmtId="38">
      <sharedItems containsSemiMixedTypes="0" containsString="0" containsNumber="1" minValue="0" maxValue="2929956"/>
    </cacheField>
    <cacheField name="New-Total Undg SCH2" numFmtId="38">
      <sharedItems containsSemiMixedTypes="0" containsString="0" containsNumber="1" minValue="0" maxValue="2813976"/>
    </cacheField>
    <cacheField name="old-Winter Undg CH" numFmtId="0">
      <sharedItems containsString="0" containsBlank="1" containsNumber="1" containsInteger="1" minValue="0" maxValue="472429"/>
    </cacheField>
    <cacheField name="new-Winter Undg CH" numFmtId="0">
      <sharedItems containsString="0" containsBlank="1" containsNumber="1" containsInteger="1" minValue="0" maxValue="594370"/>
    </cacheField>
    <cacheField name="old-Spring Undg CH" numFmtId="0">
      <sharedItems containsString="0" containsBlank="1" containsNumber="1" containsInteger="1" minValue="0" maxValue="919395"/>
    </cacheField>
    <cacheField name="new-Spring Undg CH" numFmtId="0">
      <sharedItems containsString="0" containsBlank="1" containsNumber="1" containsInteger="1" minValue="0" maxValue="890680"/>
    </cacheField>
    <cacheField name="old-Summer Undg CH" numFmtId="0">
      <sharedItems containsString="0" containsBlank="1" containsNumber="1" containsInteger="1" minValue="0" maxValue="650272"/>
    </cacheField>
    <cacheField name="new-Summer Undg CH" numFmtId="0">
      <sharedItems containsString="0" containsBlank="1" containsNumber="1" containsInteger="1" minValue="0" maxValue="439923"/>
    </cacheField>
    <cacheField name="old-Fall Undg CH" numFmtId="0">
      <sharedItems containsString="0" containsBlank="1" containsNumber="1" minValue="0" maxValue="1578505.76"/>
    </cacheField>
    <cacheField name="new-Fall Undg CH" numFmtId="0">
      <sharedItems containsString="0" containsBlank="1" containsNumber="1" minValue="0" maxValue="1970282.5"/>
    </cacheField>
    <cacheField name="Old-Total Undg CH" numFmtId="38">
      <sharedItems containsSemiMixedTypes="0" containsString="0" containsNumber="1" minValue="0" maxValue="2432269"/>
    </cacheField>
    <cacheField name="Old-Total Undg CH FTE" numFmtId="38">
      <sharedItems containsSemiMixedTypes="0" containsString="0" containsNumber="1" minValue="0" maxValue="2702.5211111111112"/>
    </cacheField>
    <cacheField name="New-Total Undg CH" numFmtId="38">
      <sharedItems containsSemiMixedTypes="0" containsString="0" containsNumber="1" minValue="0" maxValue="1970282.5"/>
    </cacheField>
    <cacheField name="New-Total Undg CH FTE" numFmtId="38">
      <sharedItems containsSemiMixedTypes="0" containsString="0" containsNumber="1" minValue="0" maxValue="2189.2027777777776"/>
    </cacheField>
    <cacheField name="Old-Total HS CH" numFmtId="0">
      <sharedItems containsString="0" containsBlank="1" containsNumber="1" containsInteger="1" minValue="0" maxValue="67477"/>
    </cacheField>
    <cacheField name="New-Total HS CH" numFmtId="0">
      <sharedItems containsString="0" containsBlank="1" containsNumber="1" containsInteger="1" minValue="0" maxValue="66660"/>
    </cacheField>
    <cacheField name="Old-Total Undg CH2" numFmtId="38">
      <sharedItems containsSemiMixedTypes="0" containsString="0" containsNumber="1" containsInteger="1" minValue="0" maxValue="1996251"/>
    </cacheField>
    <cacheField name="New-Total Undg CH2" numFmtId="38">
      <sharedItems containsSemiMixedTypes="0" containsString="0" containsNumber="1" containsInteger="1" minValue="0" maxValue="1786163"/>
    </cacheField>
    <cacheField name="old-Winter Grad SCH" numFmtId="0">
      <sharedItems containsString="0" containsBlank="1" containsNumber="1" containsInteger="1" minValue="0" maxValue="5909"/>
    </cacheField>
    <cacheField name="new-Winter Grad SCH" numFmtId="0">
      <sharedItems containsString="0" containsBlank="1" containsNumber="1" containsInteger="1" minValue="0" maxValue="5933"/>
    </cacheField>
    <cacheField name="old-Spring Grad SCH" numFmtId="0">
      <sharedItems containsString="0" containsBlank="1" containsNumber="1" minValue="0" maxValue="145863"/>
    </cacheField>
    <cacheField name="new-Spring Grad SCH" numFmtId="0">
      <sharedItems containsString="0" containsBlank="1" containsNumber="1" minValue="0" maxValue="154035.5"/>
    </cacheField>
    <cacheField name="old-Summer Grad SCH" numFmtId="0">
      <sharedItems containsString="0" containsBlank="1" containsNumber="1" minValue="0" maxValue="66190"/>
    </cacheField>
    <cacheField name="new-Summer Grad SCH" numFmtId="0">
      <sharedItems containsString="0" containsBlank="1" containsNumber="1" minValue="0" maxValue="78380.5"/>
    </cacheField>
    <cacheField name="old-Fall Grad SCH" numFmtId="0">
      <sharedItems containsString="0" containsBlank="1" containsNumber="1" minValue="0" maxValue="163852.5"/>
    </cacheField>
    <cacheField name="new-Fall Grad SCH" numFmtId="0">
      <sharedItems containsString="0" containsBlank="1" containsNumber="1" minValue="0" maxValue="170322.5"/>
    </cacheField>
    <cacheField name="Old-Total Grad SCH" numFmtId="38">
      <sharedItems containsSemiMixedTypes="0" containsString="0" containsNumber="1" minValue="0" maxValue="375905.5"/>
    </cacheField>
    <cacheField name="Old-Total Grad FTE" numFmtId="38">
      <sharedItems containsSemiMixedTypes="0" containsString="0" containsNumber="1" minValue="0" maxValue="15662.729166666666"/>
    </cacheField>
    <cacheField name="New-Total Grad SCH" numFmtId="38">
      <sharedItems containsSemiMixedTypes="0" containsString="0" containsNumber="1" minValue="0" maxValue="402738.5"/>
    </cacheField>
    <cacheField name="New-Total Grad FTE" numFmtId="38">
      <sharedItems containsSemiMixedTypes="0" containsString="0" containsNumber="1" minValue="0" maxValue="16780.770833333332"/>
    </cacheField>
    <cacheField name="Old Grand Total FTE" numFmtId="38">
      <sharedItems containsSemiMixedTypes="0" containsString="0" containsNumber="1" minValue="0" maxValue="97665.2"/>
    </cacheField>
    <cacheField name="New Grand Total FTE" numFmtId="38">
      <sharedItems containsSemiMixedTypes="0" containsString="0" containsNumber="1" minValue="0" maxValue="93799.2"/>
    </cacheField>
    <cacheField name="% Change Grand Total FTE" numFmtId="0" formula="IF('Old Grand Total FTE'&gt;0, ((('New Grand Total FTE'-'Old Grand Total FTE')/'Old Grand Total FTE')))" databaseField="0"/>
    <cacheField name="Category2" numFmtId="0" databaseField="0">
      <fieldGroup base="4">
        <discretePr count="19">
          <x v="5"/>
          <x v="5"/>
          <x v="5"/>
          <x v="5"/>
          <x v="5"/>
          <x v="5"/>
          <x v="6"/>
          <x v="6"/>
          <x v="6"/>
          <x v="7"/>
          <x v="7"/>
          <x v="9"/>
          <x v="6"/>
          <x v="8"/>
          <x v="0"/>
          <x v="2"/>
          <x v="3"/>
          <x v="4"/>
          <x v="1"/>
        </discretePr>
        <groupItems count="10">
          <n v="11"/>
          <n v="99"/>
          <s v="08b"/>
          <s v="09b"/>
          <s v="10b"/>
          <s v="Group1"/>
          <s v="Group2"/>
          <s v="Group3"/>
          <m/>
          <n v="15"/>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
  <r>
    <x v="0"/>
    <s v="Auburn University"/>
    <m/>
    <n v="100858"/>
    <x v="0"/>
    <m/>
    <m/>
    <m/>
    <m/>
    <n v="323849"/>
    <n v="325844"/>
    <n v="60899"/>
    <n v="65889"/>
    <n v="349196"/>
    <n v="347470"/>
    <n v="733944"/>
    <n v="24464.799999999999"/>
    <n v="739203"/>
    <n v="24640.1"/>
    <n v="1584"/>
    <n v="2390"/>
    <n v="733944"/>
    <n v="739203"/>
    <m/>
    <m/>
    <m/>
    <m/>
    <m/>
    <m/>
    <m/>
    <m/>
    <n v="0"/>
    <n v="0"/>
    <n v="0"/>
    <n v="0"/>
    <m/>
    <m/>
    <n v="0"/>
    <n v="0"/>
  </r>
  <r>
    <x v="0"/>
    <s v="University of Alabama "/>
    <m/>
    <n v="100751"/>
    <x v="0"/>
    <m/>
    <m/>
    <m/>
    <m/>
    <n v="413606"/>
    <n v="403673"/>
    <n v="65592"/>
    <n v="64637"/>
    <n v="441293"/>
    <n v="420300"/>
    <n v="920491"/>
    <n v="30683.033333333333"/>
    <n v="888610"/>
    <n v="29620.333333333332"/>
    <n v="7528"/>
    <n v="10710"/>
    <n v="920491"/>
    <n v="888610"/>
    <m/>
    <m/>
    <m/>
    <m/>
    <m/>
    <m/>
    <m/>
    <m/>
    <n v="0"/>
    <n v="0"/>
    <n v="0"/>
    <n v="0"/>
    <m/>
    <m/>
    <n v="0"/>
    <n v="0"/>
  </r>
  <r>
    <x v="0"/>
    <s v="University of Alabama at Birmingham"/>
    <m/>
    <n v="100663"/>
    <x v="0"/>
    <m/>
    <m/>
    <m/>
    <m/>
    <n v="134602"/>
    <n v="135897"/>
    <n v="34186"/>
    <n v="35410"/>
    <n v="150218"/>
    <n v="150286"/>
    <n v="319006"/>
    <n v="10633.533333333333"/>
    <n v="321593"/>
    <n v="10719.766666666666"/>
    <n v="2230"/>
    <n v="860"/>
    <n v="319006"/>
    <n v="321593"/>
    <m/>
    <m/>
    <m/>
    <m/>
    <m/>
    <m/>
    <m/>
    <m/>
    <n v="0"/>
    <n v="0"/>
    <n v="0"/>
    <n v="0"/>
    <m/>
    <m/>
    <n v="0"/>
    <n v="0"/>
  </r>
  <r>
    <x v="0"/>
    <s v="University of Alabama in Huntsville"/>
    <s v="Met the criteria for Four-Year 3 in 2018-19 and 2019-20."/>
    <n v="100706"/>
    <x v="1"/>
    <m/>
    <m/>
    <m/>
    <m/>
    <n v="94761"/>
    <n v="97398"/>
    <n v="15562"/>
    <n v="15771"/>
    <n v="106168"/>
    <n v="107385"/>
    <n v="216491"/>
    <n v="7216.3666666666668"/>
    <n v="220554"/>
    <n v="7351.8"/>
    <n v="1631"/>
    <n v="1580"/>
    <n v="216491"/>
    <n v="220554"/>
    <m/>
    <m/>
    <m/>
    <m/>
    <m/>
    <m/>
    <m/>
    <m/>
    <n v="0"/>
    <n v="0"/>
    <n v="0"/>
    <n v="0"/>
    <m/>
    <m/>
    <n v="0"/>
    <n v="0"/>
  </r>
  <r>
    <x v="0"/>
    <s v="University of South Alabama"/>
    <m/>
    <n v="102094"/>
    <x v="1"/>
    <m/>
    <m/>
    <m/>
    <m/>
    <n v="111754"/>
    <n v="102831"/>
    <n v="21011"/>
    <n v="20267"/>
    <n v="115544"/>
    <n v="108083"/>
    <n v="248309"/>
    <n v="8276.9666666666672"/>
    <n v="231181"/>
    <n v="7706.0333333333338"/>
    <n v="434"/>
    <n v="192"/>
    <n v="248309"/>
    <n v="231181"/>
    <m/>
    <m/>
    <m/>
    <m/>
    <m/>
    <m/>
    <m/>
    <m/>
    <n v="0"/>
    <n v="0"/>
    <n v="0"/>
    <n v="0"/>
    <m/>
    <m/>
    <n v="0"/>
    <n v="0"/>
  </r>
  <r>
    <x v="0"/>
    <s v="Alabama Agricultural &amp; Mechanical University"/>
    <m/>
    <n v="100654"/>
    <x v="2"/>
    <m/>
    <m/>
    <m/>
    <m/>
    <n v="68607"/>
    <n v="70410"/>
    <n v="7195"/>
    <n v="9207"/>
    <n v="88642"/>
    <n v="70545"/>
    <n v="164444"/>
    <n v="5481.4666666666662"/>
    <n v="150162"/>
    <n v="5005.3999999999996"/>
    <n v="0"/>
    <n v="0"/>
    <n v="164444"/>
    <n v="150162"/>
    <m/>
    <m/>
    <m/>
    <m/>
    <m/>
    <m/>
    <m/>
    <m/>
    <n v="0"/>
    <n v="0"/>
    <n v="0"/>
    <n v="0"/>
    <m/>
    <m/>
    <n v="0"/>
    <n v="0"/>
  </r>
  <r>
    <x v="0"/>
    <s v="Jacksonville State University "/>
    <m/>
    <n v="101480"/>
    <x v="2"/>
    <m/>
    <m/>
    <m/>
    <m/>
    <n v="80815"/>
    <n v="86049"/>
    <n v="21281"/>
    <n v="23153"/>
    <n v="96239"/>
    <n v="96075"/>
    <n v="198335"/>
    <n v="6611.166666666667"/>
    <n v="205277"/>
    <n v="6842.5666666666666"/>
    <n v="5627"/>
    <n v="5773"/>
    <n v="198335"/>
    <n v="205277"/>
    <m/>
    <m/>
    <m/>
    <m/>
    <m/>
    <m/>
    <m/>
    <m/>
    <n v="0"/>
    <n v="0"/>
    <n v="0"/>
    <n v="0"/>
    <m/>
    <m/>
    <n v="0"/>
    <n v="0"/>
  </r>
  <r>
    <x v="0"/>
    <s v="Troy University"/>
    <m/>
    <n v="102368"/>
    <x v="2"/>
    <m/>
    <m/>
    <m/>
    <m/>
    <n v="119446"/>
    <n v="137450"/>
    <n v="21272"/>
    <n v="34074"/>
    <n v="147936"/>
    <n v="142473"/>
    <n v="288654"/>
    <n v="9621.7999999999993"/>
    <n v="313997"/>
    <n v="10466.566666666668"/>
    <n v="2308"/>
    <n v="3165"/>
    <n v="288654"/>
    <n v="313997"/>
    <m/>
    <m/>
    <m/>
    <m/>
    <m/>
    <m/>
    <m/>
    <m/>
    <n v="0"/>
    <n v="0"/>
    <n v="0"/>
    <n v="0"/>
    <m/>
    <m/>
    <n v="0"/>
    <n v="0"/>
  </r>
  <r>
    <x v="0"/>
    <s v="University of North Alabama"/>
    <m/>
    <n v="101879"/>
    <x v="2"/>
    <m/>
    <m/>
    <m/>
    <m/>
    <n v="71601"/>
    <n v="71063"/>
    <n v="12740"/>
    <n v="15048"/>
    <n v="77767"/>
    <n v="74693"/>
    <n v="162108"/>
    <n v="5403.6"/>
    <n v="160804"/>
    <n v="5360.1333333333332"/>
    <n v="1291"/>
    <n v="3173"/>
    <n v="162108"/>
    <n v="160804"/>
    <m/>
    <m/>
    <m/>
    <m/>
    <m/>
    <m/>
    <m/>
    <m/>
    <n v="0"/>
    <n v="0"/>
    <n v="0"/>
    <n v="0"/>
    <m/>
    <m/>
    <n v="0"/>
    <n v="0"/>
  </r>
  <r>
    <x v="0"/>
    <s v="Alabama State University "/>
    <m/>
    <n v="100724"/>
    <x v="3"/>
    <m/>
    <m/>
    <m/>
    <m/>
    <n v="49742"/>
    <n v="48938"/>
    <n v="7390"/>
    <n v="6893"/>
    <n v="55146"/>
    <n v="53655"/>
    <n v="112278"/>
    <n v="3742.6"/>
    <n v="109486"/>
    <n v="3649.5333333333333"/>
    <n v="21"/>
    <n v="42"/>
    <n v="112278"/>
    <n v="109486"/>
    <m/>
    <m/>
    <m/>
    <m/>
    <m/>
    <m/>
    <m/>
    <m/>
    <n v="0"/>
    <n v="0"/>
    <n v="0"/>
    <n v="0"/>
    <m/>
    <m/>
    <n v="0"/>
    <n v="0"/>
  </r>
  <r>
    <x v="0"/>
    <s v="Auburn University at Montgomery"/>
    <s v="Reclassified: Met the criteria for Four-Year 3 in 2018-19, 2019-20, and 2020-21."/>
    <n v="100830"/>
    <x v="2"/>
    <m/>
    <m/>
    <m/>
    <m/>
    <n v="50061"/>
    <n v="48898"/>
    <n v="12963"/>
    <n v="13471"/>
    <n v="54646"/>
    <n v="52421"/>
    <n v="117670"/>
    <n v="3922.3333333333335"/>
    <n v="114790"/>
    <n v="3826.3333333333335"/>
    <n v="337"/>
    <n v="481"/>
    <n v="117670"/>
    <n v="114790"/>
    <m/>
    <m/>
    <m/>
    <m/>
    <m/>
    <m/>
    <m/>
    <m/>
    <n v="0"/>
    <n v="0"/>
    <n v="0"/>
    <n v="0"/>
    <m/>
    <m/>
    <n v="0"/>
    <n v="0"/>
  </r>
  <r>
    <x v="0"/>
    <s v="University of Montevallo"/>
    <m/>
    <n v="101709"/>
    <x v="4"/>
    <m/>
    <m/>
    <m/>
    <m/>
    <n v="27607"/>
    <n v="27689"/>
    <n v="3882"/>
    <n v="4145"/>
    <n v="30446"/>
    <n v="30424"/>
    <n v="61935"/>
    <n v="2064.5"/>
    <n v="62258"/>
    <n v="2075.2666666666669"/>
    <n v="207"/>
    <n v="227"/>
    <n v="61935"/>
    <n v="62258"/>
    <m/>
    <m/>
    <m/>
    <m/>
    <m/>
    <m/>
    <m/>
    <m/>
    <n v="0"/>
    <n v="0"/>
    <n v="0"/>
    <n v="0"/>
    <m/>
    <m/>
    <n v="0"/>
    <n v="0"/>
  </r>
  <r>
    <x v="0"/>
    <s v="University of West Alabama"/>
    <s v="Reclassified: Met the criteria for Four-Year 4 in 2018-19, 2019-20, and 2020-21."/>
    <n v="101587"/>
    <x v="3"/>
    <m/>
    <m/>
    <m/>
    <m/>
    <n v="27203"/>
    <n v="27483"/>
    <n v="6972"/>
    <n v="7822"/>
    <n v="29281"/>
    <n v="28659"/>
    <n v="63456"/>
    <n v="2115.1999999999998"/>
    <n v="63964"/>
    <n v="2132.1333333333332"/>
    <n v="243"/>
    <n v="210"/>
    <n v="63456"/>
    <n v="63964"/>
    <m/>
    <m/>
    <m/>
    <m/>
    <m/>
    <m/>
    <m/>
    <m/>
    <n v="0"/>
    <n v="0"/>
    <n v="0"/>
    <n v="0"/>
    <m/>
    <m/>
    <n v="0"/>
    <n v="0"/>
  </r>
  <r>
    <x v="0"/>
    <s v="Athens State University"/>
    <s v="Met the criteria for Four-Year 5 in 2019-20 and 2020-21."/>
    <n v="100812"/>
    <x v="5"/>
    <m/>
    <m/>
    <m/>
    <m/>
    <n v="25034"/>
    <n v="25274"/>
    <n v="12332"/>
    <n v="13215"/>
    <n v="26727"/>
    <n v="26560"/>
    <n v="64093"/>
    <n v="2136.4333333333334"/>
    <n v="65049"/>
    <n v="2168.3000000000002"/>
    <n v="0"/>
    <n v="0"/>
    <n v="64093"/>
    <n v="65049"/>
    <m/>
    <m/>
    <m/>
    <m/>
    <m/>
    <m/>
    <m/>
    <m/>
    <n v="0"/>
    <n v="0"/>
    <n v="0"/>
    <n v="0"/>
    <m/>
    <m/>
    <n v="0"/>
    <n v="0"/>
  </r>
  <r>
    <x v="0"/>
    <s v="Jefferson State Community College"/>
    <m/>
    <n v="101505"/>
    <x v="6"/>
    <m/>
    <m/>
    <m/>
    <m/>
    <n v="64020"/>
    <n v="61389"/>
    <n v="32543"/>
    <n v="31490"/>
    <n v="69773"/>
    <n v="68416"/>
    <n v="166336"/>
    <n v="5544.5333333333338"/>
    <n v="161295"/>
    <n v="5376.5"/>
    <n v="15108"/>
    <n v="15806"/>
    <n v="166336"/>
    <n v="161295"/>
    <m/>
    <m/>
    <m/>
    <m/>
    <m/>
    <m/>
    <m/>
    <m/>
    <n v="0"/>
    <n v="0"/>
    <n v="0"/>
    <n v="0"/>
    <m/>
    <m/>
    <n v="0"/>
    <n v="0"/>
  </r>
  <r>
    <x v="0"/>
    <s v="John C. Calhoun Community College "/>
    <m/>
    <n v="101514"/>
    <x v="6"/>
    <m/>
    <m/>
    <m/>
    <m/>
    <n v="77456"/>
    <n v="74336"/>
    <n v="36047"/>
    <n v="32281"/>
    <n v="81361"/>
    <n v="70317"/>
    <n v="194864"/>
    <n v="6495.4666666666662"/>
    <n v="176934"/>
    <n v="5897.8"/>
    <n v="12880"/>
    <n v="13453"/>
    <n v="194864"/>
    <n v="176934"/>
    <m/>
    <m/>
    <m/>
    <m/>
    <m/>
    <m/>
    <m/>
    <m/>
    <n v="0"/>
    <n v="0"/>
    <n v="0"/>
    <n v="0"/>
    <m/>
    <m/>
    <n v="0"/>
    <n v="0"/>
  </r>
  <r>
    <x v="0"/>
    <s v="Bevill State Community College"/>
    <m/>
    <n v="102429"/>
    <x v="7"/>
    <m/>
    <m/>
    <m/>
    <m/>
    <n v="29948"/>
    <n v="29956"/>
    <n v="17113"/>
    <n v="13763"/>
    <n v="33374"/>
    <n v="27028"/>
    <n v="80435"/>
    <n v="2681.1666666666665"/>
    <n v="70747"/>
    <n v="2358.2333333333331"/>
    <n v="9813"/>
    <n v="10490"/>
    <n v="80435"/>
    <n v="70747"/>
    <m/>
    <m/>
    <m/>
    <m/>
    <m/>
    <m/>
    <m/>
    <m/>
    <n v="0"/>
    <n v="0"/>
    <n v="0"/>
    <n v="0"/>
    <m/>
    <m/>
    <n v="0"/>
    <n v="0"/>
  </r>
  <r>
    <x v="0"/>
    <s v="Bishop State Community College"/>
    <s v="Met the criteria for Two-Year 3 in 2020-21."/>
    <n v="102030"/>
    <x v="7"/>
    <m/>
    <m/>
    <m/>
    <m/>
    <n v="26212"/>
    <n v="25972"/>
    <n v="11356"/>
    <n v="10290"/>
    <n v="27590"/>
    <n v="18700"/>
    <n v="65158"/>
    <n v="2171.9333333333334"/>
    <n v="54962"/>
    <n v="1832.0666666666666"/>
    <n v="3584"/>
    <n v="4101"/>
    <n v="65158"/>
    <n v="54962"/>
    <m/>
    <m/>
    <m/>
    <m/>
    <m/>
    <m/>
    <m/>
    <m/>
    <n v="0"/>
    <n v="0"/>
    <n v="0"/>
    <n v="0"/>
    <m/>
    <m/>
    <n v="0"/>
    <n v="0"/>
  </r>
  <r>
    <x v="0"/>
    <s v="Coastal Alabama Community College"/>
    <s v="Reclassified: Met the criteria for Two-Year 1 in 2018-19, 2019-20, and 2020-21."/>
    <n v="101161"/>
    <x v="6"/>
    <m/>
    <m/>
    <m/>
    <m/>
    <n v="65242"/>
    <n v="65377"/>
    <n v="29445"/>
    <n v="27248"/>
    <n v="74144"/>
    <n v="63082"/>
    <n v="168831"/>
    <n v="5627.7"/>
    <n v="155707"/>
    <n v="5190.2333333333336"/>
    <n v="17228"/>
    <n v="16860"/>
    <n v="168831"/>
    <n v="155707"/>
    <m/>
    <m/>
    <m/>
    <m/>
    <m/>
    <m/>
    <m/>
    <m/>
    <n v="0"/>
    <n v="0"/>
    <n v="0"/>
    <n v="0"/>
    <m/>
    <m/>
    <n v="0"/>
    <n v="0"/>
  </r>
  <r>
    <x v="0"/>
    <s v="Gadsden State Community College"/>
    <m/>
    <n v="101240"/>
    <x v="7"/>
    <m/>
    <m/>
    <m/>
    <m/>
    <n v="41847"/>
    <n v="39353"/>
    <n v="21713"/>
    <n v="18276"/>
    <n v="45523"/>
    <n v="39506"/>
    <n v="109083"/>
    <n v="3636.1"/>
    <n v="97135"/>
    <n v="3237.8333333333335"/>
    <n v="5709"/>
    <n v="4934"/>
    <n v="109083"/>
    <n v="97135"/>
    <m/>
    <m/>
    <m/>
    <m/>
    <m/>
    <m/>
    <m/>
    <m/>
    <n v="0"/>
    <n v="0"/>
    <n v="0"/>
    <n v="0"/>
    <m/>
    <m/>
    <n v="0"/>
    <n v="0"/>
  </r>
  <r>
    <x v="0"/>
    <s v="George C. Wallace Community College-Dothan"/>
    <m/>
    <n v="101286"/>
    <x v="7"/>
    <m/>
    <m/>
    <m/>
    <m/>
    <n v="37419"/>
    <n v="36713"/>
    <n v="18911"/>
    <n v="17248"/>
    <n v="40500"/>
    <n v="32178"/>
    <n v="96830"/>
    <n v="3227.6666666666665"/>
    <n v="86139"/>
    <n v="2871.3"/>
    <n v="7135"/>
    <n v="6515"/>
    <n v="96830"/>
    <n v="86139"/>
    <m/>
    <m/>
    <m/>
    <m/>
    <m/>
    <m/>
    <m/>
    <m/>
    <n v="0"/>
    <n v="0"/>
    <n v="0"/>
    <n v="0"/>
    <m/>
    <m/>
    <n v="0"/>
    <n v="0"/>
  </r>
  <r>
    <x v="0"/>
    <s v="George C. Wallace State Community College-Hanceville"/>
    <m/>
    <n v="101295"/>
    <x v="7"/>
    <m/>
    <m/>
    <m/>
    <m/>
    <n v="49387"/>
    <n v="48052"/>
    <n v="22665"/>
    <n v="21257"/>
    <n v="52910"/>
    <n v="49925"/>
    <n v="124962"/>
    <n v="4165.3999999999996"/>
    <n v="119234"/>
    <n v="3974.4666666666667"/>
    <n v="7814"/>
    <n v="8105"/>
    <n v="124962"/>
    <n v="119234"/>
    <m/>
    <m/>
    <m/>
    <m/>
    <m/>
    <m/>
    <m/>
    <m/>
    <n v="0"/>
    <n v="0"/>
    <n v="0"/>
    <n v="0"/>
    <m/>
    <m/>
    <n v="0"/>
    <n v="0"/>
  </r>
  <r>
    <x v="0"/>
    <s v="Lawson State Community College "/>
    <m/>
    <n v="101569"/>
    <x v="7"/>
    <m/>
    <m/>
    <m/>
    <m/>
    <n v="29490"/>
    <n v="29269"/>
    <n v="12649"/>
    <n v="11700"/>
    <n v="34177"/>
    <n v="27548"/>
    <n v="76316"/>
    <n v="2543.8666666666668"/>
    <n v="68517"/>
    <n v="2283.9"/>
    <n v="2322"/>
    <n v="1965"/>
    <n v="76316"/>
    <n v="68517"/>
    <m/>
    <m/>
    <m/>
    <m/>
    <m/>
    <m/>
    <m/>
    <m/>
    <n v="0"/>
    <n v="0"/>
    <n v="0"/>
    <n v="0"/>
    <m/>
    <m/>
    <n v="0"/>
    <n v="0"/>
  </r>
  <r>
    <x v="0"/>
    <s v="Northwest-Shoals Community College"/>
    <m/>
    <n v="101736"/>
    <x v="7"/>
    <m/>
    <m/>
    <m/>
    <m/>
    <n v="25950"/>
    <n v="25281"/>
    <n v="10366"/>
    <n v="9757"/>
    <n v="30047"/>
    <n v="27289"/>
    <n v="66363"/>
    <n v="2212.1"/>
    <n v="62327"/>
    <n v="2077.5666666666666"/>
    <n v="8135"/>
    <n v="8025"/>
    <n v="66363"/>
    <n v="62327"/>
    <m/>
    <m/>
    <m/>
    <m/>
    <m/>
    <m/>
    <m/>
    <m/>
    <n v="0"/>
    <n v="0"/>
    <n v="0"/>
    <n v="0"/>
    <m/>
    <m/>
    <n v="0"/>
    <n v="0"/>
  </r>
  <r>
    <x v="0"/>
    <s v="Shelton State Community College"/>
    <m/>
    <n v="102067"/>
    <x v="7"/>
    <m/>
    <m/>
    <m/>
    <m/>
    <n v="38313"/>
    <n v="37193"/>
    <n v="21306"/>
    <n v="18816"/>
    <n v="42594"/>
    <n v="35893"/>
    <n v="102213"/>
    <n v="3407.1"/>
    <n v="91902"/>
    <n v="3063.4"/>
    <n v="3271"/>
    <n v="3449"/>
    <n v="102213"/>
    <n v="91902"/>
    <m/>
    <m/>
    <m/>
    <m/>
    <m/>
    <m/>
    <m/>
    <m/>
    <n v="0"/>
    <n v="0"/>
    <n v="0"/>
    <n v="0"/>
    <m/>
    <m/>
    <n v="0"/>
    <n v="0"/>
  </r>
  <r>
    <x v="0"/>
    <s v="Southern Union State Community College"/>
    <m/>
    <n v="251260"/>
    <x v="7"/>
    <m/>
    <m/>
    <m/>
    <m/>
    <n v="43553"/>
    <n v="44046"/>
    <n v="20132"/>
    <n v="18475"/>
    <n v="48947"/>
    <n v="41544"/>
    <n v="112632"/>
    <n v="3754.4"/>
    <n v="104065"/>
    <n v="3468.8333333333335"/>
    <n v="3798"/>
    <n v="3706"/>
    <n v="112632"/>
    <n v="104065"/>
    <m/>
    <m/>
    <m/>
    <m/>
    <m/>
    <m/>
    <m/>
    <m/>
    <n v="0"/>
    <n v="0"/>
    <n v="0"/>
    <n v="0"/>
    <m/>
    <m/>
    <n v="0"/>
    <n v="0"/>
  </r>
  <r>
    <x v="0"/>
    <s v="Central Alabama Community College"/>
    <m/>
    <n v="100760"/>
    <x v="8"/>
    <m/>
    <m/>
    <m/>
    <m/>
    <n v="13646"/>
    <n v="13211"/>
    <n v="4986"/>
    <n v="5444"/>
    <n v="16077"/>
    <n v="13361"/>
    <n v="34709"/>
    <n v="1156.9666666666667"/>
    <n v="32016"/>
    <n v="1067.2"/>
    <n v="4651"/>
    <n v="4544"/>
    <n v="34709"/>
    <n v="32016"/>
    <m/>
    <m/>
    <m/>
    <m/>
    <m/>
    <m/>
    <m/>
    <m/>
    <n v="0"/>
    <n v="0"/>
    <n v="0"/>
    <n v="0"/>
    <m/>
    <m/>
    <n v="0"/>
    <n v="0"/>
  </r>
  <r>
    <x v="0"/>
    <s v="Chattahoochee Valley Community College"/>
    <m/>
    <n v="101028"/>
    <x v="8"/>
    <m/>
    <m/>
    <m/>
    <m/>
    <n v="15474"/>
    <n v="14450"/>
    <n v="7335"/>
    <n v="6811"/>
    <n v="16229"/>
    <n v="13396"/>
    <n v="39038"/>
    <n v="1301.2666666666667"/>
    <n v="34657"/>
    <n v="1155.2333333333333"/>
    <n v="2094"/>
    <n v="2055"/>
    <n v="39038"/>
    <n v="34657"/>
    <m/>
    <m/>
    <m/>
    <m/>
    <m/>
    <m/>
    <m/>
    <m/>
    <n v="0"/>
    <n v="0"/>
    <n v="0"/>
    <n v="0"/>
    <m/>
    <m/>
    <n v="0"/>
    <n v="0"/>
  </r>
  <r>
    <x v="0"/>
    <s v="Enterprise State Community College"/>
    <m/>
    <n v="101143"/>
    <x v="8"/>
    <m/>
    <m/>
    <m/>
    <m/>
    <n v="16053"/>
    <n v="17358"/>
    <n v="6648"/>
    <n v="5322"/>
    <n v="18814"/>
    <n v="18355"/>
    <n v="41515"/>
    <n v="1383.8333333333333"/>
    <n v="41035"/>
    <n v="1367.8333333333333"/>
    <n v="5421"/>
    <n v="5762"/>
    <n v="41515"/>
    <n v="41035"/>
    <m/>
    <m/>
    <m/>
    <m/>
    <m/>
    <m/>
    <m/>
    <m/>
    <n v="0"/>
    <n v="0"/>
    <n v="0"/>
    <n v="0"/>
    <m/>
    <m/>
    <n v="0"/>
    <n v="0"/>
  </r>
  <r>
    <x v="0"/>
    <s v="George Corley Wallace State Community College - Selma"/>
    <m/>
    <n v="101301"/>
    <x v="8"/>
    <m/>
    <m/>
    <m/>
    <m/>
    <n v="13356"/>
    <n v="11845"/>
    <n v="9188"/>
    <n v="8195"/>
    <n v="14072"/>
    <n v="11469"/>
    <n v="36616"/>
    <n v="1220.5333333333333"/>
    <n v="31509"/>
    <n v="1050.3"/>
    <n v="5360"/>
    <n v="5483"/>
    <n v="36616"/>
    <n v="31509"/>
    <m/>
    <m/>
    <m/>
    <m/>
    <m/>
    <m/>
    <m/>
    <m/>
    <n v="0"/>
    <n v="0"/>
    <n v="0"/>
    <n v="0"/>
    <m/>
    <m/>
    <n v="0"/>
    <n v="0"/>
  </r>
  <r>
    <x v="0"/>
    <s v="Lurleen B. Wallace Community College "/>
    <m/>
    <n v="101602"/>
    <x v="8"/>
    <m/>
    <m/>
    <m/>
    <m/>
    <n v="14183"/>
    <n v="14673"/>
    <n v="7765"/>
    <n v="7669"/>
    <n v="16847"/>
    <n v="15511"/>
    <n v="38795"/>
    <n v="1293.1666666666667"/>
    <n v="37853"/>
    <n v="1261.7666666666667"/>
    <n v="4880"/>
    <n v="5460"/>
    <n v="38795"/>
    <n v="37853"/>
    <m/>
    <m/>
    <m/>
    <m/>
    <m/>
    <m/>
    <m/>
    <m/>
    <n v="0"/>
    <n v="0"/>
    <n v="0"/>
    <n v="0"/>
    <m/>
    <m/>
    <n v="0"/>
    <n v="0"/>
  </r>
  <r>
    <x v="0"/>
    <s v="Northeast Alabama Community College"/>
    <s v="Met the criteria for Two-Year 2 in 2018-19 and 2019-20."/>
    <n v="101897"/>
    <x v="8"/>
    <m/>
    <m/>
    <m/>
    <m/>
    <n v="23208"/>
    <n v="23104"/>
    <n v="11392"/>
    <n v="10798"/>
    <n v="26864"/>
    <n v="22589"/>
    <n v="61464"/>
    <n v="2048.8000000000002"/>
    <n v="56491"/>
    <n v="1883.0333333333333"/>
    <n v="11057"/>
    <n v="11087"/>
    <n v="61464"/>
    <n v="56491"/>
    <m/>
    <m/>
    <m/>
    <m/>
    <m/>
    <m/>
    <m/>
    <m/>
    <n v="0"/>
    <n v="0"/>
    <n v="0"/>
    <n v="0"/>
    <m/>
    <m/>
    <n v="0"/>
    <n v="0"/>
  </r>
  <r>
    <x v="0"/>
    <s v="Snead State Community College "/>
    <s v="Met the criteria for Two-Year 2 in 2018-19 and 2019-20."/>
    <n v="102076"/>
    <x v="8"/>
    <m/>
    <m/>
    <m/>
    <m/>
    <n v="22540"/>
    <n v="22380"/>
    <n v="13492"/>
    <n v="13328"/>
    <n v="24145"/>
    <n v="20874"/>
    <n v="60177"/>
    <n v="2005.9"/>
    <n v="56582"/>
    <n v="1886.0666666666666"/>
    <n v="2600"/>
    <n v="2922"/>
    <n v="60177"/>
    <n v="56582"/>
    <m/>
    <m/>
    <m/>
    <m/>
    <m/>
    <m/>
    <m/>
    <m/>
    <n v="0"/>
    <n v="0"/>
    <n v="0"/>
    <n v="0"/>
    <m/>
    <m/>
    <n v="0"/>
    <n v="0"/>
  </r>
  <r>
    <x v="0"/>
    <s v="H. Councill Trenholm State Community College"/>
    <m/>
    <n v="102313"/>
    <x v="9"/>
    <m/>
    <m/>
    <m/>
    <m/>
    <n v="16722"/>
    <n v="18054"/>
    <n v="8588"/>
    <n v="8555"/>
    <n v="19027"/>
    <n v="14127"/>
    <n v="44337"/>
    <n v="1477.9"/>
    <n v="40736"/>
    <n v="1357.8666666666666"/>
    <n v="1993"/>
    <n v="1729"/>
    <n v="44337"/>
    <n v="40736"/>
    <m/>
    <m/>
    <m/>
    <m/>
    <m/>
    <m/>
    <m/>
    <m/>
    <n v="0"/>
    <n v="0"/>
    <n v="0"/>
    <n v="0"/>
    <m/>
    <m/>
    <n v="0"/>
    <n v="0"/>
  </r>
  <r>
    <x v="0"/>
    <s v="J.F. Drake State Community and Technical College"/>
    <m/>
    <n v="101462"/>
    <x v="10"/>
    <m/>
    <m/>
    <m/>
    <m/>
    <n v="6332"/>
    <n v="6859"/>
    <n v="2997"/>
    <n v="3123"/>
    <n v="6673"/>
    <n v="6501"/>
    <n v="16002"/>
    <n v="533.4"/>
    <n v="16483"/>
    <n v="549.43333333333328"/>
    <n v="1060"/>
    <n v="1602"/>
    <n v="16002"/>
    <n v="16483"/>
    <m/>
    <m/>
    <m/>
    <m/>
    <m/>
    <m/>
    <m/>
    <m/>
    <n v="0"/>
    <n v="0"/>
    <n v="0"/>
    <n v="0"/>
    <m/>
    <m/>
    <n v="0"/>
    <n v="0"/>
  </r>
  <r>
    <x v="0"/>
    <s v="J.F. Ingram State Technical College "/>
    <m/>
    <n v="101471"/>
    <x v="10"/>
    <m/>
    <m/>
    <m/>
    <m/>
    <n v="6409"/>
    <n v="6571"/>
    <n v="5608"/>
    <n v="0"/>
    <n v="6336"/>
    <n v="4727"/>
    <n v="18353"/>
    <n v="611.76666666666665"/>
    <n v="11298"/>
    <n v="376.6"/>
    <n v="0"/>
    <n v="0"/>
    <n v="18353"/>
    <n v="11298"/>
    <m/>
    <m/>
    <m/>
    <m/>
    <m/>
    <m/>
    <m/>
    <m/>
    <n v="0"/>
    <n v="0"/>
    <n v="0"/>
    <n v="0"/>
    <m/>
    <m/>
    <n v="0"/>
    <n v="0"/>
  </r>
  <r>
    <x v="0"/>
    <s v="Reid State Technical College "/>
    <m/>
    <n v="101994"/>
    <x v="10"/>
    <m/>
    <m/>
    <m/>
    <m/>
    <n v="3900"/>
    <n v="3895"/>
    <n v="2531"/>
    <n v="2751"/>
    <n v="4329"/>
    <n v="2751"/>
    <n v="10760"/>
    <n v="358.66666666666669"/>
    <n v="9397"/>
    <n v="313.23333333333335"/>
    <n v="1227"/>
    <n v="741"/>
    <n v="10760"/>
    <n v="9397"/>
    <m/>
    <m/>
    <m/>
    <m/>
    <m/>
    <m/>
    <m/>
    <m/>
    <n v="0"/>
    <n v="0"/>
    <n v="0"/>
    <n v="0"/>
    <m/>
    <m/>
    <n v="0"/>
    <n v="0"/>
  </r>
  <r>
    <x v="0"/>
    <s v="Marion Military Institute"/>
    <m/>
    <n v="101648"/>
    <x v="11"/>
    <m/>
    <m/>
    <m/>
    <m/>
    <n v="6061"/>
    <n v="6231"/>
    <n v="0"/>
    <n v="0"/>
    <n v="6793"/>
    <n v="6477"/>
    <n v="12854"/>
    <n v="428.46666666666664"/>
    <n v="12708"/>
    <n v="423.6"/>
    <m/>
    <n v="36"/>
    <n v="0"/>
    <n v="12708"/>
    <m/>
    <m/>
    <m/>
    <m/>
    <m/>
    <m/>
    <m/>
    <m/>
    <n v="0"/>
    <n v="0"/>
    <n v="0"/>
    <n v="0"/>
    <m/>
    <m/>
    <n v="0"/>
    <n v="0"/>
  </r>
  <r>
    <x v="1"/>
    <s v="Arkansas State University"/>
    <m/>
    <n v="106458"/>
    <x v="2"/>
    <s v="sem"/>
    <s v="sem"/>
    <m/>
    <m/>
    <n v="112143"/>
    <n v="108209"/>
    <n v="19137"/>
    <n v="18938"/>
    <n v="117994"/>
    <n v="111422"/>
    <n v="249274"/>
    <n v="8309.1333333333332"/>
    <n v="238569"/>
    <n v="7952.3"/>
    <n v="7449"/>
    <n v="7532"/>
    <n v="249274"/>
    <n v="238569"/>
    <m/>
    <m/>
    <m/>
    <m/>
    <m/>
    <m/>
    <m/>
    <m/>
    <n v="0"/>
    <n v="0"/>
    <n v="0"/>
    <n v="0"/>
    <m/>
    <m/>
    <n v="0"/>
    <n v="0"/>
  </r>
  <r>
    <x v="1"/>
    <s v="Arkansas Tech University"/>
    <m/>
    <n v="106467"/>
    <x v="2"/>
    <s v="sem"/>
    <s v="sem"/>
    <m/>
    <m/>
    <n v="106847"/>
    <n v="107736"/>
    <n v="13392"/>
    <n v="12040"/>
    <n v="120865"/>
    <n v="113783"/>
    <n v="241104"/>
    <n v="8036.8"/>
    <n v="233559"/>
    <n v="7785.3"/>
    <n v="24854"/>
    <n v="24047"/>
    <n v="241104"/>
    <n v="233559"/>
    <m/>
    <m/>
    <m/>
    <m/>
    <m/>
    <m/>
    <m/>
    <m/>
    <n v="0"/>
    <n v="0"/>
    <n v="0"/>
    <n v="0"/>
    <m/>
    <m/>
    <n v="0"/>
    <n v="0"/>
  </r>
  <r>
    <x v="1"/>
    <s v="Henderson State University"/>
    <m/>
    <n v="107071"/>
    <x v="3"/>
    <s v="sem"/>
    <s v="sem"/>
    <m/>
    <m/>
    <n v="40753"/>
    <n v="40041"/>
    <n v="5372"/>
    <n v="5049"/>
    <n v="46097"/>
    <n v="37756"/>
    <n v="92222"/>
    <n v="3074.0666666666666"/>
    <n v="82846"/>
    <n v="2761.5333333333333"/>
    <n v="4692"/>
    <n v="2441"/>
    <n v="92222"/>
    <n v="82846"/>
    <m/>
    <m/>
    <m/>
    <m/>
    <m/>
    <m/>
    <m/>
    <m/>
    <n v="0"/>
    <n v="0"/>
    <n v="0"/>
    <n v="0"/>
    <m/>
    <m/>
    <n v="0"/>
    <n v="0"/>
  </r>
  <r>
    <x v="1"/>
    <s v="Southern Arkansas University"/>
    <m/>
    <n v="107983"/>
    <x v="3"/>
    <s v="sem"/>
    <s v="sem"/>
    <m/>
    <m/>
    <n v="43743"/>
    <n v="44179"/>
    <n v="5102"/>
    <n v="4756"/>
    <n v="49644"/>
    <n v="49184"/>
    <n v="98489"/>
    <n v="3282.9666666666667"/>
    <n v="98119"/>
    <n v="3270.6333333333332"/>
    <n v="2871"/>
    <n v="2775"/>
    <n v="98489"/>
    <n v="98119"/>
    <m/>
    <m/>
    <m/>
    <m/>
    <m/>
    <m/>
    <m/>
    <m/>
    <n v="0"/>
    <n v="0"/>
    <n v="0"/>
    <n v="0"/>
    <m/>
    <m/>
    <n v="0"/>
    <n v="0"/>
  </r>
  <r>
    <x v="1"/>
    <s v="University of Arkansas, Fayetteville"/>
    <m/>
    <n v="106397"/>
    <x v="0"/>
    <s v="sem"/>
    <s v="sem"/>
    <m/>
    <m/>
    <n v="300858"/>
    <n v="295335"/>
    <n v="42576"/>
    <n v="42213"/>
    <n v="320340"/>
    <n v="316631"/>
    <n v="663774"/>
    <n v="22125.8"/>
    <n v="654179"/>
    <n v="21805.966666666667"/>
    <n v="1941"/>
    <n v="719"/>
    <n v="663774"/>
    <n v="654179"/>
    <m/>
    <m/>
    <m/>
    <m/>
    <m/>
    <m/>
    <m/>
    <m/>
    <n v="0"/>
    <n v="0"/>
    <n v="0"/>
    <n v="0"/>
    <m/>
    <m/>
    <n v="0"/>
    <n v="0"/>
  </r>
  <r>
    <x v="1"/>
    <s v="University of Arkansas at Fort Smith"/>
    <m/>
    <n v="108092"/>
    <x v="5"/>
    <s v="sem"/>
    <s v="sem"/>
    <m/>
    <m/>
    <n v="70041"/>
    <n v="66632"/>
    <n v="7308"/>
    <n v="6996"/>
    <n v="74530"/>
    <n v="70368"/>
    <n v="151879"/>
    <n v="5062.6333333333332"/>
    <n v="143996"/>
    <n v="4799.8666666666668"/>
    <n v="16239"/>
    <n v="15823"/>
    <n v="151879"/>
    <n v="143996"/>
    <m/>
    <m/>
    <m/>
    <m/>
    <m/>
    <m/>
    <m/>
    <m/>
    <n v="0"/>
    <n v="0"/>
    <n v="0"/>
    <n v="0"/>
    <m/>
    <m/>
    <n v="0"/>
    <n v="0"/>
  </r>
  <r>
    <x v="1"/>
    <s v="University of Arkansas at Little Rock"/>
    <m/>
    <n v="106245"/>
    <x v="1"/>
    <s v="sem"/>
    <s v="sem"/>
    <m/>
    <m/>
    <n v="77296"/>
    <n v="73382"/>
    <n v="17476"/>
    <n v="16609"/>
    <n v="80450"/>
    <n v="75663"/>
    <n v="175222"/>
    <n v="5840.7333333333336"/>
    <n v="165654"/>
    <n v="5521.8"/>
    <n v="12084"/>
    <n v="10489"/>
    <n v="175222"/>
    <n v="165654"/>
    <m/>
    <m/>
    <m/>
    <m/>
    <m/>
    <m/>
    <m/>
    <m/>
    <n v="0"/>
    <n v="0"/>
    <n v="0"/>
    <n v="0"/>
    <m/>
    <m/>
    <n v="0"/>
    <n v="0"/>
  </r>
  <r>
    <x v="1"/>
    <s v="University of Arkansas at Monticello"/>
    <m/>
    <n v="106485"/>
    <x v="3"/>
    <s v="sem"/>
    <s v="sem"/>
    <m/>
    <m/>
    <n v="29830"/>
    <n v="27736"/>
    <n v="4878"/>
    <n v="5540"/>
    <n v="31135"/>
    <n v="29320"/>
    <n v="65843"/>
    <n v="2194.7666666666669"/>
    <n v="62596"/>
    <n v="2086.5333333333333"/>
    <n v="3327"/>
    <n v="2815"/>
    <n v="65843"/>
    <n v="62596"/>
    <m/>
    <m/>
    <m/>
    <m/>
    <m/>
    <m/>
    <m/>
    <m/>
    <n v="0"/>
    <n v="0"/>
    <n v="0"/>
    <n v="0"/>
    <m/>
    <m/>
    <n v="0"/>
    <n v="0"/>
  </r>
  <r>
    <x v="1"/>
    <s v="University of Arkansas at Pine Bluff"/>
    <s v="Met the criteria for Four-Year 4 in 2020-21."/>
    <n v="106412"/>
    <x v="5"/>
    <s v="sem"/>
    <s v="sem"/>
    <m/>
    <m/>
    <n v="31385"/>
    <n v="29442"/>
    <n v="3718"/>
    <n v="3107"/>
    <n v="33617"/>
    <n v="34550"/>
    <n v="68720"/>
    <n v="2290.6666666666665"/>
    <n v="67099"/>
    <n v="2236.6333333333332"/>
    <n v="0"/>
    <n v="252"/>
    <n v="68720"/>
    <n v="67099"/>
    <m/>
    <m/>
    <m/>
    <m/>
    <m/>
    <m/>
    <m/>
    <m/>
    <n v="0"/>
    <n v="0"/>
    <n v="0"/>
    <n v="0"/>
    <m/>
    <m/>
    <n v="0"/>
    <n v="0"/>
  </r>
  <r>
    <x v="1"/>
    <s v="University of Central Arkansas "/>
    <m/>
    <n v="106704"/>
    <x v="2"/>
    <s v="sem"/>
    <s v="sem"/>
    <m/>
    <m/>
    <n v="114661"/>
    <n v="110711"/>
    <n v="16563"/>
    <n v="17429"/>
    <n v="124254"/>
    <n v="119194"/>
    <n v="255478"/>
    <n v="8515.9333333333325"/>
    <n v="247334"/>
    <n v="8244.4666666666672"/>
    <n v="4216"/>
    <n v="2806"/>
    <n v="255478"/>
    <n v="247334"/>
    <m/>
    <m/>
    <m/>
    <m/>
    <m/>
    <m/>
    <m/>
    <m/>
    <n v="0"/>
    <n v="0"/>
    <n v="0"/>
    <n v="0"/>
    <m/>
    <m/>
    <n v="0"/>
    <n v="0"/>
  </r>
  <r>
    <x v="1"/>
    <s v="Arkansas Northeastern College"/>
    <m/>
    <n v="107327"/>
    <x v="8"/>
    <s v="sem"/>
    <s v="sem"/>
    <m/>
    <m/>
    <n v="11819"/>
    <n v="11593"/>
    <n v="2132"/>
    <n v="2171"/>
    <n v="13267"/>
    <n v="12107"/>
    <n v="27218"/>
    <n v="907.26666666666665"/>
    <n v="25871"/>
    <n v="862.36666666666667"/>
    <n v="4738"/>
    <n v="4105"/>
    <n v="27218"/>
    <n v="25871"/>
    <m/>
    <m/>
    <m/>
    <m/>
    <m/>
    <m/>
    <m/>
    <m/>
    <n v="0"/>
    <n v="0"/>
    <n v="0"/>
    <n v="0"/>
    <m/>
    <m/>
    <n v="0"/>
    <n v="0"/>
  </r>
  <r>
    <x v="1"/>
    <s v="Arkansas State University-Beebe"/>
    <m/>
    <n v="106449"/>
    <x v="7"/>
    <s v="sem"/>
    <s v="sem"/>
    <m/>
    <m/>
    <n v="33197"/>
    <n v="31302"/>
    <n v="5987"/>
    <n v="6253"/>
    <n v="35218"/>
    <n v="31537"/>
    <n v="74402"/>
    <n v="2480.0666666666666"/>
    <n v="69092"/>
    <n v="2303.0666666666666"/>
    <n v="7692"/>
    <n v="7681"/>
    <n v="74402"/>
    <n v="69092"/>
    <m/>
    <m/>
    <m/>
    <m/>
    <m/>
    <m/>
    <m/>
    <m/>
    <n v="0"/>
    <n v="0"/>
    <n v="0"/>
    <n v="0"/>
    <m/>
    <m/>
    <n v="0"/>
    <n v="0"/>
  </r>
  <r>
    <x v="1"/>
    <s v="Arkansas State University Mountain Home"/>
    <m/>
    <n v="420538"/>
    <x v="8"/>
    <s v="sem"/>
    <s v="sem"/>
    <m/>
    <m/>
    <n v="12802"/>
    <n v="11576"/>
    <n v="2585"/>
    <n v="2499"/>
    <n v="13246"/>
    <n v="12333"/>
    <n v="28633"/>
    <n v="954.43333333333328"/>
    <n v="26408"/>
    <n v="880.26666666666665"/>
    <n v="3163"/>
    <n v="3751"/>
    <n v="28633"/>
    <n v="26408"/>
    <m/>
    <m/>
    <m/>
    <m/>
    <m/>
    <m/>
    <m/>
    <m/>
    <n v="0"/>
    <n v="0"/>
    <n v="0"/>
    <n v="0"/>
    <m/>
    <m/>
    <n v="0"/>
    <n v="0"/>
  </r>
  <r>
    <x v="1"/>
    <s v="Arkansas State University Mid-South"/>
    <m/>
    <n v="107318"/>
    <x v="8"/>
    <s v="sem"/>
    <s v="sem"/>
    <m/>
    <m/>
    <n v="10641"/>
    <n v="9413"/>
    <n v="1883"/>
    <n v="2011"/>
    <n v="11315"/>
    <n v="10338"/>
    <n v="23839"/>
    <n v="794.63333333333333"/>
    <n v="21762"/>
    <n v="725.4"/>
    <n v="7048"/>
    <n v="6358"/>
    <n v="23839"/>
    <n v="21762"/>
    <m/>
    <m/>
    <m/>
    <m/>
    <m/>
    <m/>
    <m/>
    <m/>
    <n v="0"/>
    <n v="0"/>
    <n v="0"/>
    <n v="0"/>
    <m/>
    <m/>
    <n v="0"/>
    <n v="0"/>
  </r>
  <r>
    <x v="1"/>
    <s v="Arkansas State University-Newport"/>
    <m/>
    <n v="440402"/>
    <x v="8"/>
    <s v="sem"/>
    <s v="sem"/>
    <m/>
    <m/>
    <n v="21686"/>
    <n v="21163"/>
    <n v="11695"/>
    <n v="11369"/>
    <n v="22867"/>
    <n v="19174"/>
    <n v="56248"/>
    <n v="1874.9333333333334"/>
    <n v="51706"/>
    <n v="1723.5333333333333"/>
    <n v="15085"/>
    <n v="15044"/>
    <n v="56248"/>
    <n v="51706"/>
    <m/>
    <m/>
    <m/>
    <m/>
    <m/>
    <m/>
    <m/>
    <m/>
    <n v="0"/>
    <n v="0"/>
    <n v="0"/>
    <n v="0"/>
    <m/>
    <m/>
    <n v="0"/>
    <n v="0"/>
  </r>
  <r>
    <x v="1"/>
    <s v="Arkansas State University Three Rivers"/>
    <s v="2019-20: Institution joined one of our university systems"/>
    <n v="107521"/>
    <x v="8"/>
    <s v="sem"/>
    <s v="sem"/>
    <m/>
    <m/>
    <n v="8847"/>
    <n v="8770"/>
    <n v="3178"/>
    <n v="2714"/>
    <n v="8766"/>
    <n v="8342"/>
    <n v="20791"/>
    <n v="693.0333333333333"/>
    <n v="19826"/>
    <n v="660.86666666666667"/>
    <n v="6904"/>
    <n v="3399"/>
    <n v="20791"/>
    <n v="19826"/>
    <m/>
    <m/>
    <m/>
    <m/>
    <m/>
    <m/>
    <m/>
    <m/>
    <n v="0"/>
    <n v="0"/>
    <n v="0"/>
    <n v="0"/>
    <m/>
    <m/>
    <n v="0"/>
    <n v="0"/>
  </r>
  <r>
    <x v="1"/>
    <s v="Black River Technical College"/>
    <m/>
    <n v="106625"/>
    <x v="8"/>
    <s v="sem"/>
    <s v="sem"/>
    <m/>
    <m/>
    <n v="15610"/>
    <n v="14405"/>
    <n v="2998"/>
    <n v="3079"/>
    <n v="16353"/>
    <n v="15434"/>
    <n v="34961"/>
    <n v="1165.3666666666666"/>
    <n v="32918"/>
    <n v="1097.2666666666667"/>
    <n v="3749"/>
    <n v="3506"/>
    <n v="34961"/>
    <n v="32918"/>
    <m/>
    <m/>
    <m/>
    <m/>
    <m/>
    <m/>
    <m/>
    <m/>
    <n v="0"/>
    <n v="0"/>
    <n v="0"/>
    <n v="0"/>
    <m/>
    <m/>
    <n v="0"/>
    <n v="0"/>
  </r>
  <r>
    <x v="1"/>
    <s v="Cossatot Community College of the University of Arkansas"/>
    <m/>
    <n v="106795"/>
    <x v="8"/>
    <s v="sem"/>
    <s v="sem"/>
    <m/>
    <m/>
    <n v="11987"/>
    <n v="12227"/>
    <n v="2334"/>
    <n v="2238"/>
    <n v="14237"/>
    <n v="13134"/>
    <n v="28558"/>
    <n v="951.93333333333328"/>
    <n v="27599"/>
    <n v="919.9666666666667"/>
    <n v="4814"/>
    <n v="6462"/>
    <n v="28558"/>
    <n v="27599"/>
    <m/>
    <m/>
    <m/>
    <m/>
    <m/>
    <m/>
    <m/>
    <m/>
    <n v="0"/>
    <n v="0"/>
    <n v="0"/>
    <n v="0"/>
    <m/>
    <m/>
    <n v="0"/>
    <n v="0"/>
  </r>
  <r>
    <x v="1"/>
    <s v="East Arkansas Community College "/>
    <m/>
    <n v="106883"/>
    <x v="8"/>
    <s v="sem"/>
    <s v="sem"/>
    <m/>
    <m/>
    <n v="9131"/>
    <n v="11061"/>
    <n v="3672"/>
    <n v="3226"/>
    <n v="11898"/>
    <n v="9355"/>
    <n v="24701"/>
    <n v="823.36666666666667"/>
    <n v="23642"/>
    <n v="788.06666666666672"/>
    <n v="4144"/>
    <n v="3593"/>
    <n v="24701"/>
    <n v="23642"/>
    <m/>
    <m/>
    <m/>
    <m/>
    <m/>
    <m/>
    <m/>
    <m/>
    <n v="0"/>
    <n v="0"/>
    <n v="0"/>
    <n v="0"/>
    <m/>
    <m/>
    <n v="0"/>
    <n v="0"/>
  </r>
  <r>
    <x v="1"/>
    <s v="North Arkansas College"/>
    <m/>
    <n v="107460"/>
    <x v="8"/>
    <s v="sem"/>
    <s v="sem"/>
    <m/>
    <m/>
    <n v="16591"/>
    <n v="15790"/>
    <n v="2480"/>
    <n v="2879"/>
    <n v="18594"/>
    <n v="17315"/>
    <n v="37665"/>
    <n v="1255.5"/>
    <n v="35984"/>
    <n v="1199.4666666666667"/>
    <n v="3856"/>
    <n v="3864"/>
    <n v="37665"/>
    <n v="35984"/>
    <m/>
    <m/>
    <m/>
    <m/>
    <m/>
    <m/>
    <m/>
    <m/>
    <n v="0"/>
    <n v="0"/>
    <n v="0"/>
    <n v="0"/>
    <m/>
    <m/>
    <n v="0"/>
    <n v="0"/>
  </r>
  <r>
    <x v="1"/>
    <s v="National Park College"/>
    <m/>
    <n v="106980"/>
    <x v="8"/>
    <s v="sem"/>
    <s v="sem"/>
    <m/>
    <m/>
    <n v="23487"/>
    <n v="23417"/>
    <n v="4456"/>
    <n v="4639"/>
    <n v="26273"/>
    <n v="24729"/>
    <n v="54216"/>
    <n v="1807.2"/>
    <n v="52785"/>
    <n v="1759.5"/>
    <n v="4213"/>
    <n v="5260"/>
    <n v="54216"/>
    <n v="52785"/>
    <m/>
    <m/>
    <m/>
    <m/>
    <m/>
    <m/>
    <m/>
    <m/>
    <n v="0"/>
    <n v="0"/>
    <n v="0"/>
    <n v="0"/>
    <m/>
    <m/>
    <n v="0"/>
    <n v="0"/>
  </r>
  <r>
    <x v="1"/>
    <s v="Northwest Arkansas Community College "/>
    <s v="Met the criteria for Two-Year 2 in 2020-21."/>
    <n v="367459"/>
    <x v="6"/>
    <s v="sem"/>
    <s v="sem"/>
    <m/>
    <m/>
    <n v="63515"/>
    <n v="63624"/>
    <n v="13622"/>
    <n v="13384"/>
    <n v="73609"/>
    <n v="63953"/>
    <n v="150746"/>
    <n v="5024.8666666666668"/>
    <n v="140961"/>
    <n v="4698.7"/>
    <n v="24056"/>
    <n v="23845"/>
    <n v="150746"/>
    <n v="140961"/>
    <m/>
    <m/>
    <m/>
    <m/>
    <m/>
    <m/>
    <m/>
    <m/>
    <n v="0"/>
    <n v="0"/>
    <n v="0"/>
    <n v="0"/>
    <m/>
    <m/>
    <n v="0"/>
    <n v="0"/>
  </r>
  <r>
    <x v="1"/>
    <s v="Ozarka College "/>
    <m/>
    <n v="107549"/>
    <x v="8"/>
    <s v="sem"/>
    <s v="sem"/>
    <m/>
    <m/>
    <n v="10621"/>
    <n v="10189"/>
    <n v="2294"/>
    <n v="2583"/>
    <n v="11253"/>
    <n v="10168"/>
    <n v="24168"/>
    <n v="805.6"/>
    <n v="22940"/>
    <n v="764.66666666666663"/>
    <n v="3535"/>
    <n v="3478"/>
    <n v="24168"/>
    <n v="22940"/>
    <m/>
    <m/>
    <m/>
    <m/>
    <m/>
    <m/>
    <m/>
    <m/>
    <n v="0"/>
    <n v="0"/>
    <n v="0"/>
    <n v="0"/>
    <m/>
    <m/>
    <n v="0"/>
    <n v="0"/>
  </r>
  <r>
    <x v="1"/>
    <s v="Phillips Community College of the Univ of Arkansas"/>
    <m/>
    <n v="107619"/>
    <x v="8"/>
    <s v="sem"/>
    <s v="sem"/>
    <m/>
    <m/>
    <n v="11375"/>
    <n v="11064"/>
    <n v="2576"/>
    <n v="2802"/>
    <n v="13912"/>
    <n v="9863"/>
    <n v="27863"/>
    <n v="928.76666666666665"/>
    <n v="23729"/>
    <n v="790.9666666666667"/>
    <n v="6522"/>
    <n v="4835"/>
    <n v="27863"/>
    <n v="23729"/>
    <m/>
    <m/>
    <m/>
    <m/>
    <m/>
    <m/>
    <m/>
    <m/>
    <n v="0"/>
    <n v="0"/>
    <n v="0"/>
    <n v="0"/>
    <m/>
    <m/>
    <n v="0"/>
    <n v="0"/>
  </r>
  <r>
    <x v="1"/>
    <s v="South Arkansas Community College"/>
    <m/>
    <n v="107974"/>
    <x v="8"/>
    <s v="sem"/>
    <s v="sem"/>
    <m/>
    <m/>
    <n v="12802"/>
    <n v="12437"/>
    <n v="4955"/>
    <n v="4360"/>
    <n v="13298"/>
    <n v="11939"/>
    <n v="31055"/>
    <n v="1035.1666666666667"/>
    <n v="28736"/>
    <n v="957.86666666666667"/>
    <n v="2969"/>
    <n v="2676"/>
    <n v="31055"/>
    <n v="28736"/>
    <m/>
    <m/>
    <m/>
    <m/>
    <m/>
    <m/>
    <m/>
    <m/>
    <n v="0"/>
    <n v="0"/>
    <n v="0"/>
    <n v="0"/>
    <m/>
    <m/>
    <n v="0"/>
    <n v="0"/>
  </r>
  <r>
    <x v="1"/>
    <s v="Southern Arkansas University Tech"/>
    <m/>
    <n v="107992"/>
    <x v="8"/>
    <s v="sem"/>
    <s v="sem"/>
    <m/>
    <m/>
    <n v="10778"/>
    <n v="11040"/>
    <n v="3272"/>
    <n v="2973"/>
    <n v="12410"/>
    <n v="10721"/>
    <n v="26460"/>
    <n v="882"/>
    <n v="24734"/>
    <n v="824.4666666666667"/>
    <n v="3677"/>
    <n v="2945"/>
    <n v="26460"/>
    <n v="24734"/>
    <m/>
    <m/>
    <m/>
    <m/>
    <m/>
    <m/>
    <m/>
    <m/>
    <n v="0"/>
    <n v="0"/>
    <n v="0"/>
    <n v="0"/>
    <m/>
    <m/>
    <n v="0"/>
    <n v="0"/>
  </r>
  <r>
    <x v="1"/>
    <s v="Southeast Arkansas College"/>
    <m/>
    <n v="107637"/>
    <x v="8"/>
    <s v="sem"/>
    <s v="sem"/>
    <m/>
    <m/>
    <n v="10381"/>
    <n v="10768"/>
    <n v="3413"/>
    <n v="3293"/>
    <n v="12578"/>
    <n v="10539"/>
    <n v="26372"/>
    <n v="879.06666666666672"/>
    <n v="24600"/>
    <n v="820"/>
    <n v="2026"/>
    <n v="1821"/>
    <n v="26372"/>
    <n v="24600"/>
    <m/>
    <m/>
    <m/>
    <m/>
    <m/>
    <m/>
    <m/>
    <m/>
    <n v="0"/>
    <n v="0"/>
    <n v="0"/>
    <n v="0"/>
    <m/>
    <m/>
    <n v="0"/>
    <n v="0"/>
  </r>
  <r>
    <x v="1"/>
    <s v="University of Arkansas Community College at Batesville"/>
    <m/>
    <n v="106999"/>
    <x v="8"/>
    <s v="sem"/>
    <s v="sem"/>
    <m/>
    <m/>
    <n v="12012"/>
    <n v="12151"/>
    <n v="2968"/>
    <n v="2609"/>
    <n v="14654"/>
    <n v="12753"/>
    <n v="29634"/>
    <n v="987.8"/>
    <n v="27513"/>
    <n v="917.1"/>
    <n v="4662"/>
    <n v="4273"/>
    <n v="29634"/>
    <n v="27513"/>
    <m/>
    <m/>
    <m/>
    <m/>
    <m/>
    <m/>
    <m/>
    <m/>
    <n v="0"/>
    <n v="0"/>
    <n v="0"/>
    <n v="0"/>
    <m/>
    <m/>
    <n v="0"/>
    <n v="0"/>
  </r>
  <r>
    <x v="1"/>
    <s v="University of Arkansas Community College at Hope-Texarkana"/>
    <m/>
    <n v="107725"/>
    <x v="8"/>
    <s v="sem"/>
    <s v="sem"/>
    <m/>
    <m/>
    <n v="12947"/>
    <n v="12157"/>
    <n v="2264"/>
    <n v="2415"/>
    <n v="13158"/>
    <n v="11563"/>
    <n v="28369"/>
    <n v="945.63333333333333"/>
    <n v="26135"/>
    <n v="871.16666666666663"/>
    <n v="5709"/>
    <n v="5996"/>
    <n v="28369"/>
    <n v="26135"/>
    <m/>
    <m/>
    <m/>
    <m/>
    <m/>
    <m/>
    <m/>
    <m/>
    <n v="0"/>
    <n v="0"/>
    <n v="0"/>
    <n v="0"/>
    <m/>
    <m/>
    <n v="0"/>
    <n v="0"/>
  </r>
  <r>
    <x v="1"/>
    <s v="University of Arkansas Community College at Morrilton"/>
    <m/>
    <n v="107585"/>
    <x v="8"/>
    <s v="sem"/>
    <s v="sem"/>
    <m/>
    <m/>
    <n v="18307"/>
    <n v="17756"/>
    <n v="3499"/>
    <n v="3011"/>
    <n v="20014"/>
    <n v="19832"/>
    <n v="41820"/>
    <n v="1394"/>
    <n v="40599"/>
    <n v="1353.3"/>
    <n v="2662"/>
    <n v="2707"/>
    <n v="41820"/>
    <n v="40599"/>
    <m/>
    <m/>
    <m/>
    <m/>
    <m/>
    <m/>
    <m/>
    <m/>
    <n v="0"/>
    <n v="0"/>
    <n v="0"/>
    <n v="0"/>
    <m/>
    <m/>
    <n v="0"/>
    <n v="0"/>
  </r>
  <r>
    <x v="1"/>
    <s v="University of Arkansas Community College Rich Mountain"/>
    <m/>
    <n v="107743"/>
    <x v="8"/>
    <s v="sem"/>
    <s v="sem"/>
    <m/>
    <m/>
    <n v="6616"/>
    <n v="7204"/>
    <n v="1446"/>
    <n v="1077"/>
    <n v="8581"/>
    <n v="8940"/>
    <n v="16643"/>
    <n v="554.76666666666665"/>
    <n v="17221"/>
    <n v="574.0333333333333"/>
    <n v="3089"/>
    <n v="2735"/>
    <n v="16643"/>
    <n v="17221"/>
    <m/>
    <m/>
    <m/>
    <m/>
    <m/>
    <m/>
    <m/>
    <m/>
    <n v="0"/>
    <n v="0"/>
    <n v="0"/>
    <n v="0"/>
    <m/>
    <m/>
    <n v="0"/>
    <n v="0"/>
  </r>
  <r>
    <x v="1"/>
    <s v="University of Arkansas - Pulaski Technical College"/>
    <m/>
    <n v="107664"/>
    <x v="7"/>
    <s v="sem"/>
    <s v="sem"/>
    <m/>
    <m/>
    <n v="47677"/>
    <n v="51561"/>
    <n v="11302"/>
    <n v="11753"/>
    <n v="55272"/>
    <n v="49410"/>
    <n v="114251"/>
    <n v="3808.3666666666668"/>
    <n v="112724"/>
    <n v="3757.4666666666667"/>
    <n v="8471"/>
    <n v="5345"/>
    <n v="114251"/>
    <n v="112724"/>
    <m/>
    <m/>
    <m/>
    <m/>
    <m/>
    <m/>
    <m/>
    <m/>
    <n v="0"/>
    <n v="0"/>
    <n v="0"/>
    <n v="0"/>
    <m/>
    <m/>
    <n v="0"/>
    <n v="0"/>
  </r>
  <r>
    <x v="2"/>
    <s v="University of Delaware"/>
    <m/>
    <n v="130943"/>
    <x v="0"/>
    <m/>
    <m/>
    <n v="27893"/>
    <n v="27294"/>
    <n v="265680"/>
    <n v="264814"/>
    <n v="18429"/>
    <n v="29207"/>
    <n v="287289"/>
    <n v="279297"/>
    <n v="599291"/>
    <n v="19976.366666666665"/>
    <n v="600612"/>
    <n v="20020.400000000001"/>
    <m/>
    <m/>
    <n v="0"/>
    <n v="0"/>
    <m/>
    <m/>
    <m/>
    <m/>
    <m/>
    <m/>
    <m/>
    <m/>
    <n v="0"/>
    <n v="0"/>
    <n v="0"/>
    <n v="0"/>
    <m/>
    <m/>
    <n v="0"/>
    <n v="0"/>
  </r>
  <r>
    <x v="2"/>
    <s v="Delaware State University"/>
    <m/>
    <n v="130934"/>
    <x v="2"/>
    <m/>
    <m/>
    <m/>
    <m/>
    <n v="55845"/>
    <n v="58128"/>
    <n v="10297"/>
    <n v="10113"/>
    <n v="62039"/>
    <n v="63465"/>
    <n v="128181"/>
    <n v="4272.7"/>
    <n v="131706"/>
    <n v="4390.2"/>
    <m/>
    <m/>
    <n v="0"/>
    <n v="0"/>
    <m/>
    <m/>
    <m/>
    <m/>
    <m/>
    <m/>
    <m/>
    <m/>
    <n v="0"/>
    <n v="0"/>
    <n v="0"/>
    <n v="0"/>
    <m/>
    <m/>
    <n v="0"/>
    <n v="0"/>
  </r>
  <r>
    <x v="2"/>
    <s v="Delaware Technical and Community College--Terry"/>
    <s v="Met the criteria for Two-Year with Bachelor's in 2019-20 and 2020-21. "/>
    <n v="130907"/>
    <x v="7"/>
    <m/>
    <m/>
    <m/>
    <m/>
    <n v="107651"/>
    <n v="100220"/>
    <n v="30148"/>
    <n v="32370"/>
    <n v="121988"/>
    <n v="116491"/>
    <n v="259787"/>
    <n v="8659.5666666666675"/>
    <n v="249081"/>
    <n v="8302.7000000000007"/>
    <m/>
    <m/>
    <n v="0"/>
    <n v="0"/>
    <m/>
    <m/>
    <m/>
    <m/>
    <m/>
    <m/>
    <m/>
    <m/>
    <n v="0"/>
    <n v="0"/>
    <n v="0"/>
    <n v="0"/>
    <m/>
    <m/>
    <n v="0"/>
    <n v="0"/>
  </r>
  <r>
    <x v="3"/>
    <s v="Eastern Florida State College"/>
    <m/>
    <n v="132693"/>
    <x v="12"/>
    <m/>
    <m/>
    <m/>
    <m/>
    <n v="127638"/>
    <n v="127669"/>
    <n v="50812"/>
    <n v="53421"/>
    <n v="134887"/>
    <n v="124032"/>
    <n v="313337"/>
    <n v="10444.566666666668"/>
    <n v="305122"/>
    <n v="10170.733333333334"/>
    <n v="60958"/>
    <n v="60572"/>
    <n v="313337"/>
    <n v="305122"/>
    <m/>
    <m/>
    <n v="140839"/>
    <n v="160119"/>
    <n v="39390"/>
    <n v="21876"/>
    <n v="119244"/>
    <n v="97947"/>
    <n v="299473"/>
    <n v="332.7477777777778"/>
    <n v="279942"/>
    <n v="311.04666666666668"/>
    <n v="23585"/>
    <n v="21860"/>
    <n v="299473"/>
    <n v="279942"/>
  </r>
  <r>
    <x v="3"/>
    <s v="Broward College "/>
    <m/>
    <n v="132709"/>
    <x v="12"/>
    <m/>
    <m/>
    <m/>
    <m/>
    <n v="325009"/>
    <n v="306238"/>
    <n v="165999"/>
    <n v="153503"/>
    <n v="335411"/>
    <n v="301326"/>
    <n v="826419"/>
    <n v="27547.3"/>
    <n v="761067"/>
    <n v="25368.9"/>
    <n v="76482"/>
    <n v="65528"/>
    <n v="826419"/>
    <n v="761067"/>
    <m/>
    <m/>
    <n v="97009"/>
    <n v="68290"/>
    <n v="73292"/>
    <n v="15576"/>
    <n v="56416"/>
    <n v="99592"/>
    <n v="226717"/>
    <n v="251.90777777777777"/>
    <n v="183458"/>
    <n v="203.84222222222223"/>
    <n v="7573"/>
    <n v="0"/>
    <n v="226717"/>
    <n v="183458"/>
  </r>
  <r>
    <x v="3"/>
    <s v="College of Central Florida"/>
    <m/>
    <n v="132851"/>
    <x v="12"/>
    <m/>
    <m/>
    <m/>
    <m/>
    <n v="59649"/>
    <n v="57789"/>
    <n v="23812"/>
    <n v="24432"/>
    <n v="62897"/>
    <n v="57082"/>
    <n v="146358"/>
    <n v="4878.6000000000004"/>
    <n v="139303"/>
    <n v="4643.4333333333334"/>
    <n v="20212"/>
    <n v="20511"/>
    <n v="146358"/>
    <n v="139303"/>
    <m/>
    <m/>
    <n v="46756"/>
    <n v="53333"/>
    <n v="46649"/>
    <n v="24476"/>
    <n v="67221"/>
    <n v="59275"/>
    <n v="160626"/>
    <n v="178.47333333333333"/>
    <n v="137084"/>
    <n v="152.31555555555556"/>
    <n v="4380"/>
    <n v="5910"/>
    <n v="160626"/>
    <n v="137084"/>
  </r>
  <r>
    <x v="3"/>
    <s v="Chipola College "/>
    <m/>
    <n v="133021"/>
    <x v="12"/>
    <m/>
    <m/>
    <m/>
    <m/>
    <n v="16328"/>
    <n v="15610"/>
    <n v="4708"/>
    <n v="5118"/>
    <n v="17344"/>
    <n v="16676"/>
    <n v="38380"/>
    <n v="1279.3333333333333"/>
    <n v="37404"/>
    <n v="1246.8"/>
    <n v="8009"/>
    <n v="7982"/>
    <n v="38380"/>
    <n v="37404"/>
    <m/>
    <m/>
    <n v="52324"/>
    <n v="46348"/>
    <n v="16415"/>
    <n v="27055"/>
    <n v="56749"/>
    <n v="60038"/>
    <n v="125488"/>
    <n v="139.43111111111111"/>
    <n v="133441"/>
    <n v="148.26777777777778"/>
    <n v="1020"/>
    <n v="3210"/>
    <n v="125488"/>
    <n v="133441"/>
  </r>
  <r>
    <x v="3"/>
    <s v="Daytona State College "/>
    <m/>
    <n v="133386"/>
    <x v="12"/>
    <m/>
    <m/>
    <m/>
    <m/>
    <n v="114978"/>
    <n v="116276"/>
    <n v="43369"/>
    <n v="44333"/>
    <n v="124666"/>
    <n v="118104"/>
    <n v="283013"/>
    <n v="9433.7666666666664"/>
    <n v="278713"/>
    <n v="9290.4333333333325"/>
    <n v="42775"/>
    <n v="42905"/>
    <n v="283013"/>
    <n v="278713"/>
    <m/>
    <m/>
    <n v="624866"/>
    <n v="548380"/>
    <n v="331309"/>
    <n v="252868"/>
    <n v="550959"/>
    <n v="460628"/>
    <n v="1507134"/>
    <n v="1674.5933333333332"/>
    <n v="1261876"/>
    <n v="1402.0844444444444"/>
    <n v="13935"/>
    <n v="10820"/>
    <n v="1507134"/>
    <n v="1261876"/>
  </r>
  <r>
    <x v="3"/>
    <s v="Florida SouthWestern State College"/>
    <m/>
    <n v="133508"/>
    <x v="12"/>
    <m/>
    <m/>
    <m/>
    <m/>
    <n v="137759"/>
    <n v="131986"/>
    <n v="45142"/>
    <n v="41741"/>
    <n v="147596"/>
    <n v="136908"/>
    <n v="330497"/>
    <n v="11016.566666666668"/>
    <n v="310635"/>
    <n v="10354.5"/>
    <n v="52037"/>
    <n v="45171"/>
    <n v="330497"/>
    <n v="310635"/>
    <m/>
    <m/>
    <n v="4350"/>
    <n v="4800"/>
    <n v="8100"/>
    <n v="12450"/>
    <n v="3900"/>
    <n v="6720"/>
    <n v="16350"/>
    <n v="18.166666666666668"/>
    <n v="23970"/>
    <n v="26.633333333333333"/>
    <n v="0"/>
    <n v="0"/>
    <n v="16350"/>
    <n v="23970"/>
  </r>
  <r>
    <x v="3"/>
    <s v="Florida State College at Jacksonville"/>
    <m/>
    <n v="133702"/>
    <x v="12"/>
    <m/>
    <m/>
    <m/>
    <m/>
    <n v="184360"/>
    <n v="184397"/>
    <n v="101331"/>
    <n v="97946"/>
    <n v="194222"/>
    <n v="178559"/>
    <n v="479913"/>
    <n v="15997.1"/>
    <n v="460902"/>
    <n v="15363.4"/>
    <n v="42345"/>
    <n v="38431"/>
    <n v="479913"/>
    <n v="460902"/>
    <m/>
    <m/>
    <n v="376108"/>
    <n v="390805"/>
    <n v="322752"/>
    <n v="190314"/>
    <n v="404814"/>
    <n v="314158"/>
    <n v="1103674"/>
    <n v="1226.3044444444445"/>
    <n v="895277"/>
    <n v="994.75222222222226"/>
    <n v="7695"/>
    <n v="12148"/>
    <n v="1103674"/>
    <n v="895277"/>
  </r>
  <r>
    <x v="3"/>
    <s v="The College of the Florida Keys"/>
    <s v="Met the criteria for Two-Year with Bachelor's in 2018-19 and 2019-20. "/>
    <n v="133960"/>
    <x v="8"/>
    <m/>
    <m/>
    <m/>
    <m/>
    <n v="7596"/>
    <n v="8606"/>
    <n v="2614"/>
    <n v="2812"/>
    <n v="8752"/>
    <n v="9392"/>
    <n v="18962"/>
    <n v="632.06666666666672"/>
    <n v="20810"/>
    <n v="693.66666666666663"/>
    <n v="1604"/>
    <n v="2226"/>
    <n v="18962"/>
    <n v="20810"/>
    <m/>
    <m/>
    <n v="18815"/>
    <n v="31580"/>
    <n v="28486"/>
    <n v="19302"/>
    <n v="28210"/>
    <n v="31261"/>
    <n v="75511"/>
    <n v="83.901111111111106"/>
    <n v="82143"/>
    <n v="91.27"/>
    <n v="0"/>
    <n v="0"/>
    <n v="75511"/>
    <n v="82143"/>
  </r>
  <r>
    <x v="3"/>
    <s v="Gulf Coast State College "/>
    <m/>
    <n v="134343"/>
    <x v="12"/>
    <m/>
    <m/>
    <m/>
    <m/>
    <n v="37152"/>
    <n v="38945"/>
    <n v="10804"/>
    <n v="11191"/>
    <n v="42220"/>
    <n v="40033"/>
    <n v="90176"/>
    <n v="3005.8666666666668"/>
    <n v="90169"/>
    <n v="3005.6333333333332"/>
    <n v="11641"/>
    <n v="12056"/>
    <n v="90176"/>
    <n v="90169"/>
    <m/>
    <m/>
    <n v="50519"/>
    <n v="47862"/>
    <n v="20794"/>
    <n v="24107"/>
    <n v="43051"/>
    <n v="51646"/>
    <n v="114364"/>
    <n v="127.07111111111111"/>
    <n v="123615"/>
    <n v="137.35"/>
    <n v="0"/>
    <n v="0"/>
    <n v="114364"/>
    <n v="123615"/>
  </r>
  <r>
    <x v="3"/>
    <s v="Hillsborough Community College "/>
    <m/>
    <n v="134495"/>
    <x v="6"/>
    <m/>
    <m/>
    <m/>
    <m/>
    <n v="229697"/>
    <n v="237483"/>
    <n v="99322"/>
    <n v="96362"/>
    <n v="258930"/>
    <n v="232718"/>
    <n v="587949"/>
    <n v="19598.3"/>
    <n v="566563"/>
    <n v="18885.433333333334"/>
    <n v="68049"/>
    <n v="71752"/>
    <n v="587949"/>
    <n v="566563"/>
    <m/>
    <m/>
    <n v="919395"/>
    <n v="875049"/>
    <n v="125546"/>
    <n v="64272"/>
    <n v="921136"/>
    <n v="846842"/>
    <n v="1966077"/>
    <n v="2184.5300000000002"/>
    <n v="1786163"/>
    <n v="1984.6255555555556"/>
    <n v="0"/>
    <n v="0"/>
    <n v="1966077"/>
    <n v="1786163"/>
  </r>
  <r>
    <x v="3"/>
    <s v="Indian River State College "/>
    <m/>
    <n v="134608"/>
    <x v="12"/>
    <m/>
    <m/>
    <m/>
    <m/>
    <n v="122905"/>
    <n v="120054"/>
    <n v="60239"/>
    <n v="60010"/>
    <n v="133776"/>
    <n v="121224"/>
    <n v="316920"/>
    <n v="10564"/>
    <n v="301288"/>
    <n v="10042.933333333332"/>
    <n v="62559"/>
    <n v="63338"/>
    <n v="316920"/>
    <n v="301288"/>
    <m/>
    <m/>
    <n v="574551"/>
    <n v="626352"/>
    <n v="485683"/>
    <n v="275731"/>
    <n v="680440"/>
    <n v="376074"/>
    <n v="1740674"/>
    <n v="1934.0822222222223"/>
    <n v="1278157"/>
    <n v="1420.1744444444444"/>
    <n v="900"/>
    <n v="1500"/>
    <n v="1740674"/>
    <n v="1278157"/>
  </r>
  <r>
    <x v="3"/>
    <s v="Florida Gateway College"/>
    <m/>
    <n v="135160"/>
    <x v="12"/>
    <m/>
    <m/>
    <m/>
    <m/>
    <n v="25702"/>
    <n v="25259"/>
    <n v="11160"/>
    <n v="11539"/>
    <n v="27375"/>
    <n v="23619"/>
    <n v="64237"/>
    <n v="2141.2333333333331"/>
    <n v="60417"/>
    <n v="2013.9"/>
    <n v="14426"/>
    <n v="13299"/>
    <n v="64237"/>
    <n v="60417"/>
    <m/>
    <m/>
    <n v="99935"/>
    <n v="90149"/>
    <n v="51032"/>
    <n v="43816"/>
    <n v="101671"/>
    <n v="102831"/>
    <n v="252638"/>
    <n v="280.70888888888891"/>
    <n v="236796"/>
    <n v="263.10666666666668"/>
    <n v="5010"/>
    <n v="3000"/>
    <n v="252638"/>
    <n v="236796"/>
  </r>
  <r>
    <x v="3"/>
    <s v="Lake-Sumter State College "/>
    <m/>
    <n v="135188"/>
    <x v="12"/>
    <m/>
    <m/>
    <m/>
    <m/>
    <n v="39511"/>
    <n v="39810"/>
    <n v="14596"/>
    <n v="15197"/>
    <n v="45055"/>
    <n v="42699"/>
    <n v="99162"/>
    <n v="3305.4"/>
    <n v="97706"/>
    <n v="3256.8666666666668"/>
    <n v="22443"/>
    <n v="24011"/>
    <n v="99162"/>
    <n v="97706"/>
    <m/>
    <m/>
    <n v="402"/>
    <n v="114"/>
    <n v="0"/>
    <n v="0"/>
    <n v="12"/>
    <n v="392"/>
    <n v="414"/>
    <n v="0.46"/>
    <n v="506"/>
    <n v="0.56222222222222218"/>
    <n v="0"/>
    <n v="0"/>
    <n v="414"/>
    <n v="506"/>
  </r>
  <r>
    <x v="3"/>
    <s v="State College of Florida, Manatee-Sarasota"/>
    <m/>
    <n v="135391"/>
    <x v="12"/>
    <m/>
    <m/>
    <m/>
    <m/>
    <n v="81772"/>
    <n v="81023"/>
    <n v="28244"/>
    <n v="30021"/>
    <n v="90625"/>
    <n v="86374"/>
    <n v="200641"/>
    <n v="6688.0333333333338"/>
    <n v="197418"/>
    <n v="6580.6"/>
    <n v="21261"/>
    <n v="16324"/>
    <n v="200641"/>
    <n v="197418"/>
    <m/>
    <m/>
    <n v="0"/>
    <n v="0"/>
    <n v="0"/>
    <n v="0"/>
    <n v="0"/>
    <n v="0"/>
    <n v="0"/>
    <n v="0"/>
    <n v="0"/>
    <n v="0"/>
    <n v="0"/>
    <n v="0"/>
    <n v="0"/>
    <n v="0"/>
  </r>
  <r>
    <x v="3"/>
    <s v="Miami Dade College "/>
    <m/>
    <n v="135717"/>
    <x v="12"/>
    <m/>
    <m/>
    <m/>
    <m/>
    <n v="521983"/>
    <n v="499096"/>
    <n v="253786"/>
    <n v="256784"/>
    <n v="549536"/>
    <n v="482907"/>
    <n v="1325305"/>
    <n v="44176.833333333336"/>
    <n v="1238787"/>
    <n v="41292.9"/>
    <n v="66974"/>
    <n v="68977"/>
    <n v="1325305"/>
    <n v="1238787"/>
    <m/>
    <m/>
    <n v="818338"/>
    <n v="890680"/>
    <n v="508754"/>
    <n v="204286"/>
    <n v="669159"/>
    <n v="358370"/>
    <n v="1996251"/>
    <n v="2218.0566666666668"/>
    <n v="1453336"/>
    <n v="1614.8177777777778"/>
    <n v="0"/>
    <n v="0"/>
    <n v="1996251"/>
    <n v="1453336"/>
  </r>
  <r>
    <x v="3"/>
    <s v="North Florida College "/>
    <s v="Met the criteria for Two-Year with Bachelor's in 2019-20. "/>
    <n v="136145"/>
    <x v="8"/>
    <m/>
    <m/>
    <m/>
    <m/>
    <n v="8973"/>
    <n v="9113"/>
    <n v="3626"/>
    <n v="3207"/>
    <n v="9736"/>
    <n v="9612"/>
    <n v="22335"/>
    <n v="744.5"/>
    <n v="21932"/>
    <n v="731.06666666666672"/>
    <n v="6222"/>
    <n v="5402"/>
    <n v="22335"/>
    <n v="21932"/>
    <m/>
    <m/>
    <n v="35051"/>
    <n v="33721"/>
    <n v="9082"/>
    <n v="6640"/>
    <n v="40034"/>
    <n v="19838"/>
    <n v="84167"/>
    <n v="93.518888888888895"/>
    <n v="60199"/>
    <n v="66.887777777777771"/>
    <n v="6750"/>
    <n v="3150"/>
    <n v="84167"/>
    <n v="60199"/>
  </r>
  <r>
    <x v="3"/>
    <s v="Northwest Florida State College"/>
    <m/>
    <n v="136233"/>
    <x v="12"/>
    <m/>
    <m/>
    <m/>
    <m/>
    <n v="44162"/>
    <n v="44214"/>
    <n v="16931"/>
    <n v="18349"/>
    <n v="47721"/>
    <n v="42943"/>
    <n v="108814"/>
    <n v="3627.1333333333332"/>
    <n v="105506"/>
    <n v="3516.8666666666668"/>
    <n v="17594"/>
    <n v="18485"/>
    <n v="108814"/>
    <n v="105506"/>
    <m/>
    <m/>
    <n v="92244"/>
    <n v="102523"/>
    <n v="43221"/>
    <n v="7424"/>
    <n v="96908"/>
    <n v="86153"/>
    <n v="232373"/>
    <n v="258.1922222222222"/>
    <n v="196100"/>
    <n v="217.88888888888889"/>
    <n v="0"/>
    <n v="0"/>
    <n v="232373"/>
    <n v="196100"/>
  </r>
  <r>
    <x v="3"/>
    <s v="Palm Beach State College "/>
    <m/>
    <n v="136358"/>
    <x v="12"/>
    <m/>
    <m/>
    <m/>
    <m/>
    <n v="230004"/>
    <n v="220541"/>
    <n v="110682"/>
    <n v="120964"/>
    <n v="248628"/>
    <n v="218438"/>
    <n v="589314"/>
    <n v="19643.8"/>
    <n v="559943"/>
    <n v="18664.766666666666"/>
    <n v="38823"/>
    <n v="39731"/>
    <n v="589314"/>
    <n v="559943"/>
    <m/>
    <m/>
    <n v="543242"/>
    <n v="517305"/>
    <n v="290589"/>
    <n v="271739"/>
    <n v="547935"/>
    <n v="442577"/>
    <n v="1381766"/>
    <n v="1535.2955555555557"/>
    <n v="1231621"/>
    <n v="1368.4677777777779"/>
    <n v="6000"/>
    <n v="1920"/>
    <n v="1381766"/>
    <n v="1231621"/>
  </r>
  <r>
    <x v="3"/>
    <s v="Pasco-Hernando State College "/>
    <m/>
    <n v="136400"/>
    <x v="12"/>
    <m/>
    <m/>
    <m/>
    <m/>
    <n v="91099"/>
    <n v="92543"/>
    <n v="27731"/>
    <n v="29752"/>
    <n v="100467"/>
    <n v="90133"/>
    <n v="219297"/>
    <n v="7309.9"/>
    <n v="212428"/>
    <n v="7080.9333333333334"/>
    <n v="33817"/>
    <n v="37152"/>
    <n v="219297"/>
    <n v="212428"/>
    <m/>
    <m/>
    <n v="142999"/>
    <n v="114435"/>
    <n v="70489"/>
    <n v="12446"/>
    <n v="127151"/>
    <n v="59344"/>
    <n v="340639"/>
    <n v="378.48777777777775"/>
    <n v="186225"/>
    <n v="206.91666666666666"/>
    <n v="3150"/>
    <n v="2100"/>
    <n v="340639"/>
    <n v="186225"/>
  </r>
  <r>
    <x v="3"/>
    <s v="Pensacola State College "/>
    <m/>
    <n v="136473"/>
    <x v="12"/>
    <m/>
    <m/>
    <m/>
    <m/>
    <n v="78978"/>
    <n v="77997"/>
    <n v="34592"/>
    <n v="30648"/>
    <n v="84562"/>
    <n v="78284"/>
    <n v="198132"/>
    <n v="6604.4"/>
    <n v="186929"/>
    <n v="6230.9666666666662"/>
    <n v="24047"/>
    <n v="26065"/>
    <n v="198132"/>
    <n v="186929"/>
    <m/>
    <m/>
    <n v="228830"/>
    <n v="173412"/>
    <n v="116764"/>
    <n v="64278"/>
    <n v="163440"/>
    <n v="133087"/>
    <n v="509034"/>
    <n v="565.59333333333336"/>
    <n v="370777"/>
    <n v="411.97444444444443"/>
    <n v="1350"/>
    <n v="2700"/>
    <n v="509034"/>
    <n v="370777"/>
  </r>
  <r>
    <x v="3"/>
    <s v="Polk State College "/>
    <m/>
    <n v="136516"/>
    <x v="12"/>
    <m/>
    <m/>
    <m/>
    <m/>
    <n v="79669"/>
    <n v="79005"/>
    <n v="29678"/>
    <n v="31004"/>
    <n v="87974"/>
    <n v="80269"/>
    <n v="197321"/>
    <n v="6577.3666666666668"/>
    <n v="190278"/>
    <n v="6342.6"/>
    <n v="20506"/>
    <n v="21372"/>
    <n v="197321"/>
    <n v="190278"/>
    <m/>
    <m/>
    <n v="39533"/>
    <n v="29514"/>
    <n v="24035"/>
    <n v="14739"/>
    <n v="42270"/>
    <n v="36752"/>
    <n v="105838"/>
    <n v="117.59777777777778"/>
    <n v="81005"/>
    <n v="90.00555555555556"/>
    <n v="0"/>
    <n v="0"/>
    <n v="105838"/>
    <n v="81005"/>
  </r>
  <r>
    <x v="3"/>
    <s v="St. Johns River State College "/>
    <m/>
    <n v="137281"/>
    <x v="12"/>
    <m/>
    <m/>
    <m/>
    <m/>
    <n v="53381"/>
    <n v="53848"/>
    <n v="21221"/>
    <n v="22640"/>
    <n v="60211"/>
    <n v="56936"/>
    <n v="134813"/>
    <n v="4493.7666666666664"/>
    <n v="133424"/>
    <n v="4447.4666666666662"/>
    <n v="33076"/>
    <n v="36232"/>
    <n v="134813"/>
    <n v="133424"/>
    <m/>
    <m/>
    <n v="56595"/>
    <n v="45624"/>
    <n v="26534"/>
    <n v="20984"/>
    <n v="67257"/>
    <n v="26343"/>
    <n v="150386"/>
    <n v="167.09555555555556"/>
    <n v="92951"/>
    <n v="103.27888888888889"/>
    <n v="2160"/>
    <n v="1320"/>
    <n v="150386"/>
    <n v="92951"/>
  </r>
  <r>
    <x v="3"/>
    <s v="St. Petersburg College "/>
    <m/>
    <n v="137078"/>
    <x v="12"/>
    <m/>
    <m/>
    <m/>
    <m/>
    <n v="229861"/>
    <n v="224398"/>
    <n v="83065"/>
    <n v="82899"/>
    <n v="237537"/>
    <n v="215624"/>
    <n v="550463"/>
    <n v="18348.766666666666"/>
    <n v="522921"/>
    <n v="17430.7"/>
    <n v="46430"/>
    <n v="45611"/>
    <n v="550463"/>
    <n v="522921"/>
    <m/>
    <m/>
    <n v="94298"/>
    <n v="68153"/>
    <n v="33355"/>
    <n v="37279"/>
    <n v="74018"/>
    <n v="79586"/>
    <n v="201671"/>
    <n v="224.07888888888888"/>
    <n v="185018"/>
    <n v="205.57555555555555"/>
    <n v="0"/>
    <n v="0"/>
    <n v="201671"/>
    <n v="185018"/>
  </r>
  <r>
    <x v="3"/>
    <s v="Santa Fe College "/>
    <m/>
    <n v="137096"/>
    <x v="12"/>
    <m/>
    <m/>
    <m/>
    <m/>
    <n v="121470"/>
    <n v="118747"/>
    <n v="50029"/>
    <n v="48120"/>
    <n v="136281"/>
    <n v="122669"/>
    <n v="307780"/>
    <n v="10259.333333333334"/>
    <n v="289536"/>
    <n v="9651.2000000000007"/>
    <n v="20244"/>
    <n v="18539"/>
    <n v="307780"/>
    <n v="289536"/>
    <m/>
    <m/>
    <n v="265512"/>
    <n v="288901"/>
    <n v="187674"/>
    <n v="154479"/>
    <n v="295717"/>
    <n v="243304"/>
    <n v="748903"/>
    <n v="832.11444444444442"/>
    <n v="686684"/>
    <n v="762.98222222222228"/>
    <n v="1626"/>
    <n v="2118"/>
    <n v="748903"/>
    <n v="686684"/>
  </r>
  <r>
    <x v="3"/>
    <s v="Seminole State College of Florida"/>
    <m/>
    <n v="137209"/>
    <x v="12"/>
    <m/>
    <m/>
    <m/>
    <m/>
    <n v="129527"/>
    <n v="132321"/>
    <n v="60326"/>
    <n v="67365"/>
    <n v="143587"/>
    <n v="132878"/>
    <n v="333440"/>
    <n v="11114.666666666666"/>
    <n v="332564"/>
    <n v="11085.466666666667"/>
    <n v="16233"/>
    <n v="19486"/>
    <n v="333440"/>
    <n v="332564"/>
    <m/>
    <m/>
    <n v="559975"/>
    <n v="596078"/>
    <n v="392874"/>
    <n v="413902"/>
    <n v="607306"/>
    <n v="464010"/>
    <n v="1560155"/>
    <n v="1733.5055555555555"/>
    <n v="1473990"/>
    <n v="1637.7666666666667"/>
    <n v="0"/>
    <n v="0"/>
    <n v="1560155"/>
    <n v="1473990"/>
  </r>
  <r>
    <x v="3"/>
    <s v="South Florida State College "/>
    <m/>
    <n v="137315"/>
    <x v="12"/>
    <m/>
    <m/>
    <m/>
    <m/>
    <n v="19771"/>
    <n v="19465"/>
    <n v="6342"/>
    <n v="6124"/>
    <n v="21778"/>
    <n v="22581"/>
    <n v="47891"/>
    <n v="1596.3666666666666"/>
    <n v="48170"/>
    <n v="1605.6666666666667"/>
    <n v="8686"/>
    <n v="9093"/>
    <n v="47891"/>
    <n v="48170"/>
    <m/>
    <m/>
    <n v="262817"/>
    <n v="283005"/>
    <n v="117655"/>
    <n v="92292"/>
    <n v="320852"/>
    <n v="286330"/>
    <n v="701324"/>
    <n v="779.24888888888893"/>
    <n v="661627"/>
    <n v="735.14111111111106"/>
    <n v="67477"/>
    <n v="66660"/>
    <n v="701324"/>
    <n v="661627"/>
  </r>
  <r>
    <x v="3"/>
    <s v="Tallahassee Community College "/>
    <s v="Met the criteria for Two-Year with Bachelor's in 2019-20. "/>
    <n v="137759"/>
    <x v="6"/>
    <m/>
    <m/>
    <m/>
    <m/>
    <n v="100103"/>
    <n v="99273"/>
    <n v="43500"/>
    <n v="42609"/>
    <n v="115349"/>
    <n v="110866"/>
    <n v="258952"/>
    <n v="8631.7333333333336"/>
    <n v="252748"/>
    <n v="8424.9333333333325"/>
    <n v="8859"/>
    <n v="10903"/>
    <n v="258952"/>
    <n v="252748"/>
    <m/>
    <m/>
    <n v="165651"/>
    <n v="135526"/>
    <n v="16587"/>
    <n v="5170"/>
    <n v="163256"/>
    <n v="127392"/>
    <n v="345494"/>
    <n v="383.8822222222222"/>
    <n v="268088"/>
    <n v="297.87555555555554"/>
    <n v="0"/>
    <n v="0"/>
    <n v="345494"/>
    <n v="268088"/>
  </r>
  <r>
    <x v="3"/>
    <s v="Valencia College "/>
    <m/>
    <n v="138187"/>
    <x v="12"/>
    <m/>
    <m/>
    <m/>
    <m/>
    <n v="382186"/>
    <n v="389871"/>
    <n v="175404"/>
    <n v="207915"/>
    <n v="426340"/>
    <n v="429906"/>
    <n v="983930"/>
    <n v="32797.666666666664"/>
    <n v="1027692"/>
    <n v="34256.400000000001"/>
    <n v="98132"/>
    <n v="111499"/>
    <n v="983930"/>
    <n v="1027692"/>
    <m/>
    <m/>
    <n v="100422"/>
    <n v="102098"/>
    <n v="68710"/>
    <n v="63163"/>
    <n v="91928"/>
    <n v="70970"/>
    <n v="261060"/>
    <n v="290.06666666666666"/>
    <n v="236231"/>
    <n v="262.47888888888889"/>
    <n v="0"/>
    <n v="0"/>
    <n v="261060"/>
    <n v="236231"/>
  </r>
  <r>
    <x v="4"/>
    <s v="Georgia State University "/>
    <m/>
    <n v="139940"/>
    <x v="0"/>
    <m/>
    <m/>
    <m/>
    <m/>
    <n v="484483"/>
    <n v="489543.5"/>
    <n v="136691"/>
    <n v="154606"/>
    <n v="530095"/>
    <n v="522155.5"/>
    <n v="1151269"/>
    <n v="38375.633333333331"/>
    <n v="1166305"/>
    <n v="38876.833333333336"/>
    <n v="26778.5"/>
    <n v="29104.5"/>
    <n v="1151269"/>
    <n v="1166305"/>
    <m/>
    <m/>
    <m/>
    <m/>
    <m/>
    <m/>
    <m/>
    <m/>
    <n v="0"/>
    <n v="0"/>
    <n v="0"/>
    <n v="0"/>
    <m/>
    <m/>
    <n v="0"/>
    <n v="0"/>
  </r>
  <r>
    <x v="4"/>
    <s v="University of Georgia"/>
    <m/>
    <n v="139959"/>
    <x v="0"/>
    <m/>
    <m/>
    <m/>
    <m/>
    <n v="388090.5"/>
    <n v="387828.5"/>
    <n v="73794"/>
    <n v="78267"/>
    <n v="405292.5"/>
    <n v="403765"/>
    <n v="867177"/>
    <n v="28905.9"/>
    <n v="869860.5"/>
    <n v="28995.35"/>
    <n v="546"/>
    <n v="819"/>
    <n v="867177"/>
    <n v="869860.5"/>
    <m/>
    <m/>
    <m/>
    <m/>
    <m/>
    <m/>
    <m/>
    <m/>
    <n v="0"/>
    <n v="0"/>
    <n v="0"/>
    <n v="0"/>
    <m/>
    <m/>
    <n v="0"/>
    <n v="0"/>
  </r>
  <r>
    <x v="4"/>
    <s v="Georgia Institute of Technology"/>
    <m/>
    <n v="139755"/>
    <x v="1"/>
    <m/>
    <m/>
    <m/>
    <m/>
    <n v="195803"/>
    <n v="200200.97"/>
    <n v="44695"/>
    <n v="57738"/>
    <n v="215629.53"/>
    <n v="224031"/>
    <n v="456127.53"/>
    <n v="15204.251"/>
    <n v="481969.97"/>
    <n v="16065.665666666666"/>
    <n v="4173"/>
    <n v="4804"/>
    <n v="456127.53"/>
    <n v="481969.97"/>
    <m/>
    <m/>
    <m/>
    <m/>
    <m/>
    <m/>
    <m/>
    <m/>
    <n v="0"/>
    <n v="0"/>
    <n v="0"/>
    <n v="0"/>
    <m/>
    <m/>
    <n v="0"/>
    <n v="0"/>
  </r>
  <r>
    <x v="4"/>
    <s v="Georgia Southern University"/>
    <s v="Met the criteria for Four-Year 2 in 2019-20."/>
    <n v="139931"/>
    <x v="2"/>
    <m/>
    <m/>
    <m/>
    <m/>
    <n v="274778"/>
    <n v="267704"/>
    <n v="73334"/>
    <n v="75748"/>
    <n v="298227"/>
    <n v="304969"/>
    <n v="646339"/>
    <n v="21544.633333333335"/>
    <n v="648421"/>
    <n v="21614.033333333333"/>
    <n v="10905"/>
    <n v="12455"/>
    <n v="646339"/>
    <n v="648421"/>
    <m/>
    <m/>
    <m/>
    <m/>
    <m/>
    <m/>
    <m/>
    <m/>
    <n v="0"/>
    <n v="0"/>
    <n v="0"/>
    <n v="0"/>
    <m/>
    <m/>
    <n v="0"/>
    <n v="0"/>
  </r>
  <r>
    <x v="4"/>
    <s v="Kennesaw State University"/>
    <s v="Met the criteria for Four-Year 2 in 2019-20."/>
    <n v="486840"/>
    <x v="2"/>
    <m/>
    <m/>
    <m/>
    <m/>
    <n v="374370"/>
    <n v="393334"/>
    <n v="98853"/>
    <n v="117730"/>
    <n v="424298"/>
    <n v="456454"/>
    <n v="897521"/>
    <n v="29917.366666666665"/>
    <n v="967518"/>
    <n v="32250.6"/>
    <n v="13898"/>
    <n v="16415"/>
    <n v="897521"/>
    <n v="967518"/>
    <m/>
    <m/>
    <m/>
    <m/>
    <m/>
    <m/>
    <m/>
    <m/>
    <n v="0"/>
    <n v="0"/>
    <n v="0"/>
    <n v="0"/>
    <m/>
    <m/>
    <n v="0"/>
    <n v="0"/>
  </r>
  <r>
    <x v="4"/>
    <s v="University of West Georgia"/>
    <m/>
    <n v="141334"/>
    <x v="2"/>
    <m/>
    <m/>
    <m/>
    <m/>
    <n v="127200"/>
    <n v="119289"/>
    <n v="30937"/>
    <n v="34423"/>
    <n v="130258"/>
    <n v="126581"/>
    <n v="288395"/>
    <n v="9613.1666666666661"/>
    <n v="280293"/>
    <n v="9343.1"/>
    <n v="8570"/>
    <n v="9494"/>
    <n v="288395"/>
    <n v="280293"/>
    <m/>
    <m/>
    <m/>
    <m/>
    <m/>
    <m/>
    <m/>
    <m/>
    <n v="0"/>
    <n v="0"/>
    <n v="0"/>
    <n v="0"/>
    <m/>
    <m/>
    <n v="0"/>
    <n v="0"/>
  </r>
  <r>
    <x v="4"/>
    <s v="Valdosta State University "/>
    <m/>
    <n v="141264"/>
    <x v="2"/>
    <m/>
    <m/>
    <m/>
    <m/>
    <n v="100760"/>
    <n v="97569"/>
    <n v="24843"/>
    <n v="26198"/>
    <n v="107919"/>
    <n v="118153"/>
    <n v="233522"/>
    <n v="7784.0666666666666"/>
    <n v="241920"/>
    <n v="8064"/>
    <n v="3142"/>
    <n v="2715"/>
    <n v="233522"/>
    <n v="241920"/>
    <m/>
    <m/>
    <m/>
    <m/>
    <m/>
    <m/>
    <m/>
    <m/>
    <n v="0"/>
    <n v="0"/>
    <n v="0"/>
    <n v="0"/>
    <m/>
    <m/>
    <n v="0"/>
    <n v="0"/>
  </r>
  <r>
    <x v="4"/>
    <s v="Albany State University "/>
    <m/>
    <n v="138716"/>
    <x v="3"/>
    <m/>
    <m/>
    <m/>
    <m/>
    <n v="64354"/>
    <n v="65480"/>
    <n v="17144"/>
    <n v="17594"/>
    <n v="70191"/>
    <n v="71883"/>
    <n v="151689"/>
    <n v="5056.3"/>
    <n v="154957"/>
    <n v="5165.2333333333336"/>
    <n v="7901"/>
    <n v="5732"/>
    <n v="151689"/>
    <n v="154957"/>
    <m/>
    <m/>
    <m/>
    <m/>
    <m/>
    <m/>
    <m/>
    <m/>
    <n v="0"/>
    <n v="0"/>
    <n v="0"/>
    <n v="0"/>
    <m/>
    <m/>
    <n v="0"/>
    <n v="0"/>
  </r>
  <r>
    <x v="4"/>
    <s v="Augusta University"/>
    <m/>
    <n v="482149"/>
    <x v="3"/>
    <m/>
    <m/>
    <m/>
    <m/>
    <n v="65225"/>
    <n v="66566"/>
    <n v="12703"/>
    <n v="14260"/>
    <n v="73498"/>
    <n v="73883"/>
    <n v="151426"/>
    <n v="5047.5333333333338"/>
    <n v="154709"/>
    <n v="5156.9666666666662"/>
    <n v="2874"/>
    <n v="3219"/>
    <n v="151426"/>
    <n v="154709"/>
    <m/>
    <m/>
    <m/>
    <m/>
    <m/>
    <m/>
    <m/>
    <m/>
    <n v="0"/>
    <n v="0"/>
    <n v="0"/>
    <n v="0"/>
    <m/>
    <m/>
    <n v="0"/>
    <n v="0"/>
  </r>
  <r>
    <x v="4"/>
    <s v="Clayton State University"/>
    <m/>
    <n v="139311"/>
    <x v="3"/>
    <m/>
    <m/>
    <m/>
    <m/>
    <n v="66921"/>
    <n v="65891"/>
    <n v="21666"/>
    <n v="21965"/>
    <n v="69758"/>
    <n v="68382"/>
    <n v="158345"/>
    <n v="5278.166666666667"/>
    <n v="156238"/>
    <n v="5207.9333333333334"/>
    <n v="16028"/>
    <n v="15116"/>
    <n v="158345"/>
    <n v="156238"/>
    <m/>
    <m/>
    <m/>
    <m/>
    <m/>
    <m/>
    <m/>
    <m/>
    <n v="0"/>
    <n v="0"/>
    <n v="0"/>
    <n v="0"/>
    <m/>
    <m/>
    <n v="0"/>
    <n v="0"/>
  </r>
  <r>
    <x v="4"/>
    <s v="Columbus State University"/>
    <s v="Met the criteria for Four-Year 3 in 2018-19 and 2019-20."/>
    <n v="139366"/>
    <x v="3"/>
    <m/>
    <m/>
    <m/>
    <m/>
    <n v="77136"/>
    <n v="72906"/>
    <n v="15697"/>
    <n v="19205"/>
    <n v="78129"/>
    <n v="82191"/>
    <n v="170962"/>
    <n v="5698.7333333333336"/>
    <n v="174302"/>
    <n v="5810.0666666666666"/>
    <n v="5190"/>
    <n v="5391"/>
    <n v="170962"/>
    <n v="174302"/>
    <m/>
    <m/>
    <m/>
    <m/>
    <m/>
    <m/>
    <m/>
    <m/>
    <n v="0"/>
    <n v="0"/>
    <n v="0"/>
    <n v="0"/>
    <m/>
    <m/>
    <n v="0"/>
    <n v="0"/>
  </r>
  <r>
    <x v="4"/>
    <s v="Fort Valley State University"/>
    <s v="Reclassified Met the criteria for Four-Year 5 in 2018-19, 2019-20, and 2020-21."/>
    <n v="139719"/>
    <x v="4"/>
    <m/>
    <m/>
    <m/>
    <m/>
    <n v="30106"/>
    <n v="29115"/>
    <n v="6032"/>
    <n v="6608"/>
    <n v="31880"/>
    <n v="34115"/>
    <n v="68018"/>
    <n v="2267.2666666666669"/>
    <n v="69838"/>
    <n v="2327.9333333333334"/>
    <n v="611"/>
    <n v="506"/>
    <n v="68018"/>
    <n v="69838"/>
    <m/>
    <m/>
    <m/>
    <m/>
    <m/>
    <m/>
    <m/>
    <m/>
    <n v="0"/>
    <n v="0"/>
    <n v="0"/>
    <n v="0"/>
    <m/>
    <m/>
    <n v="0"/>
    <n v="0"/>
  </r>
  <r>
    <x v="4"/>
    <s v="Georgia College and State University"/>
    <m/>
    <n v="139861"/>
    <x v="3"/>
    <m/>
    <m/>
    <m/>
    <m/>
    <n v="76744"/>
    <n v="74524"/>
    <n v="19414"/>
    <n v="17617"/>
    <n v="80939"/>
    <n v="77021"/>
    <n v="177097"/>
    <n v="5903.2333333333336"/>
    <n v="169162"/>
    <n v="5638.7333333333336"/>
    <n v="737"/>
    <n v="594"/>
    <n v="177097"/>
    <n v="169162"/>
    <m/>
    <m/>
    <m/>
    <m/>
    <m/>
    <m/>
    <m/>
    <m/>
    <n v="0"/>
    <n v="0"/>
    <n v="0"/>
    <n v="0"/>
    <m/>
    <m/>
    <n v="0"/>
    <n v="0"/>
  </r>
  <r>
    <x v="4"/>
    <s v="Georgia Southwestern State University"/>
    <s v="Met the criteria for Four-Year 5 in 2019-20."/>
    <n v="139764"/>
    <x v="3"/>
    <m/>
    <m/>
    <m/>
    <m/>
    <n v="26942"/>
    <n v="26236"/>
    <n v="7902"/>
    <n v="7961"/>
    <n v="28447"/>
    <n v="29121"/>
    <n v="63291"/>
    <n v="2109.6999999999998"/>
    <n v="63318"/>
    <n v="2110.6"/>
    <n v="2859"/>
    <n v="3066"/>
    <n v="63291"/>
    <n v="63318"/>
    <m/>
    <m/>
    <m/>
    <m/>
    <m/>
    <m/>
    <m/>
    <m/>
    <n v="0"/>
    <n v="0"/>
    <n v="0"/>
    <n v="0"/>
    <m/>
    <m/>
    <n v="0"/>
    <n v="0"/>
  </r>
  <r>
    <x v="4"/>
    <s v="University of North Georgia"/>
    <m/>
    <n v="482680"/>
    <x v="3"/>
    <m/>
    <m/>
    <m/>
    <m/>
    <n v="200223"/>
    <n v="198841"/>
    <n v="41098"/>
    <n v="48643"/>
    <n v="221729"/>
    <n v="219432"/>
    <n v="463050"/>
    <n v="15435"/>
    <n v="466916"/>
    <n v="15563.866666666667"/>
    <n v="20841"/>
    <n v="21184"/>
    <n v="463050"/>
    <n v="466916"/>
    <m/>
    <m/>
    <m/>
    <m/>
    <m/>
    <m/>
    <m/>
    <m/>
    <n v="0"/>
    <n v="0"/>
    <n v="0"/>
    <n v="0"/>
    <m/>
    <m/>
    <n v="0"/>
    <n v="0"/>
  </r>
  <r>
    <x v="4"/>
    <s v="Savannah State University"/>
    <s v="Met the criteria for Four-Year 4 in 2020-21."/>
    <n v="140960"/>
    <x v="4"/>
    <m/>
    <m/>
    <m/>
    <m/>
    <n v="46736"/>
    <n v="41787"/>
    <n v="9465"/>
    <n v="9058"/>
    <n v="47427"/>
    <n v="42382"/>
    <n v="103628"/>
    <n v="3454.2666666666669"/>
    <n v="93227"/>
    <n v="3107.5666666666666"/>
    <n v="2079"/>
    <n v="1709"/>
    <n v="103628"/>
    <n v="93227"/>
    <m/>
    <m/>
    <m/>
    <m/>
    <m/>
    <m/>
    <m/>
    <m/>
    <n v="0"/>
    <n v="0"/>
    <n v="0"/>
    <n v="0"/>
    <m/>
    <m/>
    <n v="0"/>
    <n v="0"/>
  </r>
  <r>
    <x v="4"/>
    <s v="Abraham Baldwin Agricultural College "/>
    <m/>
    <n v="138558"/>
    <x v="5"/>
    <m/>
    <m/>
    <m/>
    <m/>
    <n v="42933"/>
    <n v="39190"/>
    <n v="9366"/>
    <n v="8370"/>
    <n v="45340"/>
    <n v="45710"/>
    <n v="97639"/>
    <n v="3254.6333333333332"/>
    <n v="93270"/>
    <n v="3109"/>
    <n v="6837"/>
    <n v="5926"/>
    <n v="97639"/>
    <n v="93270"/>
    <m/>
    <m/>
    <m/>
    <m/>
    <m/>
    <m/>
    <m/>
    <m/>
    <n v="0"/>
    <n v="0"/>
    <n v="0"/>
    <n v="0"/>
    <m/>
    <m/>
    <n v="0"/>
    <n v="0"/>
  </r>
  <r>
    <x v="4"/>
    <s v="College of Coastal Georgia "/>
    <m/>
    <n v="139250"/>
    <x v="5"/>
    <m/>
    <m/>
    <m/>
    <m/>
    <n v="35927"/>
    <n v="35488"/>
    <n v="8691"/>
    <n v="9214"/>
    <n v="38423"/>
    <n v="36862"/>
    <n v="83041"/>
    <n v="2768.0333333333333"/>
    <n v="81564"/>
    <n v="2718.8"/>
    <n v="6911"/>
    <n v="6624"/>
    <n v="83041"/>
    <n v="81564"/>
    <m/>
    <m/>
    <m/>
    <m/>
    <m/>
    <m/>
    <m/>
    <m/>
    <n v="0"/>
    <n v="0"/>
    <n v="0"/>
    <n v="0"/>
    <m/>
    <m/>
    <n v="0"/>
    <n v="0"/>
  </r>
  <r>
    <x v="4"/>
    <s v="Dalton State College "/>
    <m/>
    <n v="139463"/>
    <x v="5"/>
    <m/>
    <m/>
    <m/>
    <m/>
    <n v="51609"/>
    <n v="49176"/>
    <n v="10809"/>
    <n v="11492"/>
    <n v="56205"/>
    <n v="53945"/>
    <n v="118623"/>
    <n v="3954.1"/>
    <n v="114613"/>
    <n v="3820.4333333333334"/>
    <n v="5757"/>
    <n v="5497"/>
    <n v="118623"/>
    <n v="114613"/>
    <m/>
    <m/>
    <m/>
    <m/>
    <m/>
    <m/>
    <m/>
    <m/>
    <n v="0"/>
    <n v="0"/>
    <n v="0"/>
    <n v="0"/>
    <m/>
    <m/>
    <n v="0"/>
    <n v="0"/>
  </r>
  <r>
    <x v="4"/>
    <s v="Georgia Gwinnett College"/>
    <m/>
    <n v="447689"/>
    <x v="5"/>
    <m/>
    <m/>
    <m/>
    <m/>
    <n v="134853"/>
    <n v="135738"/>
    <n v="26996"/>
    <n v="32797"/>
    <n v="150260"/>
    <n v="136317"/>
    <n v="312109"/>
    <n v="10403.633333333333"/>
    <n v="304852"/>
    <n v="10161.733333333334"/>
    <n v="11808"/>
    <n v="9397"/>
    <n v="312109"/>
    <n v="304852"/>
    <m/>
    <m/>
    <m/>
    <m/>
    <m/>
    <m/>
    <m/>
    <m/>
    <n v="0"/>
    <n v="0"/>
    <n v="0"/>
    <n v="0"/>
    <m/>
    <m/>
    <n v="0"/>
    <n v="0"/>
  </r>
  <r>
    <x v="4"/>
    <s v="Gordon State College "/>
    <m/>
    <n v="139968"/>
    <x v="5"/>
    <m/>
    <m/>
    <m/>
    <m/>
    <n v="37179"/>
    <n v="35631"/>
    <n v="5317"/>
    <n v="6452"/>
    <n v="40865"/>
    <n v="35552"/>
    <n v="83361"/>
    <n v="2778.7"/>
    <n v="77635"/>
    <n v="2587.8333333333335"/>
    <n v="7619"/>
    <n v="6863"/>
    <n v="83361"/>
    <n v="77635"/>
    <m/>
    <m/>
    <m/>
    <m/>
    <m/>
    <m/>
    <m/>
    <m/>
    <n v="0"/>
    <n v="0"/>
    <n v="0"/>
    <n v="0"/>
    <m/>
    <m/>
    <n v="0"/>
    <n v="0"/>
  </r>
  <r>
    <x v="4"/>
    <s v="Middle Georgia State College"/>
    <s v="Reclassified: Met the criteria for Four-Year 5 in 2018-19, 2019-20, and 2020-21."/>
    <n v="482158"/>
    <x v="4"/>
    <m/>
    <m/>
    <m/>
    <m/>
    <n v="77832"/>
    <n v="80927"/>
    <n v="21985"/>
    <n v="25127"/>
    <n v="86107"/>
    <n v="89079"/>
    <n v="185924"/>
    <n v="6197.4666666666662"/>
    <n v="195133"/>
    <n v="6504.4333333333334"/>
    <n v="7645"/>
    <n v="7546"/>
    <n v="185924"/>
    <n v="195133"/>
    <m/>
    <m/>
    <m/>
    <m/>
    <m/>
    <m/>
    <m/>
    <m/>
    <n v="0"/>
    <n v="0"/>
    <n v="0"/>
    <n v="0"/>
    <m/>
    <m/>
    <n v="0"/>
    <n v="0"/>
  </r>
  <r>
    <x v="4"/>
    <s v="Atlanta Metropolitan State College"/>
    <m/>
    <n v="138901"/>
    <x v="12"/>
    <m/>
    <m/>
    <m/>
    <m/>
    <n v="20318"/>
    <n v="16128"/>
    <n v="6218"/>
    <n v="5644"/>
    <n v="17499"/>
    <n v="16441"/>
    <n v="44035"/>
    <n v="1467.8333333333333"/>
    <n v="38213"/>
    <n v="1273.7666666666667"/>
    <n v="2957"/>
    <n v="2030"/>
    <n v="44035"/>
    <n v="38213"/>
    <m/>
    <m/>
    <m/>
    <m/>
    <m/>
    <m/>
    <m/>
    <m/>
    <n v="0"/>
    <n v="0"/>
    <n v="0"/>
    <n v="0"/>
    <m/>
    <m/>
    <n v="0"/>
    <n v="0"/>
  </r>
  <r>
    <x v="4"/>
    <s v="East Georgia State College"/>
    <m/>
    <n v="139621"/>
    <x v="12"/>
    <m/>
    <m/>
    <m/>
    <m/>
    <n v="29103"/>
    <n v="26122"/>
    <n v="5468"/>
    <n v="5769"/>
    <n v="31567"/>
    <n v="25811"/>
    <n v="66138"/>
    <n v="2204.6"/>
    <n v="57702"/>
    <n v="1923.4"/>
    <n v="4642"/>
    <n v="3855"/>
    <n v="66138"/>
    <n v="57702"/>
    <m/>
    <m/>
    <m/>
    <m/>
    <m/>
    <m/>
    <m/>
    <m/>
    <n v="0"/>
    <n v="0"/>
    <n v="0"/>
    <n v="0"/>
    <m/>
    <m/>
    <n v="0"/>
    <n v="0"/>
  </r>
  <r>
    <x v="4"/>
    <s v="Georgia Highlands College"/>
    <m/>
    <n v="139700"/>
    <x v="12"/>
    <m/>
    <m/>
    <m/>
    <m/>
    <n v="56720"/>
    <n v="55957"/>
    <n v="13779"/>
    <n v="16355"/>
    <n v="62364"/>
    <n v="54578"/>
    <n v="132863"/>
    <n v="4428.7666666666664"/>
    <n v="126890"/>
    <n v="4229.666666666667"/>
    <n v="6193"/>
    <n v="6101"/>
    <n v="132863"/>
    <n v="126890"/>
    <m/>
    <m/>
    <m/>
    <m/>
    <m/>
    <m/>
    <m/>
    <m/>
    <n v="0"/>
    <n v="0"/>
    <n v="0"/>
    <n v="0"/>
    <m/>
    <m/>
    <n v="0"/>
    <n v="0"/>
  </r>
  <r>
    <x v="4"/>
    <s v="South Georgia State College"/>
    <m/>
    <n v="482699"/>
    <x v="12"/>
    <m/>
    <m/>
    <m/>
    <m/>
    <n v="25962"/>
    <n v="24417"/>
    <n v="7286"/>
    <n v="7813"/>
    <n v="26496"/>
    <n v="21898"/>
    <n v="59744"/>
    <n v="1991.4666666666667"/>
    <n v="54128"/>
    <n v="1804.2666666666667"/>
    <n v="6628"/>
    <n v="5742"/>
    <n v="59744"/>
    <n v="54128"/>
    <m/>
    <m/>
    <m/>
    <m/>
    <m/>
    <m/>
    <m/>
    <m/>
    <n v="0"/>
    <n v="0"/>
    <n v="0"/>
    <n v="0"/>
    <m/>
    <m/>
    <n v="0"/>
    <n v="0"/>
  </r>
  <r>
    <x v="4"/>
    <s v="Albany Technical College"/>
    <m/>
    <n v="138682"/>
    <x v="9"/>
    <s v="sem"/>
    <s v="sem"/>
    <m/>
    <m/>
    <n v="27462"/>
    <n v="29119"/>
    <n v="17995"/>
    <n v="13007"/>
    <n v="31178"/>
    <n v="28638"/>
    <n v="76635"/>
    <n v="2554.5"/>
    <n v="70764"/>
    <n v="2358.8000000000002"/>
    <n v="11006"/>
    <n v="10674"/>
    <n v="76635"/>
    <n v="70764"/>
    <m/>
    <m/>
    <m/>
    <m/>
    <m/>
    <m/>
    <m/>
    <m/>
    <n v="0"/>
    <n v="0"/>
    <n v="0"/>
    <n v="0"/>
    <m/>
    <m/>
    <n v="0"/>
    <n v="0"/>
  </r>
  <r>
    <x v="4"/>
    <s v="Athens Technical College"/>
    <m/>
    <n v="246813"/>
    <x v="9"/>
    <s v="sem"/>
    <s v="sem"/>
    <m/>
    <m/>
    <n v="33812"/>
    <n v="32973"/>
    <n v="15486"/>
    <n v="13092"/>
    <n v="36996"/>
    <n v="33018"/>
    <n v="86294"/>
    <n v="2876.4666666666667"/>
    <n v="79083"/>
    <n v="2636.1"/>
    <n v="11811"/>
    <n v="11217"/>
    <n v="86294"/>
    <n v="79083"/>
    <m/>
    <m/>
    <m/>
    <m/>
    <m/>
    <m/>
    <m/>
    <m/>
    <n v="0"/>
    <n v="0"/>
    <n v="0"/>
    <n v="0"/>
    <m/>
    <m/>
    <n v="0"/>
    <n v="0"/>
  </r>
  <r>
    <x v="4"/>
    <s v="Atlanta Technical College"/>
    <m/>
    <n v="138840"/>
    <x v="9"/>
    <s v="sem"/>
    <s v="sem"/>
    <m/>
    <m/>
    <n v="34432"/>
    <n v="35461"/>
    <n v="18347"/>
    <n v="17655"/>
    <n v="34831"/>
    <n v="26787"/>
    <n v="87610"/>
    <n v="2920.3333333333335"/>
    <n v="79903"/>
    <n v="2663.4333333333334"/>
    <n v="3905"/>
    <n v="3673"/>
    <n v="87610"/>
    <n v="79903"/>
    <m/>
    <m/>
    <m/>
    <m/>
    <m/>
    <m/>
    <m/>
    <m/>
    <n v="0"/>
    <n v="0"/>
    <n v="0"/>
    <n v="0"/>
    <m/>
    <m/>
    <n v="0"/>
    <n v="0"/>
  </r>
  <r>
    <x v="4"/>
    <s v="Augusta Technical College"/>
    <m/>
    <n v="138956"/>
    <x v="9"/>
    <s v="sem"/>
    <s v="sem"/>
    <m/>
    <m/>
    <n v="37560"/>
    <n v="36493"/>
    <n v="19099"/>
    <n v="16661"/>
    <n v="39567"/>
    <n v="35152"/>
    <n v="96226"/>
    <n v="3207.5333333333333"/>
    <n v="88306"/>
    <n v="2943.5333333333333"/>
    <n v="7501"/>
    <n v="7116"/>
    <n v="96226"/>
    <n v="88306"/>
    <m/>
    <m/>
    <m/>
    <m/>
    <m/>
    <m/>
    <m/>
    <m/>
    <n v="0"/>
    <n v="0"/>
    <n v="0"/>
    <n v="0"/>
    <m/>
    <m/>
    <n v="0"/>
    <n v="0"/>
  </r>
  <r>
    <x v="4"/>
    <s v="Central Georgia Technical College"/>
    <m/>
    <n v="483045"/>
    <x v="9"/>
    <s v="sem"/>
    <s v="sem"/>
    <m/>
    <m/>
    <n v="63676"/>
    <n v="63217"/>
    <n v="34123"/>
    <n v="26185"/>
    <n v="69761"/>
    <n v="64637"/>
    <n v="167560"/>
    <n v="5585.333333333333"/>
    <n v="154039"/>
    <n v="5134.6333333333332"/>
    <n v="26969"/>
    <n v="27107"/>
    <n v="167560"/>
    <n v="154039"/>
    <m/>
    <m/>
    <m/>
    <m/>
    <m/>
    <m/>
    <m/>
    <m/>
    <n v="0"/>
    <n v="0"/>
    <n v="0"/>
    <n v="0"/>
    <m/>
    <m/>
    <n v="0"/>
    <n v="0"/>
  </r>
  <r>
    <x v="4"/>
    <s v="Chattahoochee Technical College"/>
    <m/>
    <n v="140331"/>
    <x v="9"/>
    <s v="sem"/>
    <s v="sem"/>
    <m/>
    <m/>
    <n v="80430"/>
    <n v="82462"/>
    <n v="28075"/>
    <n v="29925"/>
    <n v="84859"/>
    <n v="78587"/>
    <n v="193364"/>
    <n v="6445.4666666666662"/>
    <n v="190974"/>
    <n v="6365.8"/>
    <n v="28113"/>
    <n v="25147"/>
    <n v="193364"/>
    <n v="190974"/>
    <m/>
    <m/>
    <m/>
    <m/>
    <m/>
    <m/>
    <m/>
    <m/>
    <n v="0"/>
    <n v="0"/>
    <n v="0"/>
    <n v="0"/>
    <m/>
    <m/>
    <n v="0"/>
    <n v="0"/>
  </r>
  <r>
    <x v="4"/>
    <s v="Coastal Pines Technical College"/>
    <m/>
    <n v="485458"/>
    <x v="9"/>
    <s v="sem"/>
    <s v="sem"/>
    <m/>
    <m/>
    <n v="29018"/>
    <n v="31363"/>
    <n v="10783"/>
    <n v="10768"/>
    <n v="32337"/>
    <n v="26551"/>
    <n v="72138"/>
    <n v="2404.6"/>
    <n v="68682"/>
    <n v="2289.4"/>
    <n v="31605"/>
    <n v="27850"/>
    <n v="72138"/>
    <n v="68682"/>
    <m/>
    <m/>
    <m/>
    <m/>
    <m/>
    <m/>
    <m/>
    <m/>
    <n v="0"/>
    <n v="0"/>
    <n v="0"/>
    <n v="0"/>
    <m/>
    <m/>
    <n v="0"/>
    <n v="0"/>
  </r>
  <r>
    <x v="4"/>
    <s v="Columbus Technical College"/>
    <m/>
    <n v="139357"/>
    <x v="9"/>
    <s v="sem"/>
    <s v="sem"/>
    <m/>
    <m/>
    <n v="27721"/>
    <n v="29210"/>
    <n v="14830"/>
    <n v="13111"/>
    <n v="30700"/>
    <n v="26172"/>
    <n v="73251"/>
    <n v="2441.6999999999998"/>
    <n v="68493"/>
    <n v="2283.1"/>
    <n v="9103"/>
    <n v="7619"/>
    <n v="73251"/>
    <n v="68493"/>
    <m/>
    <m/>
    <m/>
    <m/>
    <m/>
    <m/>
    <m/>
    <m/>
    <n v="0"/>
    <n v="0"/>
    <n v="0"/>
    <n v="0"/>
    <m/>
    <m/>
    <n v="0"/>
    <n v="0"/>
  </r>
  <r>
    <x v="4"/>
    <s v="Georgia Northwestern Technical College"/>
    <m/>
    <n v="139384"/>
    <x v="9"/>
    <s v="sem"/>
    <s v="sem"/>
    <m/>
    <m/>
    <n v="45881"/>
    <n v="51946"/>
    <n v="18691"/>
    <n v="20070"/>
    <n v="55379"/>
    <n v="55324"/>
    <n v="119951"/>
    <n v="3998.3666666666668"/>
    <n v="127340"/>
    <n v="4244.666666666667"/>
    <n v="29929"/>
    <n v="26412"/>
    <n v="119951"/>
    <n v="127340"/>
    <m/>
    <m/>
    <m/>
    <m/>
    <m/>
    <m/>
    <m/>
    <m/>
    <n v="0"/>
    <n v="0"/>
    <n v="0"/>
    <n v="0"/>
    <m/>
    <m/>
    <n v="0"/>
    <n v="0"/>
  </r>
  <r>
    <x v="4"/>
    <s v="Georgia Piedmont Technical College"/>
    <m/>
    <n v="244446"/>
    <x v="9"/>
    <s v="sem"/>
    <s v="sem"/>
    <m/>
    <m/>
    <n v="27028"/>
    <n v="27791.5"/>
    <n v="13707"/>
    <n v="12043"/>
    <n v="28735"/>
    <n v="21083"/>
    <n v="69470"/>
    <n v="2315.6666666666665"/>
    <n v="60917.5"/>
    <n v="2030.5833333333333"/>
    <n v="16569"/>
    <n v="11902.5"/>
    <n v="69470"/>
    <n v="60917.5"/>
    <m/>
    <m/>
    <m/>
    <m/>
    <m/>
    <m/>
    <m/>
    <m/>
    <n v="0"/>
    <n v="0"/>
    <n v="0"/>
    <n v="0"/>
    <m/>
    <m/>
    <n v="0"/>
    <n v="0"/>
  </r>
  <r>
    <x v="4"/>
    <s v="Gwinnett Technical College"/>
    <m/>
    <n v="140012"/>
    <x v="9"/>
    <s v="sem"/>
    <s v="sem"/>
    <m/>
    <m/>
    <n v="71637"/>
    <n v="75208"/>
    <n v="23880"/>
    <n v="23404"/>
    <n v="76574"/>
    <n v="68037"/>
    <n v="172091"/>
    <n v="5736.3666666666668"/>
    <n v="166649"/>
    <n v="5554.9666666666662"/>
    <n v="24431"/>
    <n v="24675"/>
    <n v="172091"/>
    <n v="166649"/>
    <m/>
    <m/>
    <m/>
    <m/>
    <m/>
    <m/>
    <m/>
    <m/>
    <n v="0"/>
    <n v="0"/>
    <n v="0"/>
    <n v="0"/>
    <m/>
    <m/>
    <n v="0"/>
    <n v="0"/>
  </r>
  <r>
    <x v="4"/>
    <s v="Lanier Technical College"/>
    <m/>
    <n v="140243"/>
    <x v="9"/>
    <s v="sem"/>
    <s v="sem"/>
    <m/>
    <m/>
    <n v="33187"/>
    <n v="37624"/>
    <n v="14072"/>
    <n v="14745"/>
    <n v="38405"/>
    <n v="40793"/>
    <n v="85664"/>
    <n v="2855.4666666666667"/>
    <n v="93162"/>
    <n v="3105.4"/>
    <n v="14447"/>
    <n v="16131"/>
    <n v="85664"/>
    <n v="93162"/>
    <m/>
    <m/>
    <m/>
    <m/>
    <m/>
    <m/>
    <m/>
    <m/>
    <n v="0"/>
    <n v="0"/>
    <n v="0"/>
    <n v="0"/>
    <m/>
    <m/>
    <n v="0"/>
    <n v="0"/>
  </r>
  <r>
    <x v="4"/>
    <s v="North Georgia Technical College"/>
    <m/>
    <n v="140678"/>
    <x v="9"/>
    <s v="sem"/>
    <s v="sem"/>
    <m/>
    <m/>
    <n v="21619"/>
    <n v="23018"/>
    <n v="9732"/>
    <n v="9754"/>
    <n v="23608"/>
    <n v="22209"/>
    <n v="54959"/>
    <n v="1831.9666666666667"/>
    <n v="54981"/>
    <n v="1832.7"/>
    <n v="6225"/>
    <n v="6448"/>
    <n v="54959"/>
    <n v="54981"/>
    <m/>
    <m/>
    <m/>
    <m/>
    <m/>
    <m/>
    <m/>
    <m/>
    <n v="0"/>
    <n v="0"/>
    <n v="0"/>
    <n v="0"/>
    <m/>
    <m/>
    <n v="0"/>
    <n v="0"/>
  </r>
  <r>
    <x v="4"/>
    <s v="Oconee Fall Line Technical College"/>
    <m/>
    <n v="420431"/>
    <x v="9"/>
    <s v="sem"/>
    <s v="sem"/>
    <m/>
    <m/>
    <n v="11673"/>
    <n v="14403"/>
    <n v="7566"/>
    <n v="7254"/>
    <n v="15184"/>
    <n v="14203"/>
    <n v="34423"/>
    <n v="1147.4333333333334"/>
    <n v="35860"/>
    <n v="1195.3333333333333"/>
    <n v="4182"/>
    <n v="3697"/>
    <n v="34423"/>
    <n v="35860"/>
    <m/>
    <m/>
    <m/>
    <m/>
    <m/>
    <m/>
    <m/>
    <m/>
    <n v="0"/>
    <n v="0"/>
    <n v="0"/>
    <n v="0"/>
    <m/>
    <m/>
    <n v="0"/>
    <n v="0"/>
  </r>
  <r>
    <x v="4"/>
    <s v="Ogeechee Technical College"/>
    <m/>
    <n v="366465"/>
    <x v="9"/>
    <s v="sem"/>
    <s v="sem"/>
    <m/>
    <m/>
    <n v="19715"/>
    <n v="19373"/>
    <n v="10295"/>
    <n v="9918"/>
    <n v="20123"/>
    <n v="20188"/>
    <n v="50133"/>
    <n v="1671.1"/>
    <n v="49479"/>
    <n v="1649.3"/>
    <n v="4438"/>
    <n v="4768"/>
    <n v="50133"/>
    <n v="49479"/>
    <m/>
    <m/>
    <m/>
    <m/>
    <m/>
    <m/>
    <m/>
    <m/>
    <n v="0"/>
    <n v="0"/>
    <n v="0"/>
    <n v="0"/>
    <m/>
    <m/>
    <n v="0"/>
    <n v="0"/>
  </r>
  <r>
    <x v="4"/>
    <s v="Savannah Technical College"/>
    <m/>
    <n v="140942"/>
    <x v="9"/>
    <s v="sem"/>
    <s v="sem"/>
    <m/>
    <m/>
    <n v="34150"/>
    <n v="37047"/>
    <n v="15277"/>
    <n v="14136"/>
    <n v="38073"/>
    <n v="33744"/>
    <n v="87500"/>
    <n v="2916.6666666666665"/>
    <n v="84927"/>
    <n v="2830.9"/>
    <n v="8475"/>
    <n v="7575"/>
    <n v="87500"/>
    <n v="84927"/>
    <m/>
    <m/>
    <m/>
    <m/>
    <m/>
    <m/>
    <m/>
    <m/>
    <n v="0"/>
    <n v="0"/>
    <n v="0"/>
    <n v="0"/>
    <m/>
    <m/>
    <n v="0"/>
    <n v="0"/>
  </r>
  <r>
    <x v="4"/>
    <s v="South Georgia Technical College"/>
    <m/>
    <n v="141006"/>
    <x v="9"/>
    <s v="sem"/>
    <s v="sem"/>
    <m/>
    <m/>
    <n v="20432"/>
    <n v="19745"/>
    <n v="10127"/>
    <n v="8383"/>
    <n v="21354"/>
    <n v="17816"/>
    <n v="51913"/>
    <n v="1730.4333333333334"/>
    <n v="45944"/>
    <n v="1531.4666666666667"/>
    <n v="6525"/>
    <n v="5471"/>
    <n v="51913"/>
    <n v="45944"/>
    <m/>
    <m/>
    <m/>
    <m/>
    <m/>
    <m/>
    <m/>
    <m/>
    <n v="0"/>
    <n v="0"/>
    <n v="0"/>
    <n v="0"/>
    <m/>
    <m/>
    <n v="0"/>
    <n v="0"/>
  </r>
  <r>
    <x v="4"/>
    <s v="Southeastern Technical College"/>
    <m/>
    <n v="368911"/>
    <x v="9"/>
    <s v="sem"/>
    <s v="sem"/>
    <m/>
    <m/>
    <n v="14094"/>
    <n v="13711"/>
    <n v="6711"/>
    <n v="4956"/>
    <n v="15724"/>
    <n v="13708"/>
    <n v="36529"/>
    <n v="1217.6333333333334"/>
    <n v="32375"/>
    <n v="1079.1666666666667"/>
    <n v="8280"/>
    <n v="7721"/>
    <n v="36529"/>
    <n v="32375"/>
    <m/>
    <m/>
    <m/>
    <m/>
    <m/>
    <m/>
    <m/>
    <m/>
    <n v="0"/>
    <n v="0"/>
    <n v="0"/>
    <n v="0"/>
    <m/>
    <m/>
    <n v="0"/>
    <n v="0"/>
  </r>
  <r>
    <x v="4"/>
    <s v="Southern Crescent Technical College"/>
    <m/>
    <n v="139986"/>
    <x v="9"/>
    <s v="sem"/>
    <s v="sem"/>
    <m/>
    <m/>
    <n v="40998"/>
    <n v="43936"/>
    <n v="19668"/>
    <n v="19785"/>
    <n v="44272"/>
    <n v="43996"/>
    <n v="104938"/>
    <n v="3497.9333333333334"/>
    <n v="107717"/>
    <n v="3590.5666666666666"/>
    <n v="16553"/>
    <n v="16442"/>
    <n v="104938"/>
    <n v="107717"/>
    <m/>
    <m/>
    <m/>
    <m/>
    <m/>
    <m/>
    <m/>
    <m/>
    <n v="0"/>
    <n v="0"/>
    <n v="0"/>
    <n v="0"/>
    <m/>
    <m/>
    <n v="0"/>
    <n v="0"/>
  </r>
  <r>
    <x v="4"/>
    <s v="Southern Regional Technical College"/>
    <m/>
    <n v="487162"/>
    <x v="9"/>
    <s v="sem"/>
    <s v="sem"/>
    <m/>
    <m/>
    <n v="37017"/>
    <n v="41784"/>
    <n v="19085"/>
    <n v="16868"/>
    <n v="43103"/>
    <n v="35632"/>
    <n v="99205"/>
    <n v="3306.8333333333335"/>
    <n v="94284"/>
    <n v="3142.8"/>
    <n v="24245"/>
    <n v="22666"/>
    <n v="99205"/>
    <n v="94284"/>
    <m/>
    <m/>
    <m/>
    <m/>
    <m/>
    <m/>
    <m/>
    <m/>
    <n v="0"/>
    <n v="0"/>
    <n v="0"/>
    <n v="0"/>
    <m/>
    <m/>
    <n v="0"/>
    <n v="0"/>
  </r>
  <r>
    <x v="4"/>
    <s v="West Georgia Technical College"/>
    <m/>
    <n v="139278"/>
    <x v="9"/>
    <s v="sem"/>
    <s v="sem"/>
    <m/>
    <m/>
    <n v="56025"/>
    <n v="54321"/>
    <n v="21115"/>
    <n v="19948"/>
    <n v="57550"/>
    <n v="53630"/>
    <n v="134690"/>
    <n v="4489.666666666667"/>
    <n v="127899"/>
    <n v="4263.3"/>
    <n v="26107"/>
    <n v="23893"/>
    <n v="134690"/>
    <n v="127899"/>
    <m/>
    <m/>
    <m/>
    <m/>
    <m/>
    <m/>
    <m/>
    <m/>
    <n v="0"/>
    <n v="0"/>
    <n v="0"/>
    <n v="0"/>
    <m/>
    <m/>
    <n v="0"/>
    <n v="0"/>
  </r>
  <r>
    <x v="4"/>
    <s v="Wiregrass Georgia Technical College"/>
    <m/>
    <n v="141255"/>
    <x v="9"/>
    <s v="sem"/>
    <s v="sem"/>
    <m/>
    <m/>
    <n v="34604"/>
    <n v="33759"/>
    <n v="13868"/>
    <n v="12252"/>
    <n v="35821"/>
    <n v="28581"/>
    <n v="84293"/>
    <n v="2809.7666666666669"/>
    <n v="74592"/>
    <n v="2486.4"/>
    <n v="28513"/>
    <n v="21147"/>
    <n v="84293"/>
    <n v="74592"/>
    <m/>
    <m/>
    <m/>
    <m/>
    <m/>
    <m/>
    <m/>
    <m/>
    <n v="0"/>
    <n v="0"/>
    <n v="0"/>
    <n v="0"/>
    <m/>
    <m/>
    <n v="0"/>
    <n v="0"/>
  </r>
  <r>
    <x v="5"/>
    <s v="University of Kentucky"/>
    <m/>
    <n v="157085"/>
    <x v="0"/>
    <m/>
    <m/>
    <m/>
    <m/>
    <n v="270444"/>
    <n v="275771"/>
    <n v="21426"/>
    <n v="30247"/>
    <n v="304171"/>
    <n v="299390"/>
    <n v="596041"/>
    <n v="19868.033333333333"/>
    <n v="605408"/>
    <n v="20180.266666666666"/>
    <n v="633"/>
    <n v="1620"/>
    <n v="596041"/>
    <n v="605408"/>
    <m/>
    <m/>
    <m/>
    <m/>
    <m/>
    <m/>
    <m/>
    <m/>
    <n v="0"/>
    <n v="0"/>
    <n v="0"/>
    <n v="0"/>
    <m/>
    <m/>
    <n v="0"/>
    <n v="0"/>
  </r>
  <r>
    <x v="5"/>
    <s v="University of Louisville"/>
    <m/>
    <n v="157289"/>
    <x v="0"/>
    <m/>
    <m/>
    <m/>
    <m/>
    <n v="168184"/>
    <n v="166769"/>
    <n v="31258"/>
    <n v="36751"/>
    <n v="183361.5"/>
    <n v="183918"/>
    <n v="382803.5"/>
    <n v="12760.116666666667"/>
    <n v="387438"/>
    <n v="12914.6"/>
    <n v="5128"/>
    <n v="6797"/>
    <n v="382803.5"/>
    <n v="387438"/>
    <m/>
    <m/>
    <m/>
    <m/>
    <m/>
    <m/>
    <m/>
    <m/>
    <n v="0"/>
    <n v="0"/>
    <n v="0"/>
    <n v="0"/>
    <m/>
    <m/>
    <n v="0"/>
    <n v="0"/>
  </r>
  <r>
    <x v="5"/>
    <s v="Eastern Kentucky University "/>
    <m/>
    <n v="156620"/>
    <x v="2"/>
    <m/>
    <m/>
    <m/>
    <m/>
    <n v="150653"/>
    <n v="141295"/>
    <n v="16414"/>
    <n v="16651"/>
    <n v="158165.5"/>
    <n v="152426"/>
    <n v="325232.5"/>
    <n v="10841.083333333334"/>
    <n v="310372"/>
    <n v="10345.733333333334"/>
    <n v="9280.5"/>
    <n v="7642"/>
    <n v="325232.5"/>
    <n v="310372"/>
    <m/>
    <m/>
    <m/>
    <m/>
    <m/>
    <m/>
    <m/>
    <m/>
    <n v="0"/>
    <n v="0"/>
    <n v="0"/>
    <n v="0"/>
    <m/>
    <m/>
    <n v="0"/>
    <n v="0"/>
  </r>
  <r>
    <x v="5"/>
    <s v="Morehead State University "/>
    <m/>
    <n v="157386"/>
    <x v="2"/>
    <m/>
    <m/>
    <m/>
    <m/>
    <n v="89328"/>
    <n v="87269"/>
    <n v="6198"/>
    <n v="5859"/>
    <n v="96317"/>
    <n v="93643"/>
    <n v="191843"/>
    <n v="6394.7666666666664"/>
    <n v="186771"/>
    <n v="6225.7"/>
    <n v="24261"/>
    <n v="25179"/>
    <n v="191843"/>
    <n v="186771"/>
    <m/>
    <m/>
    <m/>
    <m/>
    <m/>
    <m/>
    <m/>
    <m/>
    <n v="0"/>
    <n v="0"/>
    <n v="0"/>
    <n v="0"/>
    <m/>
    <m/>
    <n v="0"/>
    <n v="0"/>
  </r>
  <r>
    <x v="5"/>
    <s v="Murray State University "/>
    <m/>
    <n v="157401"/>
    <x v="2"/>
    <m/>
    <m/>
    <m/>
    <m/>
    <n v="92327"/>
    <n v="90962"/>
    <n v="8202"/>
    <n v="9957"/>
    <n v="100724"/>
    <n v="98947"/>
    <n v="201253"/>
    <n v="6708.4333333333334"/>
    <n v="199866"/>
    <n v="6662.2"/>
    <n v="9437"/>
    <n v="7946"/>
    <n v="201253"/>
    <n v="199866"/>
    <m/>
    <m/>
    <m/>
    <m/>
    <m/>
    <m/>
    <m/>
    <m/>
    <n v="0"/>
    <n v="0"/>
    <n v="0"/>
    <n v="0"/>
    <m/>
    <m/>
    <n v="0"/>
    <n v="0"/>
  </r>
  <r>
    <x v="5"/>
    <s v="Northern Kentucky University "/>
    <m/>
    <n v="157447"/>
    <x v="2"/>
    <m/>
    <m/>
    <m/>
    <m/>
    <n v="19261"/>
    <n v="130198"/>
    <n v="13527"/>
    <n v="13441"/>
    <n v="143066"/>
    <n v="138589"/>
    <n v="175854"/>
    <n v="5861.8"/>
    <n v="282228"/>
    <n v="9407.6"/>
    <n v="13849"/>
    <n v="15782"/>
    <n v="175854"/>
    <n v="282228"/>
    <m/>
    <m/>
    <m/>
    <m/>
    <m/>
    <m/>
    <m/>
    <m/>
    <n v="0"/>
    <n v="0"/>
    <n v="0"/>
    <n v="0"/>
    <m/>
    <m/>
    <n v="0"/>
    <n v="0"/>
  </r>
  <r>
    <x v="5"/>
    <s v="Western Kentucky University "/>
    <m/>
    <n v="157951"/>
    <x v="2"/>
    <m/>
    <m/>
    <m/>
    <m/>
    <n v="184875"/>
    <n v="173682"/>
    <n v="20814"/>
    <n v="16979"/>
    <n v="192870"/>
    <n v="190497"/>
    <n v="398559"/>
    <n v="13285.3"/>
    <n v="381158"/>
    <n v="12705.266666666666"/>
    <n v="23832"/>
    <n v="20757"/>
    <n v="398559"/>
    <n v="381158"/>
    <m/>
    <m/>
    <m/>
    <m/>
    <m/>
    <m/>
    <m/>
    <m/>
    <n v="0"/>
    <n v="0"/>
    <n v="0"/>
    <n v="0"/>
    <m/>
    <m/>
    <n v="0"/>
    <n v="0"/>
  </r>
  <r>
    <x v="5"/>
    <s v="Kentucky State University "/>
    <s v="Met the criteria for Four-Year 6 in 2020-21."/>
    <n v="157058"/>
    <x v="3"/>
    <m/>
    <m/>
    <m/>
    <m/>
    <n v="19261"/>
    <n v="21887"/>
    <n v="2253"/>
    <n v="2277"/>
    <n v="22244.5"/>
    <n v="25449"/>
    <n v="43758.5"/>
    <n v="1458.6166666666666"/>
    <n v="49613"/>
    <n v="1653.7666666666667"/>
    <n v="6775"/>
    <n v="6607"/>
    <n v="43758.5"/>
    <n v="49613"/>
    <m/>
    <m/>
    <m/>
    <m/>
    <m/>
    <m/>
    <m/>
    <m/>
    <n v="0"/>
    <n v="0"/>
    <n v="0"/>
    <n v="0"/>
    <m/>
    <m/>
    <n v="0"/>
    <n v="0"/>
  </r>
  <r>
    <x v="5"/>
    <s v="Bluegrass Community and Technical College"/>
    <s v="Changed # from 157173 to 156392"/>
    <n v="156392"/>
    <x v="6"/>
    <m/>
    <m/>
    <m/>
    <m/>
    <n v="81042"/>
    <n v="88616"/>
    <n v="17584"/>
    <n v="18071"/>
    <n v="96875"/>
    <n v="95310"/>
    <n v="195501"/>
    <n v="6516.7"/>
    <n v="201997"/>
    <n v="6733.2333333333336"/>
    <n v="11685"/>
    <n v="14713"/>
    <n v="195501"/>
    <n v="201997"/>
    <m/>
    <m/>
    <m/>
    <m/>
    <m/>
    <m/>
    <m/>
    <m/>
    <n v="0"/>
    <n v="0"/>
    <n v="0"/>
    <n v="0"/>
    <m/>
    <m/>
    <n v="0"/>
    <n v="0"/>
  </r>
  <r>
    <x v="5"/>
    <s v="Jefferson Community and Technical College "/>
    <m/>
    <n v="156921"/>
    <x v="6"/>
    <m/>
    <m/>
    <m/>
    <m/>
    <n v="84733"/>
    <n v="85730"/>
    <n v="13230"/>
    <n v="11348"/>
    <n v="94065.7"/>
    <n v="91709"/>
    <n v="192028.7"/>
    <n v="6400.9566666666669"/>
    <n v="188787"/>
    <n v="6292.9"/>
    <n v="27799.5"/>
    <n v="32851"/>
    <n v="192028.7"/>
    <n v="188787"/>
    <m/>
    <m/>
    <m/>
    <m/>
    <m/>
    <m/>
    <m/>
    <m/>
    <n v="0"/>
    <n v="0"/>
    <n v="0"/>
    <n v="0"/>
    <m/>
    <m/>
    <n v="0"/>
    <n v="0"/>
  </r>
  <r>
    <x v="5"/>
    <s v="Big Sandy Community and Technical College "/>
    <s v="Met the criteria for Two-Year 3 in 2019-20 and 2020-21."/>
    <n v="157553"/>
    <x v="7"/>
    <m/>
    <m/>
    <m/>
    <m/>
    <n v="26653"/>
    <n v="24953"/>
    <n v="3727"/>
    <n v="2908"/>
    <n v="28954.1"/>
    <n v="25611"/>
    <n v="59334.1"/>
    <n v="1977.8033333333333"/>
    <n v="53472"/>
    <n v="1782.4"/>
    <n v="3736"/>
    <n v="3929"/>
    <n v="59334.1"/>
    <n v="53472"/>
    <m/>
    <m/>
    <m/>
    <m/>
    <m/>
    <m/>
    <m/>
    <m/>
    <n v="0"/>
    <n v="0"/>
    <n v="0"/>
    <n v="0"/>
    <m/>
    <m/>
    <n v="0"/>
    <n v="0"/>
  </r>
  <r>
    <x v="5"/>
    <s v="Elizabethtown Community and Technical College "/>
    <m/>
    <n v="156648"/>
    <x v="7"/>
    <m/>
    <m/>
    <m/>
    <m/>
    <n v="46026"/>
    <n v="44961"/>
    <n v="8943"/>
    <n v="7595"/>
    <n v="52319.6"/>
    <n v="48880"/>
    <n v="107288.6"/>
    <n v="3576.2866666666669"/>
    <n v="101436"/>
    <n v="3381.2"/>
    <n v="14608.6"/>
    <n v="16064"/>
    <n v="107288.6"/>
    <n v="101436"/>
    <m/>
    <m/>
    <m/>
    <m/>
    <m/>
    <m/>
    <m/>
    <m/>
    <n v="0"/>
    <n v="0"/>
    <n v="0"/>
    <n v="0"/>
    <m/>
    <m/>
    <n v="0"/>
    <n v="0"/>
  </r>
  <r>
    <x v="5"/>
    <s v="Maysville Community and Technical College "/>
    <m/>
    <n v="157331"/>
    <x v="7"/>
    <m/>
    <m/>
    <m/>
    <m/>
    <n v="28211"/>
    <n v="26671"/>
    <n v="4064"/>
    <n v="4445"/>
    <n v="32450.799999999999"/>
    <n v="30874"/>
    <n v="64725.8"/>
    <n v="2157.5266666666666"/>
    <n v="61990"/>
    <n v="2066.3333333333335"/>
    <n v="10506"/>
    <n v="9903"/>
    <n v="64725.8"/>
    <n v="61990"/>
    <m/>
    <m/>
    <m/>
    <m/>
    <m/>
    <m/>
    <m/>
    <m/>
    <n v="0"/>
    <n v="0"/>
    <n v="0"/>
    <n v="0"/>
    <m/>
    <m/>
    <n v="0"/>
    <n v="0"/>
  </r>
  <r>
    <x v="5"/>
    <s v="Owensboro Community and Technical College "/>
    <m/>
    <n v="247940"/>
    <x v="7"/>
    <m/>
    <m/>
    <m/>
    <m/>
    <n v="31436"/>
    <n v="32509"/>
    <n v="4747"/>
    <n v="4580"/>
    <n v="35311.699999999997"/>
    <n v="32713"/>
    <n v="71494.7"/>
    <n v="2383.1566666666668"/>
    <n v="69802"/>
    <n v="2326.7333333333331"/>
    <n v="15123.3"/>
    <n v="17253"/>
    <n v="71494.7"/>
    <n v="69802"/>
    <m/>
    <m/>
    <m/>
    <m/>
    <m/>
    <m/>
    <m/>
    <m/>
    <n v="0"/>
    <n v="0"/>
    <n v="0"/>
    <n v="0"/>
    <m/>
    <m/>
    <n v="0"/>
    <n v="0"/>
  </r>
  <r>
    <x v="5"/>
    <s v="Somerset Community and Technical College "/>
    <m/>
    <n v="157711"/>
    <x v="7"/>
    <m/>
    <m/>
    <m/>
    <m/>
    <n v="45376"/>
    <n v="41716"/>
    <n v="7765"/>
    <n v="6989"/>
    <n v="49358.2"/>
    <n v="44642"/>
    <n v="102499.2"/>
    <n v="3416.64"/>
    <n v="93347"/>
    <n v="3111.5666666666666"/>
    <n v="9303.6"/>
    <n v="9267"/>
    <n v="102499.2"/>
    <n v="93347"/>
    <m/>
    <m/>
    <m/>
    <m/>
    <m/>
    <m/>
    <m/>
    <m/>
    <n v="0"/>
    <n v="0"/>
    <n v="0"/>
    <n v="0"/>
    <m/>
    <m/>
    <n v="0"/>
    <n v="0"/>
  </r>
  <r>
    <x v="5"/>
    <s v="West Kentucky Community and Technical College"/>
    <m/>
    <n v="157483"/>
    <x v="7"/>
    <m/>
    <m/>
    <m/>
    <m/>
    <n v="41729"/>
    <n v="39758"/>
    <n v="7280"/>
    <n v="5990"/>
    <n v="45707.9"/>
    <n v="40072"/>
    <n v="94716.9"/>
    <n v="3157.23"/>
    <n v="85820"/>
    <n v="2860.6666666666665"/>
    <n v="8208.2999999999993"/>
    <n v="7738"/>
    <n v="94716.9"/>
    <n v="85820"/>
    <m/>
    <m/>
    <m/>
    <m/>
    <m/>
    <m/>
    <m/>
    <m/>
    <n v="0"/>
    <n v="0"/>
    <n v="0"/>
    <n v="0"/>
    <m/>
    <m/>
    <n v="0"/>
    <n v="0"/>
  </r>
  <r>
    <x v="5"/>
    <s v="Ashland Community and Technical College"/>
    <m/>
    <n v="156231"/>
    <x v="8"/>
    <m/>
    <m/>
    <m/>
    <m/>
    <n v="24064"/>
    <n v="24315"/>
    <n v="4890"/>
    <n v="4606"/>
    <n v="26500"/>
    <n v="24256"/>
    <n v="55454"/>
    <n v="1848.4666666666667"/>
    <n v="53177"/>
    <n v="1772.5666666666666"/>
    <n v="3239"/>
    <n v="4137"/>
    <n v="55454"/>
    <n v="53177"/>
    <m/>
    <m/>
    <m/>
    <m/>
    <m/>
    <m/>
    <m/>
    <m/>
    <n v="0"/>
    <n v="0"/>
    <n v="0"/>
    <n v="0"/>
    <m/>
    <m/>
    <n v="0"/>
    <n v="0"/>
  </r>
  <r>
    <x v="5"/>
    <s v="Hazard Community and Technical College"/>
    <m/>
    <n v="156790"/>
    <x v="8"/>
    <m/>
    <m/>
    <m/>
    <m/>
    <n v="22963"/>
    <n v="23361"/>
    <n v="5706"/>
    <n v="4702"/>
    <n v="26283"/>
    <n v="23406"/>
    <n v="54952"/>
    <n v="1831.7333333333333"/>
    <n v="51469"/>
    <n v="1715.6333333333334"/>
    <n v="8211.7999999999993"/>
    <n v="7608"/>
    <n v="54952"/>
    <n v="51469"/>
    <m/>
    <m/>
    <m/>
    <m/>
    <m/>
    <m/>
    <m/>
    <m/>
    <n v="0"/>
    <n v="0"/>
    <n v="0"/>
    <n v="0"/>
    <m/>
    <m/>
    <n v="0"/>
    <n v="0"/>
  </r>
  <r>
    <x v="5"/>
    <s v="Henderson Community College "/>
    <m/>
    <n v="156851"/>
    <x v="8"/>
    <m/>
    <m/>
    <m/>
    <m/>
    <n v="11109"/>
    <n v="10242"/>
    <n v="1722"/>
    <n v="1610"/>
    <n v="12972"/>
    <n v="11426"/>
    <n v="25803"/>
    <n v="860.1"/>
    <n v="23278"/>
    <n v="775.93333333333328"/>
    <n v="3690"/>
    <n v="3700"/>
    <n v="25803"/>
    <n v="23278"/>
    <m/>
    <m/>
    <m/>
    <m/>
    <m/>
    <m/>
    <m/>
    <m/>
    <n v="0"/>
    <n v="0"/>
    <n v="0"/>
    <n v="0"/>
    <m/>
    <m/>
    <n v="0"/>
    <n v="0"/>
  </r>
  <r>
    <x v="5"/>
    <s v="Hopkinsville Community College "/>
    <m/>
    <n v="156860"/>
    <x v="8"/>
    <m/>
    <m/>
    <m/>
    <m/>
    <n v="20978"/>
    <n v="19380"/>
    <n v="4493"/>
    <n v="3800"/>
    <n v="21635"/>
    <n v="17929"/>
    <n v="47106"/>
    <n v="1570.2"/>
    <n v="41109"/>
    <n v="1370.3"/>
    <n v="4355"/>
    <n v="4213"/>
    <n v="47106"/>
    <n v="41109"/>
    <m/>
    <m/>
    <m/>
    <m/>
    <m/>
    <m/>
    <m/>
    <m/>
    <n v="0"/>
    <n v="0"/>
    <n v="0"/>
    <n v="0"/>
    <m/>
    <m/>
    <n v="0"/>
    <n v="0"/>
  </r>
  <r>
    <x v="5"/>
    <s v="Madisonville Community College"/>
    <m/>
    <n v="157304"/>
    <x v="8"/>
    <m/>
    <m/>
    <m/>
    <m/>
    <n v="20373"/>
    <n v="21936"/>
    <n v="3624"/>
    <n v="3202"/>
    <n v="26664.1"/>
    <n v="27602"/>
    <n v="50661.1"/>
    <n v="1688.7033333333334"/>
    <n v="52740"/>
    <n v="1758"/>
    <n v="9777"/>
    <n v="11235"/>
    <n v="50661.1"/>
    <n v="52740"/>
    <m/>
    <m/>
    <m/>
    <m/>
    <m/>
    <m/>
    <m/>
    <m/>
    <n v="0"/>
    <n v="0"/>
    <n v="0"/>
    <n v="0"/>
    <m/>
    <m/>
    <n v="0"/>
    <n v="0"/>
  </r>
  <r>
    <x v="5"/>
    <s v="Southeast Kentucky Community and Technical College"/>
    <m/>
    <n v="157739"/>
    <x v="8"/>
    <m/>
    <m/>
    <m/>
    <m/>
    <n v="22553"/>
    <n v="21919"/>
    <n v="3450"/>
    <n v="3797"/>
    <n v="27700.3"/>
    <n v="22190"/>
    <n v="53703.3"/>
    <n v="1790.1100000000001"/>
    <n v="47906"/>
    <n v="1596.8666666666666"/>
    <n v="7467.2"/>
    <n v="6372"/>
    <n v="53703.3"/>
    <n v="47906"/>
    <m/>
    <m/>
    <m/>
    <m/>
    <m/>
    <m/>
    <m/>
    <m/>
    <n v="0"/>
    <n v="0"/>
    <n v="0"/>
    <n v="0"/>
    <m/>
    <m/>
    <n v="0"/>
    <n v="0"/>
  </r>
  <r>
    <x v="5"/>
    <s v="Gateway Community and Technical College"/>
    <m/>
    <n v="157438"/>
    <x v="9"/>
    <m/>
    <m/>
    <m/>
    <m/>
    <n v="31104"/>
    <n v="32838"/>
    <n v="6496"/>
    <n v="5869"/>
    <n v="36568.199999999997"/>
    <n v="35605"/>
    <n v="74168.2"/>
    <n v="2472.2733333333331"/>
    <n v="74312"/>
    <n v="2477.0666666666666"/>
    <n v="11804.5"/>
    <n v="16192"/>
    <n v="74168.2"/>
    <n v="74312"/>
    <m/>
    <m/>
    <m/>
    <m/>
    <m/>
    <m/>
    <m/>
    <m/>
    <n v="0"/>
    <n v="0"/>
    <n v="0"/>
    <n v="0"/>
    <m/>
    <m/>
    <n v="0"/>
    <n v="0"/>
  </r>
  <r>
    <x v="5"/>
    <s v="Southcentral Kentucky Community and Technical College"/>
    <m/>
    <n v="156338"/>
    <x v="9"/>
    <m/>
    <m/>
    <m/>
    <m/>
    <n v="35396"/>
    <n v="35020"/>
    <n v="5356"/>
    <n v="5423"/>
    <n v="39600.699999999997"/>
    <n v="36466"/>
    <n v="80352.7"/>
    <n v="2678.4233333333332"/>
    <n v="76909"/>
    <n v="2563.6333333333332"/>
    <n v="8476"/>
    <n v="8568"/>
    <n v="80352.7"/>
    <n v="76909"/>
    <m/>
    <m/>
    <m/>
    <m/>
    <m/>
    <m/>
    <m/>
    <m/>
    <n v="0"/>
    <n v="0"/>
    <n v="0"/>
    <n v="0"/>
    <m/>
    <m/>
    <n v="0"/>
    <n v="0"/>
  </r>
  <r>
    <x v="6"/>
    <s v="Louisiana State University and A&amp;M College"/>
    <m/>
    <n v="159391"/>
    <x v="0"/>
    <m/>
    <m/>
    <m/>
    <m/>
    <n v="319146"/>
    <n v="326452"/>
    <n v="28240"/>
    <n v="35899"/>
    <n v="354136"/>
    <n v="383012"/>
    <n v="701522"/>
    <n v="23384.066666666666"/>
    <n v="745363"/>
    <n v="24845.433333333334"/>
    <n v="13261"/>
    <n v="18051"/>
    <n v="701522"/>
    <n v="745363"/>
    <m/>
    <m/>
    <m/>
    <m/>
    <m/>
    <m/>
    <m/>
    <m/>
    <n v="0"/>
    <n v="0"/>
    <n v="0"/>
    <n v="0"/>
    <m/>
    <m/>
    <n v="0"/>
    <n v="0"/>
  </r>
  <r>
    <x v="6"/>
    <s v="Louisiana Tech University "/>
    <m/>
    <n v="159647"/>
    <x v="1"/>
    <m/>
    <m/>
    <n v="78585"/>
    <n v="78275"/>
    <n v="82208"/>
    <n v="79379"/>
    <n v="13356"/>
    <n v="16240"/>
    <n v="92816"/>
    <n v="88718"/>
    <n v="266965"/>
    <n v="8898.8333333333339"/>
    <n v="262612"/>
    <n v="8753.7333333333336"/>
    <n v="19972"/>
    <n v="18238"/>
    <n v="266965"/>
    <n v="262612"/>
    <m/>
    <m/>
    <m/>
    <m/>
    <m/>
    <m/>
    <m/>
    <m/>
    <n v="0"/>
    <n v="0"/>
    <n v="0"/>
    <n v="0"/>
    <m/>
    <m/>
    <n v="0"/>
    <n v="0"/>
  </r>
  <r>
    <x v="6"/>
    <s v="University of Louisiana at Lafayette"/>
    <m/>
    <n v="160658"/>
    <x v="1"/>
    <m/>
    <m/>
    <m/>
    <m/>
    <n v="177885"/>
    <n v="170777"/>
    <n v="17740"/>
    <n v="17674"/>
    <n v="190623"/>
    <n v="179915"/>
    <n v="386248"/>
    <n v="12874.933333333332"/>
    <n v="368366"/>
    <n v="12278.866666666667"/>
    <n v="5307"/>
    <n v="5666"/>
    <n v="386248"/>
    <n v="368366"/>
    <m/>
    <m/>
    <m/>
    <m/>
    <m/>
    <m/>
    <m/>
    <m/>
    <n v="0"/>
    <n v="0"/>
    <n v="0"/>
    <n v="0"/>
    <m/>
    <m/>
    <n v="0"/>
    <n v="0"/>
  </r>
  <r>
    <x v="6"/>
    <s v="University of New Orleans"/>
    <m/>
    <n v="159939"/>
    <x v="1"/>
    <m/>
    <m/>
    <m/>
    <m/>
    <n v="72248"/>
    <n v="70359"/>
    <n v="13044"/>
    <n v="12645"/>
    <n v="80373"/>
    <n v="81430"/>
    <n v="165665"/>
    <n v="5522.166666666667"/>
    <n v="164434"/>
    <n v="5481.1333333333332"/>
    <n v="4929"/>
    <n v="5721"/>
    <n v="165665"/>
    <n v="164434"/>
    <m/>
    <m/>
    <m/>
    <m/>
    <m/>
    <m/>
    <m/>
    <m/>
    <n v="0"/>
    <n v="0"/>
    <n v="0"/>
    <n v="0"/>
    <m/>
    <m/>
    <n v="0"/>
    <n v="0"/>
  </r>
  <r>
    <x v="6"/>
    <s v="McNeese State University"/>
    <m/>
    <n v="159717"/>
    <x v="2"/>
    <m/>
    <m/>
    <m/>
    <m/>
    <n v="83295"/>
    <n v="80099"/>
    <n v="9599"/>
    <n v="9788"/>
    <n v="89545"/>
    <n v="88621"/>
    <n v="182439"/>
    <n v="6081.3"/>
    <n v="178508"/>
    <n v="5950.2666666666664"/>
    <n v="10902"/>
    <n v="10383"/>
    <n v="182439"/>
    <n v="178508"/>
    <m/>
    <m/>
    <m/>
    <m/>
    <m/>
    <m/>
    <m/>
    <m/>
    <n v="0"/>
    <n v="0"/>
    <n v="0"/>
    <n v="0"/>
    <m/>
    <m/>
    <n v="0"/>
    <n v="0"/>
  </r>
  <r>
    <x v="6"/>
    <s v="Southeastern Louisiana University "/>
    <m/>
    <n v="160612"/>
    <x v="2"/>
    <m/>
    <m/>
    <m/>
    <m/>
    <n v="149827"/>
    <n v="148193"/>
    <n v="17379"/>
    <n v="20271"/>
    <n v="159246"/>
    <n v="159852"/>
    <n v="326452"/>
    <n v="10881.733333333334"/>
    <n v="328316"/>
    <n v="10943.866666666667"/>
    <n v="21710"/>
    <n v="21118"/>
    <n v="326452"/>
    <n v="328316"/>
    <m/>
    <m/>
    <m/>
    <m/>
    <m/>
    <m/>
    <m/>
    <m/>
    <n v="0"/>
    <n v="0"/>
    <n v="0"/>
    <n v="0"/>
    <m/>
    <m/>
    <n v="0"/>
    <n v="0"/>
  </r>
  <r>
    <x v="6"/>
    <s v="Southern University and A&amp;M College at Baton Rouge "/>
    <m/>
    <n v="160621"/>
    <x v="2"/>
    <m/>
    <m/>
    <m/>
    <m/>
    <n v="70114"/>
    <n v="71066"/>
    <n v="9215"/>
    <n v="9929"/>
    <n v="79480"/>
    <n v="75953"/>
    <n v="158809"/>
    <n v="5293.6333333333332"/>
    <n v="156948"/>
    <n v="5231.6000000000004"/>
    <n v="2513"/>
    <n v="4646"/>
    <n v="158809"/>
    <n v="156948"/>
    <m/>
    <m/>
    <m/>
    <m/>
    <m/>
    <m/>
    <m/>
    <m/>
    <n v="0"/>
    <n v="0"/>
    <n v="0"/>
    <n v="0"/>
    <m/>
    <m/>
    <n v="0"/>
    <n v="0"/>
  </r>
  <r>
    <x v="6"/>
    <s v="University of Louisiana at Monroe"/>
    <m/>
    <n v="159993"/>
    <x v="2"/>
    <m/>
    <m/>
    <m/>
    <m/>
    <n v="85595"/>
    <n v="81683"/>
    <n v="8257"/>
    <n v="8060"/>
    <n v="86786"/>
    <n v="85933"/>
    <n v="180638"/>
    <n v="6021.2666666666664"/>
    <n v="175676"/>
    <n v="5855.8666666666668"/>
    <n v="12605"/>
    <n v="12228"/>
    <n v="180638"/>
    <n v="175676"/>
    <m/>
    <m/>
    <m/>
    <m/>
    <m/>
    <m/>
    <m/>
    <m/>
    <n v="0"/>
    <n v="0"/>
    <n v="0"/>
    <n v="0"/>
    <m/>
    <m/>
    <n v="0"/>
    <n v="0"/>
  </r>
  <r>
    <x v="6"/>
    <s v="Grambling State University"/>
    <m/>
    <n v="159009"/>
    <x v="3"/>
    <m/>
    <m/>
    <m/>
    <m/>
    <n v="52125"/>
    <n v="53059"/>
    <n v="9509"/>
    <n v="10394"/>
    <n v="58761"/>
    <n v="62849"/>
    <n v="120395"/>
    <n v="4013.1666666666665"/>
    <n v="126302"/>
    <n v="4210.0666666666666"/>
    <n v="201"/>
    <n v="318"/>
    <n v="120395"/>
    <n v="126302"/>
    <m/>
    <m/>
    <m/>
    <m/>
    <m/>
    <m/>
    <m/>
    <m/>
    <n v="0"/>
    <n v="0"/>
    <n v="0"/>
    <n v="0"/>
    <m/>
    <m/>
    <n v="0"/>
    <n v="0"/>
  </r>
  <r>
    <x v="6"/>
    <s v="Louisiana State University in Shreveport"/>
    <m/>
    <n v="159416"/>
    <x v="3"/>
    <m/>
    <m/>
    <m/>
    <m/>
    <n v="26007"/>
    <n v="26451"/>
    <n v="4865"/>
    <n v="5165"/>
    <n v="28983"/>
    <n v="29050"/>
    <n v="59855"/>
    <n v="1995.1666666666667"/>
    <n v="60666"/>
    <n v="2022.2"/>
    <n v="2506"/>
    <n v="2320"/>
    <n v="59855"/>
    <n v="60666"/>
    <m/>
    <m/>
    <m/>
    <m/>
    <m/>
    <m/>
    <m/>
    <m/>
    <n v="0"/>
    <n v="0"/>
    <n v="0"/>
    <n v="0"/>
    <m/>
    <m/>
    <n v="0"/>
    <n v="0"/>
  </r>
  <r>
    <x v="6"/>
    <s v="Nicholls State University "/>
    <m/>
    <n v="159966"/>
    <x v="3"/>
    <m/>
    <m/>
    <m/>
    <m/>
    <n v="71653"/>
    <n v="72441"/>
    <n v="7849"/>
    <n v="8204"/>
    <n v="79340"/>
    <n v="80548"/>
    <n v="158842"/>
    <n v="5294.7333333333336"/>
    <n v="161193"/>
    <n v="5373.1"/>
    <n v="1792"/>
    <n v="2797"/>
    <n v="158842"/>
    <n v="161193"/>
    <m/>
    <m/>
    <m/>
    <m/>
    <m/>
    <m/>
    <m/>
    <m/>
    <n v="0"/>
    <n v="0"/>
    <n v="0"/>
    <n v="0"/>
    <m/>
    <m/>
    <n v="0"/>
    <n v="0"/>
  </r>
  <r>
    <x v="6"/>
    <s v="Northwestern State University"/>
    <m/>
    <n v="160038"/>
    <x v="3"/>
    <m/>
    <m/>
    <m/>
    <m/>
    <n v="107797"/>
    <n v="106047"/>
    <n v="15708"/>
    <n v="16739"/>
    <n v="117171"/>
    <n v="116028"/>
    <n v="240676"/>
    <n v="8022.5333333333338"/>
    <n v="238814"/>
    <n v="7960.4666666666662"/>
    <n v="18051"/>
    <n v="21156"/>
    <n v="240676"/>
    <n v="238814"/>
    <m/>
    <m/>
    <m/>
    <m/>
    <m/>
    <m/>
    <m/>
    <m/>
    <n v="0"/>
    <n v="0"/>
    <n v="0"/>
    <n v="0"/>
    <m/>
    <m/>
    <n v="0"/>
    <n v="0"/>
  </r>
  <r>
    <x v="6"/>
    <s v="Southern University at New Orleans"/>
    <m/>
    <n v="160630"/>
    <x v="4"/>
    <m/>
    <m/>
    <m/>
    <m/>
    <n v="22074"/>
    <n v="20509"/>
    <n v="1939"/>
    <n v="1737"/>
    <n v="22264"/>
    <n v="19350"/>
    <n v="46277"/>
    <n v="1542.5666666666666"/>
    <n v="41596"/>
    <n v="1386.5333333333333"/>
    <n v="1494"/>
    <n v="2642"/>
    <n v="46277"/>
    <n v="41596"/>
    <m/>
    <m/>
    <m/>
    <m/>
    <m/>
    <m/>
    <m/>
    <m/>
    <n v="0"/>
    <n v="0"/>
    <n v="0"/>
    <n v="0"/>
    <m/>
    <m/>
    <n v="0"/>
    <n v="0"/>
  </r>
  <r>
    <x v="6"/>
    <s v="Louisiana State University at Alexandria"/>
    <m/>
    <n v="159382"/>
    <x v="5"/>
    <m/>
    <m/>
    <m/>
    <m/>
    <n v="30627"/>
    <n v="32413"/>
    <n v="8421"/>
    <n v="10183"/>
    <n v="35962"/>
    <n v="37939"/>
    <n v="75010"/>
    <n v="2500.3333333333335"/>
    <n v="80535"/>
    <n v="2684.5"/>
    <n v="5600"/>
    <n v="5643"/>
    <n v="75010"/>
    <n v="80535"/>
    <m/>
    <m/>
    <m/>
    <m/>
    <m/>
    <m/>
    <m/>
    <m/>
    <n v="0"/>
    <n v="0"/>
    <n v="0"/>
    <n v="0"/>
    <m/>
    <m/>
    <n v="0"/>
    <n v="0"/>
  </r>
  <r>
    <x v="6"/>
    <s v="Baton Rouge Community College"/>
    <m/>
    <n v="437103"/>
    <x v="6"/>
    <m/>
    <m/>
    <m/>
    <m/>
    <n v="72063"/>
    <n v="67303"/>
    <n v="16546"/>
    <n v="15972"/>
    <n v="78188"/>
    <n v="71622"/>
    <n v="166797"/>
    <n v="5559.9"/>
    <n v="154897"/>
    <n v="5163.2333333333336"/>
    <n v="3641"/>
    <n v="3860"/>
    <n v="166797"/>
    <n v="154897"/>
    <m/>
    <m/>
    <m/>
    <m/>
    <m/>
    <m/>
    <m/>
    <m/>
    <n v="0"/>
    <n v="0"/>
    <n v="0"/>
    <n v="0"/>
    <m/>
    <m/>
    <n v="0"/>
    <n v="0"/>
  </r>
  <r>
    <x v="6"/>
    <s v="Delgado Community College "/>
    <m/>
    <n v="158662"/>
    <x v="6"/>
    <m/>
    <m/>
    <m/>
    <m/>
    <n v="119342"/>
    <n v="122980"/>
    <n v="25668"/>
    <n v="29222"/>
    <n v="128503"/>
    <n v="123416"/>
    <n v="273513"/>
    <n v="9117.1"/>
    <n v="275618"/>
    <n v="9187.2666666666664"/>
    <n v="6961"/>
    <n v="4595"/>
    <n v="273513"/>
    <n v="275618"/>
    <m/>
    <m/>
    <m/>
    <m/>
    <m/>
    <m/>
    <m/>
    <m/>
    <n v="0"/>
    <n v="0"/>
    <n v="0"/>
    <n v="0"/>
    <m/>
    <m/>
    <n v="0"/>
    <n v="0"/>
  </r>
  <r>
    <x v="6"/>
    <s v="Bossier Parish Community College"/>
    <m/>
    <n v="158431"/>
    <x v="7"/>
    <m/>
    <m/>
    <n v="0"/>
    <m/>
    <n v="59337"/>
    <n v="58526"/>
    <n v="12059"/>
    <n v="12045"/>
    <n v="62994"/>
    <n v="59479"/>
    <n v="134390"/>
    <n v="4479.666666666667"/>
    <n v="130050"/>
    <n v="4335"/>
    <n v="4854"/>
    <n v="4988"/>
    <n v="134390"/>
    <n v="130050"/>
    <m/>
    <m/>
    <m/>
    <m/>
    <m/>
    <m/>
    <m/>
    <m/>
    <n v="0"/>
    <n v="0"/>
    <n v="0"/>
    <n v="0"/>
    <m/>
    <m/>
    <n v="0"/>
    <n v="0"/>
  </r>
  <r>
    <x v="6"/>
    <s v="Louisiana Delta Community College"/>
    <m/>
    <n v="483212"/>
    <x v="7"/>
    <m/>
    <m/>
    <m/>
    <m/>
    <n v="37133"/>
    <n v="37559.5"/>
    <n v="12240"/>
    <n v="9550.5"/>
    <n v="42692.5"/>
    <n v="37352"/>
    <n v="92065.5"/>
    <n v="3068.85"/>
    <n v="84462"/>
    <n v="2815.4"/>
    <n v="4869"/>
    <n v="5211"/>
    <n v="92065.5"/>
    <n v="84462"/>
    <m/>
    <m/>
    <m/>
    <m/>
    <m/>
    <m/>
    <m/>
    <m/>
    <n v="0"/>
    <n v="0"/>
    <n v="0"/>
    <n v="0"/>
    <m/>
    <m/>
    <n v="0"/>
    <n v="0"/>
  </r>
  <r>
    <x v="6"/>
    <s v="South Louisiana Community College"/>
    <m/>
    <n v="434061"/>
    <x v="7"/>
    <m/>
    <m/>
    <m/>
    <m/>
    <n v="58167"/>
    <n v="60089"/>
    <n v="15709"/>
    <n v="15748"/>
    <n v="69068"/>
    <n v="63628"/>
    <n v="142944"/>
    <n v="4764.8"/>
    <n v="139465"/>
    <n v="4648.833333333333"/>
    <n v="12335"/>
    <n v="10223"/>
    <n v="142944"/>
    <n v="139465"/>
    <m/>
    <m/>
    <m/>
    <m/>
    <m/>
    <m/>
    <m/>
    <m/>
    <n v="0"/>
    <n v="0"/>
    <n v="0"/>
    <n v="0"/>
    <m/>
    <m/>
    <n v="0"/>
    <n v="0"/>
  </r>
  <r>
    <x v="6"/>
    <s v="Southern University in Shreveport"/>
    <m/>
    <n v="160649"/>
    <x v="7"/>
    <m/>
    <m/>
    <m/>
    <m/>
    <n v="24894"/>
    <n v="27043"/>
    <n v="9753"/>
    <n v="6980"/>
    <n v="31001"/>
    <n v="27360"/>
    <n v="65648"/>
    <n v="2188.2666666666669"/>
    <n v="61383"/>
    <n v="2046.1"/>
    <n v="4219"/>
    <n v="4190"/>
    <n v="65648"/>
    <n v="61383"/>
    <m/>
    <m/>
    <m/>
    <m/>
    <m/>
    <m/>
    <m/>
    <m/>
    <n v="0"/>
    <n v="0"/>
    <n v="0"/>
    <n v="0"/>
    <m/>
    <m/>
    <n v="0"/>
    <n v="0"/>
  </r>
  <r>
    <x v="6"/>
    <s v="Louisiana State University at Eunice"/>
    <s v="Reclassified: Met the criteria for Two-Year 2 in 2018-19, 2019-20, and 2020-21."/>
    <n v="159407"/>
    <x v="7"/>
    <m/>
    <m/>
    <m/>
    <m/>
    <n v="27806"/>
    <n v="25546"/>
    <n v="3542"/>
    <n v="3610"/>
    <n v="30533"/>
    <n v="31649"/>
    <n v="61881"/>
    <n v="2062.6999999999998"/>
    <n v="60805"/>
    <n v="2026.8333333333333"/>
    <n v="5257"/>
    <n v="5658"/>
    <n v="61881"/>
    <n v="60805"/>
    <m/>
    <m/>
    <m/>
    <m/>
    <m/>
    <m/>
    <m/>
    <m/>
    <n v="0"/>
    <n v="0"/>
    <n v="0"/>
    <n v="0"/>
    <m/>
    <m/>
    <n v="0"/>
    <n v="0"/>
  </r>
  <r>
    <x v="6"/>
    <s v="Nunez Community College"/>
    <m/>
    <n v="158884"/>
    <x v="8"/>
    <m/>
    <m/>
    <m/>
    <m/>
    <n v="19433"/>
    <n v="19922"/>
    <n v="4101"/>
    <n v="4819"/>
    <n v="20306"/>
    <n v="19862"/>
    <n v="43840"/>
    <n v="1461.3333333333333"/>
    <n v="44603"/>
    <n v="1486.7666666666667"/>
    <n v="4571"/>
    <n v="4151"/>
    <n v="43840"/>
    <n v="44603"/>
    <m/>
    <m/>
    <m/>
    <m/>
    <m/>
    <m/>
    <m/>
    <m/>
    <n v="0"/>
    <n v="0"/>
    <n v="0"/>
    <n v="0"/>
    <m/>
    <m/>
    <n v="0"/>
    <n v="0"/>
  </r>
  <r>
    <x v="6"/>
    <s v="River Parishes Community College"/>
    <s v="Met the criteria for Two-Year 2 in 2018-19 and 2019-20."/>
    <n v="436304"/>
    <x v="8"/>
    <m/>
    <m/>
    <m/>
    <m/>
    <n v="26604"/>
    <n v="27753"/>
    <n v="5434"/>
    <n v="4507"/>
    <n v="29482"/>
    <n v="26308"/>
    <n v="61520"/>
    <n v="2050.6666666666665"/>
    <n v="58568"/>
    <n v="1952.2666666666667"/>
    <n v="9243"/>
    <n v="9102"/>
    <n v="61520"/>
    <n v="58568"/>
    <m/>
    <m/>
    <m/>
    <m/>
    <m/>
    <m/>
    <m/>
    <m/>
    <n v="0"/>
    <n v="0"/>
    <n v="0"/>
    <n v="0"/>
    <m/>
    <m/>
    <n v="0"/>
    <n v="0"/>
  </r>
  <r>
    <x v="6"/>
    <s v="Central LA Technical Community College"/>
    <m/>
    <n v="158088"/>
    <x v="9"/>
    <m/>
    <m/>
    <m/>
    <m/>
    <n v="18799"/>
    <n v="20470"/>
    <n v="3746"/>
    <n v="3164"/>
    <n v="22989"/>
    <n v="19407"/>
    <n v="45534"/>
    <n v="1517.8"/>
    <n v="43041"/>
    <n v="1434.7"/>
    <n v="7479"/>
    <n v="7220"/>
    <n v="45534"/>
    <n v="43041"/>
    <m/>
    <m/>
    <m/>
    <m/>
    <m/>
    <m/>
    <m/>
    <m/>
    <n v="0"/>
    <n v="0"/>
    <n v="0"/>
    <n v="0"/>
    <m/>
    <m/>
    <n v="0"/>
    <n v="0"/>
  </r>
  <r>
    <x v="6"/>
    <s v="L.E. Fletcher Technical Community College"/>
    <m/>
    <n v="160481"/>
    <x v="9"/>
    <m/>
    <m/>
    <m/>
    <m/>
    <n v="20445"/>
    <n v="21994"/>
    <n v="3635"/>
    <n v="3024"/>
    <n v="24164"/>
    <n v="21844"/>
    <n v="48244"/>
    <n v="1608.1333333333334"/>
    <n v="46862"/>
    <n v="1562.0666666666666"/>
    <n v="2390"/>
    <n v="2096"/>
    <n v="48244"/>
    <n v="46862"/>
    <m/>
    <m/>
    <m/>
    <m/>
    <m/>
    <m/>
    <m/>
    <m/>
    <n v="0"/>
    <n v="0"/>
    <n v="0"/>
    <n v="0"/>
    <m/>
    <m/>
    <n v="0"/>
    <n v="0"/>
  </r>
  <r>
    <x v="6"/>
    <s v="Northshore Technical College"/>
    <m/>
    <n v="160667"/>
    <x v="9"/>
    <m/>
    <m/>
    <m/>
    <m/>
    <n v="30112"/>
    <n v="30265"/>
    <n v="4642"/>
    <n v="4747"/>
    <n v="33719"/>
    <n v="28770"/>
    <n v="68473"/>
    <n v="2282.4333333333334"/>
    <n v="63782"/>
    <n v="2126.0666666666666"/>
    <n v="8635"/>
    <n v="5489"/>
    <n v="68473"/>
    <n v="63782"/>
    <m/>
    <m/>
    <m/>
    <m/>
    <m/>
    <m/>
    <m/>
    <m/>
    <n v="0"/>
    <n v="0"/>
    <n v="0"/>
    <n v="0"/>
    <m/>
    <m/>
    <n v="0"/>
    <n v="0"/>
  </r>
  <r>
    <x v="6"/>
    <s v="Sowela Technical Community College"/>
    <m/>
    <n v="160579"/>
    <x v="9"/>
    <m/>
    <m/>
    <m/>
    <m/>
    <n v="31282"/>
    <n v="33539.5"/>
    <n v="5870"/>
    <n v="5671"/>
    <n v="37313.5"/>
    <n v="29649.5"/>
    <n v="74465.5"/>
    <n v="2482.1833333333334"/>
    <n v="68860"/>
    <n v="2295.3333333333335"/>
    <n v="5305"/>
    <n v="3937"/>
    <n v="74465.5"/>
    <n v="68860"/>
    <m/>
    <m/>
    <m/>
    <m/>
    <m/>
    <m/>
    <m/>
    <m/>
    <n v="0"/>
    <n v="0"/>
    <n v="0"/>
    <n v="0"/>
    <m/>
    <m/>
    <n v="0"/>
    <n v="0"/>
  </r>
  <r>
    <x v="6"/>
    <s v="Northwest LA Technical College"/>
    <m/>
    <n v="160010"/>
    <x v="10"/>
    <m/>
    <m/>
    <m/>
    <m/>
    <n v="10079"/>
    <n v="10324"/>
    <n v="3517"/>
    <n v="2720"/>
    <n v="11022"/>
    <n v="9779"/>
    <n v="24618"/>
    <n v="820.6"/>
    <n v="22823"/>
    <n v="760.76666666666665"/>
    <n v="1439"/>
    <n v="1348"/>
    <n v="24618"/>
    <n v="22823"/>
    <m/>
    <m/>
    <m/>
    <m/>
    <m/>
    <m/>
    <m/>
    <m/>
    <n v="0"/>
    <n v="0"/>
    <n v="0"/>
    <n v="0"/>
    <m/>
    <m/>
    <n v="0"/>
    <n v="0"/>
  </r>
  <r>
    <x v="6"/>
    <s v="Southern University Law Center"/>
    <m/>
    <n v="440916"/>
    <x v="11"/>
    <m/>
    <m/>
    <m/>
    <m/>
    <m/>
    <n v="0"/>
    <m/>
    <n v="0"/>
    <m/>
    <n v="0"/>
    <n v="0"/>
    <n v="0"/>
    <n v="0"/>
    <n v="0"/>
    <m/>
    <m/>
    <n v="0"/>
    <n v="0"/>
    <m/>
    <m/>
    <m/>
    <m/>
    <m/>
    <m/>
    <m/>
    <m/>
    <n v="0"/>
    <n v="0"/>
    <n v="0"/>
    <n v="0"/>
    <m/>
    <m/>
    <n v="0"/>
    <n v="0"/>
  </r>
  <r>
    <x v="7"/>
    <s v="Allegany College of Maryland"/>
    <m/>
    <n v="161688"/>
    <x v="8"/>
    <s v="sem"/>
    <s v="sem"/>
    <n v="0"/>
    <n v="0"/>
    <n v="20882"/>
    <n v="21157"/>
    <n v="3506"/>
    <n v="3558"/>
    <n v="23347"/>
    <n v="22222"/>
    <n v="47735"/>
    <n v="1591.1666666666667"/>
    <n v="46937"/>
    <n v="1564.5666666666666"/>
    <m/>
    <m/>
    <n v="0"/>
    <n v="0"/>
    <m/>
    <m/>
    <m/>
    <m/>
    <m/>
    <m/>
    <m/>
    <m/>
    <n v="0"/>
    <n v="0"/>
    <n v="0"/>
    <n v="0"/>
    <m/>
    <m/>
    <n v="0"/>
    <n v="0"/>
  </r>
  <r>
    <x v="7"/>
    <s v="Anne Arundel Community College "/>
    <m/>
    <n v="161767"/>
    <x v="6"/>
    <s v="sem"/>
    <s v="sem"/>
    <n v="4968"/>
    <n v="5210"/>
    <n v="93417"/>
    <n v="89281"/>
    <n v="25001"/>
    <n v="28777"/>
    <n v="103748"/>
    <n v="98900"/>
    <n v="227134"/>
    <n v="7571.1333333333332"/>
    <n v="222168"/>
    <n v="7405.6"/>
    <m/>
    <m/>
    <n v="0"/>
    <n v="0"/>
    <m/>
    <m/>
    <m/>
    <m/>
    <m/>
    <m/>
    <m/>
    <m/>
    <n v="0"/>
    <n v="0"/>
    <n v="0"/>
    <n v="0"/>
    <m/>
    <m/>
    <n v="0"/>
    <n v="0"/>
  </r>
  <r>
    <x v="7"/>
    <s v="Baltimore City Community College"/>
    <m/>
    <n v="161864"/>
    <x v="7"/>
    <s v="sem"/>
    <s v="sem"/>
    <n v="86"/>
    <n v="68"/>
    <n v="36214"/>
    <n v="36965"/>
    <n v="7432"/>
    <n v="11036"/>
    <n v="41555"/>
    <n v="33933"/>
    <n v="85287"/>
    <n v="2842.9"/>
    <n v="82002"/>
    <n v="2733.4"/>
    <m/>
    <m/>
    <n v="0"/>
    <n v="0"/>
    <m/>
    <m/>
    <m/>
    <m/>
    <m/>
    <m/>
    <m/>
    <m/>
    <n v="0"/>
    <n v="0"/>
    <n v="0"/>
    <n v="0"/>
    <m/>
    <m/>
    <n v="0"/>
    <n v="0"/>
  </r>
  <r>
    <x v="7"/>
    <s v="Carroll Community College"/>
    <s v="Met the criteria for Two-Year 3 in 2018-19 and 2019-20."/>
    <n v="405872"/>
    <x v="7"/>
    <s v="sem"/>
    <s v="sem"/>
    <n v="26243"/>
    <n v="1914"/>
    <n v="22950.5"/>
    <n v="22153.5"/>
    <n v="4661"/>
    <n v="4729"/>
    <n v="2178"/>
    <n v="24396.5"/>
    <n v="56032.5"/>
    <n v="1867.75"/>
    <n v="53193"/>
    <n v="1773.1"/>
    <m/>
    <m/>
    <n v="0"/>
    <n v="0"/>
    <m/>
    <m/>
    <m/>
    <m/>
    <m/>
    <m/>
    <m/>
    <m/>
    <n v="0"/>
    <n v="0"/>
    <n v="0"/>
    <n v="0"/>
    <m/>
    <m/>
    <n v="0"/>
    <n v="0"/>
  </r>
  <r>
    <x v="7"/>
    <s v="Cecil Community College "/>
    <m/>
    <n v="162104"/>
    <x v="8"/>
    <s v="sem"/>
    <s v="sem"/>
    <n v="0"/>
    <n v="0"/>
    <n v="17820"/>
    <n v="17396"/>
    <n v="2977"/>
    <n v="2853"/>
    <n v="20137"/>
    <n v="17487"/>
    <n v="40934"/>
    <n v="1364.4666666666667"/>
    <n v="37736"/>
    <n v="1257.8666666666666"/>
    <m/>
    <m/>
    <n v="0"/>
    <n v="0"/>
    <m/>
    <m/>
    <m/>
    <m/>
    <m/>
    <m/>
    <m/>
    <m/>
    <n v="0"/>
    <n v="0"/>
    <n v="0"/>
    <n v="0"/>
    <m/>
    <m/>
    <n v="0"/>
    <n v="0"/>
  </r>
  <r>
    <x v="7"/>
    <s v="Chesapeake College "/>
    <m/>
    <n v="162168"/>
    <x v="8"/>
    <s v="sem"/>
    <s v="sem"/>
    <n v="430"/>
    <n v="436"/>
    <n v="15337"/>
    <n v="14898"/>
    <n v="2314"/>
    <n v="2476"/>
    <n v="17460"/>
    <n v="15505"/>
    <n v="35541"/>
    <n v="1184.7"/>
    <n v="33315"/>
    <n v="1110.5"/>
    <m/>
    <m/>
    <n v="0"/>
    <n v="0"/>
    <m/>
    <m/>
    <m/>
    <m/>
    <m/>
    <m/>
    <m/>
    <m/>
    <n v="0"/>
    <n v="0"/>
    <n v="0"/>
    <n v="0"/>
    <m/>
    <m/>
    <n v="0"/>
    <n v="0"/>
  </r>
  <r>
    <x v="7"/>
    <s v="College of Southern Maryland"/>
    <m/>
    <n v="162122"/>
    <x v="7"/>
    <s v="sem"/>
    <s v="sem"/>
    <n v="0"/>
    <n v="1478"/>
    <n v="56368"/>
    <n v="53974"/>
    <n v="11755"/>
    <n v="14091"/>
    <n v="55258"/>
    <n v="55302"/>
    <n v="123381"/>
    <n v="4112.7"/>
    <n v="124845"/>
    <n v="4161.5"/>
    <m/>
    <m/>
    <n v="0"/>
    <n v="0"/>
    <m/>
    <m/>
    <m/>
    <m/>
    <m/>
    <m/>
    <m/>
    <m/>
    <n v="0"/>
    <n v="0"/>
    <n v="0"/>
    <n v="0"/>
    <m/>
    <m/>
    <n v="0"/>
    <n v="0"/>
  </r>
  <r>
    <x v="7"/>
    <s v="Community College of Baltimore County (all campuses)"/>
    <m/>
    <n v="434672"/>
    <x v="6"/>
    <s v="sem"/>
    <s v="sem"/>
    <n v="9415"/>
    <n v="9969"/>
    <n v="132304"/>
    <n v="126252.5"/>
    <n v="30120"/>
    <n v="31410"/>
    <n v="146813"/>
    <n v="145713"/>
    <n v="318652"/>
    <n v="10621.733333333334"/>
    <n v="313344.5"/>
    <n v="10444.816666666668"/>
    <m/>
    <m/>
    <n v="0"/>
    <n v="0"/>
    <m/>
    <m/>
    <m/>
    <m/>
    <m/>
    <m/>
    <m/>
    <m/>
    <n v="0"/>
    <n v="0"/>
    <n v="0"/>
    <n v="0"/>
    <m/>
    <m/>
    <n v="0"/>
    <n v="0"/>
  </r>
  <r>
    <x v="7"/>
    <s v="Frederick Community College "/>
    <m/>
    <n v="162557"/>
    <x v="7"/>
    <s v="sem"/>
    <s v="sem"/>
    <n v="1389"/>
    <n v="0"/>
    <n v="46713"/>
    <n v="47021"/>
    <n v="9000"/>
    <n v="9113"/>
    <n v="50384"/>
    <n v="46640"/>
    <n v="107486"/>
    <n v="3582.8666666666668"/>
    <n v="102774"/>
    <n v="3425.8"/>
    <m/>
    <m/>
    <n v="0"/>
    <n v="0"/>
    <m/>
    <m/>
    <m/>
    <m/>
    <m/>
    <m/>
    <m/>
    <m/>
    <n v="0"/>
    <n v="0"/>
    <n v="0"/>
    <n v="0"/>
    <m/>
    <m/>
    <n v="0"/>
    <n v="0"/>
  </r>
  <r>
    <x v="7"/>
    <s v="Garrett College "/>
    <m/>
    <n v="162609"/>
    <x v="8"/>
    <s v="sem"/>
    <s v="sem"/>
    <n v="290"/>
    <n v="362"/>
    <n v="5883.75"/>
    <n v="6181"/>
    <n v="597"/>
    <n v="539"/>
    <n v="7275.25"/>
    <n v="6422.25"/>
    <n v="14046"/>
    <n v="468.2"/>
    <n v="13504.25"/>
    <n v="450.14166666666665"/>
    <m/>
    <m/>
    <n v="0"/>
    <n v="0"/>
    <m/>
    <m/>
    <m/>
    <m/>
    <m/>
    <m/>
    <m/>
    <m/>
    <n v="0"/>
    <n v="0"/>
    <n v="0"/>
    <n v="0"/>
    <m/>
    <m/>
    <n v="0"/>
    <n v="0"/>
  </r>
  <r>
    <x v="7"/>
    <s v="Hagerstown Community College "/>
    <m/>
    <n v="162690"/>
    <x v="7"/>
    <s v="sem"/>
    <s v="sem"/>
    <n v="0"/>
    <n v="0"/>
    <n v="30094"/>
    <n v="37471"/>
    <n v="9102"/>
    <n v="9865"/>
    <n v="32333"/>
    <n v="35234"/>
    <n v="71529"/>
    <n v="2384.3000000000002"/>
    <n v="82570"/>
    <n v="2752.3333333333335"/>
    <m/>
    <m/>
    <n v="0"/>
    <n v="0"/>
    <m/>
    <m/>
    <m/>
    <m/>
    <m/>
    <m/>
    <m/>
    <m/>
    <n v="0"/>
    <n v="0"/>
    <n v="0"/>
    <n v="0"/>
    <m/>
    <m/>
    <n v="0"/>
    <n v="0"/>
  </r>
  <r>
    <x v="7"/>
    <s v="Harford Community College "/>
    <m/>
    <n v="162706"/>
    <x v="7"/>
    <s v="sem"/>
    <s v="sem"/>
    <n v="3546"/>
    <n v="3020"/>
    <n v="44045.5"/>
    <n v="42627.5"/>
    <n v="9408"/>
    <n v="9017"/>
    <n v="46258.5"/>
    <n v="44853"/>
    <n v="103258"/>
    <n v="3441.9333333333334"/>
    <n v="99517.5"/>
    <n v="3317.25"/>
    <m/>
    <m/>
    <n v="0"/>
    <n v="0"/>
    <m/>
    <m/>
    <m/>
    <m/>
    <m/>
    <m/>
    <m/>
    <m/>
    <n v="0"/>
    <n v="0"/>
    <n v="0"/>
    <n v="0"/>
    <m/>
    <m/>
    <n v="0"/>
    <n v="0"/>
  </r>
  <r>
    <x v="7"/>
    <s v="Howard Community College "/>
    <m/>
    <n v="162779"/>
    <x v="6"/>
    <s v="sem"/>
    <s v="sem"/>
    <n v="5493"/>
    <n v="5823"/>
    <n v="73747"/>
    <n v="63876"/>
    <n v="17921"/>
    <n v="19706"/>
    <n v="77773"/>
    <n v="86451"/>
    <n v="174934"/>
    <n v="5831.1333333333332"/>
    <n v="175856"/>
    <n v="5861.8666666666668"/>
    <m/>
    <m/>
    <n v="0"/>
    <n v="0"/>
    <m/>
    <m/>
    <m/>
    <m/>
    <m/>
    <m/>
    <m/>
    <m/>
    <n v="0"/>
    <n v="0"/>
    <n v="0"/>
    <n v="0"/>
    <m/>
    <m/>
    <n v="0"/>
    <n v="0"/>
  </r>
  <r>
    <x v="7"/>
    <s v="Montgomery College (all campuses)"/>
    <m/>
    <n v="163426"/>
    <x v="6"/>
    <s v="sem"/>
    <s v="sem"/>
    <n v="6715"/>
    <n v="6244"/>
    <n v="241915.5"/>
    <n v="267782"/>
    <n v="158532"/>
    <n v="125015"/>
    <n v="244043"/>
    <n v="242579"/>
    <n v="651205.5"/>
    <n v="21706.85"/>
    <n v="641620"/>
    <n v="21387.333333333332"/>
    <m/>
    <m/>
    <n v="0"/>
    <n v="0"/>
    <m/>
    <m/>
    <m/>
    <m/>
    <m/>
    <m/>
    <m/>
    <m/>
    <n v="0"/>
    <n v="0"/>
    <n v="0"/>
    <n v="0"/>
    <m/>
    <m/>
    <n v="0"/>
    <n v="0"/>
  </r>
  <r>
    <x v="7"/>
    <s v="Prince George's Community College "/>
    <m/>
    <n v="163657"/>
    <x v="6"/>
    <s v="sem"/>
    <s v="sem"/>
    <n v="978"/>
    <n v="2500"/>
    <n v="168618"/>
    <n v="137434"/>
    <n v="69917"/>
    <n v="35633"/>
    <n v="164595"/>
    <n v="228704"/>
    <n v="404108"/>
    <n v="13470.266666666666"/>
    <n v="404271"/>
    <n v="13475.7"/>
    <m/>
    <m/>
    <n v="0"/>
    <n v="0"/>
    <m/>
    <m/>
    <m/>
    <m/>
    <m/>
    <m/>
    <m/>
    <m/>
    <n v="0"/>
    <n v="0"/>
    <n v="0"/>
    <n v="0"/>
    <m/>
    <m/>
    <n v="0"/>
    <n v="0"/>
  </r>
  <r>
    <x v="7"/>
    <s v="Wor-Wic Community College "/>
    <m/>
    <n v="164313"/>
    <x v="8"/>
    <s v="sem"/>
    <s v="sem"/>
    <n v="0"/>
    <n v="0"/>
    <n v="20259.5"/>
    <n v="19773.5"/>
    <n v="5293.5"/>
    <n v="5354"/>
    <n v="23601.5"/>
    <n v="22199.5"/>
    <n v="49154.5"/>
    <n v="1638.4833333333333"/>
    <n v="47327"/>
    <n v="1577.5666666666666"/>
    <m/>
    <m/>
    <n v="0"/>
    <n v="0"/>
    <m/>
    <m/>
    <m/>
    <m/>
    <m/>
    <m/>
    <m/>
    <m/>
    <n v="0"/>
    <n v="0"/>
    <n v="0"/>
    <n v="0"/>
    <m/>
    <m/>
    <n v="0"/>
    <n v="0"/>
  </r>
  <r>
    <x v="7"/>
    <s v="Bowie State University "/>
    <s v="Met the criteria for Four-Year 3 in 2018-19 and 2019-20."/>
    <n v="162007"/>
    <x v="3"/>
    <s v="sem"/>
    <s v="sem"/>
    <n v="1608"/>
    <n v="1664"/>
    <n v="62691"/>
    <n v="63747"/>
    <n v="7096"/>
    <n v="8716"/>
    <n v="70243"/>
    <n v="71883"/>
    <n v="141638"/>
    <n v="4721.2666666666664"/>
    <n v="146010"/>
    <n v="4867"/>
    <m/>
    <m/>
    <n v="0"/>
    <n v="0"/>
    <m/>
    <m/>
    <m/>
    <m/>
    <m/>
    <m/>
    <m/>
    <m/>
    <n v="0"/>
    <n v="0"/>
    <n v="0"/>
    <n v="0"/>
    <m/>
    <m/>
    <n v="0"/>
    <n v="0"/>
  </r>
  <r>
    <x v="7"/>
    <s v="Coppin State University"/>
    <s v="Met the criteria for Four-Year 4 in 2019-20."/>
    <n v="162283"/>
    <x v="4"/>
    <s v="sem"/>
    <s v="sem"/>
    <n v="213"/>
    <n v="342"/>
    <n v="27459"/>
    <n v="27154"/>
    <n v="1349"/>
    <n v="1260"/>
    <n v="31245"/>
    <n v="27425"/>
    <n v="60266"/>
    <n v="2008.8666666666666"/>
    <n v="56181"/>
    <n v="1872.7"/>
    <m/>
    <m/>
    <n v="0"/>
    <n v="0"/>
    <m/>
    <m/>
    <m/>
    <m/>
    <m/>
    <m/>
    <m/>
    <m/>
    <n v="0"/>
    <n v="0"/>
    <n v="0"/>
    <n v="0"/>
    <m/>
    <m/>
    <n v="0"/>
    <n v="0"/>
  </r>
  <r>
    <x v="7"/>
    <s v="Frostburg State University "/>
    <m/>
    <n v="162584"/>
    <x v="3"/>
    <s v="sem"/>
    <s v="sem"/>
    <n v="2368"/>
    <n v="1822"/>
    <n v="53759"/>
    <n v="49571"/>
    <n v="8272"/>
    <n v="7658"/>
    <n v="58494"/>
    <n v="52964"/>
    <n v="122893"/>
    <n v="4096.4333333333334"/>
    <n v="112015"/>
    <n v="3733.8333333333335"/>
    <m/>
    <m/>
    <n v="0"/>
    <n v="0"/>
    <m/>
    <m/>
    <m/>
    <m/>
    <m/>
    <m/>
    <m/>
    <m/>
    <n v="0"/>
    <n v="0"/>
    <n v="0"/>
    <n v="0"/>
    <m/>
    <m/>
    <n v="0"/>
    <n v="0"/>
  </r>
  <r>
    <x v="7"/>
    <s v="Salisbury University "/>
    <m/>
    <n v="163851"/>
    <x v="3"/>
    <s v="sem"/>
    <s v="sem"/>
    <n v="5199"/>
    <n v="4863"/>
    <n v="104797"/>
    <n v="103583"/>
    <n v="6156"/>
    <n v="7416"/>
    <n v="110435"/>
    <n v="103324"/>
    <n v="226587"/>
    <n v="7552.9"/>
    <n v="219186"/>
    <n v="7306.2"/>
    <m/>
    <m/>
    <n v="0"/>
    <n v="0"/>
    <m/>
    <m/>
    <m/>
    <m/>
    <m/>
    <m/>
    <m/>
    <m/>
    <n v="0"/>
    <n v="0"/>
    <n v="0"/>
    <n v="0"/>
    <m/>
    <m/>
    <n v="0"/>
    <n v="0"/>
  </r>
  <r>
    <x v="7"/>
    <s v="Towson University "/>
    <m/>
    <n v="164076"/>
    <x v="2"/>
    <s v="sem"/>
    <s v="sem"/>
    <n v="7207"/>
    <n v="6713"/>
    <n v="251636"/>
    <n v="247985.5"/>
    <n v="23905"/>
    <n v="29132"/>
    <n v="266658.5"/>
    <n v="255484.5"/>
    <n v="549406.5"/>
    <n v="18313.55"/>
    <n v="539315"/>
    <n v="17977.166666666668"/>
    <m/>
    <m/>
    <n v="0"/>
    <n v="0"/>
    <m/>
    <m/>
    <m/>
    <m/>
    <m/>
    <m/>
    <m/>
    <m/>
    <n v="0"/>
    <n v="0"/>
    <n v="0"/>
    <n v="0"/>
    <m/>
    <m/>
    <n v="0"/>
    <n v="0"/>
  </r>
  <r>
    <x v="7"/>
    <s v="University of Baltimore"/>
    <m/>
    <n v="161873"/>
    <x v="2"/>
    <s v="sem"/>
    <s v="sem"/>
    <n v="252"/>
    <n v="122"/>
    <n v="24283"/>
    <n v="19317"/>
    <n v="2690"/>
    <n v="2306"/>
    <n v="21925"/>
    <n v="19435"/>
    <n v="49150"/>
    <n v="1638.3333333333333"/>
    <n v="41180"/>
    <n v="1372.6666666666667"/>
    <m/>
    <m/>
    <n v="0"/>
    <n v="0"/>
    <m/>
    <m/>
    <m/>
    <m/>
    <m/>
    <m/>
    <m/>
    <m/>
    <n v="0"/>
    <n v="0"/>
    <n v="0"/>
    <n v="0"/>
    <m/>
    <m/>
    <n v="0"/>
    <n v="0"/>
  </r>
  <r>
    <x v="7"/>
    <s v="University of Maryland, Baltimore County"/>
    <m/>
    <n v="163268"/>
    <x v="1"/>
    <s v="sem"/>
    <s v="sem"/>
    <n v="5503.5"/>
    <n v="5485"/>
    <n v="142356"/>
    <n v="138392"/>
    <n v="17117"/>
    <n v="22354"/>
    <n v="149312"/>
    <n v="147993.5"/>
    <n v="314288.5"/>
    <n v="10476.283333333333"/>
    <n v="314224.5"/>
    <n v="10474.15"/>
    <m/>
    <m/>
    <n v="0"/>
    <n v="0"/>
    <m/>
    <m/>
    <m/>
    <m/>
    <m/>
    <m/>
    <m/>
    <m/>
    <n v="0"/>
    <n v="0"/>
    <n v="0"/>
    <n v="0"/>
    <m/>
    <m/>
    <n v="0"/>
    <n v="0"/>
  </r>
  <r>
    <x v="7"/>
    <s v="University of Maryland College Park"/>
    <m/>
    <n v="163286"/>
    <x v="0"/>
    <s v="sem"/>
    <s v="sem"/>
    <n v="11515"/>
    <n v="12267"/>
    <n v="407236"/>
    <n v="404774"/>
    <n v="33091"/>
    <n v="43674"/>
    <n v="420148"/>
    <n v="422331"/>
    <n v="871990"/>
    <n v="29066.333333333332"/>
    <n v="883046"/>
    <n v="29434.866666666665"/>
    <m/>
    <m/>
    <n v="0"/>
    <n v="0"/>
    <m/>
    <m/>
    <m/>
    <m/>
    <m/>
    <m/>
    <m/>
    <m/>
    <n v="0"/>
    <n v="0"/>
    <n v="0"/>
    <n v="0"/>
    <m/>
    <m/>
    <n v="0"/>
    <n v="0"/>
  </r>
  <r>
    <x v="7"/>
    <s v="University of Maryland Eastern Shore "/>
    <m/>
    <n v="163338"/>
    <x v="3"/>
    <s v="sem"/>
    <s v="sem"/>
    <n v="778.5"/>
    <n v="573.5"/>
    <n v="32036"/>
    <n v="28664.5"/>
    <n v="2400"/>
    <n v="2580"/>
    <n v="33546.5"/>
    <n v="29848"/>
    <n v="68761"/>
    <n v="2292.0333333333333"/>
    <n v="61666"/>
    <n v="2055.5333333333333"/>
    <m/>
    <m/>
    <n v="0"/>
    <n v="0"/>
    <m/>
    <m/>
    <m/>
    <m/>
    <m/>
    <m/>
    <m/>
    <m/>
    <n v="0"/>
    <n v="0"/>
    <n v="0"/>
    <n v="0"/>
    <m/>
    <m/>
    <n v="0"/>
    <n v="0"/>
  </r>
  <r>
    <x v="7"/>
    <s v="Morgan State University"/>
    <m/>
    <n v="163453"/>
    <x v="1"/>
    <s v="sem"/>
    <s v="sem"/>
    <n v="2475"/>
    <n v="2195"/>
    <n v="83996"/>
    <n v="81111"/>
    <n v="9125"/>
    <n v="9596"/>
    <n v="88915"/>
    <n v="89187"/>
    <n v="184511"/>
    <n v="6150.3666666666668"/>
    <n v="182089"/>
    <n v="6069.6333333333332"/>
    <m/>
    <m/>
    <n v="0"/>
    <n v="0"/>
    <m/>
    <m/>
    <m/>
    <m/>
    <m/>
    <m/>
    <m/>
    <m/>
    <n v="0"/>
    <n v="0"/>
    <n v="0"/>
    <n v="0"/>
    <m/>
    <m/>
    <n v="0"/>
    <n v="0"/>
  </r>
  <r>
    <x v="7"/>
    <s v="Saint Mary's College of Maryland"/>
    <m/>
    <n v="163912"/>
    <x v="5"/>
    <s v="sem"/>
    <s v="sem"/>
    <n v="0"/>
    <n v="0"/>
    <n v="22736.5"/>
    <n v="21516.5"/>
    <n v="1409"/>
    <n v="1644"/>
    <n v="22716.5"/>
    <n v="23251"/>
    <n v="46862"/>
    <n v="1562.0666666666666"/>
    <n v="46411.5"/>
    <n v="1547.05"/>
    <m/>
    <m/>
    <n v="0"/>
    <n v="0"/>
    <m/>
    <m/>
    <m/>
    <m/>
    <m/>
    <m/>
    <m/>
    <m/>
    <n v="0"/>
    <n v="0"/>
    <n v="0"/>
    <n v="0"/>
    <m/>
    <m/>
    <n v="0"/>
    <n v="0"/>
  </r>
  <r>
    <x v="8"/>
    <s v="Mississippi State University"/>
    <m/>
    <n v="176080"/>
    <x v="0"/>
    <m/>
    <m/>
    <m/>
    <m/>
    <n v="241609"/>
    <n v="244205"/>
    <n v="30016"/>
    <n v="39336"/>
    <n v="266429"/>
    <n v="265672"/>
    <n v="538054"/>
    <n v="17935.133333333335"/>
    <n v="549213"/>
    <n v="18307.099999999999"/>
    <m/>
    <m/>
    <n v="0"/>
    <n v="0"/>
    <m/>
    <m/>
    <m/>
    <m/>
    <m/>
    <m/>
    <m/>
    <m/>
    <n v="0"/>
    <n v="0"/>
    <n v="0"/>
    <n v="0"/>
    <m/>
    <m/>
    <n v="0"/>
    <n v="0"/>
  </r>
  <r>
    <x v="8"/>
    <s v="University of Mississippi"/>
    <m/>
    <n v="176017"/>
    <x v="0"/>
    <m/>
    <m/>
    <m/>
    <m/>
    <n v="246873"/>
    <n v="234713"/>
    <n v="39636"/>
    <n v="35636"/>
    <n v="244471"/>
    <n v="231075"/>
    <n v="530980"/>
    <n v="17699.333333333332"/>
    <n v="501424"/>
    <n v="16714.133333333335"/>
    <m/>
    <m/>
    <n v="0"/>
    <n v="0"/>
    <m/>
    <m/>
    <m/>
    <m/>
    <m/>
    <m/>
    <m/>
    <m/>
    <n v="0"/>
    <n v="0"/>
    <n v="0"/>
    <n v="0"/>
    <m/>
    <m/>
    <n v="0"/>
    <n v="0"/>
  </r>
  <r>
    <x v="8"/>
    <s v="University of Southern Mississippi"/>
    <m/>
    <n v="176372"/>
    <x v="0"/>
    <m/>
    <m/>
    <m/>
    <m/>
    <n v="148324"/>
    <n v="147483"/>
    <n v="22338"/>
    <n v="20645"/>
    <n v="163204"/>
    <n v="162817"/>
    <n v="333866"/>
    <n v="11128.866666666667"/>
    <n v="330945"/>
    <n v="11031.5"/>
    <m/>
    <m/>
    <n v="0"/>
    <n v="0"/>
    <m/>
    <m/>
    <m/>
    <m/>
    <m/>
    <m/>
    <m/>
    <m/>
    <n v="0"/>
    <n v="0"/>
    <n v="0"/>
    <n v="0"/>
    <m/>
    <m/>
    <n v="0"/>
    <n v="0"/>
  </r>
  <r>
    <x v="8"/>
    <s v="Jackson State University "/>
    <m/>
    <n v="175856"/>
    <x v="1"/>
    <m/>
    <m/>
    <m/>
    <m/>
    <n v="65247"/>
    <n v="63475"/>
    <n v="7951"/>
    <n v="6606"/>
    <n v="69018"/>
    <n v="62207.5"/>
    <n v="142216"/>
    <n v="4740.5333333333338"/>
    <n v="132288.5"/>
    <n v="4409.6166666666668"/>
    <m/>
    <m/>
    <n v="0"/>
    <n v="0"/>
    <m/>
    <m/>
    <m/>
    <m/>
    <m/>
    <m/>
    <m/>
    <m/>
    <n v="0"/>
    <n v="0"/>
    <n v="0"/>
    <n v="0"/>
    <m/>
    <m/>
    <n v="0"/>
    <n v="0"/>
  </r>
  <r>
    <x v="8"/>
    <s v="Alcorn State University"/>
    <m/>
    <n v="175342"/>
    <x v="3"/>
    <m/>
    <m/>
    <m/>
    <m/>
    <n v="41900"/>
    <n v="39137"/>
    <n v="7374"/>
    <n v="7479"/>
    <n v="42875"/>
    <n v="36422"/>
    <n v="92149"/>
    <n v="3071.6333333333332"/>
    <n v="83038"/>
    <n v="2767.9333333333334"/>
    <m/>
    <m/>
    <n v="0"/>
    <n v="0"/>
    <m/>
    <m/>
    <m/>
    <m/>
    <m/>
    <m/>
    <m/>
    <m/>
    <n v="0"/>
    <n v="0"/>
    <n v="0"/>
    <n v="0"/>
    <m/>
    <m/>
    <n v="0"/>
    <n v="0"/>
  </r>
  <r>
    <x v="8"/>
    <s v="Delta State University"/>
    <m/>
    <n v="175616"/>
    <x v="3"/>
    <m/>
    <m/>
    <m/>
    <m/>
    <n v="33077"/>
    <n v="31323"/>
    <n v="3185"/>
    <n v="3582"/>
    <n v="36961"/>
    <n v="29214"/>
    <n v="73223"/>
    <n v="2440.7666666666669"/>
    <n v="64119"/>
    <n v="2137.3000000000002"/>
    <m/>
    <m/>
    <n v="0"/>
    <n v="0"/>
    <m/>
    <m/>
    <m/>
    <m/>
    <m/>
    <m/>
    <m/>
    <m/>
    <n v="0"/>
    <n v="0"/>
    <n v="0"/>
    <n v="0"/>
    <m/>
    <m/>
    <n v="0"/>
    <n v="0"/>
  </r>
  <r>
    <x v="8"/>
    <s v="Mississippi University for Women"/>
    <m/>
    <n v="176035"/>
    <x v="3"/>
    <m/>
    <m/>
    <m/>
    <m/>
    <n v="30462"/>
    <n v="31188"/>
    <n v="8644"/>
    <n v="9289"/>
    <n v="32762"/>
    <n v="31398"/>
    <n v="71868"/>
    <n v="2395.6"/>
    <n v="71875"/>
    <n v="2395.8333333333335"/>
    <m/>
    <m/>
    <n v="0"/>
    <n v="0"/>
    <m/>
    <m/>
    <m/>
    <m/>
    <m/>
    <m/>
    <m/>
    <m/>
    <n v="0"/>
    <n v="0"/>
    <n v="0"/>
    <n v="0"/>
    <m/>
    <m/>
    <n v="0"/>
    <n v="0"/>
  </r>
  <r>
    <x v="8"/>
    <s v="Mississippi Valley State University"/>
    <m/>
    <n v="176044"/>
    <x v="3"/>
    <m/>
    <m/>
    <m/>
    <m/>
    <n v="21299"/>
    <n v="20834"/>
    <n v="3971"/>
    <n v="2813"/>
    <n v="22347.7"/>
    <n v="20397"/>
    <n v="47617.7"/>
    <n v="1587.2566666666667"/>
    <n v="44044"/>
    <n v="1468.1333333333334"/>
    <m/>
    <m/>
    <n v="0"/>
    <n v="0"/>
    <m/>
    <m/>
    <m/>
    <m/>
    <m/>
    <m/>
    <m/>
    <m/>
    <n v="0"/>
    <n v="0"/>
    <n v="0"/>
    <n v="0"/>
    <m/>
    <m/>
    <n v="0"/>
    <n v="0"/>
  </r>
  <r>
    <x v="8"/>
    <s v="Not Reported"/>
    <m/>
    <m/>
    <x v="13"/>
    <m/>
    <m/>
    <m/>
    <m/>
    <m/>
    <m/>
    <m/>
    <m/>
    <m/>
    <m/>
    <n v="0"/>
    <n v="0"/>
    <n v="0"/>
    <n v="0"/>
    <m/>
    <m/>
    <n v="0"/>
    <n v="0"/>
    <m/>
    <m/>
    <m/>
    <m/>
    <m/>
    <m/>
    <m/>
    <m/>
    <n v="0"/>
    <n v="0"/>
    <n v="0"/>
    <n v="0"/>
    <m/>
    <m/>
    <n v="0"/>
    <n v="0"/>
  </r>
  <r>
    <x v="9"/>
    <s v="North Carolina State University "/>
    <m/>
    <n v="199193"/>
    <x v="0"/>
    <m/>
    <m/>
    <m/>
    <m/>
    <n v="325566"/>
    <n v="330667"/>
    <n v="48885"/>
    <n v="61576"/>
    <n v="354137"/>
    <n v="356095"/>
    <n v="728588"/>
    <n v="24286.266666666666"/>
    <n v="748338"/>
    <n v="24944.6"/>
    <n v="2123"/>
    <n v="2076"/>
    <n v="728588"/>
    <n v="748338"/>
    <m/>
    <m/>
    <m/>
    <m/>
    <m/>
    <m/>
    <m/>
    <m/>
    <n v="0"/>
    <n v="0"/>
    <n v="0"/>
    <n v="0"/>
    <m/>
    <m/>
    <n v="0"/>
    <n v="0"/>
  </r>
  <r>
    <x v="9"/>
    <s v="University of North Carolina at Chapel Hill "/>
    <m/>
    <n v="199120"/>
    <x v="0"/>
    <m/>
    <m/>
    <m/>
    <m/>
    <n v="249231.5"/>
    <n v="245762"/>
    <n v="31219"/>
    <n v="49262.5"/>
    <n v="265142.5"/>
    <n v="269367.5"/>
    <n v="545593"/>
    <n v="18186.433333333334"/>
    <n v="564392"/>
    <n v="18813.066666666666"/>
    <n v="0"/>
    <n v="0"/>
    <n v="545593"/>
    <n v="564392"/>
    <m/>
    <m/>
    <m/>
    <m/>
    <m/>
    <m/>
    <m/>
    <m/>
    <n v="0"/>
    <n v="0"/>
    <n v="0"/>
    <n v="0"/>
    <m/>
    <m/>
    <n v="0"/>
    <n v="0"/>
  </r>
  <r>
    <x v="9"/>
    <s v="University of North Carolina at Charlotte"/>
    <m/>
    <n v="199139"/>
    <x v="0"/>
    <m/>
    <m/>
    <m/>
    <m/>
    <n v="305219"/>
    <n v="296870"/>
    <n v="54980"/>
    <n v="67105"/>
    <n v="322370"/>
    <n v="326619"/>
    <n v="682569"/>
    <n v="22752.3"/>
    <n v="690594"/>
    <n v="23019.8"/>
    <n v="4226"/>
    <n v="4905"/>
    <n v="682569"/>
    <n v="690594"/>
    <m/>
    <m/>
    <m/>
    <m/>
    <m/>
    <m/>
    <m/>
    <m/>
    <n v="0"/>
    <n v="0"/>
    <n v="0"/>
    <n v="0"/>
    <m/>
    <m/>
    <n v="0"/>
    <n v="0"/>
  </r>
  <r>
    <x v="9"/>
    <s v="University of North Carolina at Greensboro"/>
    <m/>
    <n v="199148"/>
    <x v="0"/>
    <m/>
    <m/>
    <m/>
    <m/>
    <n v="205042"/>
    <n v="202606"/>
    <n v="36452"/>
    <n v="35659"/>
    <n v="219953"/>
    <n v="213016"/>
    <n v="461447"/>
    <n v="15381.566666666668"/>
    <n v="451281"/>
    <n v="15042.7"/>
    <n v="1899"/>
    <n v="1940"/>
    <n v="461447"/>
    <n v="451281"/>
    <m/>
    <m/>
    <m/>
    <m/>
    <m/>
    <m/>
    <m/>
    <m/>
    <n v="0"/>
    <n v="0"/>
    <n v="0"/>
    <n v="0"/>
    <m/>
    <m/>
    <n v="0"/>
    <n v="0"/>
  </r>
  <r>
    <x v="9"/>
    <s v="East Carolina University "/>
    <m/>
    <n v="198464"/>
    <x v="1"/>
    <m/>
    <m/>
    <m/>
    <m/>
    <n v="282644"/>
    <n v="277548"/>
    <n v="53646"/>
    <n v="50567"/>
    <n v="304952"/>
    <n v="305077"/>
    <n v="641242"/>
    <n v="21374.733333333334"/>
    <n v="633192"/>
    <n v="21106.400000000001"/>
    <n v="302"/>
    <n v="762"/>
    <n v="641242"/>
    <n v="633192"/>
    <m/>
    <m/>
    <m/>
    <m/>
    <m/>
    <m/>
    <m/>
    <m/>
    <n v="0"/>
    <n v="0"/>
    <n v="0"/>
    <n v="0"/>
    <m/>
    <m/>
    <n v="0"/>
    <n v="0"/>
  </r>
  <r>
    <x v="9"/>
    <s v="Appalachian State University "/>
    <m/>
    <n v="197869"/>
    <x v="2"/>
    <m/>
    <m/>
    <m/>
    <m/>
    <n v="235523"/>
    <n v="235254"/>
    <n v="39598"/>
    <n v="44610"/>
    <n v="252871"/>
    <n v="258583"/>
    <n v="527992"/>
    <n v="17599.733333333334"/>
    <n v="538447"/>
    <n v="17948.233333333334"/>
    <n v="0"/>
    <n v="0"/>
    <n v="527992"/>
    <n v="538447"/>
    <m/>
    <m/>
    <m/>
    <m/>
    <m/>
    <m/>
    <m/>
    <m/>
    <n v="0"/>
    <n v="0"/>
    <n v="0"/>
    <n v="0"/>
    <m/>
    <m/>
    <n v="0"/>
    <n v="0"/>
  </r>
  <r>
    <x v="9"/>
    <s v="North Carolina A&amp;T State University"/>
    <s v="Met the criteria for Four-Year 2 in 2019-20 and 2020-21."/>
    <n v="199102"/>
    <x v="2"/>
    <m/>
    <m/>
    <m/>
    <m/>
    <n v="136331"/>
    <n v="141285"/>
    <n v="19972"/>
    <n v="22703"/>
    <n v="153869"/>
    <n v="154813"/>
    <n v="310172"/>
    <n v="10339.066666666668"/>
    <n v="318801"/>
    <n v="10626.7"/>
    <n v="843"/>
    <n v="2823"/>
    <n v="310172"/>
    <n v="318801"/>
    <m/>
    <m/>
    <m/>
    <m/>
    <m/>
    <m/>
    <m/>
    <m/>
    <n v="0"/>
    <n v="0"/>
    <n v="0"/>
    <n v="0"/>
    <m/>
    <m/>
    <n v="0"/>
    <n v="0"/>
  </r>
  <r>
    <x v="9"/>
    <s v="North Carolina Central University "/>
    <m/>
    <n v="199157"/>
    <x v="2"/>
    <m/>
    <m/>
    <m/>
    <m/>
    <n v="75543"/>
    <n v="69458.5"/>
    <n v="18097"/>
    <n v="19653"/>
    <n v="80366"/>
    <n v="78102.5"/>
    <n v="174006"/>
    <n v="5800.2"/>
    <n v="167214"/>
    <n v="5573.8"/>
    <n v="6206"/>
    <n v="6024"/>
    <n v="174006"/>
    <n v="167214"/>
    <m/>
    <m/>
    <m/>
    <m/>
    <m/>
    <m/>
    <m/>
    <m/>
    <n v="0"/>
    <n v="0"/>
    <n v="0"/>
    <n v="0"/>
    <m/>
    <m/>
    <n v="0"/>
    <n v="0"/>
  </r>
  <r>
    <x v="9"/>
    <s v="University of North Carolina at Wilmington"/>
    <m/>
    <n v="199218"/>
    <x v="2"/>
    <m/>
    <m/>
    <m/>
    <m/>
    <n v="179523.5"/>
    <n v="183171.5"/>
    <n v="40088.5"/>
    <n v="46093.5"/>
    <n v="195080.5"/>
    <n v="190767"/>
    <n v="414692.5"/>
    <n v="13823.083333333334"/>
    <n v="420032"/>
    <n v="14001.066666666668"/>
    <n v="2512"/>
    <n v="2905"/>
    <n v="414692.5"/>
    <n v="420032"/>
    <m/>
    <m/>
    <m/>
    <m/>
    <m/>
    <m/>
    <m/>
    <m/>
    <n v="0"/>
    <n v="0"/>
    <n v="0"/>
    <n v="0"/>
    <m/>
    <m/>
    <n v="0"/>
    <n v="0"/>
  </r>
  <r>
    <x v="9"/>
    <s v="Western Carolina University "/>
    <m/>
    <n v="200004"/>
    <x v="2"/>
    <m/>
    <m/>
    <m/>
    <m/>
    <n v="127502"/>
    <n v="131442"/>
    <n v="19115"/>
    <n v="17731"/>
    <n v="142083"/>
    <n v="139881"/>
    <n v="288700"/>
    <n v="9623.3333333333339"/>
    <n v="289054"/>
    <n v="9635.1333333333332"/>
    <n v="0"/>
    <n v="0"/>
    <n v="288700"/>
    <n v="289054"/>
    <m/>
    <m/>
    <m/>
    <m/>
    <m/>
    <m/>
    <m/>
    <m/>
    <n v="0"/>
    <n v="0"/>
    <n v="0"/>
    <n v="0"/>
    <m/>
    <m/>
    <n v="0"/>
    <n v="0"/>
  </r>
  <r>
    <x v="9"/>
    <s v="Fayetteville State University "/>
    <m/>
    <n v="198543"/>
    <x v="3"/>
    <m/>
    <m/>
    <m/>
    <m/>
    <n v="64237"/>
    <n v="64766"/>
    <n v="17177"/>
    <n v="18429"/>
    <n v="68701"/>
    <n v="66878"/>
    <n v="150115"/>
    <n v="5003.833333333333"/>
    <n v="150073"/>
    <n v="5002.4333333333334"/>
    <n v="7860"/>
    <n v="7856"/>
    <n v="150115"/>
    <n v="150073"/>
    <m/>
    <m/>
    <m/>
    <m/>
    <m/>
    <m/>
    <m/>
    <m/>
    <n v="0"/>
    <n v="0"/>
    <n v="0"/>
    <n v="0"/>
    <m/>
    <m/>
    <n v="0"/>
    <n v="0"/>
  </r>
  <r>
    <x v="9"/>
    <s v="University of North Carolina at Pembroke"/>
    <m/>
    <n v="199281"/>
    <x v="4"/>
    <m/>
    <m/>
    <m/>
    <m/>
    <n v="71272"/>
    <n v="74554"/>
    <n v="17971"/>
    <n v="18624"/>
    <n v="81177"/>
    <n v="80137"/>
    <n v="170420"/>
    <n v="5680.666666666667"/>
    <n v="173315"/>
    <n v="5777.166666666667"/>
    <n v="0"/>
    <n v="0"/>
    <n v="170420"/>
    <n v="173315"/>
    <m/>
    <m/>
    <m/>
    <m/>
    <m/>
    <m/>
    <m/>
    <m/>
    <n v="0"/>
    <n v="0"/>
    <n v="0"/>
    <n v="0"/>
    <m/>
    <m/>
    <n v="0"/>
    <n v="0"/>
  </r>
  <r>
    <x v="9"/>
    <s v="Winston-Salem State University "/>
    <m/>
    <n v="199999"/>
    <x v="4"/>
    <m/>
    <m/>
    <m/>
    <m/>
    <n v="59707"/>
    <n v="59980"/>
    <n v="8428"/>
    <n v="10241"/>
    <n v="64295"/>
    <n v="64300"/>
    <n v="132430"/>
    <n v="4414.333333333333"/>
    <n v="134521"/>
    <n v="4484.0333333333338"/>
    <n v="0"/>
    <n v="0"/>
    <n v="132430"/>
    <n v="134521"/>
    <m/>
    <m/>
    <m/>
    <m/>
    <m/>
    <m/>
    <m/>
    <m/>
    <n v="0"/>
    <n v="0"/>
    <n v="0"/>
    <n v="0"/>
    <m/>
    <m/>
    <n v="0"/>
    <n v="0"/>
  </r>
  <r>
    <x v="9"/>
    <s v="Elizabeth City State University "/>
    <m/>
    <n v="198507"/>
    <x v="5"/>
    <m/>
    <m/>
    <m/>
    <m/>
    <n v="20165"/>
    <n v="21962"/>
    <n v="2453"/>
    <n v="3072"/>
    <n v="23739"/>
    <n v="25637"/>
    <n v="46357"/>
    <n v="1545.2333333333333"/>
    <n v="50671"/>
    <n v="1689.0333333333333"/>
    <n v="0"/>
    <n v="9"/>
    <n v="46357"/>
    <n v="50671"/>
    <m/>
    <m/>
    <m/>
    <m/>
    <m/>
    <m/>
    <m/>
    <m/>
    <n v="0"/>
    <n v="0"/>
    <n v="0"/>
    <n v="0"/>
    <m/>
    <m/>
    <n v="0"/>
    <n v="0"/>
  </r>
  <r>
    <x v="9"/>
    <s v="University of North Carolina at Asheville"/>
    <m/>
    <n v="199111"/>
    <x v="5"/>
    <m/>
    <m/>
    <m/>
    <m/>
    <n v="46802"/>
    <n v="44259"/>
    <n v="4228"/>
    <n v="6609"/>
    <n v="47948"/>
    <n v="45271"/>
    <n v="98978"/>
    <n v="3299.2666666666669"/>
    <n v="96139"/>
    <n v="3204.6333333333332"/>
    <n v="0"/>
    <n v="0"/>
    <n v="98978"/>
    <n v="96139"/>
    <m/>
    <m/>
    <m/>
    <m/>
    <m/>
    <m/>
    <m/>
    <m/>
    <n v="0"/>
    <n v="0"/>
    <n v="0"/>
    <n v="0"/>
    <m/>
    <m/>
    <n v="0"/>
    <n v="0"/>
  </r>
  <r>
    <x v="9"/>
    <s v="University of North Carolina School of the Arts"/>
    <m/>
    <n v="199184"/>
    <x v="11"/>
    <m/>
    <m/>
    <m/>
    <m/>
    <n v="13360"/>
    <n v="13093"/>
    <n v="230"/>
    <n v="294"/>
    <n v="13847"/>
    <n v="13331"/>
    <n v="27437"/>
    <n v="914.56666666666672"/>
    <n v="26718"/>
    <n v="890.6"/>
    <n v="0"/>
    <n v="0"/>
    <n v="27437"/>
    <n v="26718"/>
    <m/>
    <m/>
    <m/>
    <m/>
    <m/>
    <m/>
    <m/>
    <m/>
    <n v="0"/>
    <n v="0"/>
    <n v="0"/>
    <n v="0"/>
    <m/>
    <m/>
    <n v="0"/>
    <n v="0"/>
  </r>
  <r>
    <x v="9"/>
    <s v="Asheville-Buncombe Technical Community College"/>
    <m/>
    <n v="197887"/>
    <x v="6"/>
    <s v="sem"/>
    <m/>
    <m/>
    <m/>
    <n v="55880"/>
    <n v="52971"/>
    <n v="14802"/>
    <n v="16404"/>
    <n v="59570"/>
    <n v="56401"/>
    <n v="130252"/>
    <n v="4341.7333333333336"/>
    <n v="125776"/>
    <n v="4192.5333333333338"/>
    <n v="24622"/>
    <n v="24412"/>
    <n v="130252"/>
    <n v="125776"/>
    <m/>
    <m/>
    <n v="273043"/>
    <n v="197987"/>
    <n v="175951"/>
    <n v="62087"/>
    <n v="267607"/>
    <n v="135143"/>
    <n v="716601"/>
    <n v="796.22333333333336"/>
    <n v="395217"/>
    <n v="439.13"/>
    <m/>
    <m/>
    <n v="0"/>
    <n v="0"/>
  </r>
  <r>
    <x v="9"/>
    <s v="Cape Fear Community College"/>
    <m/>
    <n v="198154"/>
    <x v="6"/>
    <s v="sem"/>
    <m/>
    <m/>
    <m/>
    <n v="73892"/>
    <n v="78980"/>
    <n v="22097"/>
    <n v="25264.5"/>
    <n v="84210"/>
    <n v="84916"/>
    <n v="180199"/>
    <n v="6006.6333333333332"/>
    <n v="189160.5"/>
    <n v="6305.35"/>
    <n v="23372"/>
    <n v="27599"/>
    <n v="180199"/>
    <n v="189160.5"/>
    <m/>
    <m/>
    <n v="250103"/>
    <n v="231137"/>
    <n v="149085"/>
    <n v="74560"/>
    <n v="292108"/>
    <n v="248246"/>
    <n v="691296"/>
    <n v="768.10666666666668"/>
    <n v="553943"/>
    <n v="615.49222222222227"/>
    <m/>
    <m/>
    <n v="0"/>
    <n v="0"/>
  </r>
  <r>
    <x v="9"/>
    <s v="Central Piedmont Community College "/>
    <m/>
    <n v="198260"/>
    <x v="6"/>
    <s v="sem"/>
    <m/>
    <m/>
    <m/>
    <n v="169269.5"/>
    <n v="166754"/>
    <n v="46388"/>
    <n v="51271.5"/>
    <n v="178676"/>
    <n v="165091"/>
    <n v="394333.5"/>
    <n v="13144.45"/>
    <n v="383116.5"/>
    <n v="12770.55"/>
    <n v="30622.5"/>
    <n v="45420"/>
    <n v="394333.5"/>
    <n v="383116.5"/>
    <m/>
    <m/>
    <n v="544624"/>
    <n v="356816"/>
    <n v="233382"/>
    <n v="179451"/>
    <n v="502316"/>
    <n v="360847"/>
    <n v="1280322"/>
    <n v="1422.58"/>
    <n v="897114"/>
    <n v="996.79333333333329"/>
    <m/>
    <m/>
    <n v="0"/>
    <n v="0"/>
  </r>
  <r>
    <x v="9"/>
    <s v="Fayetteville Technical Community College"/>
    <m/>
    <n v="198534"/>
    <x v="6"/>
    <s v="sem"/>
    <m/>
    <m/>
    <m/>
    <n v="104030"/>
    <n v="104333"/>
    <n v="35057"/>
    <n v="33835"/>
    <n v="113917"/>
    <n v="101114"/>
    <n v="253004"/>
    <n v="8433.4666666666672"/>
    <n v="239282"/>
    <n v="7976.0666666666666"/>
    <n v="20010"/>
    <n v="21290"/>
    <n v="253004"/>
    <n v="239282"/>
    <m/>
    <m/>
    <n v="727015"/>
    <n v="750212"/>
    <n v="650272"/>
    <n v="439923"/>
    <n v="970233"/>
    <n v="752533"/>
    <n v="2347520"/>
    <n v="2608.3555555555554"/>
    <n v="1942668"/>
    <n v="2158.52"/>
    <m/>
    <m/>
    <n v="0"/>
    <n v="0"/>
  </r>
  <r>
    <x v="9"/>
    <s v="Forsyth Technical Community College"/>
    <m/>
    <n v="198552"/>
    <x v="6"/>
    <s v="sem"/>
    <m/>
    <m/>
    <m/>
    <n v="67366"/>
    <n v="66978"/>
    <n v="23797"/>
    <n v="26268"/>
    <n v="72616"/>
    <n v="70109"/>
    <n v="163779"/>
    <n v="5459.3"/>
    <n v="163355"/>
    <n v="5445.166666666667"/>
    <n v="14786"/>
    <n v="16202"/>
    <n v="163779"/>
    <n v="163355"/>
    <m/>
    <m/>
    <n v="201159"/>
    <n v="161162"/>
    <n v="191527"/>
    <n v="110897"/>
    <n v="239291"/>
    <n v="156381"/>
    <n v="631977"/>
    <n v="702.19666666666672"/>
    <n v="428440"/>
    <n v="476.04444444444442"/>
    <m/>
    <m/>
    <n v="0"/>
    <n v="0"/>
  </r>
  <r>
    <x v="9"/>
    <s v="Guilford Technical Community College"/>
    <m/>
    <n v="198622"/>
    <x v="6"/>
    <s v="sem"/>
    <m/>
    <m/>
    <m/>
    <n v="90788"/>
    <n v="95481.5"/>
    <n v="26645"/>
    <n v="29489"/>
    <n v="105817"/>
    <n v="102535"/>
    <n v="223250"/>
    <n v="7441.666666666667"/>
    <n v="227505.5"/>
    <n v="7583.5166666666664"/>
    <n v="18352"/>
    <n v="22322"/>
    <n v="223250"/>
    <n v="227505.5"/>
    <m/>
    <m/>
    <n v="446684"/>
    <n v="289216"/>
    <n v="257759"/>
    <n v="135860"/>
    <n v="375261"/>
    <n v="254166"/>
    <n v="1079704"/>
    <n v="1199.671111111111"/>
    <n v="679242"/>
    <n v="754.71333333333337"/>
    <m/>
    <m/>
    <n v="0"/>
    <n v="0"/>
  </r>
  <r>
    <x v="9"/>
    <s v="Pitt Community College"/>
    <m/>
    <n v="199333"/>
    <x v="6"/>
    <s v="sem"/>
    <m/>
    <m/>
    <m/>
    <n v="73757"/>
    <n v="75221"/>
    <n v="22997"/>
    <n v="25297"/>
    <n v="80416"/>
    <n v="70867"/>
    <n v="177170"/>
    <n v="5905.666666666667"/>
    <n v="171385"/>
    <n v="5712.833333333333"/>
    <n v="18604"/>
    <n v="20192"/>
    <n v="177170"/>
    <n v="171385"/>
    <m/>
    <m/>
    <n v="187805"/>
    <n v="142069"/>
    <n v="122228"/>
    <n v="110182"/>
    <n v="251602"/>
    <n v="166730"/>
    <n v="561635"/>
    <n v="624.03888888888889"/>
    <n v="418981"/>
    <n v="465.53444444444443"/>
    <m/>
    <m/>
    <n v="0"/>
    <n v="0"/>
  </r>
  <r>
    <x v="9"/>
    <s v="Rowan-Cabarrus Community College"/>
    <m/>
    <n v="199494"/>
    <x v="6"/>
    <s v="sem"/>
    <m/>
    <m/>
    <m/>
    <n v="52491"/>
    <n v="55755"/>
    <n v="13900"/>
    <n v="14869"/>
    <n v="61435"/>
    <n v="59579"/>
    <n v="127826"/>
    <n v="4260.8666666666668"/>
    <n v="130203"/>
    <n v="4340.1000000000004"/>
    <n v="30097"/>
    <n v="34082"/>
    <n v="127826"/>
    <n v="130203"/>
    <m/>
    <m/>
    <n v="324177"/>
    <n v="242445"/>
    <n v="186892"/>
    <n v="133843"/>
    <n v="416158"/>
    <n v="319390"/>
    <n v="927227"/>
    <n v="1030.2522222222221"/>
    <n v="695678"/>
    <n v="772.9755555555555"/>
    <m/>
    <m/>
    <n v="0"/>
    <n v="0"/>
  </r>
  <r>
    <x v="9"/>
    <s v="Wake Technical Community College"/>
    <m/>
    <n v="199856"/>
    <x v="6"/>
    <s v="sem"/>
    <m/>
    <m/>
    <m/>
    <n v="190801"/>
    <n v="193599"/>
    <n v="51329"/>
    <n v="60890"/>
    <n v="209683"/>
    <n v="206440"/>
    <n v="451813"/>
    <n v="15060.433333333332"/>
    <n v="460929"/>
    <n v="15364.3"/>
    <n v="24076"/>
    <n v="28340"/>
    <n v="451813"/>
    <n v="460929"/>
    <m/>
    <m/>
    <n v="751268"/>
    <n v="645532"/>
    <n v="645131"/>
    <n v="301381"/>
    <n v="1035870"/>
    <n v="603078"/>
    <n v="2432269"/>
    <n v="2702.5211111111112"/>
    <n v="1549991"/>
    <n v="1722.2122222222222"/>
    <m/>
    <m/>
    <n v="0"/>
    <n v="0"/>
  </r>
  <r>
    <x v="9"/>
    <s v="Alamance Community College"/>
    <m/>
    <n v="199786"/>
    <x v="7"/>
    <s v="sem"/>
    <m/>
    <m/>
    <m/>
    <n v="35199"/>
    <n v="38193"/>
    <n v="9644"/>
    <n v="10803"/>
    <n v="40556.5"/>
    <n v="37427.5"/>
    <n v="85399.5"/>
    <n v="2846.65"/>
    <n v="86423.5"/>
    <n v="2880.7833333333333"/>
    <n v="17147"/>
    <n v="18997"/>
    <n v="85399.5"/>
    <n v="86423.5"/>
    <m/>
    <m/>
    <n v="199369"/>
    <n v="160922"/>
    <n v="123966"/>
    <n v="90661"/>
    <n v="261556"/>
    <n v="199375"/>
    <n v="584891"/>
    <n v="649.87888888888892"/>
    <n v="450958"/>
    <n v="501.06444444444446"/>
    <m/>
    <m/>
    <n v="0"/>
    <n v="0"/>
  </r>
  <r>
    <x v="9"/>
    <s v="Caldwell Community College &amp; Technical Institute"/>
    <m/>
    <n v="198118"/>
    <x v="7"/>
    <s v="sem"/>
    <m/>
    <m/>
    <m/>
    <n v="29843"/>
    <n v="32473"/>
    <n v="7755"/>
    <n v="8103"/>
    <n v="35505"/>
    <n v="36768"/>
    <n v="73103"/>
    <n v="2436.7666666666669"/>
    <n v="77344"/>
    <n v="2578.1333333333332"/>
    <n v="19195"/>
    <n v="20991"/>
    <n v="73103"/>
    <n v="77344"/>
    <m/>
    <m/>
    <n v="148790"/>
    <n v="144511"/>
    <n v="142987"/>
    <n v="78020"/>
    <n v="216626"/>
    <n v="193208"/>
    <n v="508403"/>
    <n v="564.89222222222224"/>
    <n v="415739"/>
    <n v="461.93222222222221"/>
    <m/>
    <m/>
    <n v="0"/>
    <n v="0"/>
  </r>
  <r>
    <x v="9"/>
    <s v="Catawba Valley Community College"/>
    <m/>
    <n v="198233"/>
    <x v="7"/>
    <s v="sem"/>
    <m/>
    <m/>
    <m/>
    <n v="40042"/>
    <n v="42501"/>
    <n v="9862"/>
    <n v="9680"/>
    <n v="45979"/>
    <n v="42449"/>
    <n v="95883"/>
    <n v="3196.1"/>
    <n v="94630"/>
    <n v="3154.3333333333335"/>
    <n v="22225"/>
    <n v="23155"/>
    <n v="95883"/>
    <n v="94630"/>
    <m/>
    <m/>
    <n v="185527"/>
    <n v="147723"/>
    <n v="144684"/>
    <n v="90901"/>
    <n v="193300"/>
    <n v="123661"/>
    <n v="523511"/>
    <n v="581.67888888888888"/>
    <n v="362285"/>
    <n v="402.53888888888889"/>
    <m/>
    <m/>
    <n v="0"/>
    <n v="0"/>
  </r>
  <r>
    <x v="9"/>
    <s v="Central Carolina Commuity College"/>
    <m/>
    <n v="198251"/>
    <x v="7"/>
    <s v="sem"/>
    <m/>
    <m/>
    <m/>
    <n v="42886"/>
    <n v="49765"/>
    <n v="9704"/>
    <n v="9641"/>
    <n v="53472"/>
    <n v="50383"/>
    <n v="106062"/>
    <n v="3535.4"/>
    <n v="109789"/>
    <n v="3659.6333333333332"/>
    <n v="28678"/>
    <n v="30626"/>
    <n v="106062"/>
    <n v="109789"/>
    <m/>
    <m/>
    <n v="229757"/>
    <n v="206879"/>
    <n v="183269"/>
    <n v="55568"/>
    <n v="271956"/>
    <n v="148443"/>
    <n v="684982"/>
    <n v="761.0911111111111"/>
    <n v="410890"/>
    <n v="456.54444444444442"/>
    <m/>
    <m/>
    <n v="0"/>
    <n v="0"/>
  </r>
  <r>
    <x v="9"/>
    <s v="Cleveland Community College"/>
    <m/>
    <n v="198321"/>
    <x v="7"/>
    <s v="sem"/>
    <m/>
    <m/>
    <m/>
    <n v="21958"/>
    <n v="23419"/>
    <n v="6172"/>
    <n v="6681"/>
    <n v="24771"/>
    <n v="23486"/>
    <n v="52901"/>
    <n v="1763.3666666666666"/>
    <n v="53586"/>
    <n v="1786.2"/>
    <n v="10085"/>
    <n v="8925"/>
    <n v="52901"/>
    <n v="53586"/>
    <m/>
    <m/>
    <n v="163622"/>
    <n v="135304"/>
    <n v="100860"/>
    <n v="84510"/>
    <n v="200271"/>
    <n v="158802"/>
    <n v="464753"/>
    <n v="516.39222222222224"/>
    <n v="378616"/>
    <n v="420.68444444444447"/>
    <m/>
    <m/>
    <n v="0"/>
    <n v="0"/>
  </r>
  <r>
    <x v="9"/>
    <s v="Coastal Carolina Community College "/>
    <m/>
    <n v="198330"/>
    <x v="7"/>
    <s v="sem"/>
    <m/>
    <m/>
    <m/>
    <n v="36858"/>
    <n v="37420"/>
    <n v="13983"/>
    <n v="14020"/>
    <n v="38743"/>
    <n v="36383"/>
    <n v="89584"/>
    <n v="2986.1333333333332"/>
    <n v="87823"/>
    <n v="2927.4333333333334"/>
    <n v="4628"/>
    <n v="6965"/>
    <n v="89584"/>
    <n v="87823"/>
    <m/>
    <m/>
    <n v="147800"/>
    <n v="127907"/>
    <n v="122831"/>
    <n v="105324"/>
    <n v="182776"/>
    <n v="160242"/>
    <n v="453407"/>
    <n v="503.78555555555556"/>
    <n v="393473"/>
    <n v="437.1922222222222"/>
    <m/>
    <m/>
    <n v="0"/>
    <n v="0"/>
  </r>
  <r>
    <x v="9"/>
    <s v="Craven Community College "/>
    <m/>
    <n v="198367"/>
    <x v="7"/>
    <s v="sem"/>
    <m/>
    <m/>
    <m/>
    <n v="24679"/>
    <n v="25928"/>
    <n v="7619"/>
    <n v="7329"/>
    <n v="26985"/>
    <n v="25101"/>
    <n v="59283"/>
    <n v="1976.1"/>
    <n v="58358"/>
    <n v="1945.2666666666667"/>
    <n v="11001"/>
    <n v="12139"/>
    <n v="59283"/>
    <n v="58358"/>
    <m/>
    <m/>
    <n v="136265"/>
    <n v="116163"/>
    <n v="74267"/>
    <n v="97566"/>
    <n v="130383"/>
    <n v="131897"/>
    <n v="340915"/>
    <n v="378.79444444444442"/>
    <n v="345626"/>
    <n v="384.0288888888889"/>
    <m/>
    <m/>
    <n v="0"/>
    <n v="0"/>
  </r>
  <r>
    <x v="9"/>
    <s v="Davidson-Davie Community College"/>
    <m/>
    <n v="198376"/>
    <x v="7"/>
    <s v="sem"/>
    <m/>
    <m/>
    <m/>
    <n v="31138"/>
    <n v="32227"/>
    <n v="7170"/>
    <n v="7864"/>
    <n v="34883"/>
    <n v="36661"/>
    <n v="73191"/>
    <n v="2439.6999999999998"/>
    <n v="76752"/>
    <n v="2558.4"/>
    <n v="16692"/>
    <n v="18473"/>
    <n v="73191"/>
    <n v="76752"/>
    <m/>
    <m/>
    <n v="157079"/>
    <n v="108232"/>
    <n v="86379"/>
    <n v="61383"/>
    <n v="130508"/>
    <n v="146469"/>
    <n v="373966"/>
    <n v="415.51777777777778"/>
    <n v="316084"/>
    <n v="351.20444444444445"/>
    <m/>
    <m/>
    <n v="0"/>
    <n v="0"/>
  </r>
  <r>
    <x v="9"/>
    <s v="Durham Technical Community College"/>
    <m/>
    <n v="198455"/>
    <x v="7"/>
    <s v="sem"/>
    <m/>
    <m/>
    <m/>
    <n v="44361"/>
    <n v="46492"/>
    <n v="12334"/>
    <n v="14368"/>
    <n v="47570"/>
    <n v="45250"/>
    <n v="104265"/>
    <n v="3475.5"/>
    <n v="106110"/>
    <n v="3537"/>
    <n v="12114"/>
    <n v="13275"/>
    <n v="104265"/>
    <n v="106110"/>
    <m/>
    <m/>
    <n v="192831"/>
    <n v="162693"/>
    <n v="126157"/>
    <n v="69115"/>
    <n v="234484"/>
    <n v="174799"/>
    <n v="553472"/>
    <n v="614.96888888888884"/>
    <n v="406607"/>
    <n v="451.78555555555556"/>
    <m/>
    <m/>
    <n v="0"/>
    <n v="0"/>
  </r>
  <r>
    <x v="9"/>
    <s v="Gaston College "/>
    <m/>
    <n v="198570"/>
    <x v="7"/>
    <s v="sem"/>
    <m/>
    <m/>
    <m/>
    <n v="43385"/>
    <n v="44501"/>
    <n v="14197"/>
    <n v="16117"/>
    <n v="48852.5"/>
    <n v="45980"/>
    <n v="106434.5"/>
    <n v="3547.8166666666666"/>
    <n v="106598"/>
    <n v="3553.2666666666669"/>
    <n v="19137"/>
    <n v="22994"/>
    <n v="106434.5"/>
    <n v="106598"/>
    <m/>
    <m/>
    <n v="121757"/>
    <n v="104423"/>
    <n v="106318"/>
    <n v="60308"/>
    <n v="180479"/>
    <n v="105440"/>
    <n v="408554"/>
    <n v="453.94888888888892"/>
    <n v="270171"/>
    <n v="300.19"/>
    <m/>
    <m/>
    <n v="0"/>
    <n v="0"/>
  </r>
  <r>
    <x v="9"/>
    <s v="Johnston Community College"/>
    <m/>
    <n v="198774"/>
    <x v="7"/>
    <s v="sem"/>
    <m/>
    <m/>
    <m/>
    <n v="33471"/>
    <n v="36885"/>
    <n v="8428"/>
    <n v="9470"/>
    <n v="38913"/>
    <n v="39730"/>
    <n v="80812"/>
    <n v="2693.7333333333331"/>
    <n v="86085"/>
    <n v="2869.5"/>
    <n v="16070"/>
    <n v="19723"/>
    <n v="80812"/>
    <n v="86085"/>
    <m/>
    <m/>
    <n v="159182"/>
    <n v="97894"/>
    <n v="112947"/>
    <n v="112156"/>
    <n v="207217"/>
    <n v="142881"/>
    <n v="479346"/>
    <n v="532.60666666666668"/>
    <n v="352931"/>
    <n v="392.14555555555557"/>
    <m/>
    <m/>
    <n v="0"/>
    <n v="0"/>
  </r>
  <r>
    <x v="9"/>
    <s v="Lenoir Community College "/>
    <m/>
    <n v="198817"/>
    <x v="7"/>
    <s v="sem"/>
    <m/>
    <m/>
    <m/>
    <n v="21097"/>
    <n v="21263"/>
    <n v="7110"/>
    <n v="6856"/>
    <n v="25208"/>
    <n v="23172"/>
    <n v="53415"/>
    <n v="1780.5"/>
    <n v="51291"/>
    <n v="1709.7"/>
    <n v="14425"/>
    <n v="13474"/>
    <n v="53415"/>
    <n v="51291"/>
    <m/>
    <m/>
    <n v="524717"/>
    <n v="469211"/>
    <n v="231659"/>
    <n v="199905"/>
    <n v="475893"/>
    <n v="383076"/>
    <n v="1232269"/>
    <n v="1369.1877777777777"/>
    <n v="1052192"/>
    <n v="1169.1022222222223"/>
    <m/>
    <m/>
    <n v="0"/>
    <n v="0"/>
  </r>
  <r>
    <x v="9"/>
    <s v="Mitchell Community College "/>
    <m/>
    <n v="198987"/>
    <x v="7"/>
    <s v="sem"/>
    <m/>
    <m/>
    <m/>
    <n v="24349"/>
    <n v="25868"/>
    <n v="5727"/>
    <n v="6864"/>
    <n v="27407"/>
    <n v="27460.799999999999"/>
    <n v="57483"/>
    <n v="1916.1"/>
    <n v="60192.800000000003"/>
    <n v="2006.4266666666667"/>
    <n v="13147"/>
    <n v="15931"/>
    <n v="57483"/>
    <n v="60192.800000000003"/>
    <m/>
    <m/>
    <n v="88157"/>
    <n v="45508"/>
    <n v="73960"/>
    <n v="61352"/>
    <n v="128261"/>
    <n v="116334"/>
    <n v="290378"/>
    <n v="322.64222222222224"/>
    <n v="223194"/>
    <n v="247.99333333333334"/>
    <m/>
    <m/>
    <n v="0"/>
    <n v="0"/>
  </r>
  <r>
    <x v="9"/>
    <s v="Nash Community College"/>
    <m/>
    <n v="199087"/>
    <x v="7"/>
    <s v="sem"/>
    <m/>
    <m/>
    <m/>
    <n v="26627"/>
    <n v="26628"/>
    <n v="7150"/>
    <n v="5772"/>
    <n v="27571"/>
    <n v="23633"/>
    <n v="61348"/>
    <n v="2044.9333333333334"/>
    <n v="56033"/>
    <n v="1867.7666666666667"/>
    <n v="9921"/>
    <n v="12109"/>
    <n v="61348"/>
    <n v="56033"/>
    <m/>
    <m/>
    <n v="145232"/>
    <n v="88034"/>
    <n v="101848"/>
    <n v="68974"/>
    <n v="138111"/>
    <n v="94224"/>
    <n v="385191"/>
    <n v="427.99"/>
    <n v="251232"/>
    <n v="279.14666666666665"/>
    <m/>
    <m/>
    <n v="0"/>
    <n v="0"/>
  </r>
  <r>
    <x v="9"/>
    <s v="Randolph Community College"/>
    <m/>
    <n v="199421"/>
    <x v="7"/>
    <s v="sem"/>
    <m/>
    <m/>
    <m/>
    <n v="22952.5"/>
    <n v="24067"/>
    <n v="5376"/>
    <n v="5759"/>
    <n v="25623.5"/>
    <n v="23317"/>
    <n v="53952"/>
    <n v="1798.4"/>
    <n v="53143"/>
    <n v="1771.4333333333334"/>
    <n v="14270.5"/>
    <n v="15007"/>
    <n v="53952"/>
    <n v="53143"/>
    <m/>
    <m/>
    <n v="161999"/>
    <n v="119407"/>
    <n v="83262"/>
    <n v="67788"/>
    <n v="163364"/>
    <n v="135564"/>
    <n v="408625"/>
    <n v="454.02777777777777"/>
    <n v="322759"/>
    <n v="358.62111111111113"/>
    <m/>
    <m/>
    <n v="0"/>
    <n v="0"/>
  </r>
  <r>
    <x v="9"/>
    <s v="Richmond Community College"/>
    <m/>
    <n v="199449"/>
    <x v="7"/>
    <s v="sem"/>
    <m/>
    <m/>
    <m/>
    <n v="22110"/>
    <n v="21215.5"/>
    <n v="6268"/>
    <n v="5658"/>
    <n v="24445"/>
    <n v="21125"/>
    <n v="52823"/>
    <n v="1760.7666666666667"/>
    <n v="47998.5"/>
    <n v="1599.95"/>
    <n v="15911"/>
    <n v="14377.5"/>
    <n v="52823"/>
    <n v="47998.5"/>
    <m/>
    <m/>
    <n v="219076"/>
    <n v="149337"/>
    <n v="153743"/>
    <n v="73004"/>
    <n v="171919"/>
    <n v="156330"/>
    <n v="544738"/>
    <n v="605.26444444444439"/>
    <n v="378671"/>
    <n v="420.74555555555554"/>
    <m/>
    <m/>
    <n v="0"/>
    <n v="0"/>
  </r>
  <r>
    <x v="9"/>
    <s v="Sandhills Community College "/>
    <m/>
    <n v="199634"/>
    <x v="7"/>
    <s v="sem"/>
    <m/>
    <m/>
    <m/>
    <n v="34894"/>
    <n v="36297"/>
    <n v="9892"/>
    <n v="11379"/>
    <n v="37409"/>
    <n v="35549"/>
    <n v="82195"/>
    <n v="2739.8333333333335"/>
    <n v="83225"/>
    <n v="2774.1666666666665"/>
    <n v="17117"/>
    <n v="17868"/>
    <n v="82195"/>
    <n v="83225"/>
    <m/>
    <m/>
    <n v="171493"/>
    <n v="124591"/>
    <n v="106169"/>
    <n v="75037"/>
    <n v="158096"/>
    <n v="122591"/>
    <n v="435758"/>
    <n v="484.17555555555555"/>
    <n v="322219"/>
    <n v="358.02111111111111"/>
    <m/>
    <m/>
    <n v="0"/>
    <n v="0"/>
  </r>
  <r>
    <x v="9"/>
    <s v="South Piedmont Community College"/>
    <m/>
    <n v="197850"/>
    <x v="7"/>
    <s v="sem"/>
    <m/>
    <m/>
    <m/>
    <n v="20994"/>
    <n v="22449"/>
    <n v="4600"/>
    <n v="5482"/>
    <n v="24636"/>
    <n v="23675"/>
    <n v="50230"/>
    <n v="1674.3333333333333"/>
    <n v="51606"/>
    <n v="1720.2"/>
    <n v="21316"/>
    <n v="21593"/>
    <n v="50230"/>
    <n v="51606"/>
    <m/>
    <m/>
    <n v="162744"/>
    <n v="165595"/>
    <n v="133834"/>
    <n v="104372"/>
    <n v="213700"/>
    <n v="186417"/>
    <n v="510278"/>
    <n v="566.9755555555555"/>
    <n v="456384"/>
    <n v="507.09333333333331"/>
    <m/>
    <m/>
    <n v="0"/>
    <n v="0"/>
  </r>
  <r>
    <x v="9"/>
    <s v="Stanly Community College"/>
    <m/>
    <n v="199740"/>
    <x v="7"/>
    <s v="sem"/>
    <m/>
    <m/>
    <m/>
    <n v="20496"/>
    <n v="20340"/>
    <n v="6444"/>
    <n v="6245"/>
    <n v="23769"/>
    <n v="21729"/>
    <n v="50709"/>
    <n v="1690.3"/>
    <n v="48314"/>
    <n v="1610.4666666666667"/>
    <n v="9552"/>
    <n v="9776"/>
    <n v="50709"/>
    <n v="48314"/>
    <m/>
    <m/>
    <n v="209966"/>
    <n v="178692"/>
    <n v="111625"/>
    <n v="76853"/>
    <n v="208612"/>
    <n v="169719"/>
    <n v="530203"/>
    <n v="589.11444444444442"/>
    <n v="425264"/>
    <n v="472.51555555555558"/>
    <m/>
    <m/>
    <n v="0"/>
    <n v="0"/>
  </r>
  <r>
    <x v="9"/>
    <s v="Surry Community College "/>
    <m/>
    <n v="199768"/>
    <x v="7"/>
    <s v="sem"/>
    <m/>
    <m/>
    <m/>
    <n v="26048"/>
    <n v="28354"/>
    <n v="6589"/>
    <n v="6105"/>
    <n v="30466"/>
    <n v="29348"/>
    <n v="63103"/>
    <n v="2103.4333333333334"/>
    <n v="63807"/>
    <n v="2126.9"/>
    <n v="17989"/>
    <n v="18623"/>
    <n v="63103"/>
    <n v="63807"/>
    <m/>
    <m/>
    <n v="125076"/>
    <n v="98114"/>
    <n v="108747"/>
    <n v="58414"/>
    <n v="174284"/>
    <n v="105255"/>
    <n v="408107"/>
    <n v="453.45222222222225"/>
    <n v="261783"/>
    <n v="290.87"/>
    <m/>
    <m/>
    <n v="0"/>
    <n v="0"/>
  </r>
  <r>
    <x v="9"/>
    <s v="Vance-Granville Community College "/>
    <m/>
    <n v="199838"/>
    <x v="7"/>
    <s v="sem"/>
    <m/>
    <m/>
    <m/>
    <n v="23329"/>
    <n v="25208"/>
    <n v="5309"/>
    <n v="6710"/>
    <n v="27722"/>
    <n v="25676"/>
    <n v="56360"/>
    <n v="1878.6666666666667"/>
    <n v="57594"/>
    <n v="1919.8"/>
    <n v="15388"/>
    <n v="16015"/>
    <n v="56360"/>
    <n v="57594"/>
    <m/>
    <m/>
    <n v="145264"/>
    <n v="116554"/>
    <n v="98682"/>
    <n v="43951"/>
    <n v="152433"/>
    <n v="119489"/>
    <n v="396379"/>
    <n v="440.42111111111109"/>
    <n v="279994"/>
    <n v="311.10444444444443"/>
    <m/>
    <m/>
    <n v="0"/>
    <n v="0"/>
  </r>
  <r>
    <x v="9"/>
    <s v="Wayne Community College"/>
    <m/>
    <n v="199892"/>
    <x v="7"/>
    <s v="sem"/>
    <m/>
    <m/>
    <m/>
    <n v="30073"/>
    <n v="29647"/>
    <n v="9353"/>
    <n v="10209"/>
    <n v="31252"/>
    <n v="29159"/>
    <n v="70678"/>
    <n v="2355.9333333333334"/>
    <n v="69015"/>
    <n v="2300.5"/>
    <n v="11618.5"/>
    <n v="11072"/>
    <n v="70678"/>
    <n v="69015"/>
    <m/>
    <m/>
    <n v="171551"/>
    <n v="115650"/>
    <n v="113241"/>
    <n v="41313"/>
    <n v="181076"/>
    <n v="89156"/>
    <n v="465868"/>
    <n v="517.63111111111107"/>
    <n v="246119"/>
    <n v="273.46555555555557"/>
    <m/>
    <m/>
    <n v="0"/>
    <n v="0"/>
  </r>
  <r>
    <x v="9"/>
    <s v="Wilkes Community College "/>
    <m/>
    <n v="199926"/>
    <x v="7"/>
    <s v="sem"/>
    <m/>
    <m/>
    <m/>
    <n v="22176"/>
    <n v="24135"/>
    <n v="4870"/>
    <n v="5171"/>
    <n v="26412"/>
    <n v="24048"/>
    <n v="53458"/>
    <n v="1781.9333333333334"/>
    <n v="53354"/>
    <n v="1778.4666666666667"/>
    <n v="12773"/>
    <n v="13955"/>
    <n v="53458"/>
    <n v="53354"/>
    <m/>
    <m/>
    <n v="158768"/>
    <n v="102177"/>
    <n v="97618"/>
    <n v="43914"/>
    <n v="158870"/>
    <n v="92856"/>
    <n v="415256"/>
    <n v="461.39555555555557"/>
    <n v="238947"/>
    <n v="265.49666666666667"/>
    <m/>
    <m/>
    <n v="0"/>
    <n v="0"/>
  </r>
  <r>
    <x v="9"/>
    <s v="Beaufort County Community College "/>
    <m/>
    <n v="197966"/>
    <x v="8"/>
    <s v="sem"/>
    <m/>
    <m/>
    <m/>
    <n v="13450"/>
    <n v="14040"/>
    <n v="2974"/>
    <n v="3187"/>
    <n v="14559"/>
    <n v="13100"/>
    <n v="30983"/>
    <n v="1032.7666666666667"/>
    <n v="30327"/>
    <n v="1010.9"/>
    <n v="11145"/>
    <n v="11008"/>
    <n v="30983"/>
    <n v="30327"/>
    <m/>
    <m/>
    <n v="98836"/>
    <n v="76361"/>
    <n v="65875"/>
    <n v="31315"/>
    <n v="95865"/>
    <n v="62347"/>
    <n v="260576"/>
    <n v="289.5288888888889"/>
    <n v="170023"/>
    <n v="188.91444444444446"/>
    <m/>
    <m/>
    <n v="0"/>
    <n v="0"/>
  </r>
  <r>
    <x v="9"/>
    <s v="Bladen Community College"/>
    <m/>
    <n v="198011"/>
    <x v="8"/>
    <s v="sem"/>
    <m/>
    <m/>
    <m/>
    <n v="10947"/>
    <n v="11007"/>
    <n v="3487"/>
    <n v="3049"/>
    <n v="13181"/>
    <n v="11122"/>
    <n v="27615"/>
    <n v="920.5"/>
    <n v="25178"/>
    <n v="839.26666666666665"/>
    <n v="7348"/>
    <n v="7121"/>
    <n v="27615"/>
    <n v="25178"/>
    <m/>
    <m/>
    <n v="68047"/>
    <n v="46628"/>
    <n v="29827"/>
    <n v="26715"/>
    <n v="51214"/>
    <n v="46528"/>
    <n v="149088"/>
    <n v="165.65333333333334"/>
    <n v="119871"/>
    <n v="133.19"/>
    <m/>
    <m/>
    <n v="0"/>
    <n v="0"/>
  </r>
  <r>
    <x v="9"/>
    <s v="Blue Ridge Community College"/>
    <m/>
    <n v="198039"/>
    <x v="8"/>
    <s v="sem"/>
    <m/>
    <m/>
    <m/>
    <n v="17518"/>
    <n v="19551"/>
    <n v="4467"/>
    <n v="5563"/>
    <n v="20352"/>
    <n v="20823"/>
    <n v="42337"/>
    <n v="1411.2333333333333"/>
    <n v="45937"/>
    <n v="1531.2333333333333"/>
    <n v="8750"/>
    <n v="9859"/>
    <n v="42337"/>
    <n v="45937"/>
    <m/>
    <m/>
    <n v="130669"/>
    <n v="104786"/>
    <n v="97604"/>
    <n v="72045"/>
    <n v="169076"/>
    <n v="112368"/>
    <n v="397349"/>
    <n v="441.49888888888887"/>
    <n v="289199"/>
    <n v="321.33222222222224"/>
    <m/>
    <m/>
    <n v="0"/>
    <n v="0"/>
  </r>
  <r>
    <x v="9"/>
    <s v="Brunswick Community College"/>
    <m/>
    <n v="198084"/>
    <x v="8"/>
    <s v="sem"/>
    <m/>
    <m/>
    <m/>
    <n v="13710"/>
    <n v="14458"/>
    <n v="2932"/>
    <n v="3010"/>
    <n v="15937"/>
    <n v="15746"/>
    <n v="32579"/>
    <n v="1085.9666666666667"/>
    <n v="33214"/>
    <n v="1107.1333333333334"/>
    <n v="8052"/>
    <n v="8923"/>
    <n v="32579"/>
    <n v="33214"/>
    <m/>
    <m/>
    <n v="135062"/>
    <n v="112726"/>
    <n v="74404"/>
    <n v="29097"/>
    <n v="137533"/>
    <n v="87635"/>
    <n v="346999"/>
    <n v="385.55444444444447"/>
    <n v="229458"/>
    <n v="254.95333333333335"/>
    <m/>
    <m/>
    <n v="0"/>
    <n v="0"/>
  </r>
  <r>
    <x v="9"/>
    <s v="Carteret Community College"/>
    <m/>
    <n v="198206"/>
    <x v="8"/>
    <s v="sem"/>
    <m/>
    <m/>
    <m/>
    <n v="14081"/>
    <n v="13274.5"/>
    <n v="3268"/>
    <n v="3030"/>
    <n v="14339"/>
    <n v="13024"/>
    <n v="31688"/>
    <n v="1056.2666666666667"/>
    <n v="29328.5"/>
    <n v="977.61666666666667"/>
    <n v="4940"/>
    <n v="4951"/>
    <n v="31688"/>
    <n v="29328.5"/>
    <m/>
    <m/>
    <n v="102684"/>
    <n v="86927"/>
    <n v="51691"/>
    <n v="27585"/>
    <n v="113582"/>
    <n v="77078"/>
    <n v="267957"/>
    <n v="297.73"/>
    <n v="191590"/>
    <n v="212.87777777777777"/>
    <m/>
    <m/>
    <n v="0"/>
    <n v="0"/>
  </r>
  <r>
    <x v="9"/>
    <s v="College of The Albemarle"/>
    <s v="Met the criteria for Two-Year 2 in 2019-20."/>
    <n v="197814"/>
    <x v="8"/>
    <s v="sem"/>
    <m/>
    <m/>
    <m/>
    <n v="22451"/>
    <n v="23073"/>
    <n v="5668"/>
    <n v="5724"/>
    <n v="25236"/>
    <n v="23783"/>
    <n v="53355"/>
    <n v="1778.5"/>
    <n v="52580"/>
    <n v="1752.6666666666667"/>
    <n v="370"/>
    <n v="20454"/>
    <n v="53355"/>
    <n v="52580"/>
    <m/>
    <m/>
    <n v="87138"/>
    <n v="47353"/>
    <n v="80347"/>
    <n v="75707"/>
    <n v="117365"/>
    <n v="79283"/>
    <n v="284850"/>
    <n v="316.5"/>
    <n v="202343"/>
    <n v="224.82555555555555"/>
    <m/>
    <m/>
    <n v="0"/>
    <n v="0"/>
  </r>
  <r>
    <x v="9"/>
    <s v="Edgecombe Community College"/>
    <m/>
    <n v="198491"/>
    <x v="8"/>
    <s v="sem"/>
    <m/>
    <m/>
    <m/>
    <n v="17360"/>
    <n v="16049"/>
    <n v="5594"/>
    <n v="4869"/>
    <n v="17476"/>
    <n v="13587"/>
    <n v="40430"/>
    <n v="1347.6666666666667"/>
    <n v="34505"/>
    <n v="1150.1666666666667"/>
    <n v="5804"/>
    <n v="5640"/>
    <n v="40430"/>
    <n v="34505"/>
    <m/>
    <m/>
    <n v="88887"/>
    <n v="62483"/>
    <n v="49548"/>
    <n v="46493"/>
    <n v="114821"/>
    <n v="72317"/>
    <n v="253256"/>
    <n v="281.39555555555557"/>
    <n v="181293"/>
    <n v="201.43666666666667"/>
    <m/>
    <m/>
    <n v="0"/>
    <n v="0"/>
  </r>
  <r>
    <x v="9"/>
    <s v="Halifax Community College "/>
    <m/>
    <n v="198640"/>
    <x v="8"/>
    <s v="sem"/>
    <m/>
    <m/>
    <m/>
    <n v="8809"/>
    <n v="9578"/>
    <n v="2022"/>
    <n v="1785"/>
    <n v="9890"/>
    <n v="8088"/>
    <n v="20721"/>
    <n v="690.7"/>
    <n v="19451"/>
    <n v="648.36666666666667"/>
    <n v="6644"/>
    <n v="7253"/>
    <n v="20721"/>
    <n v="19451"/>
    <m/>
    <m/>
    <n v="89360"/>
    <n v="60942"/>
    <n v="35940"/>
    <n v="16440"/>
    <n v="90181"/>
    <n v="46401"/>
    <n v="215481"/>
    <n v="239.42333333333335"/>
    <n v="123783"/>
    <n v="137.53666666666666"/>
    <m/>
    <m/>
    <n v="0"/>
    <n v="0"/>
  </r>
  <r>
    <x v="9"/>
    <s v="Haywood Community College"/>
    <m/>
    <n v="198668"/>
    <x v="8"/>
    <s v="sem"/>
    <m/>
    <m/>
    <m/>
    <n v="13637"/>
    <n v="13779"/>
    <n v="3073"/>
    <n v="3087"/>
    <n v="15363"/>
    <n v="13908"/>
    <n v="32073"/>
    <n v="1069.0999999999999"/>
    <n v="30774"/>
    <n v="1025.8"/>
    <n v="6550"/>
    <n v="6380"/>
    <n v="32073"/>
    <n v="30774"/>
    <m/>
    <m/>
    <n v="74561"/>
    <n v="54841"/>
    <n v="36455"/>
    <n v="38593"/>
    <n v="71796"/>
    <n v="61555"/>
    <n v="182812"/>
    <n v="203.12444444444444"/>
    <n v="154989"/>
    <n v="172.21"/>
    <m/>
    <m/>
    <n v="0"/>
    <n v="0"/>
  </r>
  <r>
    <x v="9"/>
    <s v="Isothermal Community College "/>
    <m/>
    <n v="198710"/>
    <x v="8"/>
    <s v="sem"/>
    <m/>
    <m/>
    <m/>
    <n v="17832"/>
    <n v="19862"/>
    <n v="5883"/>
    <n v="5672"/>
    <n v="19920"/>
    <n v="20169"/>
    <n v="43635"/>
    <n v="1454.5"/>
    <n v="45703"/>
    <n v="1523.4333333333334"/>
    <n v="13343"/>
    <n v="13992"/>
    <n v="43635"/>
    <n v="45703"/>
    <m/>
    <m/>
    <n v="71947"/>
    <n v="54050"/>
    <n v="38187"/>
    <n v="27141"/>
    <n v="64682"/>
    <n v="50967"/>
    <n v="174816"/>
    <n v="194.24"/>
    <n v="132158"/>
    <n v="146.84222222222223"/>
    <m/>
    <m/>
    <n v="0"/>
    <n v="0"/>
  </r>
  <r>
    <x v="9"/>
    <s v="James Sprunt Community College"/>
    <m/>
    <n v="198729"/>
    <x v="8"/>
    <s v="sem"/>
    <m/>
    <m/>
    <m/>
    <n v="10442"/>
    <n v="11187"/>
    <n v="3403"/>
    <n v="3558"/>
    <n v="11671"/>
    <n v="10933"/>
    <n v="25516"/>
    <n v="850.5333333333333"/>
    <n v="25678"/>
    <n v="855.93333333333328"/>
    <n v="7506"/>
    <n v="7655"/>
    <n v="25516"/>
    <n v="25678"/>
    <m/>
    <m/>
    <n v="41421"/>
    <n v="85460"/>
    <n v="39164"/>
    <n v="46374"/>
    <n v="62795"/>
    <n v="89255"/>
    <n v="143380"/>
    <n v="159.3111111111111"/>
    <n v="221089"/>
    <n v="245.65444444444444"/>
    <m/>
    <m/>
    <n v="0"/>
    <n v="0"/>
  </r>
  <r>
    <x v="9"/>
    <s v="Martin Community College "/>
    <m/>
    <n v="198905"/>
    <x v="8"/>
    <s v="sem"/>
    <m/>
    <m/>
    <m/>
    <n v="6437"/>
    <n v="7961"/>
    <n v="1381"/>
    <n v="1646"/>
    <n v="7864"/>
    <n v="8062"/>
    <n v="15682"/>
    <n v="522.73333333333335"/>
    <n v="17669"/>
    <n v="588.9666666666667"/>
    <n v="8637"/>
    <n v="9788"/>
    <n v="15682"/>
    <n v="17669"/>
    <m/>
    <m/>
    <n v="50245"/>
    <n v="43282"/>
    <n v="14794"/>
    <n v="8406"/>
    <n v="45630"/>
    <n v="31625"/>
    <n v="110669"/>
    <n v="122.96555555555555"/>
    <n v="83313"/>
    <n v="92.57"/>
    <m/>
    <m/>
    <n v="0"/>
    <n v="0"/>
  </r>
  <r>
    <x v="9"/>
    <s v="Mayland Community College"/>
    <m/>
    <n v="198914"/>
    <x v="8"/>
    <s v="sem"/>
    <m/>
    <m/>
    <m/>
    <n v="8903"/>
    <n v="8257"/>
    <n v="1261"/>
    <n v="1338"/>
    <n v="9077"/>
    <n v="8309"/>
    <n v="19241"/>
    <n v="641.36666666666667"/>
    <n v="17904"/>
    <n v="596.79999999999995"/>
    <n v="7964"/>
    <n v="7003"/>
    <n v="19241"/>
    <n v="17904"/>
    <m/>
    <m/>
    <n v="141236"/>
    <n v="104456"/>
    <n v="96025"/>
    <n v="17529"/>
    <n v="148269"/>
    <n v="45222"/>
    <n v="385530"/>
    <n v="428.36666666666667"/>
    <n v="167207"/>
    <n v="185.78555555555556"/>
    <m/>
    <m/>
    <n v="0"/>
    <n v="0"/>
  </r>
  <r>
    <x v="9"/>
    <s v="McDowell Technical Community College"/>
    <m/>
    <n v="198923"/>
    <x v="8"/>
    <s v="sem"/>
    <m/>
    <m/>
    <m/>
    <n v="8237"/>
    <n v="8875"/>
    <n v="2528"/>
    <n v="2503"/>
    <n v="10208"/>
    <n v="9287"/>
    <n v="20973"/>
    <n v="699.1"/>
    <n v="20665"/>
    <n v="688.83333333333337"/>
    <n v="8208"/>
    <n v="8251"/>
    <n v="20973"/>
    <n v="20665"/>
    <m/>
    <m/>
    <n v="78787"/>
    <n v="34558"/>
    <n v="55161"/>
    <n v="22287"/>
    <n v="60480"/>
    <n v="34915"/>
    <n v="194428"/>
    <n v="216.0311111111111"/>
    <n v="91760"/>
    <n v="101.95555555555555"/>
    <m/>
    <m/>
    <n v="0"/>
    <n v="0"/>
  </r>
  <r>
    <x v="9"/>
    <s v="Montgomery Community College"/>
    <m/>
    <n v="199023"/>
    <x v="8"/>
    <s v="sem"/>
    <m/>
    <m/>
    <m/>
    <n v="7125"/>
    <n v="8348.5"/>
    <n v="1412"/>
    <n v="1322"/>
    <n v="9553"/>
    <n v="7721.5"/>
    <n v="18090"/>
    <n v="603"/>
    <n v="17392"/>
    <n v="579.73333333333335"/>
    <n v="5998"/>
    <n v="5766"/>
    <n v="18090"/>
    <n v="17392"/>
    <m/>
    <m/>
    <n v="49962"/>
    <n v="47705"/>
    <n v="26048"/>
    <n v="20038"/>
    <n v="48729"/>
    <n v="53986"/>
    <n v="124739"/>
    <n v="138.59888888888889"/>
    <n v="121729"/>
    <n v="135.25444444444443"/>
    <m/>
    <m/>
    <n v="0"/>
    <n v="0"/>
  </r>
  <r>
    <x v="9"/>
    <s v="Pamlico Community College"/>
    <m/>
    <n v="199263"/>
    <x v="8"/>
    <s v="sem"/>
    <m/>
    <m/>
    <m/>
    <n v="3609"/>
    <n v="5565"/>
    <n v="1982"/>
    <n v="1853"/>
    <n v="5045"/>
    <n v="3637"/>
    <n v="10636"/>
    <n v="354.53333333333336"/>
    <n v="11055"/>
    <n v="368.5"/>
    <n v="1864"/>
    <n v="1817"/>
    <n v="10636"/>
    <n v="11055"/>
    <m/>
    <m/>
    <n v="23452"/>
    <n v="27143"/>
    <n v="19331"/>
    <n v="17117"/>
    <n v="28806"/>
    <n v="34509"/>
    <n v="71589"/>
    <n v="79.543333333333337"/>
    <n v="78769"/>
    <n v="87.521111111111111"/>
    <m/>
    <m/>
    <n v="0"/>
    <n v="0"/>
  </r>
  <r>
    <x v="9"/>
    <s v="Piedmont Community College"/>
    <m/>
    <n v="199324"/>
    <x v="8"/>
    <s v="sem"/>
    <m/>
    <m/>
    <m/>
    <n v="9488.5"/>
    <n v="11116.5"/>
    <n v="1949"/>
    <n v="1927.5"/>
    <n v="12298.5"/>
    <n v="11416.5"/>
    <n v="23736"/>
    <n v="791.2"/>
    <n v="24460.5"/>
    <n v="815.35"/>
    <n v="6194"/>
    <n v="7899.5"/>
    <n v="23736"/>
    <n v="24460.5"/>
    <m/>
    <m/>
    <n v="141940"/>
    <n v="103711"/>
    <n v="74694"/>
    <n v="29473"/>
    <n v="129261"/>
    <n v="56753"/>
    <n v="345895"/>
    <n v="384.32777777777778"/>
    <n v="189937"/>
    <n v="211.04111111111112"/>
    <m/>
    <m/>
    <n v="0"/>
    <n v="0"/>
  </r>
  <r>
    <x v="9"/>
    <s v="Roanoke-Chowan Community College"/>
    <m/>
    <n v="199467"/>
    <x v="8"/>
    <s v="sem"/>
    <m/>
    <m/>
    <m/>
    <n v="5831"/>
    <n v="4848"/>
    <n v="851"/>
    <n v="1106"/>
    <n v="5901"/>
    <n v="4398"/>
    <n v="12583"/>
    <n v="419.43333333333334"/>
    <n v="10352"/>
    <n v="345.06666666666666"/>
    <n v="4747"/>
    <n v="4751"/>
    <n v="12583"/>
    <n v="10352"/>
    <m/>
    <m/>
    <n v="56374"/>
    <n v="27585"/>
    <n v="38707"/>
    <n v="14430"/>
    <n v="40985"/>
    <n v="23466"/>
    <n v="136066"/>
    <n v="151.18444444444444"/>
    <n v="65481"/>
    <n v="72.756666666666661"/>
    <m/>
    <m/>
    <n v="0"/>
    <n v="0"/>
  </r>
  <r>
    <x v="9"/>
    <s v="Robeson Community College"/>
    <s v="Met the criteria for Two-Year 2 in 2020-21."/>
    <n v="199476"/>
    <x v="8"/>
    <s v="sem"/>
    <m/>
    <m/>
    <m/>
    <n v="15113"/>
    <n v="17552"/>
    <n v="4020"/>
    <n v="4955"/>
    <n v="18785"/>
    <n v="18778"/>
    <n v="37918"/>
    <n v="1263.9333333333334"/>
    <n v="41285"/>
    <n v="1376.1666666666667"/>
    <n v="7579"/>
    <n v="8337"/>
    <n v="37918"/>
    <n v="41285"/>
    <m/>
    <m/>
    <n v="198412"/>
    <n v="238790"/>
    <n v="155409"/>
    <n v="124766"/>
    <n v="306481"/>
    <n v="211115"/>
    <n v="660302"/>
    <n v="733.66888888888889"/>
    <n v="574671"/>
    <n v="638.52333333333331"/>
    <m/>
    <m/>
    <n v="0"/>
    <n v="0"/>
  </r>
  <r>
    <x v="9"/>
    <s v="Rockingham Community College "/>
    <m/>
    <n v="199485"/>
    <x v="8"/>
    <s v="sem"/>
    <m/>
    <m/>
    <m/>
    <n v="14219"/>
    <n v="15679"/>
    <n v="3748"/>
    <n v="4532"/>
    <n v="18163"/>
    <n v="16697"/>
    <n v="36130"/>
    <n v="1204.3333333333333"/>
    <n v="36908"/>
    <n v="1230.2666666666667"/>
    <n v="7625"/>
    <n v="8885"/>
    <n v="36130"/>
    <n v="36908"/>
    <m/>
    <m/>
    <n v="81892"/>
    <n v="59555"/>
    <n v="45586"/>
    <n v="27044"/>
    <n v="75754"/>
    <n v="68711"/>
    <n v="203232"/>
    <n v="225.81333333333333"/>
    <n v="155310"/>
    <n v="172.56666666666666"/>
    <m/>
    <m/>
    <n v="0"/>
    <n v="0"/>
  </r>
  <r>
    <x v="9"/>
    <s v="Sampson Community College"/>
    <m/>
    <n v="199625"/>
    <x v="8"/>
    <s v="sem"/>
    <m/>
    <m/>
    <m/>
    <n v="15052"/>
    <n v="15637"/>
    <n v="4467"/>
    <n v="5483"/>
    <n v="16850"/>
    <n v="16424"/>
    <n v="36369"/>
    <n v="1212.3"/>
    <n v="37544"/>
    <n v="1251.4666666666667"/>
    <n v="13371"/>
    <n v="14222"/>
    <n v="36369"/>
    <n v="37544"/>
    <m/>
    <m/>
    <n v="145114"/>
    <n v="99937"/>
    <n v="82577"/>
    <n v="37012"/>
    <n v="166374"/>
    <n v="111220"/>
    <n v="394065"/>
    <n v="437.85"/>
    <n v="248169"/>
    <n v="275.74333333333334"/>
    <m/>
    <m/>
    <n v="0"/>
    <n v="0"/>
  </r>
  <r>
    <x v="9"/>
    <s v="Southeastern Community College "/>
    <m/>
    <n v="199722"/>
    <x v="8"/>
    <s v="sem"/>
    <m/>
    <m/>
    <m/>
    <n v="13618"/>
    <n v="13388"/>
    <n v="3762"/>
    <n v="4072"/>
    <n v="14168"/>
    <n v="12428"/>
    <n v="31548"/>
    <n v="1051.5999999999999"/>
    <n v="29888"/>
    <n v="996.26666666666665"/>
    <n v="9354"/>
    <n v="7715"/>
    <n v="31548"/>
    <n v="29888"/>
    <m/>
    <m/>
    <n v="208840"/>
    <n v="134653"/>
    <n v="102158"/>
    <n v="34896"/>
    <n v="192709"/>
    <n v="69726"/>
    <n v="503707"/>
    <n v="559.67444444444448"/>
    <n v="239275"/>
    <n v="265.86111111111109"/>
    <m/>
    <m/>
    <n v="0"/>
    <n v="0"/>
  </r>
  <r>
    <x v="9"/>
    <s v="Southwestern Community College "/>
    <m/>
    <n v="199731"/>
    <x v="8"/>
    <s v="sem"/>
    <m/>
    <m/>
    <m/>
    <n v="20956"/>
    <n v="20636"/>
    <n v="4049"/>
    <n v="4199"/>
    <n v="21372"/>
    <n v="19833"/>
    <n v="46377"/>
    <n v="1545.9"/>
    <n v="44668"/>
    <n v="1488.9333333333334"/>
    <n v="11390"/>
    <n v="11505"/>
    <n v="46377"/>
    <n v="44668"/>
    <m/>
    <m/>
    <n v="120126"/>
    <n v="92216"/>
    <n v="89973"/>
    <n v="65790"/>
    <n v="132301"/>
    <n v="94109"/>
    <n v="342400"/>
    <n v="380.44444444444446"/>
    <n v="252115"/>
    <n v="280.12777777777779"/>
    <m/>
    <m/>
    <n v="0"/>
    <n v="0"/>
  </r>
  <r>
    <x v="9"/>
    <s v="Tri-County Community College "/>
    <m/>
    <n v="199795"/>
    <x v="8"/>
    <s v="sem"/>
    <m/>
    <m/>
    <m/>
    <n v="9495"/>
    <n v="10574"/>
    <n v="2622"/>
    <n v="2683"/>
    <n v="10973"/>
    <n v="10300"/>
    <n v="23090"/>
    <n v="769.66666666666663"/>
    <n v="23557"/>
    <n v="785.23333333333335"/>
    <n v="9323"/>
    <n v="10035"/>
    <n v="23090"/>
    <n v="23557"/>
    <m/>
    <m/>
    <n v="59344"/>
    <n v="43679"/>
    <n v="40675"/>
    <n v="19456"/>
    <n v="67908"/>
    <n v="42858"/>
    <n v="167927"/>
    <n v="186.58555555555554"/>
    <n v="105993"/>
    <n v="117.77"/>
    <m/>
    <m/>
    <n v="0"/>
    <n v="0"/>
  </r>
  <r>
    <x v="9"/>
    <s v="Western Piedmont Community College "/>
    <m/>
    <n v="199908"/>
    <x v="8"/>
    <s v="sem"/>
    <m/>
    <m/>
    <m/>
    <n v="16817"/>
    <n v="18183"/>
    <n v="4105"/>
    <n v="4681"/>
    <n v="19798"/>
    <n v="18012"/>
    <n v="40720"/>
    <n v="1357.3333333333333"/>
    <n v="40876"/>
    <n v="1362.5333333333333"/>
    <n v="10567"/>
    <n v="11187"/>
    <n v="40720"/>
    <n v="40876"/>
    <m/>
    <m/>
    <n v="115420"/>
    <n v="51003"/>
    <n v="46010"/>
    <n v="17918"/>
    <n v="84010"/>
    <n v="45077"/>
    <n v="245440"/>
    <n v="272.71111111111111"/>
    <n v="113998"/>
    <n v="126.66444444444444"/>
    <m/>
    <m/>
    <n v="0"/>
    <n v="0"/>
  </r>
  <r>
    <x v="9"/>
    <s v="Wilson Community College"/>
    <m/>
    <n v="199953"/>
    <x v="8"/>
    <s v="sem"/>
    <m/>
    <m/>
    <m/>
    <n v="14104"/>
    <n v="14556.5"/>
    <n v="5251"/>
    <n v="5246"/>
    <n v="15703.5"/>
    <n v="16177"/>
    <n v="35058.5"/>
    <n v="1168.6166666666666"/>
    <n v="35979.5"/>
    <n v="1199.3166666666666"/>
    <n v="9785.5"/>
    <n v="10837.5"/>
    <n v="35058.5"/>
    <n v="35979.5"/>
    <m/>
    <m/>
    <n v="102294"/>
    <n v="66889"/>
    <n v="55422"/>
    <n v="24323"/>
    <n v="92042"/>
    <n v="61238"/>
    <n v="249758"/>
    <n v="277.50888888888886"/>
    <n v="152450"/>
    <n v="169.38888888888889"/>
    <m/>
    <m/>
    <n v="0"/>
    <n v="0"/>
  </r>
  <r>
    <x v="10"/>
    <m/>
    <m/>
    <m/>
    <x v="13"/>
    <m/>
    <m/>
    <m/>
    <m/>
    <m/>
    <m/>
    <m/>
    <m/>
    <m/>
    <m/>
    <n v="0"/>
    <n v="0"/>
    <n v="0"/>
    <n v="0"/>
    <m/>
    <m/>
    <n v="0"/>
    <n v="0"/>
    <m/>
    <m/>
    <m/>
    <m/>
    <m/>
    <m/>
    <m/>
    <m/>
    <n v="0"/>
    <n v="0"/>
    <n v="0"/>
    <n v="0"/>
    <m/>
    <m/>
    <n v="0"/>
    <n v="0"/>
  </r>
  <r>
    <x v="10"/>
    <s v="Canadian Valley Technology Center                 "/>
    <m/>
    <n v="365374"/>
    <x v="9"/>
    <m/>
    <m/>
    <m/>
    <m/>
    <m/>
    <m/>
    <m/>
    <m/>
    <m/>
    <m/>
    <n v="0"/>
    <n v="0"/>
    <n v="0"/>
    <n v="0"/>
    <m/>
    <m/>
    <n v="0"/>
    <n v="0"/>
    <m/>
    <m/>
    <m/>
    <m/>
    <m/>
    <m/>
    <n v="1013178.47"/>
    <n v="970575"/>
    <n v="1013178.47"/>
    <n v="1125.7538555555554"/>
    <n v="970575"/>
    <n v="1078.4166666666667"/>
    <m/>
    <m/>
    <n v="0"/>
    <n v="0"/>
  </r>
  <r>
    <x v="10"/>
    <s v="Francis Tuttle Technology Center                  "/>
    <m/>
    <n v="245999"/>
    <x v="9"/>
    <m/>
    <m/>
    <m/>
    <m/>
    <m/>
    <m/>
    <m/>
    <m/>
    <m/>
    <m/>
    <n v="0"/>
    <n v="0"/>
    <n v="0"/>
    <n v="0"/>
    <m/>
    <m/>
    <n v="0"/>
    <n v="0"/>
    <m/>
    <m/>
    <m/>
    <m/>
    <m/>
    <m/>
    <n v="1578505.76"/>
    <n v="1514425.9"/>
    <n v="1578505.76"/>
    <n v="1753.8952888888889"/>
    <n v="1514425.9"/>
    <n v="1682.6954444444443"/>
    <m/>
    <m/>
    <n v="0"/>
    <n v="0"/>
  </r>
  <r>
    <x v="10"/>
    <s v="Tulsa Technology Center-Lemley Campus             "/>
    <s v="Met the criteria for Technical Institute or College 2 in 2019-20."/>
    <n v="261375"/>
    <x v="9"/>
    <m/>
    <m/>
    <m/>
    <m/>
    <m/>
    <m/>
    <m/>
    <m/>
    <m/>
    <m/>
    <n v="0"/>
    <n v="0"/>
    <n v="0"/>
    <n v="0"/>
    <m/>
    <m/>
    <n v="0"/>
    <n v="0"/>
    <m/>
    <m/>
    <m/>
    <m/>
    <m/>
    <m/>
    <n v="751564.71"/>
    <n v="1309950"/>
    <n v="751564.71"/>
    <n v="835.07189999999991"/>
    <n v="1309950"/>
    <n v="1455.5"/>
    <m/>
    <m/>
    <n v="0"/>
    <n v="0"/>
  </r>
  <r>
    <x v="10"/>
    <s v="Autry Technology Center                           "/>
    <m/>
    <n v="365213"/>
    <x v="10"/>
    <m/>
    <m/>
    <m/>
    <m/>
    <m/>
    <m/>
    <m/>
    <m/>
    <m/>
    <m/>
    <n v="0"/>
    <n v="0"/>
    <n v="0"/>
    <n v="0"/>
    <m/>
    <m/>
    <n v="0"/>
    <n v="0"/>
    <m/>
    <m/>
    <m/>
    <m/>
    <m/>
    <m/>
    <n v="368359.08"/>
    <n v="465419.4"/>
    <n v="368359.08"/>
    <n v="409.28786666666667"/>
    <n v="465419.4"/>
    <n v="517.13266666666664"/>
    <m/>
    <m/>
    <n v="0"/>
    <n v="0"/>
  </r>
  <r>
    <x v="10"/>
    <s v="Caddo Kiowa Technology Center                     "/>
    <m/>
    <n v="364946"/>
    <x v="10"/>
    <m/>
    <m/>
    <m/>
    <m/>
    <m/>
    <m/>
    <m/>
    <m/>
    <m/>
    <m/>
    <n v="0"/>
    <n v="0"/>
    <n v="0"/>
    <n v="0"/>
    <m/>
    <m/>
    <n v="0"/>
    <n v="0"/>
    <m/>
    <m/>
    <m/>
    <m/>
    <m/>
    <m/>
    <n v="290951.09999999998"/>
    <n v="256418.1"/>
    <n v="290951.09999999998"/>
    <n v="323.279"/>
    <n v="256418.1"/>
    <n v="284.90899999999999"/>
    <m/>
    <m/>
    <n v="0"/>
    <n v="0"/>
  </r>
  <r>
    <x v="10"/>
    <s v="Central Technology Center                         "/>
    <m/>
    <n v="246017"/>
    <x v="10"/>
    <m/>
    <m/>
    <m/>
    <m/>
    <m/>
    <m/>
    <m/>
    <m/>
    <m/>
    <m/>
    <n v="0"/>
    <n v="0"/>
    <n v="0"/>
    <n v="0"/>
    <m/>
    <m/>
    <n v="0"/>
    <n v="0"/>
    <m/>
    <m/>
    <m/>
    <m/>
    <m/>
    <m/>
    <n v="852056.76"/>
    <n v="677725.7"/>
    <n v="852056.76"/>
    <n v="946.72973333333334"/>
    <n v="677725.7"/>
    <n v="753.0285555555555"/>
    <m/>
    <m/>
    <n v="0"/>
    <n v="0"/>
  </r>
  <r>
    <x v="10"/>
    <s v="Chisholm Trail Technology Center                  "/>
    <m/>
    <n v="375656"/>
    <x v="10"/>
    <m/>
    <m/>
    <m/>
    <m/>
    <m/>
    <m/>
    <m/>
    <m/>
    <m/>
    <m/>
    <n v="0"/>
    <n v="0"/>
    <n v="0"/>
    <n v="0"/>
    <m/>
    <m/>
    <n v="0"/>
    <n v="0"/>
    <m/>
    <m/>
    <m/>
    <m/>
    <m/>
    <m/>
    <n v="145383.78"/>
    <n v="126730.5"/>
    <n v="145383.78"/>
    <n v="161.53753333333333"/>
    <n v="126730.5"/>
    <n v="140.81166666666667"/>
    <m/>
    <m/>
    <n v="0"/>
    <n v="0"/>
  </r>
  <r>
    <x v="10"/>
    <s v="Eastern Oklahoma County Technology Center         "/>
    <m/>
    <n v="418348"/>
    <x v="10"/>
    <m/>
    <m/>
    <m/>
    <m/>
    <m/>
    <m/>
    <m/>
    <m/>
    <m/>
    <m/>
    <n v="0"/>
    <n v="0"/>
    <n v="0"/>
    <n v="0"/>
    <m/>
    <m/>
    <n v="0"/>
    <n v="0"/>
    <m/>
    <m/>
    <m/>
    <m/>
    <m/>
    <m/>
    <n v="366625.33"/>
    <n v="487232.9"/>
    <n v="366625.33"/>
    <n v="407.36147777777779"/>
    <n v="487232.9"/>
    <n v="541.36988888888891"/>
    <m/>
    <m/>
    <n v="0"/>
    <n v="0"/>
  </r>
  <r>
    <x v="10"/>
    <s v="Gordon Cooper Technology Center                   "/>
    <s v=" Met the criteria for Technical Institute or College 1 in 2020-21"/>
    <n v="375683"/>
    <x v="10"/>
    <m/>
    <m/>
    <m/>
    <m/>
    <m/>
    <m/>
    <m/>
    <m/>
    <m/>
    <m/>
    <n v="0"/>
    <n v="0"/>
    <n v="0"/>
    <n v="0"/>
    <m/>
    <m/>
    <n v="0"/>
    <n v="0"/>
    <m/>
    <m/>
    <m/>
    <m/>
    <m/>
    <m/>
    <n v="593311.30000000005"/>
    <n v="1009352.8"/>
    <n v="593311.30000000005"/>
    <n v="659.23477777777782"/>
    <n v="1009352.8"/>
    <n v="1121.5031111111111"/>
    <m/>
    <m/>
    <n v="0"/>
    <n v="0"/>
  </r>
  <r>
    <x v="10"/>
    <s v="Great Plains Technology Center                    "/>
    <m/>
    <n v="364548"/>
    <x v="10"/>
    <m/>
    <m/>
    <m/>
    <m/>
    <m/>
    <m/>
    <m/>
    <m/>
    <m/>
    <m/>
    <n v="0"/>
    <n v="0"/>
    <n v="0"/>
    <n v="0"/>
    <m/>
    <m/>
    <n v="0"/>
    <n v="0"/>
    <m/>
    <m/>
    <m/>
    <m/>
    <m/>
    <m/>
    <n v="766348.03"/>
    <n v="683487"/>
    <n v="766348.03"/>
    <n v="851.4978111111111"/>
    <n v="683487"/>
    <n v="759.43"/>
    <m/>
    <m/>
    <n v="0"/>
    <n v="0"/>
  </r>
  <r>
    <x v="10"/>
    <s v="Green Country Technology Center                   "/>
    <m/>
    <n v="428019"/>
    <x v="10"/>
    <m/>
    <m/>
    <m/>
    <m/>
    <m/>
    <m/>
    <m/>
    <m/>
    <m/>
    <m/>
    <n v="0"/>
    <n v="0"/>
    <n v="0"/>
    <n v="0"/>
    <m/>
    <m/>
    <n v="0"/>
    <n v="0"/>
    <m/>
    <m/>
    <m/>
    <m/>
    <m/>
    <m/>
    <n v="186012.7"/>
    <n v="233309"/>
    <n v="186012.7"/>
    <n v="206.68077777777779"/>
    <n v="233309"/>
    <n v="259.23222222222222"/>
    <m/>
    <m/>
    <n v="0"/>
    <n v="0"/>
  </r>
  <r>
    <x v="10"/>
    <s v="High Plains Technology Center                     "/>
    <m/>
    <n v="208053"/>
    <x v="10"/>
    <m/>
    <m/>
    <m/>
    <m/>
    <m/>
    <m/>
    <m/>
    <m/>
    <m/>
    <m/>
    <n v="0"/>
    <n v="0"/>
    <n v="0"/>
    <n v="0"/>
    <m/>
    <m/>
    <n v="0"/>
    <n v="0"/>
    <m/>
    <m/>
    <m/>
    <m/>
    <m/>
    <m/>
    <n v="203650.91"/>
    <n v="204946.9"/>
    <n v="203650.91"/>
    <n v="226.2787888888889"/>
    <n v="204946.9"/>
    <n v="227.71877777777777"/>
    <m/>
    <m/>
    <n v="0"/>
    <n v="0"/>
  </r>
  <r>
    <x v="10"/>
    <s v="Indian Capital Technology Center-Muskogee         "/>
    <m/>
    <n v="418296"/>
    <x v="10"/>
    <m/>
    <m/>
    <m/>
    <m/>
    <m/>
    <m/>
    <m/>
    <m/>
    <m/>
    <m/>
    <n v="0"/>
    <n v="0"/>
    <n v="0"/>
    <n v="0"/>
    <m/>
    <m/>
    <n v="0"/>
    <n v="0"/>
    <m/>
    <m/>
    <m/>
    <m/>
    <m/>
    <m/>
    <n v="452639.67"/>
    <n v="517115.4"/>
    <n v="452639.67"/>
    <n v="502.93296666666663"/>
    <n v="517115.4"/>
    <n v="574.57266666666669"/>
    <m/>
    <m/>
    <n v="0"/>
    <n v="0"/>
  </r>
  <r>
    <x v="10"/>
    <s v="Indian Capital Technology Center-Sallisaw         "/>
    <m/>
    <n v="421540"/>
    <x v="10"/>
    <m/>
    <m/>
    <m/>
    <m/>
    <m/>
    <m/>
    <m/>
    <m/>
    <m/>
    <m/>
    <n v="0"/>
    <n v="0"/>
    <n v="0"/>
    <n v="0"/>
    <m/>
    <m/>
    <n v="0"/>
    <n v="0"/>
    <m/>
    <m/>
    <m/>
    <m/>
    <m/>
    <m/>
    <n v="120424.69"/>
    <n v="99576.7"/>
    <n v="120424.69"/>
    <n v="133.80521111111111"/>
    <n v="99576.7"/>
    <n v="110.64077777777777"/>
    <m/>
    <m/>
    <n v="0"/>
    <n v="0"/>
  </r>
  <r>
    <x v="10"/>
    <s v="Indian Capital Technology Center-Stilwell         "/>
    <m/>
    <n v="421559"/>
    <x v="10"/>
    <m/>
    <m/>
    <m/>
    <m/>
    <m/>
    <m/>
    <m/>
    <m/>
    <m/>
    <m/>
    <n v="0"/>
    <n v="0"/>
    <n v="0"/>
    <n v="0"/>
    <m/>
    <m/>
    <n v="0"/>
    <n v="0"/>
    <m/>
    <m/>
    <m/>
    <m/>
    <m/>
    <m/>
    <n v="96298.68"/>
    <n v="114030"/>
    <n v="96298.68"/>
    <n v="106.99853333333333"/>
    <n v="114030"/>
    <n v="126.7"/>
    <m/>
    <m/>
    <n v="0"/>
    <n v="0"/>
  </r>
  <r>
    <x v="10"/>
    <s v="Indian Capital Technology Center-Tahlequah        "/>
    <m/>
    <n v="208026"/>
    <x v="10"/>
    <m/>
    <m/>
    <m/>
    <m/>
    <m/>
    <m/>
    <m/>
    <m/>
    <m/>
    <m/>
    <n v="0"/>
    <n v="0"/>
    <n v="0"/>
    <n v="0"/>
    <m/>
    <m/>
    <n v="0"/>
    <n v="0"/>
    <m/>
    <m/>
    <m/>
    <m/>
    <m/>
    <m/>
    <n v="196529.22"/>
    <n v="228733.2"/>
    <n v="196529.22"/>
    <n v="218.36580000000001"/>
    <n v="228733.2"/>
    <n v="254.14800000000002"/>
    <m/>
    <m/>
    <n v="0"/>
    <n v="0"/>
  </r>
  <r>
    <x v="10"/>
    <s v="Kiamichi Technology Center-Atoka                  "/>
    <m/>
    <n v="375692"/>
    <x v="10"/>
    <m/>
    <m/>
    <m/>
    <m/>
    <m/>
    <m/>
    <m/>
    <m/>
    <m/>
    <m/>
    <n v="0"/>
    <n v="0"/>
    <n v="0"/>
    <n v="0"/>
    <m/>
    <m/>
    <n v="0"/>
    <n v="0"/>
    <m/>
    <m/>
    <m/>
    <m/>
    <m/>
    <m/>
    <n v="121865.98"/>
    <n v="203282"/>
    <n v="121865.98"/>
    <n v="135.40664444444445"/>
    <n v="203282"/>
    <n v="225.86888888888888"/>
    <m/>
    <m/>
    <n v="0"/>
    <n v="0"/>
  </r>
  <r>
    <x v="10"/>
    <s v="Kiamichi Technology Center-Durant                 "/>
    <m/>
    <n v="375708"/>
    <x v="10"/>
    <m/>
    <m/>
    <m/>
    <m/>
    <m/>
    <m/>
    <m/>
    <m/>
    <m/>
    <m/>
    <n v="0"/>
    <n v="0"/>
    <n v="0"/>
    <n v="0"/>
    <m/>
    <m/>
    <n v="0"/>
    <n v="0"/>
    <m/>
    <m/>
    <m/>
    <m/>
    <m/>
    <m/>
    <n v="173694.75"/>
    <n v="151019.5"/>
    <n v="173694.75"/>
    <n v="192.99416666666667"/>
    <n v="151019.5"/>
    <n v="167.79944444444445"/>
    <m/>
    <m/>
    <n v="0"/>
    <n v="0"/>
  </r>
  <r>
    <x v="10"/>
    <s v="Kiamichi Technology Center-Hugo                   "/>
    <m/>
    <n v="375717"/>
    <x v="10"/>
    <m/>
    <m/>
    <m/>
    <m/>
    <m/>
    <m/>
    <m/>
    <m/>
    <m/>
    <m/>
    <n v="0"/>
    <n v="0"/>
    <n v="0"/>
    <n v="0"/>
    <m/>
    <m/>
    <n v="0"/>
    <n v="0"/>
    <m/>
    <m/>
    <m/>
    <m/>
    <m/>
    <m/>
    <n v="94510.59"/>
    <n v="71652"/>
    <n v="94510.59"/>
    <n v="105.01176666666666"/>
    <n v="71652"/>
    <n v="79.61333333333333"/>
    <m/>
    <m/>
    <n v="0"/>
    <n v="0"/>
  </r>
  <r>
    <x v="10"/>
    <s v="Kiamichi Technology Center-Idabel                 "/>
    <m/>
    <n v="375735"/>
    <x v="10"/>
    <m/>
    <m/>
    <m/>
    <m/>
    <m/>
    <m/>
    <m/>
    <m/>
    <m/>
    <m/>
    <n v="0"/>
    <n v="0"/>
    <n v="0"/>
    <n v="0"/>
    <m/>
    <m/>
    <n v="0"/>
    <n v="0"/>
    <m/>
    <m/>
    <m/>
    <m/>
    <m/>
    <m/>
    <n v="168725.32"/>
    <n v="164047"/>
    <n v="168725.32"/>
    <n v="187.47257777777779"/>
    <n v="164047"/>
    <n v="182.27444444444444"/>
    <m/>
    <m/>
    <n v="0"/>
    <n v="0"/>
  </r>
  <r>
    <x v="10"/>
    <s v="Kiamichi Technology Center-McAlester              "/>
    <m/>
    <n v="375726"/>
    <x v="10"/>
    <m/>
    <m/>
    <m/>
    <m/>
    <m/>
    <m/>
    <m/>
    <m/>
    <m/>
    <m/>
    <n v="0"/>
    <n v="0"/>
    <n v="0"/>
    <n v="0"/>
    <m/>
    <m/>
    <n v="0"/>
    <n v="0"/>
    <m/>
    <m/>
    <m/>
    <m/>
    <m/>
    <m/>
    <n v="283838.7"/>
    <n v="241451"/>
    <n v="283838.7"/>
    <n v="315.37633333333332"/>
    <n v="241451"/>
    <n v="268.2788888888889"/>
    <m/>
    <m/>
    <n v="0"/>
    <n v="0"/>
  </r>
  <r>
    <x v="10"/>
    <s v="Kiamichi Technology Center-Poteau                 "/>
    <m/>
    <n v="375744"/>
    <x v="10"/>
    <m/>
    <m/>
    <m/>
    <m/>
    <m/>
    <m/>
    <m/>
    <m/>
    <m/>
    <m/>
    <n v="0"/>
    <n v="0"/>
    <n v="0"/>
    <n v="0"/>
    <m/>
    <m/>
    <n v="0"/>
    <n v="0"/>
    <m/>
    <m/>
    <m/>
    <m/>
    <m/>
    <m/>
    <n v="229024.9"/>
    <n v="203094"/>
    <n v="229024.9"/>
    <n v="254.4721111111111"/>
    <n v="203094"/>
    <n v="225.66"/>
    <m/>
    <m/>
    <n v="0"/>
    <n v="0"/>
  </r>
  <r>
    <x v="10"/>
    <s v="Kiamichi Technology Center-Spiro                  "/>
    <m/>
    <n v="375753"/>
    <x v="10"/>
    <m/>
    <m/>
    <m/>
    <m/>
    <m/>
    <m/>
    <m/>
    <m/>
    <m/>
    <m/>
    <n v="0"/>
    <n v="0"/>
    <n v="0"/>
    <n v="0"/>
    <m/>
    <m/>
    <n v="0"/>
    <n v="0"/>
    <m/>
    <m/>
    <m/>
    <m/>
    <m/>
    <m/>
    <n v="16925"/>
    <n v="15054"/>
    <n v="16925"/>
    <n v="18.805555555555557"/>
    <n v="15054"/>
    <n v="16.726666666666667"/>
    <m/>
    <m/>
    <n v="0"/>
    <n v="0"/>
  </r>
  <r>
    <x v="10"/>
    <s v="Kiamichi Technology Center-Stigler                "/>
    <m/>
    <n v="405748"/>
    <x v="10"/>
    <m/>
    <m/>
    <m/>
    <m/>
    <m/>
    <m/>
    <m/>
    <m/>
    <m/>
    <m/>
    <n v="0"/>
    <n v="0"/>
    <n v="0"/>
    <n v="0"/>
    <m/>
    <m/>
    <n v="0"/>
    <n v="0"/>
    <m/>
    <m/>
    <m/>
    <m/>
    <m/>
    <m/>
    <n v="81216.78"/>
    <n v="79776"/>
    <n v="81216.78"/>
    <n v="90.240866666666662"/>
    <n v="79776"/>
    <n v="88.64"/>
    <m/>
    <m/>
    <n v="0"/>
    <n v="0"/>
  </r>
  <r>
    <x v="10"/>
    <s v="Kiamichi Technology Center-Talihina               "/>
    <m/>
    <n v="375762"/>
    <x v="10"/>
    <m/>
    <m/>
    <m/>
    <m/>
    <m/>
    <m/>
    <m/>
    <m/>
    <m/>
    <m/>
    <n v="0"/>
    <n v="0"/>
    <n v="0"/>
    <n v="0"/>
    <m/>
    <m/>
    <n v="0"/>
    <n v="0"/>
    <m/>
    <m/>
    <m/>
    <m/>
    <m/>
    <m/>
    <n v="65027.33"/>
    <n v="57855"/>
    <n v="65027.33"/>
    <n v="72.252588888888894"/>
    <n v="57855"/>
    <n v="64.283333333333331"/>
    <m/>
    <m/>
    <n v="0"/>
    <n v="0"/>
  </r>
  <r>
    <x v="10"/>
    <s v="Meridian Technology Center                        "/>
    <m/>
    <n v="365480"/>
    <x v="10"/>
    <m/>
    <m/>
    <m/>
    <m/>
    <m/>
    <m/>
    <m/>
    <m/>
    <m/>
    <m/>
    <n v="0"/>
    <n v="0"/>
    <n v="0"/>
    <n v="0"/>
    <m/>
    <m/>
    <n v="0"/>
    <n v="0"/>
    <m/>
    <m/>
    <m/>
    <m/>
    <m/>
    <m/>
    <n v="509245.37"/>
    <n v="546093.80000000005"/>
    <n v="509245.37"/>
    <n v="565.82818888888892"/>
    <n v="546093.80000000005"/>
    <n v="606.77088888888898"/>
    <m/>
    <m/>
    <n v="0"/>
    <n v="0"/>
  </r>
  <r>
    <x v="10"/>
    <s v="Metro Technology Centers                          "/>
    <m/>
    <n v="363165"/>
    <x v="10"/>
    <m/>
    <m/>
    <m/>
    <m/>
    <m/>
    <m/>
    <m/>
    <m/>
    <m/>
    <m/>
    <n v="0"/>
    <n v="0"/>
    <n v="0"/>
    <n v="0"/>
    <m/>
    <m/>
    <n v="0"/>
    <n v="0"/>
    <m/>
    <m/>
    <m/>
    <m/>
    <m/>
    <m/>
    <n v="712439.32"/>
    <n v="694158.8"/>
    <n v="712439.32"/>
    <n v="791.59924444444437"/>
    <n v="694158.8"/>
    <n v="771.28755555555563"/>
    <m/>
    <m/>
    <n v="0"/>
    <n v="0"/>
  </r>
  <r>
    <x v="10"/>
    <s v="Mid-America Technology Center                     "/>
    <s v=" Met the criteria for Technical Institute or College 1 in 2020-21"/>
    <n v="418320"/>
    <x v="10"/>
    <m/>
    <m/>
    <m/>
    <m/>
    <m/>
    <m/>
    <m/>
    <m/>
    <m/>
    <m/>
    <n v="0"/>
    <n v="0"/>
    <n v="0"/>
    <n v="0"/>
    <m/>
    <m/>
    <n v="0"/>
    <n v="0"/>
    <m/>
    <m/>
    <m/>
    <m/>
    <m/>
    <m/>
    <n v="489818.93"/>
    <n v="924678"/>
    <n v="489818.93"/>
    <n v="544.24325555555549"/>
    <n v="924678"/>
    <n v="1027.42"/>
    <m/>
    <m/>
    <n v="0"/>
    <n v="0"/>
  </r>
  <r>
    <x v="10"/>
    <s v="Mid-Del Technology Center                         "/>
    <m/>
    <n v="431017"/>
    <x v="10"/>
    <m/>
    <m/>
    <m/>
    <m/>
    <m/>
    <m/>
    <m/>
    <m/>
    <m/>
    <m/>
    <n v="0"/>
    <n v="0"/>
    <n v="0"/>
    <n v="0"/>
    <m/>
    <m/>
    <n v="0"/>
    <n v="0"/>
    <m/>
    <m/>
    <m/>
    <m/>
    <m/>
    <m/>
    <n v="340899.65"/>
    <n v="564600"/>
    <n v="340899.65"/>
    <n v="378.77738888888894"/>
    <n v="564600"/>
    <n v="627.33333333333337"/>
    <m/>
    <m/>
    <n v="0"/>
    <n v="0"/>
  </r>
  <r>
    <x v="10"/>
    <s v="Moore Norman Technology Center                    "/>
    <s v="Met the criteria for Technical Institute or College 1 in 2019-20, and 2020-21"/>
    <n v="248606"/>
    <x v="10"/>
    <m/>
    <m/>
    <m/>
    <m/>
    <m/>
    <m/>
    <m/>
    <m/>
    <m/>
    <m/>
    <n v="0"/>
    <n v="0"/>
    <n v="0"/>
    <n v="0"/>
    <m/>
    <m/>
    <n v="0"/>
    <n v="0"/>
    <m/>
    <m/>
    <m/>
    <m/>
    <m/>
    <m/>
    <n v="965709"/>
    <n v="1970282.5"/>
    <n v="965709"/>
    <n v="1073.01"/>
    <n v="1970282.5"/>
    <n v="2189.2027777777776"/>
    <m/>
    <m/>
    <n v="0"/>
    <n v="0"/>
  </r>
  <r>
    <x v="10"/>
    <s v="Northeast Technology Center-Afton                 "/>
    <m/>
    <n v="420459"/>
    <x v="10"/>
    <m/>
    <m/>
    <m/>
    <m/>
    <m/>
    <m/>
    <m/>
    <m/>
    <m/>
    <m/>
    <n v="0"/>
    <n v="0"/>
    <n v="0"/>
    <n v="0"/>
    <m/>
    <m/>
    <n v="0"/>
    <n v="0"/>
    <m/>
    <m/>
    <m/>
    <m/>
    <m/>
    <m/>
    <n v="278844.75"/>
    <n v="268268"/>
    <n v="278844.75"/>
    <n v="309.82749999999999"/>
    <n v="268268"/>
    <n v="298.07555555555558"/>
    <m/>
    <m/>
    <n v="0"/>
    <n v="0"/>
  </r>
  <r>
    <x v="10"/>
    <s v="Northeast Technology Center-Claremore"/>
    <m/>
    <n v="456560"/>
    <x v="10"/>
    <m/>
    <m/>
    <m/>
    <m/>
    <m/>
    <m/>
    <m/>
    <m/>
    <m/>
    <m/>
    <n v="0"/>
    <n v="0"/>
    <n v="0"/>
    <n v="0"/>
    <m/>
    <m/>
    <n v="0"/>
    <n v="0"/>
    <m/>
    <m/>
    <m/>
    <m/>
    <m/>
    <m/>
    <n v="238524.75"/>
    <n v="188328"/>
    <n v="238524.75"/>
    <n v="265.02749999999997"/>
    <n v="188328"/>
    <n v="209.25333333333333"/>
    <m/>
    <m/>
    <n v="0"/>
    <n v="0"/>
  </r>
  <r>
    <x v="10"/>
    <s v="Northeast Technology Center-Kansas                "/>
    <m/>
    <n v="432074"/>
    <x v="10"/>
    <m/>
    <m/>
    <m/>
    <m/>
    <m/>
    <m/>
    <m/>
    <m/>
    <m/>
    <m/>
    <n v="0"/>
    <n v="0"/>
    <n v="0"/>
    <n v="0"/>
    <m/>
    <m/>
    <n v="0"/>
    <n v="0"/>
    <m/>
    <m/>
    <m/>
    <m/>
    <m/>
    <m/>
    <n v="136506.5"/>
    <n v="144608"/>
    <n v="136506.5"/>
    <n v="151.67388888888888"/>
    <n v="144608"/>
    <n v="160.67555555555555"/>
    <m/>
    <m/>
    <n v="0"/>
    <n v="0"/>
  </r>
  <r>
    <x v="10"/>
    <s v="Northeast Technology Center-Pryor                 "/>
    <m/>
    <n v="418339"/>
    <x v="10"/>
    <m/>
    <m/>
    <m/>
    <m/>
    <m/>
    <m/>
    <m/>
    <m/>
    <m/>
    <m/>
    <n v="0"/>
    <n v="0"/>
    <n v="0"/>
    <n v="0"/>
    <m/>
    <m/>
    <n v="0"/>
    <n v="0"/>
    <m/>
    <m/>
    <m/>
    <m/>
    <m/>
    <m/>
    <n v="292105.96999999997"/>
    <n v="291293.5"/>
    <n v="292105.96999999997"/>
    <n v="324.56218888888884"/>
    <n v="291293.5"/>
    <n v="323.65944444444443"/>
    <m/>
    <m/>
    <n v="0"/>
    <n v="0"/>
  </r>
  <r>
    <x v="10"/>
    <s v="Northwest Technology Center-Alva                  "/>
    <m/>
    <n v="366623"/>
    <x v="10"/>
    <m/>
    <m/>
    <m/>
    <m/>
    <m/>
    <m/>
    <m/>
    <m/>
    <m/>
    <m/>
    <n v="0"/>
    <n v="0"/>
    <n v="0"/>
    <n v="0"/>
    <m/>
    <m/>
    <n v="0"/>
    <n v="0"/>
    <m/>
    <m/>
    <m/>
    <m/>
    <m/>
    <m/>
    <n v="102168"/>
    <n v="90094.5"/>
    <n v="102168"/>
    <n v="113.52"/>
    <n v="90094.5"/>
    <n v="100.105"/>
    <m/>
    <m/>
    <n v="0"/>
    <n v="0"/>
  </r>
  <r>
    <x v="10"/>
    <s v="Northwest Technology Center-Fairview              "/>
    <m/>
    <n v="407601"/>
    <x v="10"/>
    <m/>
    <m/>
    <m/>
    <m/>
    <m/>
    <m/>
    <m/>
    <m/>
    <m/>
    <m/>
    <n v="0"/>
    <n v="0"/>
    <n v="0"/>
    <n v="0"/>
    <m/>
    <m/>
    <n v="0"/>
    <n v="0"/>
    <m/>
    <m/>
    <m/>
    <m/>
    <m/>
    <m/>
    <n v="75018.62"/>
    <n v="59402"/>
    <n v="75018.62"/>
    <n v="83.354022222222213"/>
    <n v="59402"/>
    <n v="66.002222222222215"/>
    <m/>
    <m/>
    <n v="0"/>
    <n v="0"/>
  </r>
  <r>
    <x v="10"/>
    <s v="Pioneer Technology Center                         "/>
    <m/>
    <n v="364627"/>
    <x v="10"/>
    <m/>
    <m/>
    <m/>
    <m/>
    <m/>
    <m/>
    <m/>
    <m/>
    <m/>
    <m/>
    <n v="0"/>
    <n v="0"/>
    <n v="0"/>
    <n v="0"/>
    <m/>
    <m/>
    <n v="0"/>
    <n v="0"/>
    <m/>
    <m/>
    <m/>
    <m/>
    <m/>
    <m/>
    <n v="329025.89"/>
    <n v="289198"/>
    <n v="329025.89"/>
    <n v="365.58432222222223"/>
    <n v="289198"/>
    <n v="321.33111111111111"/>
    <m/>
    <m/>
    <n v="0"/>
    <n v="0"/>
  </r>
  <r>
    <x v="10"/>
    <s v="Pontotoc Technology Center                        "/>
    <m/>
    <n v="206905"/>
    <x v="10"/>
    <m/>
    <m/>
    <m/>
    <m/>
    <m/>
    <m/>
    <m/>
    <m/>
    <m/>
    <m/>
    <n v="0"/>
    <n v="0"/>
    <n v="0"/>
    <n v="0"/>
    <m/>
    <m/>
    <n v="0"/>
    <n v="0"/>
    <m/>
    <m/>
    <m/>
    <m/>
    <m/>
    <m/>
    <n v="178204.59"/>
    <n v="182868.6"/>
    <n v="178204.59"/>
    <n v="198.0051"/>
    <n v="182868.6"/>
    <n v="203.18733333333333"/>
    <m/>
    <m/>
    <n v="0"/>
    <n v="0"/>
  </r>
  <r>
    <x v="10"/>
    <s v="Red River Technology Center                       "/>
    <m/>
    <n v="250993"/>
    <x v="10"/>
    <m/>
    <m/>
    <m/>
    <m/>
    <m/>
    <m/>
    <m/>
    <m/>
    <m/>
    <m/>
    <n v="0"/>
    <n v="0"/>
    <n v="0"/>
    <n v="0"/>
    <m/>
    <m/>
    <n v="0"/>
    <n v="0"/>
    <m/>
    <m/>
    <m/>
    <m/>
    <m/>
    <m/>
    <n v="237938.52"/>
    <n v="456748.1"/>
    <n v="237938.52"/>
    <n v="264.37613333333331"/>
    <n v="456748.1"/>
    <n v="507.49788888888884"/>
    <m/>
    <m/>
    <n v="0"/>
    <n v="0"/>
  </r>
  <r>
    <x v="10"/>
    <s v="Southern Oklahoma Technology Center               "/>
    <m/>
    <n v="365198"/>
    <x v="10"/>
    <m/>
    <m/>
    <m/>
    <m/>
    <m/>
    <m/>
    <m/>
    <m/>
    <m/>
    <m/>
    <n v="0"/>
    <n v="0"/>
    <n v="0"/>
    <n v="0"/>
    <m/>
    <m/>
    <n v="0"/>
    <n v="0"/>
    <m/>
    <m/>
    <m/>
    <m/>
    <m/>
    <m/>
    <n v="406473.71"/>
    <n v="785593.7"/>
    <n v="406473.71"/>
    <n v="451.63745555555556"/>
    <n v="785593.7"/>
    <n v="872.88188888888885"/>
    <m/>
    <m/>
    <n v="0"/>
    <n v="0"/>
  </r>
  <r>
    <x v="10"/>
    <s v="Southwest Technology Center                       "/>
    <m/>
    <n v="368364"/>
    <x v="10"/>
    <m/>
    <m/>
    <m/>
    <m/>
    <m/>
    <m/>
    <m/>
    <m/>
    <m/>
    <m/>
    <n v="0"/>
    <n v="0"/>
    <n v="0"/>
    <n v="0"/>
    <m/>
    <m/>
    <n v="0"/>
    <n v="0"/>
    <m/>
    <m/>
    <m/>
    <m/>
    <m/>
    <m/>
    <n v="179521.29"/>
    <n v="198633.5"/>
    <n v="179521.29"/>
    <n v="199.46810000000002"/>
    <n v="198633.5"/>
    <n v="220.70388888888888"/>
    <m/>
    <m/>
    <n v="0"/>
    <n v="0"/>
  </r>
  <r>
    <x v="10"/>
    <s v="Tri County Technology Center                      "/>
    <m/>
    <n v="418287"/>
    <x v="10"/>
    <m/>
    <m/>
    <m/>
    <m/>
    <m/>
    <m/>
    <m/>
    <m/>
    <m/>
    <m/>
    <n v="0"/>
    <n v="0"/>
    <n v="0"/>
    <n v="0"/>
    <m/>
    <m/>
    <n v="0"/>
    <n v="0"/>
    <m/>
    <m/>
    <m/>
    <m/>
    <m/>
    <m/>
    <n v="362212.89"/>
    <n v="309395"/>
    <n v="362212.89"/>
    <n v="402.45876666666669"/>
    <n v="309395"/>
    <n v="343.77222222222224"/>
    <m/>
    <m/>
    <n v="0"/>
    <n v="0"/>
  </r>
  <r>
    <x v="10"/>
    <s v="Tulsa County Area Voc Tech School Dist 18-Peoria  "/>
    <m/>
    <n v="207607"/>
    <x v="10"/>
    <m/>
    <m/>
    <m/>
    <m/>
    <m/>
    <m/>
    <m/>
    <m/>
    <m/>
    <m/>
    <n v="0"/>
    <n v="0"/>
    <n v="0"/>
    <n v="0"/>
    <m/>
    <m/>
    <n v="0"/>
    <n v="0"/>
    <m/>
    <m/>
    <m/>
    <m/>
    <m/>
    <m/>
    <n v="372974.93"/>
    <n v="333342"/>
    <n v="372974.93"/>
    <n v="414.4165888888889"/>
    <n v="333342"/>
    <n v="370.38"/>
    <m/>
    <m/>
    <n v="0"/>
    <n v="0"/>
  </r>
  <r>
    <x v="10"/>
    <s v="Tulsa Technology Center-Broken Arrow Campus       "/>
    <m/>
    <n v="261393"/>
    <x v="10"/>
    <m/>
    <m/>
    <m/>
    <m/>
    <m/>
    <m/>
    <m/>
    <m/>
    <m/>
    <m/>
    <n v="0"/>
    <n v="0"/>
    <n v="0"/>
    <n v="0"/>
    <m/>
    <m/>
    <n v="0"/>
    <n v="0"/>
    <m/>
    <m/>
    <m/>
    <m/>
    <m/>
    <m/>
    <n v="445145.86"/>
    <n v="424787.5"/>
    <n v="445145.86"/>
    <n v="494.6065111111111"/>
    <n v="424787.5"/>
    <n v="471.98611111111109"/>
    <m/>
    <m/>
    <n v="0"/>
    <n v="0"/>
  </r>
  <r>
    <x v="10"/>
    <s v="Tulsa Technology Center-Owasso"/>
    <m/>
    <n v="482264"/>
    <x v="10"/>
    <m/>
    <m/>
    <m/>
    <m/>
    <m/>
    <m/>
    <m/>
    <m/>
    <m/>
    <m/>
    <n v="0"/>
    <n v="0"/>
    <n v="0"/>
    <n v="0"/>
    <m/>
    <m/>
    <n v="0"/>
    <n v="0"/>
    <m/>
    <m/>
    <m/>
    <m/>
    <m/>
    <m/>
    <n v="273866.96999999997"/>
    <n v="251858"/>
    <n v="273866.96999999997"/>
    <n v="304.29663333333332"/>
    <n v="251858"/>
    <n v="279.84222222222223"/>
    <m/>
    <m/>
    <n v="0"/>
    <n v="0"/>
  </r>
  <r>
    <x v="10"/>
    <s v="Tulsa Technology Center-Riverside Campus          "/>
    <m/>
    <n v="261384"/>
    <x v="10"/>
    <m/>
    <m/>
    <m/>
    <m/>
    <m/>
    <m/>
    <m/>
    <m/>
    <m/>
    <m/>
    <n v="0"/>
    <n v="0"/>
    <n v="0"/>
    <n v="0"/>
    <m/>
    <m/>
    <n v="0"/>
    <n v="0"/>
    <m/>
    <m/>
    <m/>
    <m/>
    <m/>
    <m/>
    <n v="441856.48"/>
    <n v="433976"/>
    <n v="441856.48"/>
    <n v="490.95164444444441"/>
    <n v="433976"/>
    <n v="482.19555555555553"/>
    <m/>
    <m/>
    <n v="0"/>
    <n v="0"/>
  </r>
  <r>
    <x v="10"/>
    <s v="Tulsa Technology Center-Sand Springs"/>
    <m/>
    <n v="482273"/>
    <x v="10"/>
    <m/>
    <m/>
    <m/>
    <m/>
    <m/>
    <m/>
    <m/>
    <m/>
    <m/>
    <m/>
    <n v="0"/>
    <n v="0"/>
    <n v="0"/>
    <n v="0"/>
    <m/>
    <m/>
    <n v="0"/>
    <n v="0"/>
    <m/>
    <m/>
    <m/>
    <m/>
    <m/>
    <m/>
    <n v="141856.54"/>
    <n v="126993"/>
    <n v="141856.54"/>
    <n v="157.61837777777779"/>
    <n v="126993"/>
    <n v="141.10333333333332"/>
    <m/>
    <m/>
    <n v="0"/>
    <n v="0"/>
  </r>
  <r>
    <x v="10"/>
    <s v="Wes Watkins Technology Center                     "/>
    <m/>
    <n v="418357"/>
    <x v="10"/>
    <m/>
    <m/>
    <m/>
    <m/>
    <m/>
    <m/>
    <m/>
    <m/>
    <m/>
    <m/>
    <n v="0"/>
    <n v="0"/>
    <n v="0"/>
    <n v="0"/>
    <m/>
    <m/>
    <n v="0"/>
    <n v="0"/>
    <m/>
    <m/>
    <m/>
    <m/>
    <m/>
    <m/>
    <n v="130496.63"/>
    <n v="131116.70000000001"/>
    <n v="130496.63"/>
    <n v="144.99625555555556"/>
    <n v="131116.70000000001"/>
    <n v="145.68522222222222"/>
    <m/>
    <m/>
    <n v="0"/>
    <n v="0"/>
  </r>
  <r>
    <x v="10"/>
    <s v="Western Technology Center                         "/>
    <m/>
    <n v="418302"/>
    <x v="10"/>
    <m/>
    <m/>
    <m/>
    <m/>
    <m/>
    <m/>
    <m/>
    <m/>
    <m/>
    <m/>
    <n v="0"/>
    <n v="0"/>
    <n v="0"/>
    <n v="0"/>
    <m/>
    <m/>
    <n v="0"/>
    <n v="0"/>
    <m/>
    <m/>
    <m/>
    <m/>
    <m/>
    <m/>
    <n v="288010.40999999997"/>
    <n v="344865.8"/>
    <n v="288010.40999999997"/>
    <n v="320.01156666666662"/>
    <n v="344865.8"/>
    <n v="383.18422222222222"/>
    <m/>
    <m/>
    <n v="0"/>
    <n v="0"/>
  </r>
  <r>
    <x v="11"/>
    <s v="Clemson University"/>
    <m/>
    <n v="217882"/>
    <x v="0"/>
    <s v="sem"/>
    <m/>
    <m/>
    <m/>
    <n v="272130"/>
    <n v="278087"/>
    <n v="36670"/>
    <n v="37821"/>
    <n v="303943"/>
    <n v="313062"/>
    <n v="612743"/>
    <n v="20424.766666666666"/>
    <n v="628970"/>
    <n v="20965.666666666668"/>
    <n v="217"/>
    <n v="193"/>
    <n v="612743"/>
    <n v="628970"/>
    <m/>
    <m/>
    <m/>
    <m/>
    <m/>
    <m/>
    <m/>
    <m/>
    <n v="0"/>
    <n v="0"/>
    <n v="0"/>
    <n v="0"/>
    <m/>
    <m/>
    <n v="0"/>
    <n v="0"/>
  </r>
  <r>
    <x v="11"/>
    <s v="University of South Carolina-Columbia"/>
    <m/>
    <n v="218663"/>
    <x v="0"/>
    <s v="sem"/>
    <m/>
    <m/>
    <m/>
    <n v="363381"/>
    <n v="380399"/>
    <n v="46434"/>
    <n v="49747"/>
    <n v="409689"/>
    <n v="407477"/>
    <n v="819504"/>
    <n v="27316.799999999999"/>
    <n v="837623"/>
    <n v="27920.766666666666"/>
    <n v="45"/>
    <n v="31"/>
    <n v="819504"/>
    <n v="837623"/>
    <m/>
    <m/>
    <m/>
    <m/>
    <m/>
    <m/>
    <m/>
    <m/>
    <n v="0"/>
    <n v="0"/>
    <n v="0"/>
    <n v="0"/>
    <m/>
    <m/>
    <n v="0"/>
    <n v="0"/>
  </r>
  <r>
    <x v="11"/>
    <s v="College of Charleston"/>
    <m/>
    <n v="217819"/>
    <x v="2"/>
    <s v="sem"/>
    <m/>
    <m/>
    <m/>
    <n v="134199"/>
    <n v="130713"/>
    <n v="15077"/>
    <n v="15498"/>
    <n v="137451"/>
    <n v="133970"/>
    <n v="286727"/>
    <n v="9557.5666666666675"/>
    <n v="280181"/>
    <n v="9339.3666666666668"/>
    <n v="769"/>
    <n v="777"/>
    <n v="286727"/>
    <n v="280181"/>
    <m/>
    <m/>
    <m/>
    <m/>
    <m/>
    <m/>
    <m/>
    <m/>
    <n v="0"/>
    <n v="0"/>
    <n v="0"/>
    <n v="0"/>
    <m/>
    <m/>
    <n v="0"/>
    <n v="0"/>
  </r>
  <r>
    <x v="11"/>
    <s v="The Citadel, the Military College of South Carolina "/>
    <m/>
    <n v="217864"/>
    <x v="2"/>
    <s v="sem"/>
    <m/>
    <m/>
    <m/>
    <n v="46323"/>
    <n v="46280"/>
    <n v="6577"/>
    <n v="5770"/>
    <n v="47998"/>
    <n v="46368"/>
    <n v="100898"/>
    <n v="3363.2666666666669"/>
    <n v="98418"/>
    <n v="3280.6"/>
    <n v="45"/>
    <n v="3"/>
    <n v="100898"/>
    <n v="98418"/>
    <m/>
    <m/>
    <m/>
    <m/>
    <m/>
    <m/>
    <m/>
    <m/>
    <n v="0"/>
    <n v="0"/>
    <n v="0"/>
    <n v="0"/>
    <m/>
    <m/>
    <n v="0"/>
    <n v="0"/>
  </r>
  <r>
    <x v="11"/>
    <s v="Winthrop University "/>
    <m/>
    <n v="218964"/>
    <x v="2"/>
    <s v="sem"/>
    <m/>
    <m/>
    <m/>
    <n v="62708"/>
    <n v="62726.5"/>
    <n v="5253"/>
    <n v="5725.5"/>
    <n v="67863"/>
    <n v="63850.5"/>
    <n v="135824"/>
    <n v="4527.4666666666662"/>
    <n v="132302.5"/>
    <n v="4410.083333333333"/>
    <n v="1476"/>
    <n v="1110"/>
    <n v="135824"/>
    <n v="132302.5"/>
    <m/>
    <m/>
    <m/>
    <m/>
    <m/>
    <m/>
    <m/>
    <m/>
    <n v="0"/>
    <n v="0"/>
    <n v="0"/>
    <n v="0"/>
    <m/>
    <m/>
    <n v="0"/>
    <n v="0"/>
  </r>
  <r>
    <x v="11"/>
    <s v="Coastal Carolina University"/>
    <m/>
    <n v="218724"/>
    <x v="3"/>
    <s v="sem"/>
    <m/>
    <m/>
    <m/>
    <n v="130819"/>
    <n v="128539"/>
    <n v="17312"/>
    <n v="17440"/>
    <n v="142967"/>
    <n v="137780"/>
    <n v="291098"/>
    <n v="9703.2666666666664"/>
    <n v="283759"/>
    <n v="9458.6333333333332"/>
    <n v="2674"/>
    <n v="2560"/>
    <n v="291098"/>
    <n v="283759"/>
    <m/>
    <m/>
    <m/>
    <m/>
    <m/>
    <m/>
    <m/>
    <m/>
    <n v="0"/>
    <n v="0"/>
    <n v="0"/>
    <n v="0"/>
    <m/>
    <m/>
    <n v="0"/>
    <n v="0"/>
  </r>
  <r>
    <x v="11"/>
    <s v="Francis Marion University "/>
    <m/>
    <n v="218061"/>
    <x v="4"/>
    <s v="sem"/>
    <m/>
    <m/>
    <m/>
    <n v="33667"/>
    <n v="42314"/>
    <n v="2921"/>
    <n v="3092"/>
    <n v="46709"/>
    <n v="46182"/>
    <n v="83297"/>
    <n v="2776.5666666666666"/>
    <n v="91588"/>
    <n v="3052.9333333333334"/>
    <n v="3015"/>
    <n v="4814"/>
    <n v="83297"/>
    <n v="91588"/>
    <m/>
    <m/>
    <m/>
    <m/>
    <m/>
    <m/>
    <m/>
    <m/>
    <n v="0"/>
    <n v="0"/>
    <n v="0"/>
    <n v="0"/>
    <m/>
    <m/>
    <n v="0"/>
    <n v="0"/>
  </r>
  <r>
    <x v="11"/>
    <s v="South Carolina State University "/>
    <m/>
    <n v="218733"/>
    <x v="4"/>
    <s v="sem"/>
    <m/>
    <m/>
    <m/>
    <n v="30751"/>
    <n v="28262"/>
    <n v="1896"/>
    <n v="2270"/>
    <n v="31188"/>
    <n v="28376"/>
    <n v="63835"/>
    <n v="2127.8333333333335"/>
    <n v="58908"/>
    <n v="1963.6"/>
    <m/>
    <n v="138"/>
    <n v="0"/>
    <n v="58908"/>
    <m/>
    <m/>
    <m/>
    <m/>
    <m/>
    <m/>
    <m/>
    <m/>
    <n v="0"/>
    <n v="0"/>
    <n v="0"/>
    <n v="0"/>
    <m/>
    <m/>
    <n v="0"/>
    <n v="0"/>
  </r>
  <r>
    <x v="11"/>
    <s v="Lander University"/>
    <s v="Met the criteria for Four-Year 5 in 2019-20."/>
    <n v="218229"/>
    <x v="5"/>
    <s v="sem"/>
    <m/>
    <m/>
    <m/>
    <n v="38379.5"/>
    <n v="41599.5"/>
    <n v="3709.5"/>
    <n v="3449.5"/>
    <n v="45775.5"/>
    <n v="49907"/>
    <n v="87864.5"/>
    <n v="2928.8166666666666"/>
    <n v="94956"/>
    <n v="3165.2"/>
    <n v="351"/>
    <n v="663"/>
    <n v="87864.5"/>
    <n v="94956"/>
    <m/>
    <m/>
    <m/>
    <m/>
    <m/>
    <m/>
    <m/>
    <m/>
    <n v="0"/>
    <n v="0"/>
    <n v="0"/>
    <n v="0"/>
    <m/>
    <m/>
    <n v="0"/>
    <n v="0"/>
  </r>
  <r>
    <x v="11"/>
    <s v="University of South Carolina-Aiken"/>
    <s v="Met the criteria for Four-Year 5 in 2019-20 and 2020-21."/>
    <n v="218645"/>
    <x v="5"/>
    <s v="sem"/>
    <m/>
    <m/>
    <m/>
    <n v="38990"/>
    <n v="37525"/>
    <n v="5239"/>
    <n v="5890"/>
    <n v="41962"/>
    <n v="42006"/>
    <n v="86191"/>
    <n v="2873.0333333333333"/>
    <n v="85421"/>
    <n v="2847.3666666666668"/>
    <n v="1623"/>
    <n v="2063"/>
    <n v="86191"/>
    <n v="85421"/>
    <m/>
    <m/>
    <m/>
    <m/>
    <m/>
    <m/>
    <m/>
    <m/>
    <n v="0"/>
    <n v="0"/>
    <n v="0"/>
    <n v="0"/>
    <m/>
    <m/>
    <n v="0"/>
    <n v="0"/>
  </r>
  <r>
    <x v="11"/>
    <s v="University of South Carolina-Beaufort"/>
    <m/>
    <n v="218654"/>
    <x v="5"/>
    <s v="sem"/>
    <m/>
    <m/>
    <m/>
    <n v="27004"/>
    <n v="26682"/>
    <n v="3526"/>
    <n v="4024"/>
    <n v="28932"/>
    <n v="27074"/>
    <n v="59462"/>
    <n v="1982.0666666666666"/>
    <n v="57780"/>
    <n v="1926"/>
    <n v="940"/>
    <n v="1274"/>
    <n v="59462"/>
    <n v="57780"/>
    <m/>
    <m/>
    <m/>
    <m/>
    <m/>
    <m/>
    <m/>
    <m/>
    <n v="0"/>
    <n v="0"/>
    <n v="0"/>
    <n v="0"/>
    <m/>
    <m/>
    <n v="0"/>
    <n v="0"/>
  </r>
  <r>
    <x v="11"/>
    <s v="University of South Carolina-Upstate"/>
    <m/>
    <n v="218742"/>
    <x v="5"/>
    <s v="sem"/>
    <m/>
    <m/>
    <m/>
    <n v="69951"/>
    <n v="67923"/>
    <n v="10702"/>
    <n v="10120"/>
    <n v="75607"/>
    <n v="71420"/>
    <n v="156260"/>
    <n v="5208.666666666667"/>
    <n v="149463"/>
    <n v="4982.1000000000004"/>
    <n v="5197"/>
    <n v="4463"/>
    <n v="156260"/>
    <n v="149463"/>
    <m/>
    <m/>
    <m/>
    <m/>
    <m/>
    <m/>
    <m/>
    <m/>
    <n v="0"/>
    <n v="0"/>
    <n v="0"/>
    <n v="0"/>
    <m/>
    <m/>
    <n v="0"/>
    <n v="0"/>
  </r>
  <r>
    <x v="11"/>
    <s v="Greenville Technical College "/>
    <m/>
    <n v="218113"/>
    <x v="6"/>
    <s v="sem"/>
    <m/>
    <m/>
    <m/>
    <n v="90583"/>
    <n v="90725"/>
    <n v="33118"/>
    <n v="32803"/>
    <n v="104339"/>
    <n v="100387"/>
    <n v="228040"/>
    <n v="7601.333333333333"/>
    <n v="223915"/>
    <n v="7463.833333333333"/>
    <n v="15952"/>
    <n v="18654"/>
    <n v="228040"/>
    <n v="223915"/>
    <m/>
    <m/>
    <m/>
    <m/>
    <m/>
    <m/>
    <m/>
    <m/>
    <n v="0"/>
    <n v="0"/>
    <n v="0"/>
    <n v="0"/>
    <m/>
    <m/>
    <n v="0"/>
    <n v="0"/>
  </r>
  <r>
    <x v="11"/>
    <s v="Horry-Georgetown Technical College "/>
    <s v="Met the criteria for Two-Year 2 in 2020-21."/>
    <n v="218140"/>
    <x v="6"/>
    <s v="sem"/>
    <m/>
    <m/>
    <m/>
    <n v="63855"/>
    <n v="62140"/>
    <n v="22104"/>
    <n v="21329"/>
    <n v="68248"/>
    <n v="65184"/>
    <n v="154207"/>
    <n v="5140.2333333333336"/>
    <n v="148653"/>
    <n v="4955.1000000000004"/>
    <n v="4776"/>
    <n v="10087"/>
    <n v="154207"/>
    <n v="148653"/>
    <m/>
    <m/>
    <m/>
    <m/>
    <m/>
    <m/>
    <m/>
    <m/>
    <n v="0"/>
    <n v="0"/>
    <n v="0"/>
    <n v="0"/>
    <m/>
    <m/>
    <n v="0"/>
    <n v="0"/>
  </r>
  <r>
    <x v="11"/>
    <s v="Midlands Technical College "/>
    <m/>
    <n v="218353"/>
    <x v="6"/>
    <s v="sem"/>
    <m/>
    <m/>
    <m/>
    <n v="83297"/>
    <n v="82915"/>
    <n v="28839"/>
    <n v="28199"/>
    <n v="91135"/>
    <n v="86052"/>
    <n v="203271"/>
    <n v="6775.7"/>
    <n v="197166"/>
    <n v="6572.2"/>
    <n v="7359"/>
    <n v="8502"/>
    <n v="203271"/>
    <n v="197166"/>
    <m/>
    <m/>
    <m/>
    <m/>
    <m/>
    <m/>
    <m/>
    <m/>
    <n v="0"/>
    <n v="0"/>
    <n v="0"/>
    <n v="0"/>
    <m/>
    <m/>
    <n v="0"/>
    <n v="0"/>
  </r>
  <r>
    <x v="11"/>
    <s v="Trident Technical College "/>
    <m/>
    <n v="218894"/>
    <x v="6"/>
    <s v="sem"/>
    <m/>
    <m/>
    <m/>
    <n v="98790"/>
    <n v="98156"/>
    <n v="41544"/>
    <n v="43408"/>
    <n v="111506"/>
    <n v="105011"/>
    <n v="251840"/>
    <n v="8394.6666666666661"/>
    <n v="246575"/>
    <n v="8219.1666666666661"/>
    <n v="31190"/>
    <n v="34175"/>
    <n v="251840"/>
    <n v="246575"/>
    <m/>
    <m/>
    <m/>
    <m/>
    <m/>
    <m/>
    <m/>
    <m/>
    <n v="0"/>
    <n v="0"/>
    <n v="0"/>
    <n v="0"/>
    <m/>
    <m/>
    <n v="0"/>
    <n v="0"/>
  </r>
  <r>
    <x v="11"/>
    <s v="Central Carolina Technical College "/>
    <m/>
    <n v="218858"/>
    <x v="7"/>
    <s v="sem"/>
    <m/>
    <m/>
    <m/>
    <n v="29606"/>
    <n v="28097"/>
    <n v="13310"/>
    <n v="11741"/>
    <n v="30261"/>
    <n v="25823"/>
    <n v="73177"/>
    <n v="2439.2333333333331"/>
    <n v="65661"/>
    <n v="2188.6999999999998"/>
    <n v="9762"/>
    <n v="10470"/>
    <n v="73177"/>
    <n v="65661"/>
    <m/>
    <m/>
    <m/>
    <m/>
    <m/>
    <m/>
    <m/>
    <m/>
    <n v="0"/>
    <n v="0"/>
    <n v="0"/>
    <n v="0"/>
    <m/>
    <m/>
    <n v="0"/>
    <n v="0"/>
  </r>
  <r>
    <x v="11"/>
    <s v="Florence-Darlington Technical College "/>
    <m/>
    <n v="218025"/>
    <x v="7"/>
    <s v="sem"/>
    <m/>
    <m/>
    <m/>
    <n v="32862"/>
    <n v="29923"/>
    <n v="11566"/>
    <n v="10333"/>
    <n v="34102"/>
    <n v="30826"/>
    <n v="78530"/>
    <n v="2617.6666666666665"/>
    <n v="71082"/>
    <n v="2369.4"/>
    <n v="5696"/>
    <n v="6508"/>
    <n v="78530"/>
    <n v="71082"/>
    <m/>
    <m/>
    <m/>
    <m/>
    <m/>
    <m/>
    <m/>
    <m/>
    <n v="0"/>
    <n v="0"/>
    <n v="0"/>
    <n v="0"/>
    <m/>
    <m/>
    <n v="0"/>
    <n v="0"/>
  </r>
  <r>
    <x v="11"/>
    <s v="Piedmont Technical College "/>
    <m/>
    <n v="218520"/>
    <x v="7"/>
    <s v="sem"/>
    <m/>
    <m/>
    <m/>
    <n v="39982"/>
    <n v="42756"/>
    <n v="17581"/>
    <n v="18949"/>
    <n v="46262"/>
    <n v="44444"/>
    <n v="103825"/>
    <n v="3460.8333333333335"/>
    <n v="106149"/>
    <n v="3538.3"/>
    <n v="9599"/>
    <n v="13670"/>
    <n v="103825"/>
    <n v="106149"/>
    <m/>
    <m/>
    <m/>
    <m/>
    <m/>
    <m/>
    <m/>
    <m/>
    <n v="0"/>
    <n v="0"/>
    <n v="0"/>
    <n v="0"/>
    <m/>
    <m/>
    <n v="0"/>
    <n v="0"/>
  </r>
  <r>
    <x v="11"/>
    <s v="Spartanburg Community College "/>
    <m/>
    <n v="218830"/>
    <x v="7"/>
    <s v="sem"/>
    <m/>
    <m/>
    <m/>
    <n v="39143"/>
    <n v="40908"/>
    <n v="13116"/>
    <n v="12364"/>
    <n v="44864"/>
    <n v="39650"/>
    <n v="97123"/>
    <n v="3237.4333333333334"/>
    <n v="92922"/>
    <n v="3097.4"/>
    <n v="10291"/>
    <n v="10694"/>
    <n v="97123"/>
    <n v="92922"/>
    <m/>
    <m/>
    <m/>
    <m/>
    <m/>
    <m/>
    <m/>
    <m/>
    <n v="0"/>
    <n v="0"/>
    <n v="0"/>
    <n v="0"/>
    <m/>
    <m/>
    <n v="0"/>
    <n v="0"/>
  </r>
  <r>
    <x v="11"/>
    <s v="Tri-County Technical College "/>
    <m/>
    <n v="218885"/>
    <x v="7"/>
    <s v="sem"/>
    <m/>
    <m/>
    <m/>
    <n v="58698"/>
    <n v="59374"/>
    <n v="18963"/>
    <n v="19731"/>
    <n v="68215"/>
    <n v="62102"/>
    <n v="145876"/>
    <n v="4862.5333333333338"/>
    <n v="141207"/>
    <n v="4706.8999999999996"/>
    <n v="8439"/>
    <n v="7782"/>
    <n v="145876"/>
    <n v="141207"/>
    <m/>
    <m/>
    <m/>
    <m/>
    <m/>
    <m/>
    <m/>
    <m/>
    <n v="0"/>
    <n v="0"/>
    <n v="0"/>
    <n v="0"/>
    <m/>
    <m/>
    <n v="0"/>
    <n v="0"/>
  </r>
  <r>
    <x v="11"/>
    <s v="York Technical College "/>
    <m/>
    <n v="218991"/>
    <x v="7"/>
    <s v="sem"/>
    <m/>
    <m/>
    <m/>
    <n v="39180"/>
    <n v="40559"/>
    <n v="12714"/>
    <n v="12895"/>
    <n v="47329"/>
    <n v="43493"/>
    <n v="99223"/>
    <n v="3307.4333333333334"/>
    <n v="96947"/>
    <n v="3231.5666666666666"/>
    <n v="6463"/>
    <n v="7688"/>
    <n v="99223"/>
    <n v="96947"/>
    <m/>
    <m/>
    <m/>
    <m/>
    <m/>
    <m/>
    <m/>
    <m/>
    <n v="0"/>
    <n v="0"/>
    <n v="0"/>
    <n v="0"/>
    <m/>
    <m/>
    <n v="0"/>
    <n v="0"/>
  </r>
  <r>
    <x v="11"/>
    <s v="Aiken Technical College "/>
    <m/>
    <n v="217615"/>
    <x v="8"/>
    <s v="sem"/>
    <m/>
    <m/>
    <m/>
    <n v="18768"/>
    <n v="17459"/>
    <n v="7531"/>
    <n v="7354"/>
    <n v="20335"/>
    <n v="17502"/>
    <n v="46634"/>
    <n v="1554.4666666666667"/>
    <n v="42315"/>
    <n v="1410.5"/>
    <n v="2154"/>
    <n v="2401"/>
    <n v="46634"/>
    <n v="42315"/>
    <m/>
    <m/>
    <m/>
    <m/>
    <m/>
    <m/>
    <m/>
    <m/>
    <n v="0"/>
    <n v="0"/>
    <n v="0"/>
    <n v="0"/>
    <m/>
    <m/>
    <n v="0"/>
    <n v="0"/>
  </r>
  <r>
    <x v="11"/>
    <s v="Denmark Technical College "/>
    <m/>
    <n v="217989"/>
    <x v="8"/>
    <s v="sem"/>
    <m/>
    <m/>
    <m/>
    <n v="4721"/>
    <n v="5292"/>
    <n v="2196"/>
    <n v="2498"/>
    <n v="4984"/>
    <n v="4864"/>
    <n v="11901"/>
    <n v="396.7"/>
    <n v="12654"/>
    <n v="421.8"/>
    <n v="2030"/>
    <n v="3232"/>
    <n v="11901"/>
    <n v="12654"/>
    <m/>
    <m/>
    <m/>
    <m/>
    <m/>
    <m/>
    <m/>
    <m/>
    <n v="0"/>
    <n v="0"/>
    <n v="0"/>
    <n v="0"/>
    <m/>
    <m/>
    <n v="0"/>
    <n v="0"/>
  </r>
  <r>
    <x v="11"/>
    <s v="Northeastern Technical College "/>
    <m/>
    <n v="217837"/>
    <x v="8"/>
    <s v="sem"/>
    <m/>
    <m/>
    <m/>
    <n v="10672"/>
    <n v="11735"/>
    <n v="4766"/>
    <n v="5252"/>
    <n v="11853"/>
    <n v="11705"/>
    <n v="27291"/>
    <n v="909.7"/>
    <n v="28692"/>
    <n v="956.4"/>
    <n v="6133"/>
    <n v="6757"/>
    <n v="27291"/>
    <n v="28692"/>
    <m/>
    <m/>
    <m/>
    <m/>
    <m/>
    <m/>
    <m/>
    <m/>
    <n v="0"/>
    <n v="0"/>
    <n v="0"/>
    <n v="0"/>
    <m/>
    <m/>
    <n v="0"/>
    <n v="0"/>
  </r>
  <r>
    <x v="11"/>
    <s v="Orangeburg-Calhoun Technical College "/>
    <m/>
    <n v="218487"/>
    <x v="8"/>
    <s v="sem"/>
    <m/>
    <m/>
    <m/>
    <n v="20426"/>
    <n v="20317"/>
    <n v="8961"/>
    <n v="8554"/>
    <n v="21181"/>
    <n v="19487"/>
    <n v="50568"/>
    <n v="1685.6"/>
    <n v="48358"/>
    <n v="1611.9333333333334"/>
    <n v="7664"/>
    <n v="8319"/>
    <n v="50568"/>
    <n v="48358"/>
    <m/>
    <m/>
    <m/>
    <m/>
    <m/>
    <m/>
    <m/>
    <m/>
    <n v="0"/>
    <n v="0"/>
    <n v="0"/>
    <n v="0"/>
    <m/>
    <m/>
    <n v="0"/>
    <n v="0"/>
  </r>
  <r>
    <x v="11"/>
    <s v="Technical College of the Lowcountry"/>
    <m/>
    <n v="217712"/>
    <x v="8"/>
    <s v="sem"/>
    <m/>
    <m/>
    <m/>
    <n v="18050"/>
    <n v="17906"/>
    <n v="6968"/>
    <n v="7258"/>
    <n v="19187"/>
    <n v="17633"/>
    <n v="44205"/>
    <n v="1473.5"/>
    <n v="42797"/>
    <n v="1426.5666666666666"/>
    <n v="6051"/>
    <n v="5341"/>
    <n v="44205"/>
    <n v="42797"/>
    <m/>
    <m/>
    <m/>
    <m/>
    <m/>
    <m/>
    <m/>
    <m/>
    <n v="0"/>
    <n v="0"/>
    <n v="0"/>
    <n v="0"/>
    <m/>
    <m/>
    <n v="0"/>
    <n v="0"/>
  </r>
  <r>
    <x v="11"/>
    <s v="University of South Carolina-Lancaster"/>
    <m/>
    <n v="218672"/>
    <x v="8"/>
    <s v="sem"/>
    <m/>
    <m/>
    <m/>
    <n v="13781"/>
    <n v="14692"/>
    <n v="2983"/>
    <n v="3448"/>
    <n v="16679"/>
    <n v="17416"/>
    <n v="33443"/>
    <n v="1114.7666666666667"/>
    <n v="35556"/>
    <n v="1185.2"/>
    <n v="10579"/>
    <n v="13210"/>
    <n v="33443"/>
    <n v="35556"/>
    <m/>
    <m/>
    <m/>
    <m/>
    <m/>
    <m/>
    <m/>
    <m/>
    <n v="0"/>
    <n v="0"/>
    <n v="0"/>
    <n v="0"/>
    <m/>
    <m/>
    <n v="0"/>
    <n v="0"/>
  </r>
  <r>
    <x v="11"/>
    <s v="University of South Carolina-Salkehatchie"/>
    <m/>
    <n v="218681"/>
    <x v="8"/>
    <s v="sem"/>
    <m/>
    <m/>
    <m/>
    <n v="8939"/>
    <n v="8338"/>
    <n v="703"/>
    <n v="1108"/>
    <n v="9571"/>
    <n v="9621"/>
    <n v="19213"/>
    <n v="640.43333333333328"/>
    <n v="19067"/>
    <n v="635.56666666666672"/>
    <n v="4959"/>
    <n v="5828"/>
    <n v="19213"/>
    <n v="19067"/>
    <m/>
    <m/>
    <m/>
    <m/>
    <m/>
    <m/>
    <m/>
    <m/>
    <n v="0"/>
    <n v="0"/>
    <n v="0"/>
    <n v="0"/>
    <m/>
    <m/>
    <n v="0"/>
    <n v="0"/>
  </r>
  <r>
    <x v="11"/>
    <s v="University of South Carolina-Sumter"/>
    <m/>
    <n v="218690"/>
    <x v="8"/>
    <s v="sem"/>
    <m/>
    <m/>
    <m/>
    <n v="9566"/>
    <n v="10821"/>
    <n v="2161"/>
    <n v="1831"/>
    <n v="12817"/>
    <n v="12496"/>
    <n v="24544"/>
    <n v="818.13333333333333"/>
    <n v="25148"/>
    <n v="838.26666666666665"/>
    <n v="6970"/>
    <n v="9035"/>
    <n v="24544"/>
    <n v="25148"/>
    <m/>
    <m/>
    <m/>
    <m/>
    <m/>
    <m/>
    <m/>
    <m/>
    <n v="0"/>
    <n v="0"/>
    <n v="0"/>
    <n v="0"/>
    <m/>
    <m/>
    <n v="0"/>
    <n v="0"/>
  </r>
  <r>
    <x v="11"/>
    <s v="University of South Carolina-Union"/>
    <m/>
    <n v="218706"/>
    <x v="8"/>
    <s v="sem"/>
    <m/>
    <m/>
    <m/>
    <n v="9256"/>
    <n v="10067"/>
    <n v="453"/>
    <n v="835"/>
    <n v="10335"/>
    <n v="9495"/>
    <n v="20044"/>
    <n v="668.13333333333333"/>
    <n v="20397"/>
    <n v="679.9"/>
    <n v="11133"/>
    <n v="11620"/>
    <n v="20044"/>
    <n v="20397"/>
    <m/>
    <m/>
    <m/>
    <m/>
    <m/>
    <m/>
    <m/>
    <m/>
    <n v="0"/>
    <n v="0"/>
    <n v="0"/>
    <n v="0"/>
    <m/>
    <m/>
    <n v="0"/>
    <n v="0"/>
  </r>
  <r>
    <x v="11"/>
    <s v="Williamsburg Technical College "/>
    <m/>
    <n v="218955"/>
    <x v="8"/>
    <s v="sem"/>
    <m/>
    <m/>
    <m/>
    <n v="5963"/>
    <n v="5983"/>
    <n v="3185"/>
    <n v="2595"/>
    <n v="6699"/>
    <n v="5268"/>
    <n v="15847"/>
    <n v="528.23333333333335"/>
    <n v="13846"/>
    <n v="461.53333333333336"/>
    <n v="5408"/>
    <n v="4189"/>
    <n v="15847"/>
    <n v="13846"/>
    <m/>
    <m/>
    <m/>
    <m/>
    <m/>
    <m/>
    <m/>
    <m/>
    <n v="0"/>
    <n v="0"/>
    <n v="0"/>
    <n v="0"/>
    <m/>
    <m/>
    <n v="0"/>
    <n v="0"/>
  </r>
  <r>
    <x v="12"/>
    <s v="University of Memphis"/>
    <m/>
    <n v="220862"/>
    <x v="0"/>
    <m/>
    <m/>
    <m/>
    <m/>
    <n v="183589"/>
    <n v="187171"/>
    <n v="27039"/>
    <n v="33100"/>
    <n v="206982"/>
    <n v="206590"/>
    <n v="417610"/>
    <n v="13920.333333333334"/>
    <n v="426861"/>
    <n v="14228.7"/>
    <n v="12601"/>
    <n v="14172"/>
    <n v="417610"/>
    <n v="426861"/>
    <m/>
    <m/>
    <m/>
    <m/>
    <m/>
    <m/>
    <m/>
    <m/>
    <n v="0"/>
    <n v="0"/>
    <n v="0"/>
    <n v="0"/>
    <m/>
    <m/>
    <n v="0"/>
    <n v="0"/>
  </r>
  <r>
    <x v="12"/>
    <s v="University of Tennessee, Knoxville"/>
    <m/>
    <n v="221759"/>
    <x v="0"/>
    <m/>
    <m/>
    <m/>
    <m/>
    <n v="293363"/>
    <n v="303943.5"/>
    <n v="34095"/>
    <n v="38517"/>
    <n v="322611"/>
    <n v="335338"/>
    <n v="650069"/>
    <n v="21668.966666666667"/>
    <n v="677798.5"/>
    <n v="22593.283333333333"/>
    <n v="86"/>
    <n v="131"/>
    <n v="650069"/>
    <n v="677798.5"/>
    <m/>
    <m/>
    <m/>
    <m/>
    <m/>
    <m/>
    <m/>
    <m/>
    <n v="0"/>
    <n v="0"/>
    <n v="0"/>
    <n v="0"/>
    <m/>
    <m/>
    <n v="0"/>
    <n v="0"/>
  </r>
  <r>
    <x v="12"/>
    <s v="East Tennessee State University "/>
    <m/>
    <n v="220075"/>
    <x v="1"/>
    <m/>
    <m/>
    <m/>
    <m/>
    <n v="142844"/>
    <n v="138142"/>
    <n v="21091"/>
    <n v="23686"/>
    <n v="153145"/>
    <n v="147230"/>
    <n v="317080"/>
    <n v="10569.333333333334"/>
    <n v="309058"/>
    <n v="10301.933333333332"/>
    <n v="4393"/>
    <n v="4023"/>
    <n v="317080"/>
    <n v="309058"/>
    <m/>
    <m/>
    <m/>
    <m/>
    <m/>
    <m/>
    <m/>
    <m/>
    <n v="0"/>
    <n v="0"/>
    <n v="0"/>
    <n v="0"/>
    <m/>
    <m/>
    <n v="0"/>
    <n v="0"/>
  </r>
  <r>
    <x v="12"/>
    <s v="Middle Tennessee State University "/>
    <m/>
    <n v="220978"/>
    <x v="1"/>
    <m/>
    <m/>
    <m/>
    <m/>
    <n v="220500"/>
    <n v="222766"/>
    <n v="35169"/>
    <n v="37417"/>
    <n v="248673"/>
    <n v="245294"/>
    <n v="504342"/>
    <n v="16811.400000000001"/>
    <n v="505477"/>
    <n v="16849.233333333334"/>
    <n v="10247"/>
    <n v="10218"/>
    <n v="504342"/>
    <n v="505477"/>
    <m/>
    <m/>
    <m/>
    <m/>
    <m/>
    <m/>
    <m/>
    <m/>
    <n v="0"/>
    <n v="0"/>
    <n v="0"/>
    <n v="0"/>
    <m/>
    <m/>
    <n v="0"/>
    <n v="0"/>
  </r>
  <r>
    <x v="12"/>
    <s v="Tennessee State University "/>
    <m/>
    <n v="221838"/>
    <x v="1"/>
    <m/>
    <m/>
    <m/>
    <m/>
    <n v="69393"/>
    <n v="66138"/>
    <n v="10137"/>
    <n v="9647"/>
    <n v="79834"/>
    <n v="79644"/>
    <n v="159364"/>
    <n v="5312.1333333333332"/>
    <n v="155429"/>
    <n v="5180.9666666666662"/>
    <n v="599"/>
    <n v="798"/>
    <n v="159364"/>
    <n v="155429"/>
    <m/>
    <m/>
    <m/>
    <m/>
    <m/>
    <m/>
    <m/>
    <m/>
    <n v="0"/>
    <n v="0"/>
    <n v="0"/>
    <n v="0"/>
    <m/>
    <m/>
    <n v="0"/>
    <n v="0"/>
  </r>
  <r>
    <x v="12"/>
    <s v="Austin Peay State University "/>
    <m/>
    <n v="219602"/>
    <x v="2"/>
    <m/>
    <m/>
    <m/>
    <m/>
    <n v="111943"/>
    <n v="109134"/>
    <n v="16738"/>
    <n v="18369"/>
    <n v="119454"/>
    <n v="110707"/>
    <n v="248135"/>
    <n v="8271.1666666666661"/>
    <n v="238210"/>
    <n v="7940.333333333333"/>
    <n v="9545"/>
    <n v="10283"/>
    <n v="248135"/>
    <n v="238210"/>
    <m/>
    <m/>
    <m/>
    <m/>
    <m/>
    <m/>
    <m/>
    <m/>
    <n v="0"/>
    <n v="0"/>
    <n v="0"/>
    <n v="0"/>
    <m/>
    <m/>
    <n v="0"/>
    <n v="0"/>
  </r>
  <r>
    <x v="12"/>
    <s v="Tennessee Technological University "/>
    <m/>
    <n v="221847"/>
    <x v="2"/>
    <m/>
    <m/>
    <m/>
    <m/>
    <n v="112413"/>
    <n v="110310"/>
    <n v="12080"/>
    <n v="13842"/>
    <n v="123457"/>
    <n v="121291"/>
    <n v="247950"/>
    <n v="8265"/>
    <n v="245443"/>
    <n v="8181.4333333333334"/>
    <n v="1208"/>
    <n v="1390"/>
    <n v="247950"/>
    <n v="245443"/>
    <m/>
    <m/>
    <m/>
    <m/>
    <m/>
    <m/>
    <m/>
    <m/>
    <n v="0"/>
    <n v="0"/>
    <n v="0"/>
    <n v="0"/>
    <m/>
    <m/>
    <n v="0"/>
    <n v="0"/>
  </r>
  <r>
    <x v="12"/>
    <s v="University of Tennessee at Chattanooga"/>
    <m/>
    <n v="221740"/>
    <x v="2"/>
    <m/>
    <m/>
    <m/>
    <m/>
    <n v="124159"/>
    <n v="126556"/>
    <n v="16152"/>
    <n v="18128"/>
    <n v="143031"/>
    <n v="143408"/>
    <n v="283342"/>
    <n v="9444.7333333333336"/>
    <n v="288092"/>
    <n v="9603.0666666666675"/>
    <n v="124"/>
    <n v="120"/>
    <n v="283342"/>
    <n v="288092"/>
    <m/>
    <m/>
    <m/>
    <m/>
    <m/>
    <m/>
    <m/>
    <m/>
    <n v="0"/>
    <n v="0"/>
    <n v="0"/>
    <n v="0"/>
    <m/>
    <m/>
    <n v="0"/>
    <n v="0"/>
  </r>
  <r>
    <x v="12"/>
    <s v="University of Tennessee at Martin"/>
    <s v="Reclassified: Met the criteria for Four-Year 4 in 2018-19, 2019-20, and 2020-21."/>
    <n v="221768"/>
    <x v="3"/>
    <m/>
    <m/>
    <m/>
    <m/>
    <n v="73457"/>
    <n v="73147"/>
    <n v="9514"/>
    <n v="10292"/>
    <n v="80328"/>
    <n v="78090"/>
    <n v="163299"/>
    <n v="5443.3"/>
    <n v="161529"/>
    <n v="5384.3"/>
    <n v="10044"/>
    <n v="9560"/>
    <n v="163299"/>
    <n v="161529"/>
    <m/>
    <m/>
    <m/>
    <m/>
    <m/>
    <m/>
    <m/>
    <m/>
    <n v="0"/>
    <n v="0"/>
    <n v="0"/>
    <n v="0"/>
    <m/>
    <m/>
    <n v="0"/>
    <n v="0"/>
  </r>
  <r>
    <x v="12"/>
    <s v="Chattanooga State Technical Community College "/>
    <m/>
    <n v="219824"/>
    <x v="6"/>
    <m/>
    <m/>
    <m/>
    <m/>
    <n v="69438"/>
    <n v="68065"/>
    <n v="13746"/>
    <n v="13928"/>
    <n v="80751"/>
    <n v="74880"/>
    <n v="163935"/>
    <n v="5464.5"/>
    <n v="156873"/>
    <n v="5229.1000000000004"/>
    <n v="13493"/>
    <n v="14596"/>
    <n v="163935"/>
    <n v="156873"/>
    <m/>
    <m/>
    <m/>
    <m/>
    <m/>
    <m/>
    <m/>
    <m/>
    <n v="0"/>
    <n v="0"/>
    <n v="0"/>
    <n v="0"/>
    <m/>
    <m/>
    <n v="0"/>
    <n v="0"/>
  </r>
  <r>
    <x v="12"/>
    <s v="Nashville State Technical Community College"/>
    <m/>
    <n v="221184"/>
    <x v="6"/>
    <m/>
    <m/>
    <m/>
    <m/>
    <n v="67812"/>
    <n v="66128"/>
    <n v="14219"/>
    <n v="14852"/>
    <n v="74753"/>
    <n v="66315.5"/>
    <n v="156784"/>
    <n v="5226.1333333333332"/>
    <n v="147295.5"/>
    <n v="4909.8500000000004"/>
    <n v="8569"/>
    <n v="8232"/>
    <n v="156784"/>
    <n v="147295.5"/>
    <m/>
    <m/>
    <m/>
    <m/>
    <m/>
    <m/>
    <m/>
    <m/>
    <n v="0"/>
    <n v="0"/>
    <n v="0"/>
    <n v="0"/>
    <m/>
    <m/>
    <n v="0"/>
    <n v="0"/>
  </r>
  <r>
    <x v="12"/>
    <s v="Pellissippi State Technical Community College"/>
    <m/>
    <n v="221643"/>
    <x v="6"/>
    <m/>
    <m/>
    <m/>
    <m/>
    <n v="90800"/>
    <n v="86752"/>
    <n v="19102"/>
    <n v="20056"/>
    <n v="104584"/>
    <n v="91649"/>
    <n v="214486"/>
    <n v="7149.5333333333338"/>
    <n v="198457"/>
    <n v="6615.2333333333336"/>
    <n v="11325"/>
    <n v="10753"/>
    <n v="214486"/>
    <n v="198457"/>
    <m/>
    <m/>
    <m/>
    <m/>
    <m/>
    <m/>
    <m/>
    <m/>
    <n v="0"/>
    <n v="0"/>
    <n v="0"/>
    <n v="0"/>
    <m/>
    <m/>
    <n v="0"/>
    <n v="0"/>
  </r>
  <r>
    <x v="12"/>
    <s v="Southwest Tennessee Community College"/>
    <m/>
    <n v="221485"/>
    <x v="6"/>
    <m/>
    <m/>
    <m/>
    <m/>
    <n v="76993"/>
    <n v="75486"/>
    <n v="19798"/>
    <n v="21370"/>
    <n v="90732"/>
    <n v="72975"/>
    <n v="187523"/>
    <n v="6250.7666666666664"/>
    <n v="169831"/>
    <n v="5661.0333333333338"/>
    <n v="5807"/>
    <n v="5196"/>
    <n v="187523"/>
    <n v="169831"/>
    <m/>
    <m/>
    <m/>
    <m/>
    <m/>
    <m/>
    <m/>
    <m/>
    <n v="0"/>
    <n v="0"/>
    <n v="0"/>
    <n v="0"/>
    <m/>
    <m/>
    <n v="0"/>
    <n v="0"/>
  </r>
  <r>
    <x v="12"/>
    <s v="Volunteer State Community College "/>
    <m/>
    <n v="222053"/>
    <x v="6"/>
    <m/>
    <m/>
    <m/>
    <m/>
    <n v="76607"/>
    <n v="75735"/>
    <n v="16562"/>
    <n v="17087"/>
    <n v="92214"/>
    <n v="87017"/>
    <n v="185383"/>
    <n v="6179.4333333333334"/>
    <n v="179839"/>
    <n v="5994.6333333333332"/>
    <n v="17302"/>
    <n v="17262.5"/>
    <n v="185383"/>
    <n v="179839"/>
    <m/>
    <m/>
    <m/>
    <m/>
    <m/>
    <m/>
    <m/>
    <m/>
    <n v="0"/>
    <n v="0"/>
    <n v="0"/>
    <n v="0"/>
    <m/>
    <m/>
    <n v="0"/>
    <n v="0"/>
  </r>
  <r>
    <x v="12"/>
    <s v="Cleveland State Community College "/>
    <m/>
    <n v="219879"/>
    <x v="7"/>
    <m/>
    <m/>
    <m/>
    <m/>
    <n v="27350"/>
    <n v="28661"/>
    <n v="4996"/>
    <n v="5006"/>
    <n v="35121"/>
    <n v="32319"/>
    <n v="67467"/>
    <n v="2248.9"/>
    <n v="65986"/>
    <n v="2199.5333333333333"/>
    <n v="9627"/>
    <n v="8637"/>
    <n v="67467"/>
    <n v="65986"/>
    <m/>
    <m/>
    <m/>
    <m/>
    <m/>
    <m/>
    <m/>
    <m/>
    <n v="0"/>
    <n v="0"/>
    <n v="0"/>
    <n v="0"/>
    <m/>
    <m/>
    <n v="0"/>
    <n v="0"/>
  </r>
  <r>
    <x v="12"/>
    <s v="Columbia State Community College "/>
    <m/>
    <n v="219888"/>
    <x v="7"/>
    <m/>
    <m/>
    <m/>
    <m/>
    <n v="54455"/>
    <n v="56195"/>
    <n v="11593"/>
    <n v="13161"/>
    <n v="66974"/>
    <n v="63016"/>
    <n v="133022"/>
    <n v="4434.0666666666666"/>
    <n v="132372"/>
    <n v="4412.3999999999996"/>
    <n v="9327"/>
    <n v="9368"/>
    <n v="133022"/>
    <n v="132372"/>
    <m/>
    <m/>
    <m/>
    <m/>
    <m/>
    <m/>
    <m/>
    <m/>
    <n v="0"/>
    <n v="0"/>
    <n v="0"/>
    <n v="0"/>
    <m/>
    <m/>
    <n v="0"/>
    <n v="0"/>
  </r>
  <r>
    <x v="12"/>
    <s v="Jackson State Community College "/>
    <m/>
    <n v="220400"/>
    <x v="7"/>
    <m/>
    <m/>
    <m/>
    <m/>
    <n v="37080"/>
    <n v="39614"/>
    <n v="7397"/>
    <n v="8294"/>
    <n v="47019"/>
    <n v="39819"/>
    <n v="91496"/>
    <n v="3049.8666666666668"/>
    <n v="87727"/>
    <n v="2924.2333333333331"/>
    <n v="12523"/>
    <n v="12319"/>
    <n v="91496"/>
    <n v="87727"/>
    <m/>
    <m/>
    <m/>
    <m/>
    <m/>
    <m/>
    <m/>
    <m/>
    <n v="0"/>
    <n v="0"/>
    <n v="0"/>
    <n v="0"/>
    <m/>
    <m/>
    <n v="0"/>
    <n v="0"/>
  </r>
  <r>
    <x v="12"/>
    <s v="Motlow State Community College "/>
    <m/>
    <n v="221096"/>
    <x v="7"/>
    <m/>
    <m/>
    <m/>
    <m/>
    <n v="57936"/>
    <n v="59335"/>
    <n v="12666"/>
    <n v="11507"/>
    <n v="68563"/>
    <n v="62334"/>
    <n v="139165"/>
    <n v="4638.833333333333"/>
    <n v="133176"/>
    <n v="4439.2"/>
    <n v="18577"/>
    <n v="19055"/>
    <n v="139165"/>
    <n v="133176"/>
    <m/>
    <m/>
    <m/>
    <m/>
    <m/>
    <m/>
    <m/>
    <m/>
    <n v="0"/>
    <n v="0"/>
    <n v="0"/>
    <n v="0"/>
    <m/>
    <m/>
    <n v="0"/>
    <n v="0"/>
  </r>
  <r>
    <x v="12"/>
    <s v="Northeast State Technical Community College"/>
    <m/>
    <n v="221908"/>
    <x v="7"/>
    <m/>
    <m/>
    <m/>
    <m/>
    <n v="53136"/>
    <n v="52343"/>
    <n v="7764"/>
    <n v="8345"/>
    <n v="62645"/>
    <n v="55682"/>
    <n v="123545"/>
    <n v="4118.166666666667"/>
    <n v="116370"/>
    <n v="3879"/>
    <n v="8975"/>
    <n v="8529"/>
    <n v="123545"/>
    <n v="116370"/>
    <m/>
    <m/>
    <m/>
    <m/>
    <m/>
    <m/>
    <m/>
    <m/>
    <n v="0"/>
    <n v="0"/>
    <n v="0"/>
    <n v="0"/>
    <m/>
    <m/>
    <n v="0"/>
    <n v="0"/>
  </r>
  <r>
    <x v="12"/>
    <s v="Roane State Community College "/>
    <m/>
    <n v="221397"/>
    <x v="7"/>
    <m/>
    <m/>
    <m/>
    <m/>
    <n v="52087"/>
    <n v="51276"/>
    <n v="7003"/>
    <n v="7706"/>
    <n v="59738"/>
    <n v="52972"/>
    <n v="118828"/>
    <n v="3960.9333333333334"/>
    <n v="111954"/>
    <n v="3731.8"/>
    <n v="14953"/>
    <n v="14910"/>
    <n v="118828"/>
    <n v="111954"/>
    <m/>
    <m/>
    <m/>
    <m/>
    <m/>
    <m/>
    <m/>
    <m/>
    <n v="0"/>
    <n v="0"/>
    <n v="0"/>
    <n v="0"/>
    <m/>
    <m/>
    <n v="0"/>
    <n v="0"/>
  </r>
  <r>
    <x v="12"/>
    <s v="Walters State Community College "/>
    <m/>
    <n v="222062"/>
    <x v="7"/>
    <m/>
    <m/>
    <m/>
    <m/>
    <n v="54184"/>
    <n v="51325"/>
    <n v="6119"/>
    <n v="8152"/>
    <n v="63882"/>
    <n v="57526"/>
    <n v="124185"/>
    <n v="4139.5"/>
    <n v="117003"/>
    <n v="3900.1"/>
    <n v="12800"/>
    <n v="12784"/>
    <n v="124185"/>
    <n v="117003"/>
    <m/>
    <m/>
    <m/>
    <m/>
    <m/>
    <m/>
    <m/>
    <m/>
    <n v="0"/>
    <n v="0"/>
    <n v="0"/>
    <n v="0"/>
    <m/>
    <m/>
    <n v="0"/>
    <n v="0"/>
  </r>
  <r>
    <x v="12"/>
    <s v="Dyersburg State Community College "/>
    <m/>
    <n v="220057"/>
    <x v="8"/>
    <m/>
    <m/>
    <m/>
    <m/>
    <n v="22580"/>
    <n v="22766"/>
    <n v="4394"/>
    <n v="4325"/>
    <n v="26134"/>
    <n v="24448"/>
    <n v="53108"/>
    <n v="1770.2666666666667"/>
    <n v="51539"/>
    <n v="1717.9666666666667"/>
    <n v="6012"/>
    <n v="5504"/>
    <n v="53108"/>
    <n v="51539"/>
    <m/>
    <m/>
    <m/>
    <m/>
    <m/>
    <m/>
    <m/>
    <m/>
    <n v="0"/>
    <n v="0"/>
    <n v="0"/>
    <n v="0"/>
    <m/>
    <m/>
    <n v="0"/>
    <n v="0"/>
  </r>
  <r>
    <x v="12"/>
    <s v="Tennessee College of Applied Technology at Athens"/>
    <m/>
    <n v="219596"/>
    <x v="10"/>
    <m/>
    <m/>
    <m/>
    <m/>
    <m/>
    <m/>
    <m/>
    <m/>
    <m/>
    <m/>
    <n v="0"/>
    <n v="0"/>
    <n v="0"/>
    <n v="0"/>
    <m/>
    <m/>
    <n v="0"/>
    <n v="0"/>
    <m/>
    <m/>
    <n v="98018"/>
    <n v="89100"/>
    <n v="75283"/>
    <n v="67936"/>
    <n v="105359"/>
    <n v="78454"/>
    <n v="278660"/>
    <n v="309.62222222222221"/>
    <n v="235490"/>
    <n v="261.65555555555557"/>
    <m/>
    <m/>
    <n v="0"/>
    <n v="0"/>
  </r>
  <r>
    <x v="12"/>
    <s v="Tennessee College of Applied Technology at Chattanooga"/>
    <m/>
    <s v="219824B"/>
    <x v="10"/>
    <m/>
    <m/>
    <m/>
    <m/>
    <m/>
    <m/>
    <m/>
    <m/>
    <m/>
    <m/>
    <n v="0"/>
    <n v="0"/>
    <n v="0"/>
    <n v="0"/>
    <m/>
    <m/>
    <n v="0"/>
    <n v="0"/>
    <m/>
    <m/>
    <n v="315795"/>
    <n v="332363"/>
    <n v="197287"/>
    <n v="187331"/>
    <n v="329869"/>
    <n v="295842"/>
    <n v="842951"/>
    <n v="936.61222222222227"/>
    <n v="815536"/>
    <n v="906.15111111111116"/>
    <m/>
    <m/>
    <n v="0"/>
    <n v="0"/>
  </r>
  <r>
    <x v="12"/>
    <s v="Tennessee College of Applied Technology at Covington"/>
    <m/>
    <n v="219921"/>
    <x v="10"/>
    <m/>
    <m/>
    <m/>
    <m/>
    <m/>
    <m/>
    <m/>
    <m/>
    <m/>
    <m/>
    <n v="0"/>
    <n v="0"/>
    <n v="0"/>
    <n v="0"/>
    <m/>
    <m/>
    <n v="0"/>
    <n v="0"/>
    <m/>
    <m/>
    <n v="72107"/>
    <n v="81592"/>
    <n v="55701"/>
    <n v="71588"/>
    <n v="94211"/>
    <n v="92879"/>
    <n v="222019"/>
    <n v="246.68777777777777"/>
    <n v="246059"/>
    <n v="273.39888888888891"/>
    <m/>
    <m/>
    <n v="0"/>
    <n v="0"/>
  </r>
  <r>
    <x v="12"/>
    <s v="Tennessee College of Applied Technology at Crossville"/>
    <m/>
    <n v="221591"/>
    <x v="10"/>
    <m/>
    <m/>
    <m/>
    <m/>
    <m/>
    <m/>
    <m/>
    <m/>
    <m/>
    <m/>
    <n v="0"/>
    <n v="0"/>
    <n v="0"/>
    <n v="0"/>
    <m/>
    <m/>
    <n v="0"/>
    <n v="0"/>
    <m/>
    <m/>
    <n v="133559"/>
    <n v="124158"/>
    <n v="119267"/>
    <n v="108760"/>
    <n v="140424"/>
    <n v="143991"/>
    <n v="393250"/>
    <n v="436.94444444444446"/>
    <n v="376909"/>
    <n v="418.78777777777776"/>
    <m/>
    <m/>
    <n v="0"/>
    <n v="0"/>
  </r>
  <r>
    <x v="12"/>
    <s v="Tennessee College of Applied Technology at Crump"/>
    <m/>
    <n v="221430"/>
    <x v="10"/>
    <m/>
    <m/>
    <m/>
    <m/>
    <m/>
    <m/>
    <m/>
    <m/>
    <m/>
    <m/>
    <n v="0"/>
    <n v="0"/>
    <n v="0"/>
    <n v="0"/>
    <m/>
    <m/>
    <n v="0"/>
    <n v="0"/>
    <m/>
    <m/>
    <n v="74482"/>
    <n v="125883"/>
    <n v="63255"/>
    <n v="74810"/>
    <n v="166896"/>
    <n v="158002"/>
    <n v="304633"/>
    <n v="338.48111111111109"/>
    <n v="358695"/>
    <n v="398.55"/>
    <m/>
    <m/>
    <n v="0"/>
    <n v="0"/>
  </r>
  <r>
    <x v="12"/>
    <s v="Tennessee College of Applied Technology at Dickson"/>
    <m/>
    <n v="219994"/>
    <x v="10"/>
    <m/>
    <m/>
    <m/>
    <m/>
    <m/>
    <m/>
    <m/>
    <m/>
    <m/>
    <m/>
    <n v="0"/>
    <n v="0"/>
    <n v="0"/>
    <n v="0"/>
    <m/>
    <m/>
    <n v="0"/>
    <n v="0"/>
    <m/>
    <m/>
    <n v="224737"/>
    <n v="247400"/>
    <n v="186292"/>
    <n v="202300"/>
    <n v="246426"/>
    <n v="252017"/>
    <n v="657455"/>
    <n v="730.50555555555559"/>
    <n v="701717"/>
    <n v="779.68555555555554"/>
    <m/>
    <m/>
    <n v="0"/>
    <n v="0"/>
  </r>
  <r>
    <x v="12"/>
    <s v="Tennessee College of Applied Technology at Elizabethton"/>
    <m/>
    <n v="220127"/>
    <x v="10"/>
    <m/>
    <m/>
    <m/>
    <m/>
    <m/>
    <m/>
    <m/>
    <m/>
    <m/>
    <m/>
    <n v="0"/>
    <n v="0"/>
    <n v="0"/>
    <n v="0"/>
    <m/>
    <m/>
    <n v="0"/>
    <n v="0"/>
    <m/>
    <m/>
    <n v="167231"/>
    <n v="182440"/>
    <n v="151964"/>
    <n v="168363"/>
    <n v="176613"/>
    <n v="176639"/>
    <n v="495808"/>
    <n v="550.89777777777783"/>
    <n v="527442"/>
    <n v="586.04666666666662"/>
    <m/>
    <m/>
    <n v="0"/>
    <n v="0"/>
  </r>
  <r>
    <x v="12"/>
    <s v="Tennessee College of Applied Technology at Harriman"/>
    <m/>
    <n v="220251"/>
    <x v="10"/>
    <m/>
    <m/>
    <m/>
    <m/>
    <m/>
    <m/>
    <m/>
    <m/>
    <m/>
    <m/>
    <n v="0"/>
    <n v="0"/>
    <n v="0"/>
    <n v="0"/>
    <m/>
    <m/>
    <n v="0"/>
    <n v="0"/>
    <m/>
    <m/>
    <n v="109518"/>
    <n v="71693"/>
    <n v="62355"/>
    <n v="67098"/>
    <n v="104485"/>
    <n v="99460"/>
    <n v="276358"/>
    <n v="307.06444444444446"/>
    <n v="238251"/>
    <n v="264.72333333333336"/>
    <m/>
    <m/>
    <n v="0"/>
    <n v="0"/>
  </r>
  <r>
    <x v="12"/>
    <s v="Tennessee College of Applied Technology at Hartsville"/>
    <m/>
    <n v="220279"/>
    <x v="10"/>
    <m/>
    <m/>
    <m/>
    <m/>
    <m/>
    <m/>
    <m/>
    <m/>
    <m/>
    <m/>
    <n v="0"/>
    <n v="0"/>
    <n v="0"/>
    <n v="0"/>
    <m/>
    <m/>
    <n v="0"/>
    <n v="0"/>
    <m/>
    <m/>
    <n v="120108"/>
    <n v="102119"/>
    <n v="71843"/>
    <n v="70094"/>
    <n v="136513"/>
    <n v="124442"/>
    <n v="328464"/>
    <n v="364.96"/>
    <n v="296655"/>
    <n v="329.61666666666667"/>
    <m/>
    <m/>
    <n v="0"/>
    <n v="0"/>
  </r>
  <r>
    <x v="12"/>
    <s v="Tennessee College of Applied Technology at Hohenwald"/>
    <m/>
    <n v="220321"/>
    <x v="10"/>
    <m/>
    <m/>
    <m/>
    <m/>
    <m/>
    <m/>
    <m/>
    <m/>
    <m/>
    <m/>
    <n v="0"/>
    <n v="0"/>
    <n v="0"/>
    <n v="0"/>
    <m/>
    <m/>
    <n v="0"/>
    <n v="0"/>
    <m/>
    <m/>
    <n v="135417"/>
    <n v="125147"/>
    <n v="100520"/>
    <n v="98161"/>
    <n v="143361"/>
    <n v="133516"/>
    <n v="379298"/>
    <n v="421.4422222222222"/>
    <n v="356824"/>
    <n v="396.4711111111111"/>
    <m/>
    <m/>
    <n v="0"/>
    <n v="0"/>
  </r>
  <r>
    <x v="12"/>
    <s v="Tennessee College of Applied Technology at Jacksboro"/>
    <m/>
    <n v="220394"/>
    <x v="10"/>
    <m/>
    <m/>
    <m/>
    <m/>
    <m/>
    <m/>
    <m/>
    <m/>
    <m/>
    <m/>
    <n v="0"/>
    <n v="0"/>
    <n v="0"/>
    <n v="0"/>
    <m/>
    <m/>
    <n v="0"/>
    <n v="0"/>
    <m/>
    <m/>
    <n v="61585"/>
    <n v="80310"/>
    <n v="65665"/>
    <n v="64620"/>
    <n v="90604"/>
    <n v="99359"/>
    <n v="217854"/>
    <n v="242.06"/>
    <n v="244289"/>
    <n v="271.43222222222221"/>
    <m/>
    <m/>
    <n v="0"/>
    <n v="0"/>
  </r>
  <r>
    <x v="12"/>
    <s v="Tennessee College of Applied Technology at Jackson"/>
    <m/>
    <n v="221616"/>
    <x v="10"/>
    <m/>
    <m/>
    <m/>
    <m/>
    <m/>
    <m/>
    <m/>
    <m/>
    <m/>
    <m/>
    <n v="0"/>
    <n v="0"/>
    <n v="0"/>
    <n v="0"/>
    <m/>
    <m/>
    <n v="0"/>
    <n v="0"/>
    <m/>
    <m/>
    <n v="176282"/>
    <n v="169953"/>
    <n v="134064"/>
    <n v="144499"/>
    <n v="165760"/>
    <n v="167689"/>
    <n v="476106"/>
    <n v="529.00666666666666"/>
    <n v="482141"/>
    <n v="535.71222222222218"/>
    <m/>
    <m/>
    <n v="0"/>
    <n v="0"/>
  </r>
  <r>
    <x v="12"/>
    <s v="Tennessee College of Applied Technology at Knoxville"/>
    <m/>
    <n v="221625"/>
    <x v="10"/>
    <m/>
    <m/>
    <m/>
    <m/>
    <m/>
    <m/>
    <m/>
    <m/>
    <m/>
    <m/>
    <n v="0"/>
    <n v="0"/>
    <n v="0"/>
    <n v="0"/>
    <m/>
    <m/>
    <n v="0"/>
    <n v="0"/>
    <m/>
    <m/>
    <n v="249520"/>
    <n v="264105"/>
    <n v="207078"/>
    <n v="207348"/>
    <n v="258262"/>
    <n v="301050"/>
    <n v="714860"/>
    <n v="794.28888888888889"/>
    <n v="772503"/>
    <n v="858.3366666666667"/>
    <m/>
    <m/>
    <n v="0"/>
    <n v="0"/>
  </r>
  <r>
    <x v="12"/>
    <s v="Tennessee College of Applied Technology at Livingston"/>
    <m/>
    <n v="220640"/>
    <x v="10"/>
    <m/>
    <m/>
    <m/>
    <m/>
    <m/>
    <m/>
    <m/>
    <m/>
    <m/>
    <m/>
    <n v="0"/>
    <n v="0"/>
    <n v="0"/>
    <n v="0"/>
    <m/>
    <m/>
    <n v="0"/>
    <n v="0"/>
    <m/>
    <m/>
    <n v="198583"/>
    <n v="170602"/>
    <n v="117067"/>
    <n v="75987"/>
    <n v="200835"/>
    <n v="165959"/>
    <n v="516485"/>
    <n v="573.87222222222226"/>
    <n v="412548"/>
    <n v="458.38666666666666"/>
    <m/>
    <m/>
    <n v="0"/>
    <n v="0"/>
  </r>
  <r>
    <x v="12"/>
    <s v="Tennessee College of Applied Technology at McKenzie"/>
    <m/>
    <n v="220756"/>
    <x v="10"/>
    <m/>
    <m/>
    <m/>
    <m/>
    <m/>
    <m/>
    <m/>
    <m/>
    <m/>
    <m/>
    <n v="0"/>
    <n v="0"/>
    <n v="0"/>
    <n v="0"/>
    <m/>
    <m/>
    <n v="0"/>
    <n v="0"/>
    <m/>
    <m/>
    <n v="54603"/>
    <n v="52013"/>
    <n v="47578"/>
    <n v="40200"/>
    <n v="56662"/>
    <n v="40514"/>
    <n v="158843"/>
    <n v="176.49222222222221"/>
    <n v="132727"/>
    <n v="147.47444444444446"/>
    <m/>
    <m/>
    <n v="0"/>
    <n v="0"/>
  </r>
  <r>
    <x v="12"/>
    <s v="Tennessee College of Applied Technology at McMinnville"/>
    <m/>
    <n v="221607"/>
    <x v="10"/>
    <m/>
    <m/>
    <m/>
    <m/>
    <m/>
    <m/>
    <m/>
    <m/>
    <m/>
    <m/>
    <n v="0"/>
    <n v="0"/>
    <n v="0"/>
    <n v="0"/>
    <m/>
    <m/>
    <n v="0"/>
    <n v="0"/>
    <m/>
    <m/>
    <n v="65483"/>
    <n v="78745"/>
    <n v="66391"/>
    <n v="70687"/>
    <n v="82284"/>
    <n v="88996"/>
    <n v="214158"/>
    <n v="237.95333333333335"/>
    <n v="238428"/>
    <n v="264.92"/>
    <m/>
    <m/>
    <n v="0"/>
    <n v="0"/>
  </r>
  <r>
    <x v="12"/>
    <s v="Tennessee College of Applied Technology at Memphis"/>
    <s v="Met the criteria for Technical Institute or College 1 in 2019-20 and 2020-21."/>
    <n v="220853"/>
    <x v="10"/>
    <m/>
    <m/>
    <m/>
    <m/>
    <m/>
    <m/>
    <m/>
    <m/>
    <m/>
    <m/>
    <n v="0"/>
    <n v="0"/>
    <n v="0"/>
    <n v="0"/>
    <m/>
    <m/>
    <n v="0"/>
    <n v="0"/>
    <m/>
    <m/>
    <n v="312423"/>
    <n v="335548"/>
    <n v="245759"/>
    <n v="282602"/>
    <n v="353147"/>
    <n v="358913"/>
    <n v="911329"/>
    <n v="1012.5877777777778"/>
    <n v="977063"/>
    <n v="1085.6255555555556"/>
    <m/>
    <m/>
    <n v="0"/>
    <n v="0"/>
  </r>
  <r>
    <x v="12"/>
    <s v="Tennessee College of Applied Technology at Morristown"/>
    <m/>
    <n v="221050"/>
    <x v="10"/>
    <m/>
    <m/>
    <m/>
    <m/>
    <m/>
    <m/>
    <m/>
    <m/>
    <m/>
    <m/>
    <n v="0"/>
    <n v="0"/>
    <n v="0"/>
    <n v="0"/>
    <m/>
    <m/>
    <n v="0"/>
    <n v="0"/>
    <m/>
    <m/>
    <n v="250859"/>
    <n v="214530"/>
    <n v="204057"/>
    <n v="162466"/>
    <n v="259793"/>
    <n v="217295"/>
    <n v="714709"/>
    <n v="794.12111111111108"/>
    <n v="594291"/>
    <n v="660.32333333333338"/>
    <m/>
    <m/>
    <n v="0"/>
    <n v="0"/>
  </r>
  <r>
    <x v="12"/>
    <s v="Tennessee College of Applied Technology at Murfreesboro"/>
    <m/>
    <n v="221102"/>
    <x v="10"/>
    <m/>
    <m/>
    <m/>
    <m/>
    <m/>
    <m/>
    <m/>
    <m/>
    <m/>
    <m/>
    <n v="0"/>
    <n v="0"/>
    <n v="0"/>
    <n v="0"/>
    <m/>
    <m/>
    <n v="0"/>
    <n v="0"/>
    <m/>
    <m/>
    <n v="243236"/>
    <n v="209345"/>
    <n v="221520"/>
    <n v="189316"/>
    <n v="224672"/>
    <n v="217383"/>
    <n v="689428"/>
    <n v="766.03111111111116"/>
    <n v="616044"/>
    <n v="684.49333333333334"/>
    <m/>
    <m/>
    <n v="0"/>
    <n v="0"/>
  </r>
  <r>
    <x v="12"/>
    <s v="Tennessee College of Applied Technology at Nashville"/>
    <m/>
    <n v="248925"/>
    <x v="10"/>
    <m/>
    <m/>
    <m/>
    <m/>
    <m/>
    <m/>
    <m/>
    <m/>
    <m/>
    <m/>
    <n v="0"/>
    <n v="0"/>
    <n v="0"/>
    <n v="0"/>
    <m/>
    <m/>
    <n v="0"/>
    <n v="0"/>
    <m/>
    <m/>
    <n v="308057"/>
    <n v="277727"/>
    <n v="236744"/>
    <n v="235696"/>
    <n v="305075"/>
    <n v="288403"/>
    <n v="849876"/>
    <n v="944.30666666666662"/>
    <n v="801826"/>
    <n v="890.91777777777781"/>
    <m/>
    <m/>
    <n v="0"/>
    <n v="0"/>
  </r>
  <r>
    <x v="12"/>
    <s v="Tennessee College of Applied Technology at Newbern"/>
    <m/>
    <n v="221236"/>
    <x v="10"/>
    <m/>
    <m/>
    <m/>
    <m/>
    <m/>
    <m/>
    <m/>
    <m/>
    <m/>
    <m/>
    <n v="0"/>
    <n v="0"/>
    <n v="0"/>
    <n v="0"/>
    <m/>
    <m/>
    <n v="0"/>
    <n v="0"/>
    <m/>
    <m/>
    <n v="120797"/>
    <n v="130305"/>
    <n v="89103"/>
    <n v="117939"/>
    <n v="127791"/>
    <n v="141733"/>
    <n v="337691"/>
    <n v="375.21222222222224"/>
    <n v="389977"/>
    <n v="433.3077777777778"/>
    <m/>
    <m/>
    <n v="0"/>
    <n v="0"/>
  </r>
  <r>
    <x v="12"/>
    <s v="Tennessee College of Applied Technology at Oneida"/>
    <m/>
    <n v="221582"/>
    <x v="10"/>
    <m/>
    <m/>
    <m/>
    <m/>
    <m/>
    <m/>
    <m/>
    <m/>
    <m/>
    <m/>
    <n v="0"/>
    <n v="0"/>
    <n v="0"/>
    <n v="0"/>
    <m/>
    <m/>
    <n v="0"/>
    <n v="0"/>
    <m/>
    <m/>
    <n v="60907"/>
    <n v="63031"/>
    <n v="31343"/>
    <n v="42308"/>
    <n v="73425"/>
    <n v="60630"/>
    <n v="165675"/>
    <n v="184.08333333333334"/>
    <n v="165969"/>
    <n v="184.41"/>
    <m/>
    <m/>
    <n v="0"/>
    <n v="0"/>
  </r>
  <r>
    <x v="12"/>
    <s v="Tennessee College of Applied Technology at Paris"/>
    <m/>
    <n v="221281"/>
    <x v="10"/>
    <m/>
    <m/>
    <m/>
    <m/>
    <m/>
    <m/>
    <m/>
    <m/>
    <m/>
    <m/>
    <n v="0"/>
    <n v="0"/>
    <n v="0"/>
    <n v="0"/>
    <m/>
    <m/>
    <n v="0"/>
    <n v="0"/>
    <m/>
    <m/>
    <n v="85967"/>
    <n v="85330"/>
    <n v="65506"/>
    <n v="68827"/>
    <n v="99586"/>
    <n v="76163"/>
    <n v="251059"/>
    <n v="278.95444444444445"/>
    <n v="230320"/>
    <n v="255.9111111111111"/>
    <m/>
    <m/>
    <n v="0"/>
    <n v="0"/>
  </r>
  <r>
    <x v="12"/>
    <s v="Tennessee College of Applied Technology at Pulaski"/>
    <m/>
    <n v="221333"/>
    <x v="10"/>
    <m/>
    <m/>
    <m/>
    <m/>
    <m/>
    <m/>
    <m/>
    <m/>
    <m/>
    <m/>
    <n v="0"/>
    <n v="0"/>
    <n v="0"/>
    <n v="0"/>
    <m/>
    <m/>
    <n v="0"/>
    <n v="0"/>
    <m/>
    <m/>
    <n v="143191"/>
    <n v="119455"/>
    <n v="73727"/>
    <n v="85250"/>
    <n v="146642"/>
    <n v="137369"/>
    <n v="363560"/>
    <n v="403.95555555555558"/>
    <n v="342074"/>
    <n v="380.08222222222224"/>
    <m/>
    <m/>
    <n v="0"/>
    <n v="0"/>
  </r>
  <r>
    <x v="12"/>
    <s v="Tennessee College of Applied Technology at Ripley"/>
    <m/>
    <n v="221388"/>
    <x v="10"/>
    <m/>
    <m/>
    <m/>
    <m/>
    <m/>
    <m/>
    <m/>
    <m/>
    <m/>
    <m/>
    <n v="0"/>
    <n v="0"/>
    <n v="0"/>
    <n v="0"/>
    <m/>
    <m/>
    <n v="0"/>
    <n v="0"/>
    <m/>
    <m/>
    <n v="68141"/>
    <n v="64572"/>
    <n v="45572"/>
    <n v="51038"/>
    <n v="62603"/>
    <n v="66660"/>
    <n v="176316"/>
    <n v="195.90666666666667"/>
    <n v="182270"/>
    <n v="202.52222222222221"/>
    <m/>
    <m/>
    <n v="0"/>
    <n v="0"/>
  </r>
  <r>
    <x v="12"/>
    <s v="Tennessee College of Applied Technology at Shelbyville"/>
    <m/>
    <n v="221494"/>
    <x v="10"/>
    <m/>
    <m/>
    <m/>
    <m/>
    <m/>
    <m/>
    <m/>
    <m/>
    <m/>
    <m/>
    <n v="0"/>
    <n v="0"/>
    <n v="0"/>
    <n v="0"/>
    <m/>
    <m/>
    <n v="0"/>
    <n v="0"/>
    <m/>
    <m/>
    <n v="152551"/>
    <n v="153962"/>
    <n v="143840"/>
    <n v="124412"/>
    <n v="166918"/>
    <n v="166188"/>
    <n v="463309"/>
    <n v="514.78777777777782"/>
    <n v="444562"/>
    <n v="493.95777777777778"/>
    <m/>
    <m/>
    <n v="0"/>
    <n v="0"/>
  </r>
  <r>
    <x v="12"/>
    <s v="Tennessee College of Applied Technology at Whiteville"/>
    <m/>
    <n v="221634"/>
    <x v="10"/>
    <m/>
    <m/>
    <m/>
    <m/>
    <m/>
    <m/>
    <m/>
    <m/>
    <m/>
    <m/>
    <n v="0"/>
    <n v="0"/>
    <n v="0"/>
    <n v="0"/>
    <m/>
    <m/>
    <n v="0"/>
    <n v="0"/>
    <m/>
    <m/>
    <n v="61744"/>
    <n v="69075"/>
    <n v="48823"/>
    <n v="49088"/>
    <n v="61602"/>
    <n v="69009"/>
    <n v="172169"/>
    <n v="191.29888888888888"/>
    <n v="187172"/>
    <n v="207.9688888888889"/>
    <m/>
    <m/>
    <n v="0"/>
    <n v="0"/>
  </r>
  <r>
    <x v="13"/>
    <s v="Texas A&amp;M University "/>
    <m/>
    <n v="228723"/>
    <x v="0"/>
    <m/>
    <m/>
    <n v="0"/>
    <n v="0"/>
    <n v="613953"/>
    <n v="618157"/>
    <n v="77421"/>
    <n v="106529"/>
    <n v="663528"/>
    <n v="687589"/>
    <n v="1354902"/>
    <n v="45163.4"/>
    <n v="1412275"/>
    <n v="47075.833333333336"/>
    <n v="0"/>
    <n v="0"/>
    <n v="1354902"/>
    <n v="1412275"/>
    <m/>
    <m/>
    <m/>
    <m/>
    <m/>
    <m/>
    <m/>
    <m/>
    <n v="0"/>
    <n v="0"/>
    <n v="0"/>
    <n v="0"/>
    <m/>
    <m/>
    <n v="0"/>
    <n v="0"/>
  </r>
  <r>
    <x v="13"/>
    <s v="Texas Tech University "/>
    <m/>
    <n v="229115"/>
    <x v="0"/>
    <m/>
    <m/>
    <n v="0"/>
    <n v="0"/>
    <n v="366209"/>
    <n v="372727"/>
    <n v="74344"/>
    <n v="87314"/>
    <n v="411531"/>
    <n v="428759"/>
    <n v="852084"/>
    <n v="28402.799999999999"/>
    <n v="888800"/>
    <n v="29626.666666666668"/>
    <n v="4199"/>
    <n v="2275"/>
    <n v="852084"/>
    <n v="888800"/>
    <m/>
    <m/>
    <m/>
    <m/>
    <m/>
    <m/>
    <m/>
    <m/>
    <n v="0"/>
    <n v="0"/>
    <n v="0"/>
    <n v="0"/>
    <m/>
    <m/>
    <n v="0"/>
    <n v="0"/>
  </r>
  <r>
    <x v="13"/>
    <s v="University of Houston"/>
    <m/>
    <n v="225511"/>
    <x v="0"/>
    <m/>
    <m/>
    <n v="0"/>
    <n v="0"/>
    <n v="427518"/>
    <n v="426560"/>
    <n v="73620"/>
    <n v="100530"/>
    <n v="464662"/>
    <n v="474900"/>
    <n v="965800"/>
    <n v="32193.333333333332"/>
    <n v="1001990"/>
    <n v="33399.666666666664"/>
    <n v="0"/>
    <n v="0"/>
    <n v="965800"/>
    <n v="1001990"/>
    <m/>
    <m/>
    <m/>
    <m/>
    <m/>
    <m/>
    <m/>
    <m/>
    <n v="0"/>
    <n v="0"/>
    <n v="0"/>
    <n v="0"/>
    <m/>
    <m/>
    <n v="0"/>
    <n v="0"/>
  </r>
  <r>
    <x v="13"/>
    <s v="University of North Texas"/>
    <m/>
    <n v="227216"/>
    <x v="0"/>
    <m/>
    <m/>
    <n v="0"/>
    <n v="0"/>
    <n v="356472"/>
    <n v="367716"/>
    <n v="73946"/>
    <n v="86916"/>
    <n v="400922"/>
    <n v="408907"/>
    <n v="831340"/>
    <n v="27711.333333333332"/>
    <n v="863539"/>
    <n v="28784.633333333335"/>
    <n v="0"/>
    <n v="0"/>
    <n v="831340"/>
    <n v="863539"/>
    <m/>
    <m/>
    <m/>
    <m/>
    <m/>
    <m/>
    <m/>
    <m/>
    <n v="0"/>
    <n v="0"/>
    <n v="0"/>
    <n v="0"/>
    <m/>
    <m/>
    <n v="0"/>
    <n v="0"/>
  </r>
  <r>
    <x v="13"/>
    <s v="University of Texas at Arlington"/>
    <m/>
    <n v="228769"/>
    <x v="0"/>
    <m/>
    <m/>
    <n v="0"/>
    <n v="0"/>
    <n v="320709"/>
    <n v="328968"/>
    <n v="110325"/>
    <n v="125850"/>
    <n v="318412"/>
    <n v="324905"/>
    <n v="749446"/>
    <n v="24981.533333333333"/>
    <n v="779723"/>
    <n v="25990.766666666666"/>
    <n v="2023"/>
    <n v="1638"/>
    <n v="749446"/>
    <n v="779723"/>
    <m/>
    <m/>
    <m/>
    <m/>
    <m/>
    <m/>
    <m/>
    <m/>
    <n v="0"/>
    <n v="0"/>
    <n v="0"/>
    <n v="0"/>
    <m/>
    <m/>
    <n v="0"/>
    <n v="0"/>
  </r>
  <r>
    <x v="13"/>
    <s v="University of Texas at Austin"/>
    <m/>
    <n v="228778"/>
    <x v="0"/>
    <m/>
    <m/>
    <n v="0"/>
    <n v="0"/>
    <n v="514424"/>
    <n v="506449"/>
    <n v="40383"/>
    <n v="71982"/>
    <n v="539827"/>
    <n v="542029"/>
    <n v="1094634"/>
    <n v="36487.800000000003"/>
    <n v="1120460"/>
    <n v="37348.666666666664"/>
    <n v="0"/>
    <n v="0"/>
    <n v="1094634"/>
    <n v="1120460"/>
    <m/>
    <m/>
    <m/>
    <m/>
    <m/>
    <m/>
    <m/>
    <m/>
    <n v="0"/>
    <n v="0"/>
    <n v="0"/>
    <n v="0"/>
    <m/>
    <m/>
    <n v="0"/>
    <n v="0"/>
  </r>
  <r>
    <x v="13"/>
    <s v="University of Texas at Dallas"/>
    <m/>
    <n v="228787"/>
    <x v="0"/>
    <m/>
    <m/>
    <n v="0"/>
    <n v="0"/>
    <n v="240608"/>
    <n v="257129"/>
    <n v="29328"/>
    <n v="40418"/>
    <n v="277510"/>
    <n v="275329"/>
    <n v="547446"/>
    <n v="18248.2"/>
    <n v="572876"/>
    <n v="19095.866666666665"/>
    <n v="0"/>
    <n v="0"/>
    <n v="547446"/>
    <n v="572876"/>
    <m/>
    <m/>
    <m/>
    <m/>
    <m/>
    <m/>
    <m/>
    <m/>
    <n v="0"/>
    <n v="0"/>
    <n v="0"/>
    <n v="0"/>
    <m/>
    <m/>
    <n v="0"/>
    <n v="0"/>
  </r>
  <r>
    <x v="13"/>
    <s v="University of Texas at San Antonio"/>
    <m/>
    <n v="229027"/>
    <x v="0"/>
    <m/>
    <m/>
    <n v="0"/>
    <n v="0"/>
    <n v="308648"/>
    <n v="310970"/>
    <n v="58852"/>
    <n v="75703"/>
    <n v="338349"/>
    <n v="355487"/>
    <n v="705849"/>
    <n v="23528.3"/>
    <n v="742160"/>
    <n v="24738.666666666668"/>
    <n v="1314"/>
    <n v="2394"/>
    <n v="705849"/>
    <n v="742160"/>
    <m/>
    <m/>
    <m/>
    <m/>
    <m/>
    <m/>
    <m/>
    <m/>
    <n v="0"/>
    <n v="0"/>
    <n v="0"/>
    <n v="0"/>
    <m/>
    <m/>
    <n v="0"/>
    <n v="0"/>
  </r>
  <r>
    <x v="13"/>
    <s v="Texas State University"/>
    <m/>
    <n v="228459"/>
    <x v="1"/>
    <m/>
    <m/>
    <n v="0"/>
    <n v="0"/>
    <n v="382846"/>
    <n v="378021"/>
    <n v="64051"/>
    <n v="71840"/>
    <n v="424964"/>
    <n v="410585"/>
    <n v="871861"/>
    <n v="29062.033333333333"/>
    <n v="860446"/>
    <n v="28681.533333333333"/>
    <n v="0"/>
    <n v="0"/>
    <n v="871861"/>
    <n v="860446"/>
    <m/>
    <m/>
    <m/>
    <m/>
    <m/>
    <m/>
    <m/>
    <m/>
    <n v="0"/>
    <n v="0"/>
    <n v="0"/>
    <n v="0"/>
    <m/>
    <m/>
    <n v="0"/>
    <n v="0"/>
  </r>
  <r>
    <x v="13"/>
    <s v="Texas Woman's University"/>
    <s v="Met the requirments for 4-year 1 in 2020-21"/>
    <n v="229179"/>
    <x v="1"/>
    <m/>
    <m/>
    <n v="0"/>
    <n v="0"/>
    <n v="108299"/>
    <n v="107964"/>
    <n v="22725"/>
    <n v="25526"/>
    <n v="117589"/>
    <n v="117950"/>
    <n v="248613"/>
    <n v="8287.1"/>
    <n v="251440"/>
    <n v="8381.3333333333339"/>
    <n v="10870"/>
    <n v="12311"/>
    <n v="248613"/>
    <n v="251440"/>
    <m/>
    <m/>
    <m/>
    <m/>
    <m/>
    <m/>
    <m/>
    <m/>
    <n v="0"/>
    <n v="0"/>
    <n v="0"/>
    <n v="0"/>
    <m/>
    <m/>
    <n v="0"/>
    <n v="0"/>
  </r>
  <r>
    <x v="13"/>
    <s v="University of Texas at El Paso"/>
    <s v="Met the requirments for 4 Year 1 in 2020-21"/>
    <n v="228796"/>
    <x v="1"/>
    <m/>
    <m/>
    <n v="0"/>
    <n v="0"/>
    <n v="219907"/>
    <n v="216528"/>
    <n v="58384"/>
    <n v="68562"/>
    <n v="233247"/>
    <n v="234262"/>
    <n v="511538"/>
    <n v="17051.266666666666"/>
    <n v="519352"/>
    <n v="17311.733333333334"/>
    <n v="0"/>
    <n v="0"/>
    <n v="511538"/>
    <n v="519352"/>
    <m/>
    <m/>
    <m/>
    <m/>
    <m/>
    <m/>
    <m/>
    <m/>
    <n v="0"/>
    <n v="0"/>
    <n v="0"/>
    <n v="0"/>
    <m/>
    <m/>
    <n v="0"/>
    <n v="0"/>
  </r>
  <r>
    <x v="13"/>
    <s v="Angelo State University"/>
    <m/>
    <n v="222831"/>
    <x v="2"/>
    <m/>
    <m/>
    <n v="0"/>
    <n v="0"/>
    <n v="82432"/>
    <n v="84921"/>
    <n v="16829"/>
    <n v="18081"/>
    <n v="93546"/>
    <n v="90009"/>
    <n v="192807"/>
    <n v="6426.9"/>
    <n v="193011"/>
    <n v="6433.7"/>
    <n v="27695"/>
    <n v="32458"/>
    <n v="192807"/>
    <n v="193011"/>
    <m/>
    <m/>
    <m/>
    <m/>
    <m/>
    <m/>
    <m/>
    <m/>
    <n v="0"/>
    <n v="0"/>
    <n v="0"/>
    <n v="0"/>
    <m/>
    <m/>
    <n v="0"/>
    <n v="0"/>
  </r>
  <r>
    <x v="13"/>
    <s v="Lamar University"/>
    <m/>
    <n v="226091"/>
    <x v="2"/>
    <m/>
    <m/>
    <n v="0"/>
    <n v="0"/>
    <n v="95780"/>
    <n v="93735"/>
    <n v="30424"/>
    <n v="34210"/>
    <n v="92533"/>
    <n v="87986"/>
    <n v="218737"/>
    <n v="7291.2333333333336"/>
    <n v="215931"/>
    <n v="7197.7"/>
    <n v="3117"/>
    <n v="3691"/>
    <n v="218737"/>
    <n v="215931"/>
    <m/>
    <m/>
    <m/>
    <m/>
    <m/>
    <m/>
    <m/>
    <m/>
    <n v="0"/>
    <n v="0"/>
    <n v="0"/>
    <n v="0"/>
    <m/>
    <m/>
    <n v="0"/>
    <n v="0"/>
  </r>
  <r>
    <x v="13"/>
    <s v="Midwestern State University"/>
    <m/>
    <n v="226833"/>
    <x v="2"/>
    <m/>
    <m/>
    <n v="0"/>
    <n v="0"/>
    <n v="56170"/>
    <n v="54366"/>
    <n v="11207"/>
    <n v="12049"/>
    <n v="58981"/>
    <n v="55292"/>
    <n v="126358"/>
    <n v="4211.9333333333334"/>
    <n v="121707"/>
    <n v="4056.9"/>
    <n v="348"/>
    <n v="779"/>
    <n v="126358"/>
    <n v="121707"/>
    <m/>
    <m/>
    <m/>
    <m/>
    <m/>
    <m/>
    <m/>
    <m/>
    <n v="0"/>
    <n v="0"/>
    <n v="0"/>
    <n v="0"/>
    <m/>
    <m/>
    <n v="0"/>
    <n v="0"/>
  </r>
  <r>
    <x v="13"/>
    <s v="Prairie View A&amp;M University"/>
    <m/>
    <n v="227526"/>
    <x v="2"/>
    <m/>
    <m/>
    <n v="0"/>
    <n v="0"/>
    <n v="102339"/>
    <n v="100613"/>
    <n v="15020"/>
    <n v="16639"/>
    <n v="110493"/>
    <n v="108702"/>
    <n v="227852"/>
    <n v="7595.0666666666666"/>
    <n v="225954"/>
    <n v="7531.8"/>
    <n v="4"/>
    <n v="0"/>
    <n v="227852"/>
    <n v="225954"/>
    <m/>
    <m/>
    <m/>
    <m/>
    <m/>
    <m/>
    <m/>
    <m/>
    <n v="0"/>
    <n v="0"/>
    <n v="0"/>
    <n v="0"/>
    <m/>
    <m/>
    <n v="0"/>
    <n v="0"/>
  </r>
  <r>
    <x v="13"/>
    <s v="Sam Houston State University "/>
    <m/>
    <n v="227881"/>
    <x v="2"/>
    <m/>
    <m/>
    <n v="0"/>
    <n v="0"/>
    <n v="216441"/>
    <n v="210085"/>
    <n v="41153"/>
    <n v="43027"/>
    <n v="230210"/>
    <n v="225806"/>
    <n v="487804"/>
    <n v="16260.133333333333"/>
    <n v="478918"/>
    <n v="15963.933333333332"/>
    <n v="0"/>
    <n v="0"/>
    <n v="487804"/>
    <n v="478918"/>
    <m/>
    <m/>
    <m/>
    <m/>
    <m/>
    <m/>
    <m/>
    <m/>
    <n v="0"/>
    <n v="0"/>
    <n v="0"/>
    <n v="0"/>
    <m/>
    <m/>
    <n v="0"/>
    <n v="0"/>
  </r>
  <r>
    <x v="13"/>
    <s v="Stephen F. Austin State University"/>
    <m/>
    <n v="228431"/>
    <x v="2"/>
    <m/>
    <m/>
    <n v="0"/>
    <n v="0"/>
    <n v="126636"/>
    <n v="124979"/>
    <n v="22468"/>
    <n v="24648"/>
    <n v="137307"/>
    <n v="127857"/>
    <n v="286411"/>
    <n v="9547.0333333333328"/>
    <n v="277484"/>
    <n v="9249.4666666666672"/>
    <n v="9928"/>
    <n v="10361"/>
    <n v="286411"/>
    <n v="277484"/>
    <m/>
    <m/>
    <m/>
    <m/>
    <m/>
    <m/>
    <m/>
    <m/>
    <n v="0"/>
    <n v="0"/>
    <n v="0"/>
    <n v="0"/>
    <m/>
    <m/>
    <n v="0"/>
    <n v="0"/>
  </r>
  <r>
    <x v="13"/>
    <s v="Sul Ross State University "/>
    <m/>
    <n v="228501"/>
    <x v="2"/>
    <m/>
    <m/>
    <n v="0"/>
    <n v="0"/>
    <n v="14125"/>
    <n v="12644"/>
    <n v="2640"/>
    <n v="2439"/>
    <n v="14708"/>
    <n v="13095"/>
    <n v="31473"/>
    <n v="1049.0999999999999"/>
    <n v="28178"/>
    <n v="939.26666666666665"/>
    <n v="765"/>
    <n v="537"/>
    <n v="31473"/>
    <n v="28178"/>
    <m/>
    <m/>
    <m/>
    <m/>
    <m/>
    <m/>
    <m/>
    <m/>
    <n v="0"/>
    <n v="0"/>
    <n v="0"/>
    <n v="0"/>
    <m/>
    <m/>
    <n v="0"/>
    <n v="0"/>
  </r>
  <r>
    <x v="13"/>
    <s v="Tarleton State University"/>
    <m/>
    <n v="228529"/>
    <x v="2"/>
    <m/>
    <m/>
    <n v="0"/>
    <n v="0"/>
    <n v="124099"/>
    <n v="123752"/>
    <n v="30112"/>
    <n v="34154"/>
    <n v="131580"/>
    <n v="136860"/>
    <n v="285791"/>
    <n v="9526.3666666666668"/>
    <n v="294766"/>
    <n v="9825.5333333333328"/>
    <n v="0"/>
    <n v="0"/>
    <n v="285791"/>
    <n v="294766"/>
    <m/>
    <m/>
    <m/>
    <m/>
    <m/>
    <m/>
    <m/>
    <m/>
    <n v="0"/>
    <n v="0"/>
    <n v="0"/>
    <n v="0"/>
    <m/>
    <m/>
    <n v="0"/>
    <n v="0"/>
  </r>
  <r>
    <x v="13"/>
    <s v="Texas A&amp;M International University"/>
    <m/>
    <n v="226152"/>
    <x v="2"/>
    <m/>
    <m/>
    <n v="0"/>
    <n v="0"/>
    <n v="78872"/>
    <n v="73238"/>
    <n v="16802"/>
    <n v="23149"/>
    <n v="86691"/>
    <n v="84816"/>
    <n v="182365"/>
    <n v="6078.833333333333"/>
    <n v="181203"/>
    <n v="6040.1"/>
    <n v="8749"/>
    <n v="7920"/>
    <n v="182365"/>
    <n v="181203"/>
    <m/>
    <m/>
    <m/>
    <m/>
    <m/>
    <m/>
    <m/>
    <m/>
    <n v="0"/>
    <n v="0"/>
    <n v="0"/>
    <n v="0"/>
    <m/>
    <m/>
    <n v="0"/>
    <n v="0"/>
  </r>
  <r>
    <x v="13"/>
    <s v="Texas A&amp;M University-Commerce"/>
    <m/>
    <n v="224554"/>
    <x v="2"/>
    <m/>
    <m/>
    <n v="0"/>
    <n v="0"/>
    <n v="80022"/>
    <n v="86644"/>
    <n v="20401"/>
    <n v="26367"/>
    <n v="91681"/>
    <n v="91977"/>
    <n v="192104"/>
    <n v="6403.4666666666662"/>
    <n v="204988"/>
    <n v="6832.9333333333334"/>
    <n v="4755"/>
    <n v="5468"/>
    <n v="192104"/>
    <n v="204988"/>
    <m/>
    <m/>
    <m/>
    <m/>
    <m/>
    <m/>
    <m/>
    <m/>
    <n v="0"/>
    <n v="0"/>
    <n v="0"/>
    <n v="0"/>
    <m/>
    <m/>
    <n v="0"/>
    <n v="0"/>
  </r>
  <r>
    <x v="13"/>
    <s v="Texas A&amp;M University-Corpus Christi "/>
    <s v="Met the criteria for Four-Year 2 in 2019-20."/>
    <n v="224147"/>
    <x v="2"/>
    <m/>
    <m/>
    <n v="0"/>
    <n v="0"/>
    <n v="104996"/>
    <n v="99390"/>
    <n v="26034"/>
    <n v="27482"/>
    <n v="108024"/>
    <n v="97477"/>
    <n v="239054"/>
    <n v="7968.4666666666662"/>
    <n v="224349"/>
    <n v="7478.3"/>
    <n v="1705"/>
    <n v="1482"/>
    <n v="239054"/>
    <n v="224349"/>
    <m/>
    <m/>
    <m/>
    <m/>
    <m/>
    <m/>
    <m/>
    <m/>
    <n v="0"/>
    <n v="0"/>
    <n v="0"/>
    <n v="0"/>
    <m/>
    <m/>
    <n v="0"/>
    <n v="0"/>
  </r>
  <r>
    <x v="13"/>
    <s v="Texas A&amp;M University-Kingsville"/>
    <m/>
    <n v="228705"/>
    <x v="2"/>
    <m/>
    <m/>
    <n v="0"/>
    <n v="0"/>
    <n v="72436"/>
    <n v="63620"/>
    <n v="11297"/>
    <n v="11624"/>
    <n v="72881"/>
    <n v="67527"/>
    <n v="156614"/>
    <n v="5220.4666666666662"/>
    <n v="142771"/>
    <n v="4759.0333333333338"/>
    <n v="10516"/>
    <n v="6202"/>
    <n v="156614"/>
    <n v="142771"/>
    <m/>
    <m/>
    <m/>
    <m/>
    <m/>
    <m/>
    <m/>
    <m/>
    <n v="0"/>
    <n v="0"/>
    <n v="0"/>
    <n v="0"/>
    <m/>
    <m/>
    <n v="0"/>
    <n v="0"/>
  </r>
  <r>
    <x v="13"/>
    <s v="Texas Southern University "/>
    <m/>
    <n v="229063"/>
    <x v="2"/>
    <m/>
    <m/>
    <n v="0"/>
    <n v="0"/>
    <n v="87932"/>
    <n v="80828"/>
    <n v="11175"/>
    <n v="8548"/>
    <n v="93480"/>
    <n v="68291"/>
    <n v="192587"/>
    <n v="6419.5666666666666"/>
    <n v="157667"/>
    <n v="5255.5666666666666"/>
    <n v="3"/>
    <n v="0"/>
    <n v="192587"/>
    <n v="157667"/>
    <m/>
    <m/>
    <m/>
    <m/>
    <m/>
    <m/>
    <m/>
    <m/>
    <n v="0"/>
    <n v="0"/>
    <n v="0"/>
    <n v="0"/>
    <m/>
    <m/>
    <n v="0"/>
    <n v="0"/>
  </r>
  <r>
    <x v="13"/>
    <s v="University of Houston-Clear Lake "/>
    <m/>
    <n v="225414"/>
    <x v="2"/>
    <m/>
    <m/>
    <n v="0"/>
    <n v="0"/>
    <n v="60361"/>
    <n v="63458"/>
    <n v="17086"/>
    <n v="20677"/>
    <n v="65896"/>
    <n v="67145"/>
    <n v="143343"/>
    <n v="4778.1000000000004"/>
    <n v="151280"/>
    <n v="5042.666666666667"/>
    <n v="0"/>
    <n v="0"/>
    <n v="143343"/>
    <n v="151280"/>
    <m/>
    <m/>
    <m/>
    <m/>
    <m/>
    <m/>
    <m/>
    <m/>
    <n v="0"/>
    <n v="0"/>
    <n v="0"/>
    <n v="0"/>
    <m/>
    <m/>
    <n v="0"/>
    <n v="0"/>
  </r>
  <r>
    <x v="13"/>
    <s v="University of Texas at Tyler"/>
    <m/>
    <n v="228802"/>
    <x v="2"/>
    <m/>
    <m/>
    <n v="0"/>
    <n v="0"/>
    <n v="73082"/>
    <n v="74404"/>
    <n v="16088"/>
    <n v="24135"/>
    <n v="78733"/>
    <n v="81281"/>
    <n v="167903"/>
    <n v="5596.7666666666664"/>
    <n v="179820"/>
    <n v="5994"/>
    <n v="2153"/>
    <n v="2969"/>
    <n v="167903"/>
    <n v="179820"/>
    <m/>
    <m/>
    <m/>
    <m/>
    <m/>
    <m/>
    <m/>
    <m/>
    <n v="0"/>
    <n v="0"/>
    <n v="0"/>
    <n v="0"/>
    <m/>
    <m/>
    <n v="0"/>
    <n v="0"/>
  </r>
  <r>
    <x v="13"/>
    <s v="University of Texas Permian Basin"/>
    <m/>
    <n v="229018"/>
    <x v="2"/>
    <m/>
    <m/>
    <n v="0"/>
    <n v="0"/>
    <n v="43516"/>
    <n v="41240"/>
    <n v="17358"/>
    <n v="18791"/>
    <n v="40050"/>
    <n v="42710"/>
    <n v="100924"/>
    <n v="3364.1333333333332"/>
    <n v="102741"/>
    <n v="3424.7"/>
    <n v="7108"/>
    <n v="7036"/>
    <n v="100924"/>
    <n v="102741"/>
    <m/>
    <m/>
    <m/>
    <m/>
    <m/>
    <m/>
    <m/>
    <m/>
    <n v="0"/>
    <n v="0"/>
    <n v="0"/>
    <n v="0"/>
    <m/>
    <m/>
    <n v="0"/>
    <n v="0"/>
  </r>
  <r>
    <x v="13"/>
    <s v="University of Texas-Rio Grande Valley"/>
    <m/>
    <n v="227368"/>
    <x v="2"/>
    <m/>
    <m/>
    <n v="0"/>
    <n v="0"/>
    <n v="281152"/>
    <n v="287507"/>
    <n v="72151"/>
    <n v="99548"/>
    <n v="311726"/>
    <n v="335363"/>
    <n v="665029"/>
    <n v="22167.633333333335"/>
    <n v="722418"/>
    <n v="24080.6"/>
    <n v="19152"/>
    <n v="21495"/>
    <n v="665029"/>
    <n v="722418"/>
    <m/>
    <m/>
    <m/>
    <m/>
    <m/>
    <m/>
    <m/>
    <m/>
    <n v="0"/>
    <n v="0"/>
    <n v="0"/>
    <n v="0"/>
    <m/>
    <m/>
    <n v="0"/>
    <n v="0"/>
  </r>
  <r>
    <x v="13"/>
    <s v="West Texas A&amp;M University"/>
    <m/>
    <n v="229814"/>
    <x v="2"/>
    <m/>
    <m/>
    <n v="0"/>
    <n v="0"/>
    <n v="81596"/>
    <n v="80960"/>
    <n v="15477"/>
    <n v="15613"/>
    <n v="91069"/>
    <n v="90517"/>
    <n v="188142"/>
    <n v="6271.4"/>
    <n v="187090"/>
    <n v="6236.333333333333"/>
    <n v="0"/>
    <n v="0"/>
    <n v="188142"/>
    <n v="187090"/>
    <m/>
    <m/>
    <m/>
    <m/>
    <m/>
    <m/>
    <m/>
    <m/>
    <n v="0"/>
    <n v="0"/>
    <n v="0"/>
    <n v="0"/>
    <m/>
    <m/>
    <n v="0"/>
    <n v="0"/>
  </r>
  <r>
    <x v="13"/>
    <s v="Texas A&amp;M -Texarkana"/>
    <m/>
    <n v="224545"/>
    <x v="3"/>
    <m/>
    <m/>
    <n v="0"/>
    <n v="0"/>
    <n v="18043"/>
    <n v="18651"/>
    <n v="4431"/>
    <n v="4916"/>
    <n v="19678"/>
    <n v="19946"/>
    <n v="42152"/>
    <n v="1405.0666666666666"/>
    <n v="43513"/>
    <n v="1450.4333333333334"/>
    <n v="0"/>
    <n v="0"/>
    <n v="42152"/>
    <n v="43513"/>
    <m/>
    <m/>
    <m/>
    <m/>
    <m/>
    <m/>
    <m/>
    <m/>
    <n v="0"/>
    <n v="0"/>
    <n v="0"/>
    <n v="0"/>
    <m/>
    <m/>
    <n v="0"/>
    <n v="0"/>
  </r>
  <r>
    <x v="13"/>
    <s v="Texas A&amp;M University-Central Texas"/>
    <s v="Reclassified: Met the criteria for Four-Year 3 in 2018-19 ,2019-20, and 2020-21"/>
    <n v="483036"/>
    <x v="2"/>
    <m/>
    <m/>
    <n v="0"/>
    <n v="0"/>
    <n v="16148"/>
    <n v="15868"/>
    <n v="7429"/>
    <n v="7476"/>
    <n v="16225"/>
    <n v="16096"/>
    <n v="39802"/>
    <n v="1326.7333333333333"/>
    <n v="39440"/>
    <n v="1314.6666666666667"/>
    <n v="0"/>
    <n v="0"/>
    <n v="39802"/>
    <n v="39440"/>
    <m/>
    <m/>
    <m/>
    <m/>
    <m/>
    <m/>
    <m/>
    <m/>
    <n v="0"/>
    <n v="0"/>
    <n v="0"/>
    <n v="0"/>
    <m/>
    <m/>
    <n v="0"/>
    <n v="0"/>
  </r>
  <r>
    <x v="13"/>
    <s v="University of Houston-Downtown"/>
    <m/>
    <n v="225432"/>
    <x v="3"/>
    <m/>
    <m/>
    <n v="0"/>
    <n v="0"/>
    <n v="108080"/>
    <n v="117046"/>
    <n v="29669"/>
    <n v="43063"/>
    <n v="126358"/>
    <n v="133433"/>
    <n v="264107"/>
    <n v="8803.5666666666675"/>
    <n v="293542"/>
    <n v="9784.7333333333336"/>
    <n v="3"/>
    <n v="0"/>
    <n v="264107"/>
    <n v="293542"/>
    <m/>
    <m/>
    <m/>
    <m/>
    <m/>
    <m/>
    <m/>
    <m/>
    <n v="0"/>
    <n v="0"/>
    <n v="0"/>
    <n v="0"/>
    <m/>
    <m/>
    <n v="0"/>
    <n v="0"/>
  </r>
  <r>
    <x v="13"/>
    <s v="University of Houston-Victoria"/>
    <m/>
    <n v="225502"/>
    <x v="3"/>
    <m/>
    <m/>
    <n v="0"/>
    <n v="0"/>
    <n v="29444"/>
    <n v="29993"/>
    <n v="8975"/>
    <n v="10030"/>
    <n v="33068"/>
    <n v="35153"/>
    <n v="71487"/>
    <n v="2382.9"/>
    <n v="75176"/>
    <n v="2505.8666666666668"/>
    <n v="891"/>
    <n v="0"/>
    <n v="71487"/>
    <n v="75176"/>
    <m/>
    <m/>
    <m/>
    <m/>
    <m/>
    <m/>
    <m/>
    <m/>
    <n v="0"/>
    <n v="0"/>
    <n v="0"/>
    <n v="0"/>
    <m/>
    <m/>
    <n v="0"/>
    <n v="0"/>
  </r>
  <r>
    <x v="13"/>
    <s v="Sul Ross State University-Rio Grande College"/>
    <m/>
    <s v="228501B"/>
    <x v="4"/>
    <m/>
    <m/>
    <n v="0"/>
    <n v="0"/>
    <n v="5467"/>
    <n v="5351"/>
    <n v="2736"/>
    <n v="2877"/>
    <n v="5411"/>
    <n v="6086"/>
    <n v="13614"/>
    <n v="453.8"/>
    <n v="14314"/>
    <n v="477.13333333333333"/>
    <n v="0"/>
    <n v="0"/>
    <n v="13614"/>
    <n v="14314"/>
    <m/>
    <m/>
    <m/>
    <m/>
    <m/>
    <m/>
    <m/>
    <m/>
    <n v="0"/>
    <n v="0"/>
    <n v="0"/>
    <n v="0"/>
    <m/>
    <m/>
    <n v="0"/>
    <n v="0"/>
  </r>
  <r>
    <x v="13"/>
    <s v="Texas A&amp;M University at Galveston"/>
    <m/>
    <n v="228714"/>
    <x v="4"/>
    <m/>
    <m/>
    <n v="0"/>
    <n v="0"/>
    <n v="24783"/>
    <n v="22463"/>
    <n v="3917"/>
    <n v="4074"/>
    <n v="25492"/>
    <n v="24046"/>
    <n v="54192"/>
    <n v="1806.4"/>
    <n v="50583"/>
    <n v="1686.1"/>
    <n v="0"/>
    <n v="0"/>
    <n v="54192"/>
    <n v="50583"/>
    <m/>
    <m/>
    <m/>
    <m/>
    <m/>
    <m/>
    <m/>
    <m/>
    <n v="0"/>
    <n v="0"/>
    <n v="0"/>
    <n v="0"/>
    <m/>
    <m/>
    <n v="0"/>
    <n v="0"/>
  </r>
  <r>
    <x v="13"/>
    <s v="Texas A&amp;M University-San Antonio"/>
    <s v="Reclassified: Met the criteria for Four-Year 4 in 2018-19 and 2019-20, and 2021"/>
    <n v="870501"/>
    <x v="3"/>
    <m/>
    <m/>
    <n v="0"/>
    <n v="0"/>
    <n v="56439"/>
    <n v="56503"/>
    <n v="13473"/>
    <n v="17076"/>
    <n v="61123"/>
    <n v="61404"/>
    <n v="131035"/>
    <n v="4367.833333333333"/>
    <n v="134983"/>
    <n v="4499.4333333333334"/>
    <n v="567"/>
    <n v="784"/>
    <n v="131035"/>
    <n v="134983"/>
    <m/>
    <m/>
    <m/>
    <m/>
    <m/>
    <m/>
    <m/>
    <m/>
    <n v="0"/>
    <n v="0"/>
    <n v="0"/>
    <n v="0"/>
    <m/>
    <m/>
    <n v="0"/>
    <n v="0"/>
  </r>
  <r>
    <x v="13"/>
    <s v="Brazosport College "/>
    <s v="Met the criteria Two-Year 2 in 2020-21"/>
    <n v="223506"/>
    <x v="12"/>
    <m/>
    <m/>
    <n v="29043"/>
    <n v="27932"/>
    <n v="11286"/>
    <n v="9121"/>
    <n v="3169"/>
    <n v="2926"/>
    <n v="30298"/>
    <n v="26840"/>
    <n v="73796"/>
    <n v="2459.8666666666668"/>
    <n v="66819"/>
    <n v="2227.3000000000002"/>
    <n v="10466"/>
    <n v="10576"/>
    <n v="73796"/>
    <n v="66819"/>
    <n v="3958"/>
    <n v="4811"/>
    <n v="4688"/>
    <n v="2728"/>
    <n v="7316"/>
    <n v="2184"/>
    <n v="3476"/>
    <n v="3546"/>
    <n v="19438"/>
    <n v="21.597777777777779"/>
    <n v="13269"/>
    <n v="14.743333333333334"/>
    <m/>
    <m/>
    <n v="0"/>
    <n v="0"/>
  </r>
  <r>
    <x v="13"/>
    <s v="Midland College "/>
    <s v="Met the criteria Two-Year 2 in 2020-21"/>
    <n v="226806"/>
    <x v="12"/>
    <m/>
    <m/>
    <n v="40161"/>
    <n v="37771"/>
    <n v="14542"/>
    <n v="13772"/>
    <n v="0"/>
    <n v="0"/>
    <n v="39025"/>
    <n v="36179"/>
    <n v="93728"/>
    <n v="3124.2666666666669"/>
    <n v="87722"/>
    <n v="2924.0666666666666"/>
    <n v="19308"/>
    <n v="19854"/>
    <n v="93728"/>
    <n v="87722"/>
    <n v="30196"/>
    <n v="27908"/>
    <n v="31994"/>
    <n v="16060"/>
    <n v="26943"/>
    <n v="13895"/>
    <n v="35554"/>
    <n v="38088"/>
    <n v="124687"/>
    <n v="138.54111111111112"/>
    <n v="95951"/>
    <n v="106.61222222222223"/>
    <m/>
    <m/>
    <n v="0"/>
    <n v="0"/>
  </r>
  <r>
    <x v="13"/>
    <s v="South Texas College"/>
    <s v="Met the critera for Two-Year 1 in 2020-21"/>
    <n v="409315"/>
    <x v="12"/>
    <m/>
    <m/>
    <n v="270182"/>
    <n v="270144"/>
    <n v="73142"/>
    <n v="70042"/>
    <n v="0"/>
    <n v="0"/>
    <n v="301381"/>
    <n v="251086"/>
    <n v="644705"/>
    <n v="21490.166666666668"/>
    <n v="591272"/>
    <n v="19709.066666666666"/>
    <n v="212363"/>
    <n v="210479"/>
    <n v="644705"/>
    <n v="591272"/>
    <n v="75779"/>
    <n v="52314"/>
    <n v="50543"/>
    <n v="41310"/>
    <n v="39508"/>
    <n v="27105"/>
    <n v="56458"/>
    <n v="43786"/>
    <n v="222288"/>
    <n v="246.98666666666668"/>
    <n v="164515"/>
    <n v="182.79444444444445"/>
    <m/>
    <m/>
    <n v="0"/>
    <n v="0"/>
  </r>
  <r>
    <x v="13"/>
    <s v="Amarillo College "/>
    <m/>
    <n v="222576"/>
    <x v="6"/>
    <m/>
    <m/>
    <n v="70858"/>
    <n v="72096"/>
    <n v="17868"/>
    <n v="17951"/>
    <n v="0"/>
    <n v="0"/>
    <n v="81490"/>
    <n v="76821"/>
    <n v="170216"/>
    <n v="5673.8666666666668"/>
    <n v="166868"/>
    <n v="5562.2666666666664"/>
    <n v="24019"/>
    <n v="23416"/>
    <n v="170216"/>
    <n v="166868"/>
    <n v="86561"/>
    <n v="81838"/>
    <n v="90675"/>
    <n v="27967"/>
    <n v="69167"/>
    <n v="35190"/>
    <n v="99203"/>
    <n v="45276"/>
    <n v="345606"/>
    <n v="384.00666666666666"/>
    <n v="190271"/>
    <n v="211.41222222222223"/>
    <m/>
    <m/>
    <n v="0"/>
    <n v="0"/>
  </r>
  <r>
    <x v="13"/>
    <s v="Austin Community College "/>
    <s v="Met the criteria for Two-Year with Bachelor's in 2019-20."/>
    <n v="222992"/>
    <x v="6"/>
    <m/>
    <m/>
    <n v="287998"/>
    <n v="290435"/>
    <n v="150318"/>
    <n v="172353"/>
    <n v="0"/>
    <n v="0"/>
    <n v="273242"/>
    <n v="260152"/>
    <n v="711558"/>
    <n v="23718.6"/>
    <n v="722940"/>
    <n v="24098"/>
    <n v="98636"/>
    <n v="111260"/>
    <n v="711558"/>
    <n v="722940"/>
    <n v="141019"/>
    <n v="152220"/>
    <n v="102843"/>
    <n v="64190"/>
    <n v="155536"/>
    <n v="176016"/>
    <n v="122477"/>
    <n v="112469"/>
    <n v="521875"/>
    <n v="579.86111111111109"/>
    <n v="504895"/>
    <n v="560.99444444444441"/>
    <m/>
    <m/>
    <n v="0"/>
    <n v="0"/>
  </r>
  <r>
    <x v="13"/>
    <s v="Blinn College"/>
    <m/>
    <n v="223427"/>
    <x v="6"/>
    <m/>
    <m/>
    <n v="171160"/>
    <n v="175038"/>
    <n v="36734"/>
    <n v="38626"/>
    <n v="17054"/>
    <n v="17806"/>
    <n v="188122"/>
    <n v="176943"/>
    <n v="413070"/>
    <n v="13769"/>
    <n v="408413"/>
    <n v="13613.766666666666"/>
    <n v="18234"/>
    <n v="19375"/>
    <n v="413070"/>
    <n v="408413"/>
    <n v="26370"/>
    <n v="21290"/>
    <n v="16638"/>
    <n v="482"/>
    <n v="24853"/>
    <n v="8990"/>
    <n v="25527"/>
    <n v="22255"/>
    <n v="93388"/>
    <n v="103.76444444444445"/>
    <n v="53017"/>
    <n v="58.907777777777781"/>
    <m/>
    <m/>
    <n v="0"/>
    <n v="0"/>
  </r>
  <r>
    <x v="13"/>
    <s v="Brookhaven College (DCCCD)"/>
    <s v="Met the criteria Two-Year 2 in 2020-21"/>
    <n v="223524"/>
    <x v="6"/>
    <m/>
    <m/>
    <n v="76341"/>
    <n v="79755"/>
    <n v="57405"/>
    <n v="56213"/>
    <n v="0"/>
    <n v="0"/>
    <n v="68250"/>
    <n v="0"/>
    <n v="201996"/>
    <n v="6733.2"/>
    <n v="135968"/>
    <n v="4532.2666666666664"/>
    <n v="23583"/>
    <n v="13270"/>
    <n v="201996"/>
    <n v="135968"/>
    <n v="36152"/>
    <n v="32686"/>
    <n v="33625"/>
    <n v="14456"/>
    <n v="41218"/>
    <n v="14917"/>
    <n v="47340"/>
    <n v="0"/>
    <n v="158335"/>
    <n v="175.92777777777778"/>
    <n v="62059"/>
    <n v="68.954444444444448"/>
    <m/>
    <m/>
    <n v="0"/>
    <n v="0"/>
  </r>
  <r>
    <x v="13"/>
    <s v="Central Texas College "/>
    <m/>
    <n v="223816"/>
    <x v="6"/>
    <m/>
    <m/>
    <n v="94173"/>
    <n v="89855"/>
    <n v="56277"/>
    <n v="46775"/>
    <n v="6032"/>
    <n v="6068"/>
    <n v="75952"/>
    <n v="58911"/>
    <n v="232434"/>
    <n v="7747.8"/>
    <n v="201609"/>
    <n v="6720.3"/>
    <n v="32773"/>
    <n v="34252"/>
    <n v="232434"/>
    <n v="201609"/>
    <n v="61325"/>
    <n v="70597"/>
    <n v="104884"/>
    <n v="52114"/>
    <n v="86144"/>
    <n v="69655"/>
    <n v="74243"/>
    <n v="75201"/>
    <n v="326596"/>
    <n v="362.88444444444445"/>
    <n v="267567"/>
    <n v="297.29666666666668"/>
    <m/>
    <m/>
    <n v="0"/>
    <n v="0"/>
  </r>
  <r>
    <x v="13"/>
    <s v="Collin County Community College District"/>
    <m/>
    <n v="247834"/>
    <x v="6"/>
    <m/>
    <m/>
    <n v="262043"/>
    <n v="267116"/>
    <n v="67662"/>
    <n v="77238"/>
    <n v="0"/>
    <n v="0"/>
    <n v="295058"/>
    <n v="296253"/>
    <n v="624763"/>
    <n v="20825.433333333334"/>
    <n v="640607"/>
    <n v="21353.566666666666"/>
    <n v="83675"/>
    <n v="99603"/>
    <n v="624763"/>
    <n v="640607"/>
    <n v="147471"/>
    <n v="144151"/>
    <n v="144424"/>
    <n v="66374"/>
    <n v="113589"/>
    <n v="88991"/>
    <n v="222238"/>
    <n v="135009"/>
    <n v="627722"/>
    <n v="697.46888888888884"/>
    <n v="434525"/>
    <n v="482.80555555555554"/>
    <m/>
    <m/>
    <n v="0"/>
    <n v="0"/>
  </r>
  <r>
    <x v="13"/>
    <s v="Del Mar College "/>
    <m/>
    <n v="224350"/>
    <x v="6"/>
    <m/>
    <m/>
    <n v="84022"/>
    <n v="85205"/>
    <n v="15284"/>
    <n v="16694"/>
    <n v="16056"/>
    <n v="18313"/>
    <n v="91970"/>
    <n v="72840"/>
    <n v="207332"/>
    <n v="6911.0666666666666"/>
    <n v="193052"/>
    <n v="6435.0666666666666"/>
    <n v="32731"/>
    <n v="32179"/>
    <n v="207332"/>
    <n v="193052"/>
    <n v="185552"/>
    <n v="160894"/>
    <n v="92943"/>
    <n v="33572"/>
    <n v="97632"/>
    <n v="114067"/>
    <n v="212319"/>
    <n v="185493"/>
    <n v="588446"/>
    <n v="653.82888888888886"/>
    <n v="494026"/>
    <n v="548.91777777777781"/>
    <m/>
    <m/>
    <n v="0"/>
    <n v="0"/>
  </r>
  <r>
    <x v="13"/>
    <s v="Eastfield College (DCCCD)"/>
    <m/>
    <n v="224572"/>
    <x v="6"/>
    <m/>
    <m/>
    <n v="109621"/>
    <n v="112770"/>
    <n v="75260"/>
    <n v="80845"/>
    <n v="0"/>
    <n v="0"/>
    <n v="80052"/>
    <n v="0"/>
    <n v="264933"/>
    <n v="8831.1"/>
    <n v="193615"/>
    <n v="6453.833333333333"/>
    <n v="63812"/>
    <n v="36729"/>
    <n v="264933"/>
    <n v="193615"/>
    <n v="31308"/>
    <n v="27167"/>
    <n v="34626"/>
    <n v="14928"/>
    <n v="46440"/>
    <n v="18238"/>
    <n v="51570"/>
    <n v="0"/>
    <n v="163944"/>
    <n v="182.16"/>
    <n v="60333"/>
    <n v="67.036666666666662"/>
    <m/>
    <m/>
    <n v="0"/>
    <n v="0"/>
  </r>
  <r>
    <x v="13"/>
    <s v="El Centro College  (DCCCD)"/>
    <m/>
    <n v="224615"/>
    <x v="6"/>
    <m/>
    <m/>
    <n v="76431"/>
    <n v="68199"/>
    <n v="32522"/>
    <n v="39011"/>
    <n v="0"/>
    <n v="0"/>
    <n v="67189"/>
    <n v="0"/>
    <n v="176142"/>
    <n v="5871.4"/>
    <n v="107210"/>
    <n v="3573.6666666666665"/>
    <n v="39103"/>
    <n v="18254"/>
    <n v="176142"/>
    <n v="107210"/>
    <n v="87409"/>
    <n v="242746"/>
    <n v="104706"/>
    <n v="115022"/>
    <n v="134576"/>
    <n v="60844"/>
    <n v="153645"/>
    <n v="0"/>
    <n v="480336"/>
    <n v="533.70666666666671"/>
    <n v="418612"/>
    <n v="465.12444444444446"/>
    <m/>
    <m/>
    <n v="0"/>
    <n v="0"/>
  </r>
  <r>
    <x v="13"/>
    <s v="El Paso County Community College District"/>
    <m/>
    <n v="224642"/>
    <x v="6"/>
    <m/>
    <m/>
    <n v="213202"/>
    <n v="211599"/>
    <n v="53574"/>
    <n v="57973"/>
    <n v="0"/>
    <n v="0"/>
    <n v="238956"/>
    <n v="219969"/>
    <n v="505732"/>
    <n v="16857.733333333334"/>
    <n v="489541"/>
    <n v="16318.033333333333"/>
    <n v="111488"/>
    <n v="124321"/>
    <n v="505732"/>
    <n v="489541"/>
    <n v="87412"/>
    <n v="72307"/>
    <n v="69475"/>
    <n v="10852"/>
    <n v="67443"/>
    <n v="25009"/>
    <n v="85920"/>
    <n v="29514"/>
    <n v="310250"/>
    <n v="344.72222222222223"/>
    <n v="137682"/>
    <n v="152.97999999999999"/>
    <m/>
    <m/>
    <n v="0"/>
    <n v="0"/>
  </r>
  <r>
    <x v="13"/>
    <s v="Houston Community College"/>
    <m/>
    <n v="225423"/>
    <x v="6"/>
    <m/>
    <m/>
    <n v="450749"/>
    <n v="436694"/>
    <n v="232307"/>
    <n v="252453"/>
    <n v="0"/>
    <n v="0"/>
    <n v="336799"/>
    <n v="266027"/>
    <n v="1019855"/>
    <n v="33995.166666666664"/>
    <n v="955174"/>
    <n v="31839.133333333335"/>
    <n v="105757"/>
    <n v="103429"/>
    <n v="1019855"/>
    <n v="955174"/>
    <n v="427303"/>
    <n v="473804"/>
    <n v="394718"/>
    <n v="311931"/>
    <n v="424225"/>
    <n v="238983"/>
    <n v="690814"/>
    <n v="391025"/>
    <n v="1937060"/>
    <n v="2152.2888888888888"/>
    <n v="1415743"/>
    <n v="1573.0477777777778"/>
    <m/>
    <m/>
    <n v="0"/>
    <n v="0"/>
  </r>
  <r>
    <x v="13"/>
    <s v="Laredo College "/>
    <m/>
    <n v="226134"/>
    <x v="6"/>
    <m/>
    <m/>
    <n v="70039"/>
    <n v="79173"/>
    <n v="14231"/>
    <n v="12516"/>
    <n v="5129"/>
    <n v="6061"/>
    <n v="77784"/>
    <n v="47641"/>
    <n v="167183"/>
    <n v="5572.7666666666664"/>
    <n v="145391"/>
    <n v="4846.3666666666668"/>
    <n v="38522"/>
    <n v="29099"/>
    <n v="167183"/>
    <n v="145391"/>
    <n v="9907"/>
    <n v="16860"/>
    <n v="22170"/>
    <n v="8631"/>
    <n v="21958"/>
    <n v="19077"/>
    <n v="30804"/>
    <n v="41552"/>
    <n v="84839"/>
    <n v="94.265555555555551"/>
    <n v="86120"/>
    <n v="95.688888888888883"/>
    <m/>
    <m/>
    <n v="0"/>
    <n v="0"/>
  </r>
  <r>
    <x v="13"/>
    <s v="Lone Star College System District"/>
    <m/>
    <n v="227182"/>
    <x v="6"/>
    <m/>
    <m/>
    <n v="534215"/>
    <n v="539418"/>
    <n v="262061"/>
    <n v="256686"/>
    <n v="0"/>
    <n v="0"/>
    <n v="511797"/>
    <n v="440544"/>
    <n v="1308073"/>
    <n v="43602.433333333334"/>
    <n v="1236648"/>
    <n v="41221.599999999999"/>
    <n v="204193"/>
    <n v="207745"/>
    <n v="1308073"/>
    <n v="1236648"/>
    <n v="63864"/>
    <n v="67582"/>
    <n v="62551"/>
    <n v="10620"/>
    <n v="60010"/>
    <n v="53288"/>
    <n v="89923"/>
    <n v="84121"/>
    <n v="276348"/>
    <n v="307.05333333333334"/>
    <n v="215611"/>
    <n v="239.56777777777779"/>
    <m/>
    <m/>
    <n v="0"/>
    <n v="0"/>
  </r>
  <r>
    <x v="13"/>
    <s v="McLennan Community College "/>
    <m/>
    <n v="226578"/>
    <x v="6"/>
    <m/>
    <m/>
    <n v="74502"/>
    <n v="72494"/>
    <n v="18486"/>
    <n v="21619"/>
    <n v="11407"/>
    <n v="12119"/>
    <n v="72581"/>
    <n v="62084"/>
    <n v="176976"/>
    <n v="5899.2"/>
    <n v="168316"/>
    <n v="5610.5333333333338"/>
    <n v="22068"/>
    <n v="21894"/>
    <n v="176976"/>
    <n v="168316"/>
    <n v="37337"/>
    <n v="42310"/>
    <n v="29247"/>
    <n v="15686"/>
    <n v="44206"/>
    <n v="37933"/>
    <n v="45704"/>
    <n v="43200"/>
    <n v="156494"/>
    <n v="173.88222222222223"/>
    <n v="139129"/>
    <n v="154.58777777777777"/>
    <m/>
    <m/>
    <n v="0"/>
    <n v="0"/>
  </r>
  <r>
    <x v="13"/>
    <s v="Mountain View College  (DCCCD)"/>
    <m/>
    <n v="226930"/>
    <x v="6"/>
    <m/>
    <m/>
    <n v="72632"/>
    <n v="78668"/>
    <n v="34618"/>
    <n v="41033"/>
    <n v="0"/>
    <n v="0"/>
    <n v="76442"/>
    <n v="0"/>
    <n v="183692"/>
    <n v="6123.0666666666666"/>
    <n v="119701"/>
    <n v="3990.0333333333333"/>
    <n v="40358"/>
    <n v="26408"/>
    <n v="183692"/>
    <n v="119701"/>
    <n v="30112"/>
    <n v="31500"/>
    <n v="33519"/>
    <n v="13465"/>
    <n v="39364"/>
    <n v="13576"/>
    <n v="36545"/>
    <n v="0"/>
    <n v="139540"/>
    <n v="155.04444444444445"/>
    <n v="58541"/>
    <n v="65.045555555555552"/>
    <m/>
    <m/>
    <n v="0"/>
    <n v="0"/>
  </r>
  <r>
    <x v="13"/>
    <s v="Navarro College "/>
    <m/>
    <n v="227146"/>
    <x v="6"/>
    <m/>
    <m/>
    <n v="73051"/>
    <n v="66967"/>
    <n v="14379"/>
    <n v="11002"/>
    <n v="8637"/>
    <n v="8939"/>
    <n v="72821"/>
    <n v="64917"/>
    <n v="168888"/>
    <n v="5629.6"/>
    <n v="151825"/>
    <n v="5060.833333333333"/>
    <n v="40886"/>
    <n v="37729"/>
    <n v="168888"/>
    <n v="151825"/>
    <n v="53442"/>
    <n v="34060"/>
    <n v="32959"/>
    <n v="19285"/>
    <n v="53490"/>
    <n v="61176"/>
    <n v="25050"/>
    <n v="37226"/>
    <n v="164941"/>
    <n v="183.26777777777778"/>
    <n v="151747"/>
    <n v="168.60777777777778"/>
    <m/>
    <m/>
    <n v="0"/>
    <n v="0"/>
  </r>
  <r>
    <x v="13"/>
    <s v="North Central Texas Community College"/>
    <m/>
    <n v="224110"/>
    <x v="6"/>
    <m/>
    <m/>
    <n v="77584"/>
    <n v="75454"/>
    <n v="27589"/>
    <n v="31024"/>
    <n v="0"/>
    <n v="0"/>
    <n v="72325"/>
    <n v="62006"/>
    <n v="177498"/>
    <n v="5916.6"/>
    <n v="168484"/>
    <n v="5616.1333333333332"/>
    <n v="26804"/>
    <n v="26088"/>
    <n v="177498"/>
    <n v="168484"/>
    <n v="9470"/>
    <n v="8698"/>
    <n v="5522"/>
    <n v="3772"/>
    <n v="5261"/>
    <n v="3798"/>
    <n v="11899"/>
    <n v="6705"/>
    <n v="32152"/>
    <n v="35.724444444444444"/>
    <n v="22973"/>
    <n v="25.525555555555556"/>
    <m/>
    <m/>
    <n v="0"/>
    <n v="0"/>
  </r>
  <r>
    <x v="13"/>
    <s v="North Lake College (DCCCD)"/>
    <m/>
    <n v="227191"/>
    <x v="6"/>
    <m/>
    <m/>
    <n v="64458"/>
    <n v="71451"/>
    <n v="47453"/>
    <n v="52425"/>
    <n v="0"/>
    <n v="0"/>
    <n v="55015"/>
    <n v="0"/>
    <n v="166926"/>
    <n v="5564.2"/>
    <n v="123876"/>
    <n v="4129.2"/>
    <n v="20395"/>
    <n v="13178"/>
    <n v="166926"/>
    <n v="123876"/>
    <n v="176016"/>
    <n v="132919"/>
    <n v="91267"/>
    <n v="20000"/>
    <n v="93231"/>
    <n v="20698"/>
    <n v="189515"/>
    <n v="0"/>
    <n v="550029"/>
    <n v="611.14333333333332"/>
    <n v="173617"/>
    <n v="192.90777777777777"/>
    <m/>
    <m/>
    <n v="0"/>
    <n v="0"/>
  </r>
  <r>
    <x v="13"/>
    <s v="Northwest Vista College (ACCD)"/>
    <m/>
    <n v="420398"/>
    <x v="6"/>
    <m/>
    <m/>
    <n v="121783"/>
    <n v="118232"/>
    <n v="41892"/>
    <n v="37888"/>
    <n v="0"/>
    <n v="0"/>
    <n v="137401"/>
    <n v="130014"/>
    <n v="301076"/>
    <n v="10035.866666666667"/>
    <n v="286134"/>
    <n v="9537.7999999999993"/>
    <n v="39944"/>
    <n v="43397"/>
    <n v="301076"/>
    <n v="286134"/>
    <n v="12146"/>
    <n v="14264"/>
    <n v="15413"/>
    <n v="6390"/>
    <n v="15118"/>
    <n v="19056"/>
    <n v="19556"/>
    <n v="16556"/>
    <n v="62233"/>
    <n v="69.147777777777776"/>
    <n v="56266"/>
    <n v="62.517777777777781"/>
    <m/>
    <m/>
    <n v="0"/>
    <n v="0"/>
  </r>
  <r>
    <x v="13"/>
    <s v="Palo Alto College (ACCD)"/>
    <m/>
    <n v="246354"/>
    <x v="6"/>
    <m/>
    <m/>
    <n v="68749"/>
    <n v="67722"/>
    <n v="23353"/>
    <n v="22327"/>
    <n v="0"/>
    <n v="0"/>
    <n v="75026"/>
    <n v="73085"/>
    <n v="167128"/>
    <n v="5570.9333333333334"/>
    <n v="163134"/>
    <n v="5437.8"/>
    <n v="35169"/>
    <n v="38070"/>
    <n v="167128"/>
    <n v="163134"/>
    <n v="14004"/>
    <n v="14826"/>
    <n v="19569"/>
    <n v="10919"/>
    <n v="8306"/>
    <n v="11456"/>
    <n v="18096"/>
    <n v="6427"/>
    <n v="59975"/>
    <n v="66.638888888888886"/>
    <n v="43628"/>
    <n v="48.475555555555559"/>
    <m/>
    <m/>
    <n v="0"/>
    <n v="0"/>
  </r>
  <r>
    <x v="13"/>
    <s v="Richland College (DCCCD)"/>
    <m/>
    <n v="227766"/>
    <x v="6"/>
    <m/>
    <m/>
    <n v="138811"/>
    <n v="141822"/>
    <n v="72761"/>
    <n v="78958"/>
    <n v="0"/>
    <n v="0"/>
    <n v="121369"/>
    <n v="0"/>
    <n v="332941"/>
    <n v="11098.033333333333"/>
    <n v="220780"/>
    <n v="7359.333333333333"/>
    <n v="58238"/>
    <n v="32442"/>
    <n v="332941"/>
    <n v="220780"/>
    <n v="72987"/>
    <n v="81457"/>
    <n v="83631"/>
    <n v="54372"/>
    <n v="89957"/>
    <n v="22428"/>
    <n v="127154"/>
    <n v="0"/>
    <n v="373729"/>
    <n v="415.25444444444446"/>
    <n v="158257"/>
    <n v="175.8411111111111"/>
    <m/>
    <m/>
    <n v="0"/>
    <n v="0"/>
  </r>
  <r>
    <x v="13"/>
    <s v="San Antonio College (ACCD)"/>
    <m/>
    <n v="227924"/>
    <x v="6"/>
    <m/>
    <m/>
    <n v="130631"/>
    <n v="130371"/>
    <n v="53043"/>
    <n v="42730"/>
    <n v="0"/>
    <n v="0"/>
    <n v="139993"/>
    <n v="130351"/>
    <n v="323667"/>
    <n v="10788.9"/>
    <n v="303452"/>
    <n v="10115.066666666668"/>
    <n v="26563"/>
    <n v="24701"/>
    <n v="323667"/>
    <n v="303452"/>
    <n v="8547"/>
    <n v="7372"/>
    <n v="9036"/>
    <n v="6576"/>
    <n v="6552"/>
    <n v="6624"/>
    <n v="8522"/>
    <n v="5070"/>
    <n v="32657"/>
    <n v="36.285555555555554"/>
    <n v="25642"/>
    <n v="28.49111111111111"/>
    <m/>
    <m/>
    <n v="0"/>
    <n v="0"/>
  </r>
  <r>
    <x v="13"/>
    <s v="San Jacinto College"/>
    <m/>
    <n v="227979"/>
    <x v="6"/>
    <m/>
    <m/>
    <n v="258116"/>
    <n v="242491"/>
    <n v="87826"/>
    <n v="89936"/>
    <n v="0"/>
    <n v="0"/>
    <n v="267742"/>
    <n v="256587"/>
    <n v="613684"/>
    <n v="20456.133333333335"/>
    <n v="589014"/>
    <n v="19633.8"/>
    <n v="75879"/>
    <n v="90956"/>
    <n v="613684"/>
    <n v="589014"/>
    <n v="75581"/>
    <n v="61128"/>
    <n v="39885"/>
    <n v="8557"/>
    <n v="47935"/>
    <n v="16672"/>
    <n v="69555"/>
    <n v="31090"/>
    <n v="232956"/>
    <n v="258.83999999999997"/>
    <n v="117447"/>
    <n v="130.49666666666667"/>
    <m/>
    <m/>
    <n v="0"/>
    <n v="0"/>
  </r>
  <r>
    <x v="13"/>
    <s v="South Plains College "/>
    <m/>
    <n v="228158"/>
    <x v="6"/>
    <m/>
    <m/>
    <n v="79435"/>
    <n v="78310"/>
    <n v="18397"/>
    <n v="19209"/>
    <n v="0"/>
    <n v="0"/>
    <n v="85565"/>
    <n v="80920"/>
    <n v="183397"/>
    <n v="6113.2333333333336"/>
    <n v="178439"/>
    <n v="5947.9666666666662"/>
    <n v="23176"/>
    <n v="24701"/>
    <n v="183397"/>
    <n v="178439"/>
    <n v="13896"/>
    <n v="19232"/>
    <n v="12654"/>
    <n v="8255"/>
    <n v="14323"/>
    <n v="13180"/>
    <n v="15989"/>
    <n v="19631"/>
    <n v="56862"/>
    <n v="63.18"/>
    <n v="60298"/>
    <n v="66.997777777777785"/>
    <m/>
    <m/>
    <n v="0"/>
    <n v="0"/>
  </r>
  <r>
    <x v="13"/>
    <s v="St. Philip's College (ACCD)"/>
    <m/>
    <n v="227854"/>
    <x v="6"/>
    <m/>
    <m/>
    <n v="85933"/>
    <n v="82580"/>
    <n v="32095"/>
    <n v="24838"/>
    <n v="0"/>
    <n v="0"/>
    <n v="83369"/>
    <n v="76428"/>
    <n v="201397"/>
    <n v="6713.2333333333336"/>
    <n v="183846"/>
    <n v="6128.2"/>
    <n v="44470"/>
    <n v="41474"/>
    <n v="201397"/>
    <n v="183846"/>
    <n v="31830"/>
    <n v="30534"/>
    <n v="28785"/>
    <n v="9254"/>
    <n v="32729"/>
    <n v="8056"/>
    <n v="33033"/>
    <n v="8493"/>
    <n v="126377"/>
    <n v="140.41888888888889"/>
    <n v="56337"/>
    <n v="62.596666666666664"/>
    <m/>
    <m/>
    <n v="0"/>
    <n v="0"/>
  </r>
  <r>
    <x v="13"/>
    <s v="Tarrant County College"/>
    <m/>
    <n v="228547"/>
    <x v="6"/>
    <m/>
    <m/>
    <n v="359044"/>
    <n v="367816"/>
    <n v="189128"/>
    <n v="206272"/>
    <n v="0"/>
    <n v="0"/>
    <n v="346034"/>
    <n v="318185"/>
    <n v="894206"/>
    <n v="29806.866666666665"/>
    <n v="892273"/>
    <n v="29742.433333333334"/>
    <n v="115694"/>
    <n v="121026"/>
    <n v="894206"/>
    <n v="892273"/>
    <n v="165699"/>
    <n v="142215"/>
    <n v="172722"/>
    <n v="76805"/>
    <n v="130505"/>
    <n v="76082"/>
    <n v="145414"/>
    <n v="96718"/>
    <n v="614340"/>
    <n v="682.6"/>
    <n v="391820"/>
    <n v="435.35555555555555"/>
    <m/>
    <m/>
    <n v="0"/>
    <n v="0"/>
  </r>
  <r>
    <x v="13"/>
    <s v="Trinity Valley Community College"/>
    <m/>
    <n v="225308"/>
    <x v="6"/>
    <m/>
    <m/>
    <n v="54611"/>
    <n v="54084"/>
    <n v="12593"/>
    <n v="11319"/>
    <n v="8822"/>
    <n v="0"/>
    <n v="55249"/>
    <n v="54207"/>
    <n v="131275"/>
    <n v="4375.833333333333"/>
    <n v="119610"/>
    <n v="3987"/>
    <n v="32626"/>
    <n v="28008"/>
    <n v="131275"/>
    <n v="119610"/>
    <n v="154804"/>
    <n v="108186"/>
    <n v="171591"/>
    <n v="96114"/>
    <n v="110745"/>
    <n v="46116"/>
    <n v="202166"/>
    <n v="87630"/>
    <n v="639306"/>
    <n v="710.34"/>
    <n v="338046"/>
    <n v="375.60666666666668"/>
    <m/>
    <m/>
    <n v="0"/>
    <n v="0"/>
  </r>
  <r>
    <x v="13"/>
    <s v="Tyler Junior College "/>
    <s v="Met the criteria for Two-Year with Bachelor's in 2018-19 and 2019-20. "/>
    <n v="229355"/>
    <x v="6"/>
    <m/>
    <m/>
    <n v="111328"/>
    <n v="108603"/>
    <n v="30475"/>
    <n v="25210"/>
    <n v="7278"/>
    <n v="7522"/>
    <n v="113617"/>
    <n v="106585"/>
    <n v="262698"/>
    <n v="8756.6"/>
    <n v="247920"/>
    <n v="8264"/>
    <n v="42383"/>
    <n v="30619"/>
    <n v="262698"/>
    <n v="247920"/>
    <n v="21022"/>
    <n v="25303"/>
    <n v="35753"/>
    <n v="3538"/>
    <n v="20396"/>
    <n v="27128"/>
    <n v="29702"/>
    <n v="31938"/>
    <n v="106873"/>
    <n v="118.74777777777778"/>
    <n v="87907"/>
    <n v="97.674444444444447"/>
    <m/>
    <m/>
    <n v="0"/>
    <n v="0"/>
  </r>
  <r>
    <x v="13"/>
    <s v="Alvin Community College "/>
    <m/>
    <n v="222567"/>
    <x v="7"/>
    <m/>
    <m/>
    <n v="43188"/>
    <n v="42909"/>
    <n v="18579"/>
    <n v="17873"/>
    <n v="0"/>
    <n v="0"/>
    <n v="45108"/>
    <n v="40377"/>
    <n v="106875"/>
    <n v="3562.5"/>
    <n v="101159"/>
    <n v="3371.9666666666667"/>
    <n v="29151"/>
    <n v="31000"/>
    <n v="106875"/>
    <n v="101159"/>
    <n v="19831"/>
    <n v="22814"/>
    <n v="9045"/>
    <n v="4536"/>
    <n v="15828"/>
    <n v="9928"/>
    <n v="24814"/>
    <n v="17450"/>
    <n v="69518"/>
    <n v="77.242222222222225"/>
    <n v="54728"/>
    <n v="60.808888888888887"/>
    <m/>
    <m/>
    <n v="0"/>
    <n v="0"/>
  </r>
  <r>
    <x v="13"/>
    <s v="Angelina College "/>
    <m/>
    <n v="222822"/>
    <x v="7"/>
    <m/>
    <m/>
    <n v="35984"/>
    <n v="33392"/>
    <n v="6219"/>
    <n v="8127"/>
    <n v="0"/>
    <n v="0"/>
    <n v="40481"/>
    <n v="36131"/>
    <n v="82684"/>
    <n v="2756.1333333333332"/>
    <n v="77650"/>
    <n v="2588.3333333333335"/>
    <n v="16679"/>
    <n v="17817"/>
    <n v="82684"/>
    <n v="77650"/>
    <n v="67659"/>
    <n v="23143"/>
    <n v="15088"/>
    <n v="39697"/>
    <n v="47541"/>
    <n v="63699"/>
    <n v="30900"/>
    <n v="22529"/>
    <n v="161188"/>
    <n v="179.09777777777776"/>
    <n v="149068"/>
    <n v="165.63111111111112"/>
    <m/>
    <m/>
    <n v="0"/>
    <n v="0"/>
  </r>
  <r>
    <x v="13"/>
    <s v="Cedar Valley College (DCCCD)"/>
    <m/>
    <n v="223773"/>
    <x v="7"/>
    <m/>
    <m/>
    <n v="55167"/>
    <n v="60014"/>
    <n v="34177"/>
    <n v="35867"/>
    <n v="0"/>
    <n v="0"/>
    <n v="46970"/>
    <n v="0"/>
    <n v="136314"/>
    <n v="4543.8"/>
    <n v="95881"/>
    <n v="3196.0333333333333"/>
    <n v="25347"/>
    <n v="13858"/>
    <n v="136314"/>
    <n v="95881"/>
    <n v="38445"/>
    <n v="45895"/>
    <n v="35226"/>
    <n v="125379"/>
    <n v="79272"/>
    <n v="48404"/>
    <n v="28540"/>
    <n v="0"/>
    <n v="181483"/>
    <n v="201.64777777777778"/>
    <n v="219678"/>
    <n v="244.08666666666667"/>
    <m/>
    <m/>
    <n v="0"/>
    <n v="0"/>
  </r>
  <r>
    <x v="13"/>
    <s v="Cisco Junior College "/>
    <m/>
    <n v="223898"/>
    <x v="7"/>
    <m/>
    <m/>
    <n v="29132"/>
    <n v="28502"/>
    <n v="7205"/>
    <n v="6632"/>
    <n v="2759"/>
    <n v="2720"/>
    <n v="31306"/>
    <n v="28293"/>
    <n v="70402"/>
    <n v="2346.7333333333331"/>
    <n v="66147"/>
    <n v="2204.9"/>
    <n v="11425"/>
    <n v="12466"/>
    <n v="70402"/>
    <n v="66147"/>
    <n v="2440"/>
    <n v="4228"/>
    <n v="4100"/>
    <n v="1000"/>
    <n v="5644"/>
    <n v="3516"/>
    <n v="3576"/>
    <n v="3703"/>
    <n v="15760"/>
    <n v="17.511111111111113"/>
    <n v="12447"/>
    <n v="13.83"/>
    <m/>
    <m/>
    <n v="0"/>
    <n v="0"/>
  </r>
  <r>
    <x v="13"/>
    <s v="Coastal Bend College"/>
    <m/>
    <n v="223320"/>
    <x v="7"/>
    <m/>
    <m/>
    <n v="32249"/>
    <n v="35600"/>
    <n v="5501"/>
    <n v="6559"/>
    <n v="4472"/>
    <n v="3445"/>
    <n v="35495"/>
    <n v="30785"/>
    <n v="77717"/>
    <n v="2590.5666666666666"/>
    <n v="76389"/>
    <n v="2546.3000000000002"/>
    <n v="30911"/>
    <n v="28242"/>
    <n v="77717"/>
    <n v="76389"/>
    <n v="833"/>
    <n v="1678"/>
    <n v="4833"/>
    <n v="0"/>
    <n v="3316"/>
    <n v="6593"/>
    <n v="7985"/>
    <n v="49932"/>
    <n v="16967"/>
    <n v="18.852222222222224"/>
    <n v="58203"/>
    <n v="64.67"/>
    <m/>
    <m/>
    <n v="0"/>
    <n v="0"/>
  </r>
  <r>
    <x v="13"/>
    <s v="College of the Mainland"/>
    <m/>
    <n v="226408"/>
    <x v="7"/>
    <m/>
    <m/>
    <n v="34846"/>
    <n v="36237"/>
    <n v="9804"/>
    <n v="10632"/>
    <n v="0"/>
    <n v="0"/>
    <n v="35499"/>
    <n v="39016"/>
    <n v="80149"/>
    <n v="2671.6333333333332"/>
    <n v="85885"/>
    <n v="2862.8333333333335"/>
    <n v="20845"/>
    <n v="21807"/>
    <n v="80149"/>
    <n v="85885"/>
    <n v="62428"/>
    <n v="29949"/>
    <n v="18192"/>
    <n v="2382"/>
    <n v="21742"/>
    <n v="9690"/>
    <n v="12985"/>
    <n v="10069"/>
    <n v="115347"/>
    <n v="128.16333333333333"/>
    <n v="52090"/>
    <n v="57.87777777777778"/>
    <m/>
    <m/>
    <n v="0"/>
    <n v="0"/>
  </r>
  <r>
    <x v="13"/>
    <s v="Grayson County College "/>
    <m/>
    <n v="225070"/>
    <x v="7"/>
    <m/>
    <m/>
    <n v="32945"/>
    <n v="33036"/>
    <n v="9225"/>
    <n v="9891"/>
    <n v="0"/>
    <n v="0"/>
    <n v="39104"/>
    <n v="33893"/>
    <n v="81274"/>
    <n v="2709.1333333333332"/>
    <n v="76820"/>
    <n v="2560.6666666666665"/>
    <n v="12344"/>
    <n v="12370"/>
    <n v="81274"/>
    <n v="76820"/>
    <n v="19002"/>
    <n v="16399"/>
    <n v="12055"/>
    <n v="8230"/>
    <n v="16365"/>
    <n v="10718"/>
    <n v="17687"/>
    <n v="16229"/>
    <n v="65109"/>
    <n v="72.343333333333334"/>
    <n v="51576"/>
    <n v="57.306666666666665"/>
    <m/>
    <m/>
    <n v="0"/>
    <n v="0"/>
  </r>
  <r>
    <x v="13"/>
    <s v="Hill College"/>
    <m/>
    <n v="225371"/>
    <x v="7"/>
    <m/>
    <m/>
    <n v="36210"/>
    <n v="35967"/>
    <n v="10205"/>
    <n v="9619"/>
    <n v="3361"/>
    <n v="3450"/>
    <n v="36221"/>
    <n v="32839"/>
    <n v="85997"/>
    <n v="2866.5666666666666"/>
    <n v="81875"/>
    <n v="2729.1666666666665"/>
    <n v="17013"/>
    <n v="16219"/>
    <n v="85997"/>
    <n v="81875"/>
    <n v="20870"/>
    <n v="25286"/>
    <n v="22290"/>
    <n v="3046"/>
    <n v="18012"/>
    <n v="4342"/>
    <n v="16688"/>
    <n v="5068"/>
    <n v="77860"/>
    <n v="86.511111111111106"/>
    <n v="37742"/>
    <n v="41.935555555555553"/>
    <m/>
    <m/>
    <n v="0"/>
    <n v="0"/>
  </r>
  <r>
    <x v="13"/>
    <s v="Howard College (HCJCD)"/>
    <m/>
    <n v="225520"/>
    <x v="7"/>
    <m/>
    <m/>
    <n v="26824"/>
    <n v="25072"/>
    <n v="4527"/>
    <n v="4414"/>
    <n v="1948"/>
    <n v="2174"/>
    <n v="31481"/>
    <n v="28078"/>
    <n v="64780"/>
    <n v="2159.3333333333335"/>
    <n v="59738"/>
    <n v="1991.2666666666667"/>
    <n v="18252"/>
    <n v="15202"/>
    <n v="64780"/>
    <n v="59738"/>
    <n v="118680"/>
    <n v="112996"/>
    <n v="152630"/>
    <n v="14690"/>
    <n v="96293"/>
    <n v="31336"/>
    <n v="128831"/>
    <n v="40849"/>
    <n v="496434"/>
    <n v="551.59333333333336"/>
    <n v="199871"/>
    <n v="222.07888888888888"/>
    <m/>
    <m/>
    <n v="0"/>
    <n v="0"/>
  </r>
  <r>
    <x v="13"/>
    <s v="Kilgore College "/>
    <m/>
    <n v="226019"/>
    <x v="7"/>
    <m/>
    <m/>
    <n v="44820"/>
    <n v="62906"/>
    <n v="9178"/>
    <n v="7020"/>
    <n v="0"/>
    <n v="0"/>
    <n v="38156"/>
    <n v="50850"/>
    <n v="92154"/>
    <n v="3071.8"/>
    <n v="120776"/>
    <n v="4025.8666666666668"/>
    <n v="17721"/>
    <n v="18815"/>
    <n v="92154"/>
    <n v="120776"/>
    <n v="113697"/>
    <n v="94426"/>
    <n v="72643"/>
    <n v="32272"/>
    <n v="139192"/>
    <n v="119621"/>
    <n v="101775"/>
    <n v="116810"/>
    <n v="427307"/>
    <n v="474.78555555555556"/>
    <n v="363129"/>
    <n v="403.47666666666669"/>
    <m/>
    <m/>
    <n v="0"/>
    <n v="0"/>
  </r>
  <r>
    <x v="13"/>
    <s v="Lamar Institute of Technology"/>
    <m/>
    <n v="441760"/>
    <x v="7"/>
    <m/>
    <m/>
    <n v="26426"/>
    <n v="32004"/>
    <n v="4355"/>
    <n v="6842"/>
    <n v="0"/>
    <n v="0"/>
    <n v="36543"/>
    <n v="38512"/>
    <n v="67324"/>
    <n v="2244.1333333333332"/>
    <n v="77358"/>
    <n v="2578.6"/>
    <n v="8770"/>
    <n v="13239"/>
    <n v="67324"/>
    <n v="77358"/>
    <n v="73761"/>
    <n v="52880"/>
    <n v="63497"/>
    <n v="30582"/>
    <n v="82543"/>
    <n v="37281"/>
    <n v="68305"/>
    <n v="44733"/>
    <n v="288106"/>
    <n v="320.1177777777778"/>
    <n v="165476"/>
    <n v="183.86222222222221"/>
    <m/>
    <m/>
    <n v="0"/>
    <n v="0"/>
  </r>
  <r>
    <x v="13"/>
    <s v="Lee College "/>
    <m/>
    <n v="226204"/>
    <x v="7"/>
    <m/>
    <m/>
    <n v="60295"/>
    <n v="60919"/>
    <n v="28308"/>
    <n v="31586"/>
    <n v="2929"/>
    <n v="0"/>
    <n v="56105"/>
    <n v="37710"/>
    <n v="147637"/>
    <n v="4921.2333333333336"/>
    <n v="130215"/>
    <n v="4340.5"/>
    <n v="25021"/>
    <n v="21062"/>
    <n v="147637"/>
    <n v="130215"/>
    <n v="12680"/>
    <n v="16100"/>
    <n v="8758"/>
    <n v="407"/>
    <n v="16125"/>
    <n v="8345"/>
    <n v="14706"/>
    <n v="5000"/>
    <n v="52269"/>
    <n v="58.076666666666668"/>
    <n v="29852"/>
    <n v="33.168888888888887"/>
    <m/>
    <m/>
    <n v="0"/>
    <n v="0"/>
  </r>
  <r>
    <x v="13"/>
    <s v="Northeast Texas Community College "/>
    <s v="Met the requirments for  Two-year 3 in 2020-21"/>
    <n v="227225"/>
    <x v="7"/>
    <m/>
    <m/>
    <n v="25735"/>
    <n v="25503"/>
    <n v="9279"/>
    <n v="8126"/>
    <n v="0"/>
    <n v="0"/>
    <n v="27985"/>
    <n v="24893"/>
    <n v="62999"/>
    <n v="2099.9666666666667"/>
    <n v="58522"/>
    <n v="1950.7333333333333"/>
    <n v="10764"/>
    <n v="10041"/>
    <n v="62999"/>
    <n v="58522"/>
    <n v="4935"/>
    <n v="6647"/>
    <n v="5567"/>
    <n v="2944"/>
    <n v="5127"/>
    <n v="2486"/>
    <n v="6596"/>
    <n v="3957"/>
    <n v="22225"/>
    <n v="24.694444444444443"/>
    <n v="16034"/>
    <n v="17.815555555555555"/>
    <m/>
    <m/>
    <n v="0"/>
    <n v="0"/>
  </r>
  <r>
    <x v="13"/>
    <s v="Odessa College "/>
    <m/>
    <n v="227304"/>
    <x v="7"/>
    <m/>
    <m/>
    <n v="51729"/>
    <n v="53441"/>
    <n v="6737"/>
    <n v="7288"/>
    <n v="7102"/>
    <n v="8169"/>
    <n v="57274"/>
    <n v="59196"/>
    <n v="122842"/>
    <n v="4094.7333333333331"/>
    <n v="128094"/>
    <n v="4269.8"/>
    <n v="32652"/>
    <n v="34370"/>
    <n v="122842"/>
    <n v="128094"/>
    <n v="45590"/>
    <n v="36101"/>
    <n v="50305"/>
    <n v="22501"/>
    <n v="55771"/>
    <n v="25765"/>
    <n v="55054"/>
    <n v="25079"/>
    <n v="206720"/>
    <n v="229.6888888888889"/>
    <n v="109446"/>
    <n v="121.60666666666667"/>
    <m/>
    <m/>
    <n v="0"/>
    <n v="0"/>
  </r>
  <r>
    <x v="13"/>
    <s v="Paris Junior College"/>
    <m/>
    <n v="227401"/>
    <x v="7"/>
    <m/>
    <m/>
    <n v="40023"/>
    <n v="37329"/>
    <n v="11005"/>
    <n v="9958"/>
    <n v="0"/>
    <n v="0"/>
    <n v="46976"/>
    <n v="41626"/>
    <n v="98004"/>
    <n v="3266.8"/>
    <n v="88913"/>
    <n v="2963.7666666666669"/>
    <n v="23465"/>
    <n v="23484"/>
    <n v="98004"/>
    <n v="88913"/>
    <n v="35342"/>
    <n v="6389"/>
    <n v="9765"/>
    <n v="5245"/>
    <n v="9049"/>
    <n v="13803"/>
    <n v="32400"/>
    <n v="8647"/>
    <n v="86556"/>
    <n v="96.173333333333332"/>
    <n v="34084"/>
    <n v="37.871111111111112"/>
    <m/>
    <m/>
    <n v="0"/>
    <n v="0"/>
  </r>
  <r>
    <x v="13"/>
    <s v="Southwest Texas Junior College "/>
    <m/>
    <n v="228316"/>
    <x v="7"/>
    <m/>
    <m/>
    <n v="53171"/>
    <n v="54242"/>
    <n v="10327"/>
    <n v="11952"/>
    <n v="5017"/>
    <n v="5258"/>
    <n v="53079"/>
    <n v="50094"/>
    <n v="121594"/>
    <n v="4053.1333333333332"/>
    <n v="121546"/>
    <n v="4051.5333333333333"/>
    <n v="40441"/>
    <n v="42354"/>
    <n v="121594"/>
    <n v="121546"/>
    <n v="5653"/>
    <n v="15092"/>
    <n v="20614"/>
    <n v="4650"/>
    <n v="21750"/>
    <n v="8606"/>
    <n v="18918"/>
    <n v="12128"/>
    <n v="66935"/>
    <n v="74.37222222222222"/>
    <n v="40476"/>
    <n v="44.973333333333336"/>
    <m/>
    <m/>
    <n v="0"/>
    <n v="0"/>
  </r>
  <r>
    <x v="13"/>
    <s v="Temple College "/>
    <m/>
    <n v="228608"/>
    <x v="7"/>
    <m/>
    <m/>
    <n v="39943"/>
    <n v="38725"/>
    <n v="10751"/>
    <n v="11492"/>
    <n v="0"/>
    <n v="0"/>
    <n v="43358"/>
    <n v="34876"/>
    <n v="94052"/>
    <n v="3135.0666666666666"/>
    <n v="85093"/>
    <n v="2836.4333333333334"/>
    <n v="16212"/>
    <n v="15971"/>
    <n v="94052"/>
    <n v="85093"/>
    <n v="4792"/>
    <n v="3080"/>
    <n v="25696"/>
    <n v="10560"/>
    <n v="9753"/>
    <n v="4978"/>
    <n v="21508"/>
    <n v="17138"/>
    <n v="61749"/>
    <n v="68.61"/>
    <n v="35756"/>
    <n v="39.728888888888889"/>
    <m/>
    <m/>
    <n v="0"/>
    <n v="0"/>
  </r>
  <r>
    <x v="13"/>
    <s v="Texarkana College "/>
    <m/>
    <n v="228699"/>
    <x v="7"/>
    <m/>
    <m/>
    <n v="31833"/>
    <n v="30551"/>
    <n v="7643"/>
    <n v="6841"/>
    <n v="0"/>
    <n v="0"/>
    <n v="36211"/>
    <n v="34257"/>
    <n v="75687"/>
    <n v="2522.9"/>
    <n v="71649"/>
    <n v="2388.3000000000002"/>
    <n v="18185"/>
    <n v="18514"/>
    <n v="75687"/>
    <n v="71649"/>
    <n v="67434"/>
    <n v="84998"/>
    <n v="79616"/>
    <n v="4657"/>
    <n v="81877"/>
    <n v="10150"/>
    <n v="76663"/>
    <n v="15523"/>
    <n v="305590"/>
    <n v="339.54444444444442"/>
    <n v="115328"/>
    <n v="128.14222222222222"/>
    <m/>
    <m/>
    <n v="0"/>
    <n v="0"/>
  </r>
  <r>
    <x v="13"/>
    <s v="Texas Southmost College "/>
    <s v="Changed IPEDS # from 229072"/>
    <n v="227377"/>
    <x v="7"/>
    <m/>
    <m/>
    <n v="52338"/>
    <n v="64456"/>
    <n v="6854"/>
    <n v="10761"/>
    <n v="4357"/>
    <n v="8315"/>
    <n v="59826"/>
    <n v="61364"/>
    <n v="123375"/>
    <n v="4112.5"/>
    <n v="144896"/>
    <n v="4829.8666666666668"/>
    <n v="42299"/>
    <n v="52725"/>
    <n v="123375"/>
    <n v="144896"/>
    <n v="12996"/>
    <n v="16704"/>
    <n v="20040"/>
    <n v="19936"/>
    <n v="13752"/>
    <n v="10040"/>
    <n v="19600"/>
    <n v="13200"/>
    <n v="66388"/>
    <n v="73.76444444444445"/>
    <n v="59880"/>
    <n v="66.533333333333331"/>
    <m/>
    <m/>
    <n v="0"/>
    <n v="0"/>
  </r>
  <r>
    <x v="13"/>
    <s v="Texas State Technical College-Harlingen "/>
    <m/>
    <n v="229319"/>
    <x v="7"/>
    <m/>
    <m/>
    <n v="32358"/>
    <n v="30839"/>
    <n v="17073"/>
    <n v="4452"/>
    <n v="0"/>
    <n v="0"/>
    <n v="36768"/>
    <n v="45140"/>
    <n v="86199"/>
    <n v="2873.3"/>
    <n v="80431"/>
    <n v="2681.0333333333333"/>
    <n v="1524"/>
    <n v="1329"/>
    <n v="86199"/>
    <n v="80431"/>
    <n v="12508"/>
    <n v="8452"/>
    <n v="13042"/>
    <n v="2080"/>
    <n v="12096"/>
    <n v="5120"/>
    <n v="11488"/>
    <n v="10000"/>
    <n v="49134"/>
    <n v="54.593333333333334"/>
    <n v="25652"/>
    <n v="28.502222222222223"/>
    <m/>
    <m/>
    <n v="0"/>
    <n v="0"/>
  </r>
  <r>
    <x v="13"/>
    <s v="Texas State Technical College-Waco"/>
    <m/>
    <n v="228680"/>
    <x v="7"/>
    <m/>
    <m/>
    <n v="34558"/>
    <n v="35851"/>
    <n v="26126"/>
    <n v="1647"/>
    <n v="0"/>
    <n v="0"/>
    <n v="41390"/>
    <n v="51374"/>
    <n v="102074"/>
    <n v="3402.4666666666667"/>
    <n v="88872"/>
    <n v="2962.4"/>
    <n v="1920"/>
    <n v="1192"/>
    <n v="102074"/>
    <n v="88872"/>
    <n v="384"/>
    <n v="0"/>
    <n v="1920"/>
    <n v="0"/>
    <n v="1344"/>
    <n v="1400"/>
    <n v="0"/>
    <n v="0"/>
    <n v="3648"/>
    <n v="4.0533333333333337"/>
    <n v="1400"/>
    <n v="1.5555555555555556"/>
    <m/>
    <m/>
    <n v="0"/>
    <n v="0"/>
  </r>
  <r>
    <x v="13"/>
    <s v="Vernon College "/>
    <s v="Met the requirments for  Two-year 3 in 2020-21"/>
    <n v="229504"/>
    <x v="7"/>
    <m/>
    <m/>
    <n v="22882"/>
    <n v="23349"/>
    <n v="2567"/>
    <n v="2467"/>
    <n v="3613"/>
    <n v="3912"/>
    <n v="25219"/>
    <n v="23765"/>
    <n v="54281"/>
    <n v="1809.3666666666666"/>
    <n v="53493"/>
    <n v="1783.1"/>
    <n v="8235"/>
    <n v="8957"/>
    <n v="54281"/>
    <n v="53493"/>
    <n v="58227"/>
    <n v="55757"/>
    <n v="58552"/>
    <n v="32096"/>
    <n v="28434"/>
    <n v="15016"/>
    <n v="66305"/>
    <n v="65616"/>
    <n v="211518"/>
    <n v="235.02"/>
    <n v="168485"/>
    <n v="187.20555555555555"/>
    <m/>
    <m/>
    <n v="0"/>
    <n v="0"/>
  </r>
  <r>
    <x v="13"/>
    <s v="Victoria College "/>
    <m/>
    <n v="229540"/>
    <x v="7"/>
    <m/>
    <m/>
    <n v="26008"/>
    <n v="24997"/>
    <n v="7204"/>
    <n v="7545"/>
    <n v="0"/>
    <n v="0"/>
    <n v="28637"/>
    <n v="24574"/>
    <n v="61849"/>
    <n v="2061.6333333333332"/>
    <n v="57116"/>
    <n v="1903.8666666666666"/>
    <n v="6811"/>
    <n v="6033"/>
    <n v="61849"/>
    <n v="57116"/>
    <n v="35154"/>
    <n v="28270"/>
    <n v="18716"/>
    <n v="13718"/>
    <n v="21181"/>
    <n v="14695"/>
    <n v="31852"/>
    <n v="31559"/>
    <n v="106903"/>
    <n v="118.78111111111112"/>
    <n v="88242"/>
    <n v="98.046666666666667"/>
    <m/>
    <m/>
    <n v="0"/>
    <n v="0"/>
  </r>
  <r>
    <x v="13"/>
    <s v="Weatherford College "/>
    <m/>
    <n v="229799"/>
    <x v="7"/>
    <m/>
    <m/>
    <n v="47389"/>
    <n v="46080"/>
    <n v="7445"/>
    <n v="6740"/>
    <n v="5527"/>
    <n v="5813"/>
    <n v="48948"/>
    <n v="46253"/>
    <n v="109309"/>
    <n v="3643.6333333333332"/>
    <n v="104886"/>
    <n v="3496.2"/>
    <n v="18993"/>
    <n v="17064"/>
    <n v="109309"/>
    <n v="104886"/>
    <n v="31841"/>
    <n v="25023"/>
    <n v="36919"/>
    <n v="10408"/>
    <n v="22382"/>
    <n v="26999"/>
    <n v="29692"/>
    <n v="14092"/>
    <n v="120834"/>
    <n v="134.26"/>
    <n v="76522"/>
    <n v="85.024444444444441"/>
    <m/>
    <m/>
    <n v="0"/>
    <n v="0"/>
  </r>
  <r>
    <x v="13"/>
    <s v="Wharton County Junior College "/>
    <m/>
    <n v="229841"/>
    <x v="7"/>
    <m/>
    <m/>
    <n v="60208"/>
    <n v="59528"/>
    <n v="10674"/>
    <n v="10245"/>
    <n v="5552"/>
    <n v="5883"/>
    <n v="66772"/>
    <n v="57917"/>
    <n v="143206"/>
    <n v="4773.5333333333338"/>
    <n v="133573"/>
    <n v="4452.4333333333334"/>
    <n v="6588"/>
    <n v="6738"/>
    <n v="143206"/>
    <n v="133573"/>
    <n v="6457"/>
    <n v="7544"/>
    <n v="8028"/>
    <n v="2968"/>
    <n v="10972"/>
    <n v="8709"/>
    <n v="9537"/>
    <n v="7098"/>
    <n v="34994"/>
    <n v="38.882222222222225"/>
    <n v="26319"/>
    <n v="29.243333333333332"/>
    <m/>
    <m/>
    <n v="0"/>
    <n v="0"/>
  </r>
  <r>
    <x v="13"/>
    <s v="Clarendon College "/>
    <m/>
    <n v="223922"/>
    <x v="8"/>
    <m/>
    <m/>
    <n v="12969"/>
    <n v="13076"/>
    <n v="1053"/>
    <n v="844"/>
    <n v="2422"/>
    <n v="2476"/>
    <n v="13868"/>
    <n v="12614"/>
    <n v="30312"/>
    <n v="1010.4"/>
    <n v="29010"/>
    <n v="967"/>
    <n v="7976"/>
    <n v="7738"/>
    <n v="30312"/>
    <n v="29010"/>
    <n v="2020"/>
    <n v="1104"/>
    <n v="2760"/>
    <n v="0"/>
    <n v="1488"/>
    <n v="2376"/>
    <n v="992"/>
    <n v="2552"/>
    <n v="7260"/>
    <n v="8.0666666666666664"/>
    <n v="6032"/>
    <n v="6.7022222222222219"/>
    <m/>
    <m/>
    <n v="0"/>
    <n v="0"/>
  </r>
  <r>
    <x v="13"/>
    <s v="Frank Phillips College "/>
    <m/>
    <n v="224891"/>
    <x v="8"/>
    <m/>
    <m/>
    <n v="12074"/>
    <n v="11863"/>
    <n v="1341"/>
    <n v="1787"/>
    <n v="824"/>
    <n v="1006"/>
    <n v="13283"/>
    <n v="13751"/>
    <n v="27522"/>
    <n v="917.4"/>
    <n v="28407"/>
    <n v="946.9"/>
    <n v="10288"/>
    <n v="10545"/>
    <n v="27522"/>
    <n v="28407"/>
    <n v="11400"/>
    <n v="17525"/>
    <n v="7239"/>
    <n v="7898"/>
    <n v="11281"/>
    <n v="11312"/>
    <n v="18152"/>
    <n v="18493"/>
    <n v="48072"/>
    <n v="53.413333333333334"/>
    <n v="55228"/>
    <n v="61.364444444444445"/>
    <m/>
    <m/>
    <n v="0"/>
    <n v="0"/>
  </r>
  <r>
    <x v="13"/>
    <s v="Galveston College "/>
    <m/>
    <n v="224961"/>
    <x v="8"/>
    <m/>
    <m/>
    <n v="18693"/>
    <n v="18697"/>
    <n v="4078"/>
    <n v="3300"/>
    <n v="3643"/>
    <n v="4562"/>
    <n v="19847"/>
    <n v="18166"/>
    <n v="46261"/>
    <n v="1542.0333333333333"/>
    <n v="44725"/>
    <n v="1490.8333333333333"/>
    <n v="6212"/>
    <n v="6491"/>
    <n v="46261"/>
    <n v="44725"/>
    <n v="17406"/>
    <n v="24177"/>
    <n v="8028"/>
    <n v="432"/>
    <n v="8069"/>
    <n v="2028"/>
    <n v="27676"/>
    <n v="15463"/>
    <n v="61179"/>
    <n v="67.976666666666674"/>
    <n v="42100"/>
    <n v="46.777777777777779"/>
    <m/>
    <m/>
    <n v="0"/>
    <n v="0"/>
  </r>
  <r>
    <x v="13"/>
    <s v="Lamar State College-Orange"/>
    <m/>
    <n v="226107"/>
    <x v="8"/>
    <m/>
    <m/>
    <n v="17896"/>
    <n v="19031"/>
    <n v="4696"/>
    <n v="8765"/>
    <n v="0"/>
    <n v="0"/>
    <n v="21186"/>
    <n v="20531"/>
    <n v="43778"/>
    <n v="1459.2666666666667"/>
    <n v="48327"/>
    <n v="1610.9"/>
    <n v="5942"/>
    <n v="7072"/>
    <n v="43778"/>
    <n v="48327"/>
    <n v="2534"/>
    <n v="8783"/>
    <n v="2009"/>
    <n v="1768"/>
    <n v="13824"/>
    <n v="7206"/>
    <n v="3025"/>
    <n v="1931"/>
    <n v="21392"/>
    <n v="23.768888888888888"/>
    <n v="19688"/>
    <n v="21.875555555555554"/>
    <m/>
    <m/>
    <n v="0"/>
    <n v="0"/>
  </r>
  <r>
    <x v="13"/>
    <s v="Lamar State College-Port Arthur"/>
    <s v="Met the criteria for Two-Year 2 in 2019-20."/>
    <n v="226116"/>
    <x v="8"/>
    <m/>
    <m/>
    <n v="21746"/>
    <n v="22534"/>
    <n v="5965"/>
    <n v="8953"/>
    <n v="0"/>
    <n v="0"/>
    <n v="24476"/>
    <n v="22662"/>
    <n v="52187"/>
    <n v="1739.5666666666666"/>
    <n v="54149"/>
    <n v="1804.9666666666667"/>
    <n v="8297"/>
    <n v="10086"/>
    <n v="52187"/>
    <n v="54149"/>
    <n v="68131"/>
    <n v="36551"/>
    <n v="62540"/>
    <n v="3160"/>
    <n v="55664"/>
    <n v="7152"/>
    <n v="66608"/>
    <n v="24624"/>
    <n v="252943"/>
    <n v="281.04777777777775"/>
    <n v="71487"/>
    <n v="79.430000000000007"/>
    <m/>
    <m/>
    <n v="0"/>
    <n v="0"/>
  </r>
  <r>
    <x v="13"/>
    <s v="Northeast Lakeview College (ACCD)"/>
    <s v="Reclassifed Met the criteria for Two-Year 2 in 2018-19 and 2019-20 and 2020-21"/>
    <n v="488730"/>
    <x v="7"/>
    <m/>
    <m/>
    <n v="42436"/>
    <n v="47061"/>
    <n v="11929"/>
    <n v="10298"/>
    <n v="0"/>
    <n v="0"/>
    <n v="51705"/>
    <n v="44986"/>
    <n v="106070"/>
    <n v="3535.6666666666665"/>
    <n v="102345"/>
    <n v="3411.5"/>
    <n v="11300"/>
    <n v="13148"/>
    <n v="106070"/>
    <n v="102345"/>
    <n v="5504"/>
    <n v="5808"/>
    <n v="9140"/>
    <n v="3952"/>
    <n v="7072"/>
    <n v="2384"/>
    <n v="4168"/>
    <n v="3616"/>
    <n v="25884"/>
    <n v="28.76"/>
    <n v="15760"/>
    <n v="17.511111111111113"/>
    <m/>
    <m/>
    <n v="0"/>
    <n v="0"/>
  </r>
  <r>
    <x v="13"/>
    <s v="Panola College"/>
    <m/>
    <n v="227386"/>
    <x v="8"/>
    <m/>
    <m/>
    <n v="22498"/>
    <n v="20595"/>
    <n v="3321"/>
    <n v="3321"/>
    <n v="2457"/>
    <n v="1908"/>
    <n v="23667"/>
    <n v="22918"/>
    <n v="51943"/>
    <n v="1731.4333333333334"/>
    <n v="48742"/>
    <n v="1624.7333333333333"/>
    <n v="10417"/>
    <n v="11241"/>
    <n v="51943"/>
    <n v="48742"/>
    <n v="14463"/>
    <n v="8826"/>
    <n v="8466"/>
    <n v="6434"/>
    <n v="11658"/>
    <n v="13645"/>
    <n v="18428"/>
    <n v="13291"/>
    <n v="53015"/>
    <n v="58.905555555555559"/>
    <n v="42196"/>
    <n v="46.884444444444448"/>
    <m/>
    <m/>
    <n v="0"/>
    <n v="0"/>
  </r>
  <r>
    <x v="13"/>
    <s v="Ranger College "/>
    <m/>
    <n v="227687"/>
    <x v="8"/>
    <m/>
    <m/>
    <n v="19787"/>
    <n v="19494"/>
    <n v="3306"/>
    <n v="3050"/>
    <n v="1189"/>
    <n v="931"/>
    <n v="21772"/>
    <n v="21363"/>
    <n v="46054"/>
    <n v="1535.1333333333334"/>
    <n v="44838"/>
    <n v="1494.6"/>
    <n v="13702"/>
    <n v="13286"/>
    <n v="46054"/>
    <n v="44838"/>
    <n v="21228"/>
    <n v="20456"/>
    <n v="8400"/>
    <n v="20262"/>
    <n v="15112"/>
    <n v="8062"/>
    <n v="6200"/>
    <n v="5528"/>
    <n v="50940"/>
    <n v="56.6"/>
    <n v="54308"/>
    <n v="60.342222222222219"/>
    <m/>
    <m/>
    <n v="0"/>
    <n v="0"/>
  </r>
  <r>
    <x v="13"/>
    <s v="Southwest Collegiate Institute for the Deaf (HCJCD)"/>
    <m/>
    <n v="382911"/>
    <x v="8"/>
    <m/>
    <m/>
    <n v="867"/>
    <n v="627"/>
    <n v="9"/>
    <n v="0"/>
    <n v="0"/>
    <n v="0"/>
    <n v="667"/>
    <n v="469"/>
    <n v="1543"/>
    <n v="51.43333333333333"/>
    <n v="1096"/>
    <n v="36.533333333333331"/>
    <n v="0"/>
    <n v="15"/>
    <n v="1543"/>
    <n v="1096"/>
    <m/>
    <n v="0"/>
    <m/>
    <n v="0"/>
    <m/>
    <n v="0"/>
    <m/>
    <n v="0"/>
    <n v="0"/>
    <n v="0"/>
    <n v="0"/>
    <n v="0"/>
    <m/>
    <m/>
    <n v="0"/>
    <n v="0"/>
  </r>
  <r>
    <x v="13"/>
    <s v="Texas State Technical College-Fort Bend"/>
    <m/>
    <s v="N/A"/>
    <x v="8"/>
    <m/>
    <m/>
    <n v="3766"/>
    <n v="4525"/>
    <n v="2494"/>
    <n v="24"/>
    <n v="0"/>
    <n v="0"/>
    <n v="5387"/>
    <n v="7933"/>
    <n v="11647"/>
    <n v="388.23333333333335"/>
    <n v="12482"/>
    <n v="416.06666666666666"/>
    <n v="187"/>
    <n v="247"/>
    <n v="11647"/>
    <n v="12482"/>
    <m/>
    <n v="0"/>
    <m/>
    <n v="0"/>
    <m/>
    <n v="460"/>
    <m/>
    <n v="0"/>
    <n v="0"/>
    <n v="0"/>
    <n v="460"/>
    <n v="0.51111111111111107"/>
    <m/>
    <m/>
    <n v="0"/>
    <n v="0"/>
  </r>
  <r>
    <x v="13"/>
    <s v="Texas State Technical College-Marshall"/>
    <m/>
    <n v="408394"/>
    <x v="8"/>
    <m/>
    <m/>
    <n v="4510"/>
    <n v="4788"/>
    <n v="2502"/>
    <n v="312"/>
    <n v="0"/>
    <n v="0"/>
    <n v="5769"/>
    <n v="8025"/>
    <n v="12781"/>
    <n v="426.03333333333336"/>
    <n v="13125"/>
    <n v="437.5"/>
    <n v="304"/>
    <n v="213"/>
    <n v="12781"/>
    <n v="13125"/>
    <m/>
    <n v="0"/>
    <m/>
    <n v="0"/>
    <m/>
    <n v="0"/>
    <m/>
    <n v="0"/>
    <n v="0"/>
    <n v="0"/>
    <n v="0"/>
    <n v="0"/>
    <m/>
    <m/>
    <n v="0"/>
    <n v="0"/>
  </r>
  <r>
    <x v="13"/>
    <s v="Texas State Technical College-North Texas"/>
    <m/>
    <s v="N/A"/>
    <x v="8"/>
    <m/>
    <m/>
    <n v="1980"/>
    <n v="1958"/>
    <n v="1135"/>
    <n v="0"/>
    <n v="0"/>
    <n v="0"/>
    <n v="2161"/>
    <n v="3898"/>
    <n v="5276"/>
    <n v="175.86666666666667"/>
    <n v="5856"/>
    <n v="195.2"/>
    <n v="240"/>
    <n v="235"/>
    <n v="5276"/>
    <n v="5856"/>
    <m/>
    <n v="0"/>
    <m/>
    <n v="0"/>
    <m/>
    <n v="0"/>
    <m/>
    <n v="0"/>
    <n v="0"/>
    <n v="0"/>
    <n v="0"/>
    <n v="0"/>
    <m/>
    <m/>
    <n v="0"/>
    <n v="0"/>
  </r>
  <r>
    <x v="13"/>
    <s v="Texas State Technical College-West Texas"/>
    <m/>
    <n v="229328"/>
    <x v="8"/>
    <m/>
    <m/>
    <n v="11349"/>
    <n v="12263"/>
    <n v="8379"/>
    <n v="4785"/>
    <n v="0"/>
    <n v="0"/>
    <n v="13630"/>
    <n v="15799"/>
    <n v="33358"/>
    <n v="1111.9333333333334"/>
    <n v="32847"/>
    <n v="1094.9000000000001"/>
    <m/>
    <n v="1489"/>
    <n v="0"/>
    <n v="32847"/>
    <n v="420"/>
    <n v="700"/>
    <n v="0"/>
    <n v="300"/>
    <n v="1060"/>
    <n v="800"/>
    <n v="1512"/>
    <n v="480"/>
    <n v="2992"/>
    <n v="3.3244444444444445"/>
    <n v="2280"/>
    <n v="2.5333333333333332"/>
    <m/>
    <m/>
    <n v="0"/>
    <n v="0"/>
  </r>
  <r>
    <x v="13"/>
    <s v="Western Texas College "/>
    <m/>
    <n v="229832"/>
    <x v="8"/>
    <m/>
    <m/>
    <n v="16308"/>
    <n v="15536"/>
    <n v="7242"/>
    <n v="4643"/>
    <n v="3672"/>
    <n v="3381"/>
    <n v="15574"/>
    <n v="11865"/>
    <n v="42796"/>
    <n v="1426.5333333333333"/>
    <n v="35425"/>
    <n v="1180.8333333333333"/>
    <m/>
    <n v="8616"/>
    <n v="0"/>
    <n v="35425"/>
    <n v="41850"/>
    <n v="29459"/>
    <n v="31427"/>
    <n v="23188"/>
    <n v="15782"/>
    <n v="20288"/>
    <n v="36778"/>
    <n v="10868"/>
    <n v="125837"/>
    <n v="139.81888888888889"/>
    <n v="83803"/>
    <n v="93.114444444444445"/>
    <m/>
    <m/>
    <n v="0"/>
    <n v="0"/>
  </r>
  <r>
    <x v="13"/>
    <s v="Alamo Community College District (ACCD)"/>
    <m/>
    <m/>
    <x v="14"/>
    <m/>
    <m/>
    <n v="294850"/>
    <n v="445966"/>
    <n v="106864"/>
    <n v="138081"/>
    <n v="0"/>
    <n v="0"/>
    <n v="329099"/>
    <n v="454864"/>
    <n v="730813"/>
    <n v="24360.433333333334"/>
    <n v="1038911"/>
    <n v="34630.366666666669"/>
    <n v="77807"/>
    <n v="160790"/>
    <n v="730813"/>
    <n v="1038911"/>
    <n v="26197"/>
    <n v="72804"/>
    <n v="33589"/>
    <n v="37091"/>
    <n v="28742"/>
    <n v="47576"/>
    <n v="32246"/>
    <n v="40162"/>
    <n v="120774"/>
    <n v="134.19333333333333"/>
    <n v="197633"/>
    <n v="219.59222222222223"/>
    <m/>
    <m/>
    <n v="0"/>
    <n v="0"/>
  </r>
  <r>
    <x v="13"/>
    <s v="Dallas County Community College District (DCCCD)"/>
    <m/>
    <m/>
    <x v="14"/>
    <m/>
    <m/>
    <n v="593461"/>
    <n v="612679"/>
    <n v="354196"/>
    <n v="384352"/>
    <n v="0"/>
    <n v="0"/>
    <n v="515287"/>
    <n v="0"/>
    <n v="1462944"/>
    <n v="48764.800000000003"/>
    <n v="997031"/>
    <n v="33234.366666666669"/>
    <n v="270836"/>
    <n v="154139"/>
    <n v="1462944"/>
    <n v="997031"/>
    <n v="472429"/>
    <n v="594370"/>
    <n v="416600"/>
    <n v="357622"/>
    <n v="524058"/>
    <n v="199105"/>
    <n v="634309"/>
    <m/>
    <n v="2047396"/>
    <n v="2274.8844444444444"/>
    <n v="1151097"/>
    <n v="1278.9966666666667"/>
    <m/>
    <m/>
    <n v="0"/>
    <n v="0"/>
  </r>
  <r>
    <x v="13"/>
    <s v="Howard County Community/Junior College District (HCJCD)"/>
    <m/>
    <m/>
    <x v="14"/>
    <m/>
    <m/>
    <n v="27691"/>
    <n v="25699"/>
    <n v="4536"/>
    <n v="4414"/>
    <n v="1948"/>
    <n v="2174"/>
    <n v="32148"/>
    <n v="28547"/>
    <n v="66323"/>
    <n v="2210.7666666666669"/>
    <n v="60834"/>
    <n v="2027.8"/>
    <n v="18252"/>
    <n v="15202"/>
    <n v="66323"/>
    <n v="60834"/>
    <n v="118680"/>
    <n v="112996"/>
    <n v="152630"/>
    <n v="14690"/>
    <n v="96293"/>
    <n v="31336"/>
    <n v="128831"/>
    <n v="40849"/>
    <n v="496434"/>
    <n v="551.59333333333336"/>
    <n v="199871"/>
    <n v="222.07888888888888"/>
    <m/>
    <m/>
    <n v="0"/>
    <n v="0"/>
  </r>
  <r>
    <x v="13"/>
    <s v="University of North Texas at Dallas"/>
    <s v="corrected sreb category "/>
    <n v="484905"/>
    <x v="3"/>
    <m/>
    <m/>
    <n v="0"/>
    <n v="0"/>
    <n v="30606"/>
    <n v="32598"/>
    <n v="7757"/>
    <n v="10503"/>
    <n v="35236"/>
    <n v="36674"/>
    <n v="73599"/>
    <n v="2453.3000000000002"/>
    <n v="79775"/>
    <n v="2659.1666666666665"/>
    <m/>
    <n v="0"/>
    <n v="0"/>
    <n v="79775"/>
    <m/>
    <m/>
    <m/>
    <m/>
    <m/>
    <m/>
    <m/>
    <m/>
    <n v="0"/>
    <n v="0"/>
    <n v="0"/>
    <n v="0"/>
    <m/>
    <m/>
    <n v="0"/>
    <n v="0"/>
  </r>
  <r>
    <x v="13"/>
    <s v="Alamo Community College District (ACCD)"/>
    <m/>
    <m/>
    <x v="15"/>
    <m/>
    <m/>
    <n v="252414"/>
    <n v="398905"/>
    <n v="94935"/>
    <n v="127783"/>
    <n v="0"/>
    <n v="0"/>
    <n v="277394"/>
    <n v="409878"/>
    <n v="624743"/>
    <n v="20824.766666666666"/>
    <n v="936566"/>
    <n v="31218.866666666665"/>
    <n v="66507"/>
    <n v="147642"/>
    <n v="624743"/>
    <n v="936566"/>
    <n v="20693"/>
    <n v="66996"/>
    <n v="24449"/>
    <n v="33139"/>
    <n v="21670"/>
    <n v="45192"/>
    <n v="28078"/>
    <n v="36546"/>
    <n v="94890"/>
    <n v="105.43333333333334"/>
    <n v="181873"/>
    <n v="202.08111111111111"/>
    <m/>
    <m/>
    <n v="0"/>
    <n v="0"/>
  </r>
  <r>
    <x v="13"/>
    <s v="Dallas County Community College District (DCCCD)"/>
    <m/>
    <m/>
    <x v="15"/>
    <m/>
    <m/>
    <n v="538294"/>
    <n v="552665"/>
    <n v="320019"/>
    <n v="348485"/>
    <n v="0"/>
    <n v="0"/>
    <n v="468317"/>
    <m/>
    <n v="1326630"/>
    <n v="44221"/>
    <n v="901150"/>
    <n v="30038.333333333332"/>
    <n v="245489"/>
    <n v="140281"/>
    <n v="1326630"/>
    <n v="901150"/>
    <n v="433984"/>
    <n v="548475"/>
    <n v="381374"/>
    <n v="232243"/>
    <n v="444786"/>
    <n v="150701"/>
    <n v="605769"/>
    <m/>
    <n v="1865913"/>
    <n v="2073.2366666666667"/>
    <n v="931419"/>
    <n v="1034.9100000000001"/>
    <m/>
    <m/>
    <n v="0"/>
    <n v="0"/>
  </r>
  <r>
    <x v="13"/>
    <s v="Dallas County Community College District (DCCCD)"/>
    <m/>
    <m/>
    <x v="16"/>
    <m/>
    <m/>
    <n v="55167"/>
    <n v="60014"/>
    <n v="34177"/>
    <n v="35867"/>
    <n v="0"/>
    <n v="0"/>
    <n v="46970"/>
    <m/>
    <n v="136314"/>
    <n v="4543.8"/>
    <n v="95881"/>
    <n v="3196.0333333333333"/>
    <n v="25347"/>
    <n v="13858"/>
    <n v="136314"/>
    <n v="95881"/>
    <n v="38445"/>
    <n v="45895"/>
    <n v="35226"/>
    <n v="125379"/>
    <n v="79272"/>
    <n v="48404"/>
    <n v="28540"/>
    <m/>
    <n v="181483"/>
    <n v="201.64777777777778"/>
    <n v="219678"/>
    <n v="244.08666666666667"/>
    <m/>
    <m/>
    <n v="0"/>
    <n v="0"/>
  </r>
  <r>
    <x v="13"/>
    <s v="Howard County Community/Junior College District (HCJCD)"/>
    <m/>
    <m/>
    <x v="16"/>
    <m/>
    <m/>
    <n v="26824"/>
    <n v="25072"/>
    <n v="4527"/>
    <n v="4414"/>
    <n v="1948"/>
    <n v="2174"/>
    <n v="31481"/>
    <n v="28078"/>
    <n v="64780"/>
    <n v="2159.3333333333335"/>
    <n v="59738"/>
    <n v="1991.2666666666667"/>
    <n v="18252"/>
    <n v="15202"/>
    <n v="64780"/>
    <n v="59738"/>
    <n v="118680"/>
    <n v="112996"/>
    <n v="152630"/>
    <n v="14690"/>
    <n v="96293"/>
    <n v="31336"/>
    <n v="128831"/>
    <n v="40849"/>
    <n v="496434"/>
    <n v="551.59333333333336"/>
    <n v="199871"/>
    <n v="222.07888888888888"/>
    <m/>
    <m/>
    <n v="0"/>
    <n v="0"/>
  </r>
  <r>
    <x v="13"/>
    <s v="Alamo Community College District (ACCD)"/>
    <m/>
    <m/>
    <x v="17"/>
    <m/>
    <m/>
    <n v="42436"/>
    <n v="47061"/>
    <n v="11929"/>
    <n v="10298"/>
    <n v="0"/>
    <n v="0"/>
    <n v="51705"/>
    <n v="44986"/>
    <n v="106070"/>
    <n v="3535.6666666666665"/>
    <n v="102345"/>
    <n v="3411.5"/>
    <n v="11300"/>
    <n v="13148"/>
    <n v="106070"/>
    <n v="102345"/>
    <n v="5504"/>
    <n v="5808"/>
    <n v="9140"/>
    <n v="3952"/>
    <n v="7072"/>
    <n v="2384"/>
    <n v="4168"/>
    <n v="3616"/>
    <n v="25884"/>
    <n v="28.76"/>
    <n v="15760"/>
    <n v="17.511111111111113"/>
    <m/>
    <m/>
    <n v="0"/>
    <n v="0"/>
  </r>
  <r>
    <x v="13"/>
    <s v="Howard County Community/Junior College District (HCJCD)"/>
    <m/>
    <m/>
    <x v="17"/>
    <m/>
    <m/>
    <n v="867"/>
    <n v="627"/>
    <n v="9"/>
    <n v="0"/>
    <n v="0"/>
    <n v="0"/>
    <n v="667"/>
    <n v="469"/>
    <n v="1543"/>
    <n v="51.43333333333333"/>
    <n v="1096"/>
    <n v="36.533333333333331"/>
    <n v="0"/>
    <n v="0"/>
    <n v="1543"/>
    <n v="1096"/>
    <n v="0"/>
    <n v="0"/>
    <n v="0"/>
    <n v="0"/>
    <n v="0"/>
    <n v="0"/>
    <n v="0"/>
    <n v="0"/>
    <n v="0"/>
    <n v="0"/>
    <n v="0"/>
    <n v="0"/>
    <m/>
    <m/>
    <n v="0"/>
    <n v="0"/>
  </r>
  <r>
    <x v="13"/>
    <s v="Dallas County Community College District (DCCCD)"/>
    <s v="NEW"/>
    <n v="224615"/>
    <x v="8"/>
    <m/>
    <m/>
    <m/>
    <m/>
    <m/>
    <m/>
    <m/>
    <m/>
    <m/>
    <n v="380470"/>
    <n v="0"/>
    <n v="0"/>
    <n v="380470"/>
    <n v="12682.333333333334"/>
    <m/>
    <n v="58234"/>
    <n v="0"/>
    <n v="380470"/>
    <m/>
    <m/>
    <m/>
    <m/>
    <m/>
    <m/>
    <m/>
    <n v="274467"/>
    <n v="0"/>
    <n v="0"/>
    <n v="274467"/>
    <n v="304.96333333333331"/>
    <m/>
    <m/>
    <n v="0"/>
    <n v="0"/>
  </r>
  <r>
    <x v="14"/>
    <s v="George Mason University "/>
    <s v=" "/>
    <n v="232186"/>
    <x v="0"/>
    <m/>
    <m/>
    <m/>
    <m/>
    <n v="331742"/>
    <n v="338616"/>
    <n v="60579"/>
    <n v="61816"/>
    <n v="354280.5"/>
    <n v="358793.5"/>
    <n v="746601.5"/>
    <n v="24886.716666666667"/>
    <n v="759225.5"/>
    <n v="25307.516666666666"/>
    <n v="19071"/>
    <n v="14501"/>
    <n v="746601.5"/>
    <n v="759225.5"/>
    <m/>
    <m/>
    <m/>
    <m/>
    <m/>
    <m/>
    <m/>
    <m/>
    <n v="0"/>
    <n v="0"/>
    <n v="0"/>
    <n v="0"/>
    <m/>
    <m/>
    <n v="0"/>
    <n v="0"/>
  </r>
  <r>
    <x v="14"/>
    <s v="Old Dominion University "/>
    <s v=" "/>
    <n v="232982"/>
    <x v="0"/>
    <m/>
    <m/>
    <m/>
    <m/>
    <n v="214868"/>
    <n v="213104"/>
    <n v="50618"/>
    <n v="58936"/>
    <n v="235382"/>
    <n v="238597"/>
    <n v="500868"/>
    <n v="16695.599999999999"/>
    <n v="510637"/>
    <n v="17021.233333333334"/>
    <n v="57"/>
    <n v="65"/>
    <n v="500868"/>
    <n v="510637"/>
    <m/>
    <m/>
    <m/>
    <m/>
    <m/>
    <m/>
    <m/>
    <m/>
    <n v="0"/>
    <n v="0"/>
    <n v="0"/>
    <n v="0"/>
    <m/>
    <m/>
    <n v="0"/>
    <n v="0"/>
  </r>
  <r>
    <x v="14"/>
    <s v="University of Virginia"/>
    <s v=" "/>
    <n v="234076"/>
    <x v="0"/>
    <m/>
    <m/>
    <m/>
    <m/>
    <n v="238170.5"/>
    <n v="238263.5"/>
    <n v="18999"/>
    <n v="21095.5"/>
    <n v="250197"/>
    <n v="243065"/>
    <n v="507366.5"/>
    <n v="16912.216666666667"/>
    <n v="502424"/>
    <n v="16747.466666666667"/>
    <n v="0"/>
    <n v="0"/>
    <n v="507366.5"/>
    <n v="502424"/>
    <m/>
    <m/>
    <m/>
    <m/>
    <m/>
    <m/>
    <m/>
    <m/>
    <n v="0"/>
    <n v="0"/>
    <n v="0"/>
    <n v="0"/>
    <m/>
    <m/>
    <n v="0"/>
    <n v="0"/>
  </r>
  <r>
    <x v="14"/>
    <s v="Virginia Commonwealth University"/>
    <s v=" "/>
    <n v="234030"/>
    <x v="0"/>
    <m/>
    <m/>
    <m/>
    <m/>
    <n v="287895.5"/>
    <n v="282686.5"/>
    <n v="33632.5"/>
    <n v="43550"/>
    <n v="310358"/>
    <n v="296965"/>
    <n v="631886"/>
    <n v="21062.866666666665"/>
    <n v="623201.5"/>
    <n v="20773.383333333335"/>
    <n v="7937"/>
    <n v="3808"/>
    <n v="631886"/>
    <n v="623201.5"/>
    <m/>
    <m/>
    <m/>
    <m/>
    <m/>
    <m/>
    <m/>
    <m/>
    <n v="0"/>
    <n v="0"/>
    <n v="0"/>
    <n v="0"/>
    <m/>
    <m/>
    <n v="0"/>
    <n v="0"/>
  </r>
  <r>
    <x v="14"/>
    <s v="Virginia Tech "/>
    <s v=" "/>
    <n v="233921"/>
    <x v="0"/>
    <m/>
    <m/>
    <m/>
    <m/>
    <n v="411483"/>
    <n v="434732"/>
    <n v="28196"/>
    <n v="27925"/>
    <n v="448243"/>
    <n v="459631"/>
    <n v="887922"/>
    <n v="29597.4"/>
    <n v="922288"/>
    <n v="30742.933333333334"/>
    <n v="0"/>
    <n v="0"/>
    <n v="887922"/>
    <n v="922288"/>
    <m/>
    <m/>
    <m/>
    <m/>
    <m/>
    <m/>
    <m/>
    <m/>
    <n v="0"/>
    <n v="0"/>
    <n v="0"/>
    <n v="0"/>
    <m/>
    <m/>
    <n v="0"/>
    <n v="0"/>
  </r>
  <r>
    <x v="14"/>
    <s v="College of William &amp; Mary"/>
    <s v=" "/>
    <n v="231624"/>
    <x v="1"/>
    <m/>
    <m/>
    <m/>
    <m/>
    <n v="86129.5"/>
    <n v="85585.3"/>
    <n v="8416"/>
    <n v="7589"/>
    <n v="89598"/>
    <n v="89426"/>
    <n v="184143.5"/>
    <n v="6138.1166666666668"/>
    <n v="182600.3"/>
    <n v="6086.6766666666663"/>
    <n v="0"/>
    <n v="0"/>
    <n v="184143.5"/>
    <n v="182600.3"/>
    <m/>
    <m/>
    <m/>
    <m/>
    <m/>
    <m/>
    <m/>
    <m/>
    <n v="0"/>
    <n v="0"/>
    <n v="0"/>
    <n v="0"/>
    <m/>
    <m/>
    <n v="0"/>
    <n v="0"/>
  </r>
  <r>
    <x v="14"/>
    <s v="James Madison University"/>
    <s v=" "/>
    <n v="232423"/>
    <x v="2"/>
    <m/>
    <m/>
    <m/>
    <m/>
    <n v="270251"/>
    <n v="268849"/>
    <n v="31946"/>
    <n v="33098"/>
    <n v="289383"/>
    <n v="287318"/>
    <n v="591580"/>
    <n v="19719.333333333332"/>
    <n v="589265"/>
    <n v="19642.166666666668"/>
    <n v="4797"/>
    <n v="2642"/>
    <n v="591580"/>
    <n v="589265"/>
    <m/>
    <m/>
    <m/>
    <m/>
    <m/>
    <m/>
    <m/>
    <m/>
    <n v="0"/>
    <n v="0"/>
    <n v="0"/>
    <n v="0"/>
    <m/>
    <m/>
    <n v="0"/>
    <n v="0"/>
  </r>
  <r>
    <x v="14"/>
    <s v="Longwood University "/>
    <s v="Reclassified: Met the criteria for Four-Year 5 in 2018-19, 2019-20, and 2020-21."/>
    <n v="232566"/>
    <x v="4"/>
    <m/>
    <m/>
    <m/>
    <m/>
    <n v="54426"/>
    <n v="50265"/>
    <n v="8436"/>
    <n v="7770"/>
    <n v="52396"/>
    <n v="51540"/>
    <n v="115258"/>
    <n v="3841.9333333333334"/>
    <n v="109575"/>
    <n v="3652.5"/>
    <n v="3692"/>
    <n v="3790"/>
    <n v="115258"/>
    <n v="109575"/>
    <m/>
    <m/>
    <m/>
    <m/>
    <m/>
    <m/>
    <m/>
    <m/>
    <n v="0"/>
    <n v="0"/>
    <n v="0"/>
    <n v="0"/>
    <m/>
    <m/>
    <n v="0"/>
    <n v="0"/>
  </r>
  <r>
    <x v="14"/>
    <s v="Norfolk State University "/>
    <s v="Reclassified: Met the criteria for Four-Year 4 in 2018-19, 2019-20, and 2020-21."/>
    <n v="232937"/>
    <x v="3"/>
    <m/>
    <m/>
    <m/>
    <m/>
    <n v="59619"/>
    <n v="64911"/>
    <n v="5296"/>
    <n v="4564"/>
    <n v="72583"/>
    <n v="67327"/>
    <n v="137498"/>
    <n v="4583.2666666666664"/>
    <n v="136802"/>
    <n v="4560.0666666666666"/>
    <n v="114"/>
    <n v="106"/>
    <n v="137498"/>
    <n v="136802"/>
    <m/>
    <m/>
    <m/>
    <m/>
    <m/>
    <m/>
    <m/>
    <m/>
    <n v="0"/>
    <n v="0"/>
    <n v="0"/>
    <n v="0"/>
    <m/>
    <m/>
    <n v="0"/>
    <n v="0"/>
  </r>
  <r>
    <x v="14"/>
    <s v="Radford University"/>
    <s v=" "/>
    <n v="233277"/>
    <x v="2"/>
    <m/>
    <m/>
    <m/>
    <m/>
    <n v="107405.7"/>
    <n v="105583"/>
    <n v="8244"/>
    <n v="9226"/>
    <n v="117039"/>
    <n v="104755"/>
    <n v="232688.7"/>
    <n v="7756.29"/>
    <n v="219564"/>
    <n v="7318.8"/>
    <n v="190"/>
    <n v="356"/>
    <n v="232688.7"/>
    <n v="219564"/>
    <m/>
    <m/>
    <m/>
    <m/>
    <m/>
    <m/>
    <m/>
    <m/>
    <n v="0"/>
    <n v="0"/>
    <n v="0"/>
    <n v="0"/>
    <m/>
    <m/>
    <n v="0"/>
    <n v="0"/>
  </r>
  <r>
    <x v="14"/>
    <s v="University of Mary Washington "/>
    <s v="Reclassified: Met the criteria for Four-Year 5 in 2018-19, 2019-20, and 2020-21."/>
    <n v="232681"/>
    <x v="4"/>
    <m/>
    <m/>
    <m/>
    <m/>
    <n v="55598"/>
    <n v="53521"/>
    <n v="4385.2"/>
    <n v="5827"/>
    <n v="57520"/>
    <n v="55814"/>
    <n v="117503.2"/>
    <n v="3916.7733333333331"/>
    <n v="115162"/>
    <n v="3838.7333333333331"/>
    <n v="41"/>
    <n v="25"/>
    <n v="117503.2"/>
    <n v="115162"/>
    <m/>
    <m/>
    <m/>
    <m/>
    <m/>
    <m/>
    <m/>
    <m/>
    <n v="0"/>
    <n v="0"/>
    <n v="0"/>
    <n v="0"/>
    <m/>
    <m/>
    <n v="0"/>
    <n v="0"/>
  </r>
  <r>
    <x v="14"/>
    <s v="Virginia State University "/>
    <s v=" "/>
    <n v="234155"/>
    <x v="2"/>
    <m/>
    <m/>
    <m/>
    <m/>
    <n v="55400"/>
    <n v="55669"/>
    <n v="3597"/>
    <n v="3038"/>
    <n v="61113"/>
    <n v="54988"/>
    <n v="120110"/>
    <n v="4003.6666666666665"/>
    <n v="113695"/>
    <n v="3789.8333333333335"/>
    <n v="0"/>
    <n v="0"/>
    <n v="120110"/>
    <n v="113695"/>
    <m/>
    <m/>
    <m/>
    <m/>
    <m/>
    <m/>
    <m/>
    <m/>
    <n v="0"/>
    <n v="0"/>
    <n v="0"/>
    <n v="0"/>
    <m/>
    <m/>
    <n v="0"/>
    <n v="0"/>
  </r>
  <r>
    <x v="14"/>
    <s v="Christopher Newport University"/>
    <s v=" "/>
    <n v="231712"/>
    <x v="4"/>
    <m/>
    <m/>
    <m/>
    <m/>
    <n v="67359"/>
    <n v="66741"/>
    <n v="1199"/>
    <n v="2278"/>
    <n v="71353"/>
    <n v="70308"/>
    <n v="139911"/>
    <n v="4663.7"/>
    <n v="139327"/>
    <n v="4644.2333333333336"/>
    <n v="69"/>
    <n v="129"/>
    <n v="139911"/>
    <n v="139327"/>
    <m/>
    <m/>
    <m/>
    <m/>
    <m/>
    <m/>
    <m/>
    <m/>
    <n v="0"/>
    <n v="0"/>
    <n v="0"/>
    <n v="0"/>
    <m/>
    <m/>
    <n v="0"/>
    <n v="0"/>
  </r>
  <r>
    <x v="14"/>
    <s v="University of Virginia's College at Wise "/>
    <s v=" "/>
    <n v="233897"/>
    <x v="5"/>
    <m/>
    <m/>
    <m/>
    <m/>
    <n v="19984"/>
    <n v="19625"/>
    <n v="5739"/>
    <n v="6180"/>
    <n v="20107"/>
    <n v="20016"/>
    <n v="45830"/>
    <n v="1527.6666666666667"/>
    <n v="45821"/>
    <n v="1527.3666666666666"/>
    <n v="210"/>
    <n v="0"/>
    <n v="45830"/>
    <n v="45821"/>
    <m/>
    <m/>
    <m/>
    <m/>
    <m/>
    <m/>
    <m/>
    <m/>
    <n v="0"/>
    <n v="0"/>
    <n v="0"/>
    <n v="0"/>
    <m/>
    <m/>
    <n v="0"/>
    <n v="0"/>
  </r>
  <r>
    <x v="14"/>
    <s v="J.S. Reynolds Community College"/>
    <s v=" "/>
    <n v="232414"/>
    <x v="6"/>
    <m/>
    <m/>
    <m/>
    <m/>
    <n v="65842"/>
    <n v="67243"/>
    <n v="24828"/>
    <n v="23872"/>
    <n v="73376"/>
    <n v="66657"/>
    <n v="164046"/>
    <n v="5468.2"/>
    <n v="157772"/>
    <n v="5259.0666666666666"/>
    <n v="37438"/>
    <n v="39787"/>
    <n v="164046"/>
    <n v="157772"/>
    <m/>
    <m/>
    <m/>
    <m/>
    <m/>
    <m/>
    <m/>
    <m/>
    <n v="0"/>
    <n v="0"/>
    <n v="0"/>
    <n v="0"/>
    <m/>
    <m/>
    <n v="0"/>
    <n v="0"/>
  </r>
  <r>
    <x v="14"/>
    <s v="John Tyler Community College"/>
    <s v=" "/>
    <n v="232450"/>
    <x v="6"/>
    <m/>
    <m/>
    <m/>
    <m/>
    <n v="67858"/>
    <n v="70027"/>
    <n v="19524"/>
    <n v="17990"/>
    <n v="77954"/>
    <n v="70932"/>
    <n v="165336"/>
    <n v="5511.2"/>
    <n v="158949"/>
    <n v="5298.3"/>
    <n v="56531"/>
    <n v="59783"/>
    <n v="165336"/>
    <n v="158949"/>
    <m/>
    <m/>
    <m/>
    <m/>
    <m/>
    <m/>
    <m/>
    <m/>
    <n v="0"/>
    <n v="0"/>
    <n v="0"/>
    <n v="0"/>
    <m/>
    <m/>
    <n v="0"/>
    <n v="0"/>
  </r>
  <r>
    <x v="14"/>
    <s v="Northern Virginia Community College "/>
    <s v=" "/>
    <n v="232946"/>
    <x v="6"/>
    <m/>
    <m/>
    <m/>
    <m/>
    <n v="396630"/>
    <n v="374636"/>
    <n v="128474"/>
    <n v="122506"/>
    <n v="417201"/>
    <n v="426201"/>
    <n v="942305"/>
    <n v="31410.166666666668"/>
    <n v="923343"/>
    <n v="30778.1"/>
    <n v="169234"/>
    <n v="201989"/>
    <n v="942305"/>
    <n v="923343"/>
    <m/>
    <m/>
    <m/>
    <m/>
    <m/>
    <m/>
    <m/>
    <m/>
    <n v="0"/>
    <n v="0"/>
    <n v="0"/>
    <n v="0"/>
    <m/>
    <m/>
    <n v="0"/>
    <n v="0"/>
  </r>
  <r>
    <x v="14"/>
    <s v="Thomas Nelson Community College "/>
    <s v="Met the criteria for Two-Year 2 in 2019-20 and 2020-21."/>
    <n v="233754"/>
    <x v="6"/>
    <m/>
    <m/>
    <m/>
    <m/>
    <n v="63001"/>
    <n v="60181"/>
    <n v="19816"/>
    <n v="18219"/>
    <n v="62124"/>
    <n v="53945"/>
    <n v="144941"/>
    <n v="4831.3666666666668"/>
    <n v="132345"/>
    <n v="4411.5"/>
    <n v="34797"/>
    <n v="36327"/>
    <n v="144941"/>
    <n v="132345"/>
    <m/>
    <m/>
    <m/>
    <m/>
    <m/>
    <m/>
    <m/>
    <m/>
    <n v="0"/>
    <n v="0"/>
    <n v="0"/>
    <n v="0"/>
    <m/>
    <m/>
    <n v="0"/>
    <n v="0"/>
  </r>
  <r>
    <x v="14"/>
    <s v="Tidewater Community College "/>
    <s v=" "/>
    <n v="233772"/>
    <x v="6"/>
    <m/>
    <m/>
    <m/>
    <m/>
    <n v="168901"/>
    <n v="152829"/>
    <n v="67336"/>
    <n v="57152"/>
    <n v="167084"/>
    <n v="149370"/>
    <n v="403321"/>
    <n v="13444.033333333333"/>
    <n v="359351"/>
    <n v="11978.366666666667"/>
    <n v="39929"/>
    <n v="43263"/>
    <n v="403321"/>
    <n v="359351"/>
    <m/>
    <m/>
    <m/>
    <m/>
    <m/>
    <m/>
    <m/>
    <m/>
    <n v="0"/>
    <n v="0"/>
    <n v="0"/>
    <n v="0"/>
    <m/>
    <m/>
    <n v="0"/>
    <n v="0"/>
  </r>
  <r>
    <x v="14"/>
    <s v="Blue Ridge Community College "/>
    <s v=" "/>
    <n v="231536"/>
    <x v="7"/>
    <m/>
    <m/>
    <m/>
    <m/>
    <n v="28432"/>
    <n v="27836"/>
    <n v="8066"/>
    <n v="7729"/>
    <n v="32435"/>
    <n v="29392"/>
    <n v="68933"/>
    <n v="2297.7666666666669"/>
    <n v="64957"/>
    <n v="2165.2333333333331"/>
    <n v="18672"/>
    <n v="16901"/>
    <n v="68933"/>
    <n v="64957"/>
    <m/>
    <m/>
    <m/>
    <m/>
    <m/>
    <m/>
    <m/>
    <m/>
    <n v="0"/>
    <n v="0"/>
    <n v="0"/>
    <n v="0"/>
    <m/>
    <m/>
    <n v="0"/>
    <n v="0"/>
  </r>
  <r>
    <x v="14"/>
    <s v="Central Virginia Community College "/>
    <s v=" "/>
    <n v="231697"/>
    <x v="7"/>
    <m/>
    <m/>
    <m/>
    <m/>
    <n v="29471"/>
    <n v="28531"/>
    <n v="7445"/>
    <n v="7022"/>
    <n v="32368"/>
    <n v="29219"/>
    <n v="69284"/>
    <n v="2309.4666666666667"/>
    <n v="64772"/>
    <n v="2159.0666666666666"/>
    <n v="41942"/>
    <n v="39776"/>
    <n v="69284"/>
    <n v="64772"/>
    <m/>
    <m/>
    <m/>
    <m/>
    <m/>
    <m/>
    <m/>
    <m/>
    <n v="0"/>
    <n v="0"/>
    <n v="0"/>
    <n v="0"/>
    <m/>
    <m/>
    <n v="0"/>
    <n v="0"/>
  </r>
  <r>
    <x v="14"/>
    <s v="Germanna Community College"/>
    <s v=" "/>
    <n v="232195"/>
    <x v="7"/>
    <m/>
    <m/>
    <m/>
    <m/>
    <n v="54169"/>
    <n v="56244"/>
    <n v="16690"/>
    <n v="16762"/>
    <n v="60281"/>
    <n v="62972"/>
    <n v="131140"/>
    <n v="4371.333333333333"/>
    <n v="135978"/>
    <n v="4532.6000000000004"/>
    <n v="30489"/>
    <n v="32196"/>
    <n v="131140"/>
    <n v="135978"/>
    <m/>
    <m/>
    <m/>
    <m/>
    <m/>
    <m/>
    <m/>
    <m/>
    <n v="0"/>
    <n v="0"/>
    <n v="0"/>
    <n v="0"/>
    <m/>
    <m/>
    <n v="0"/>
    <n v="0"/>
  </r>
  <r>
    <x v="14"/>
    <s v="Lord Fairfax Community College"/>
    <s v=" "/>
    <n v="232575"/>
    <x v="7"/>
    <m/>
    <m/>
    <m/>
    <m/>
    <n v="49530"/>
    <n v="49731"/>
    <n v="11344"/>
    <n v="11116"/>
    <n v="57466"/>
    <n v="54685"/>
    <n v="118340"/>
    <n v="3944.6666666666665"/>
    <n v="115532"/>
    <n v="3851.0666666666666"/>
    <n v="72475"/>
    <n v="71645"/>
    <n v="118340"/>
    <n v="115532"/>
    <m/>
    <m/>
    <m/>
    <m/>
    <m/>
    <m/>
    <m/>
    <m/>
    <n v="0"/>
    <n v="0"/>
    <n v="0"/>
    <n v="0"/>
    <m/>
    <m/>
    <n v="0"/>
    <n v="0"/>
  </r>
  <r>
    <x v="14"/>
    <s v="New River Community College "/>
    <s v=" "/>
    <n v="232867"/>
    <x v="7"/>
    <m/>
    <m/>
    <m/>
    <m/>
    <n v="32807"/>
    <n v="33438"/>
    <n v="6985"/>
    <n v="6903"/>
    <n v="39084"/>
    <n v="38427"/>
    <n v="78876"/>
    <n v="2629.2"/>
    <n v="78768"/>
    <n v="2625.6"/>
    <n v="39008"/>
    <n v="41209"/>
    <n v="78876"/>
    <n v="78768"/>
    <m/>
    <m/>
    <m/>
    <m/>
    <m/>
    <m/>
    <m/>
    <m/>
    <n v="0"/>
    <n v="0"/>
    <n v="0"/>
    <n v="0"/>
    <m/>
    <m/>
    <n v="0"/>
    <n v="0"/>
  </r>
  <r>
    <x v="14"/>
    <s v="Piedmont Virginia Community College "/>
    <s v=" "/>
    <n v="233116"/>
    <x v="7"/>
    <m/>
    <m/>
    <m/>
    <m/>
    <n v="33778"/>
    <n v="34142"/>
    <n v="9201"/>
    <n v="8871"/>
    <n v="40488"/>
    <n v="39052"/>
    <n v="83467"/>
    <n v="2782.2333333333331"/>
    <n v="82065"/>
    <n v="2735.5"/>
    <n v="38908"/>
    <n v="38320"/>
    <n v="83467"/>
    <n v="82065"/>
    <m/>
    <m/>
    <m/>
    <m/>
    <m/>
    <m/>
    <m/>
    <m/>
    <n v="0"/>
    <n v="0"/>
    <n v="0"/>
    <n v="0"/>
    <m/>
    <m/>
    <n v="0"/>
    <n v="0"/>
  </r>
  <r>
    <x v="14"/>
    <s v="Southside Virginia Community College"/>
    <s v="Met the criteria for Two-Year 3 in 2019-20 and 2020-21."/>
    <n v="233639"/>
    <x v="7"/>
    <m/>
    <m/>
    <m/>
    <m/>
    <n v="25964"/>
    <n v="26537"/>
    <n v="4636"/>
    <n v="4747"/>
    <n v="28741"/>
    <n v="28458"/>
    <n v="59341"/>
    <n v="1978.0333333333333"/>
    <n v="59742"/>
    <n v="1991.4"/>
    <n v="52695"/>
    <n v="50331"/>
    <n v="59341"/>
    <n v="59742"/>
    <m/>
    <m/>
    <m/>
    <m/>
    <m/>
    <m/>
    <m/>
    <m/>
    <n v="0"/>
    <n v="0"/>
    <n v="0"/>
    <n v="0"/>
    <m/>
    <m/>
    <n v="0"/>
    <n v="0"/>
  </r>
  <r>
    <x v="14"/>
    <s v="Virginia Western Community College "/>
    <s v=" "/>
    <n v="233949"/>
    <x v="7"/>
    <m/>
    <m/>
    <m/>
    <m/>
    <n v="45483"/>
    <n v="44231"/>
    <n v="11786"/>
    <n v="10632"/>
    <n v="51394"/>
    <n v="48259"/>
    <n v="108663"/>
    <n v="3622.1"/>
    <n v="103122"/>
    <n v="3437.4"/>
    <n v="42365"/>
    <n v="39688"/>
    <n v="108663"/>
    <n v="103122"/>
    <m/>
    <m/>
    <m/>
    <m/>
    <m/>
    <m/>
    <m/>
    <m/>
    <n v="0"/>
    <n v="0"/>
    <n v="0"/>
    <n v="0"/>
    <m/>
    <m/>
    <n v="0"/>
    <n v="0"/>
  </r>
  <r>
    <x v="14"/>
    <s v="D.S. Lancaster Community College "/>
    <s v=" "/>
    <n v="231873"/>
    <x v="8"/>
    <m/>
    <m/>
    <m/>
    <m/>
    <n v="7634"/>
    <n v="7919"/>
    <n v="1364"/>
    <n v="1331"/>
    <n v="8844"/>
    <n v="9406"/>
    <n v="17842"/>
    <n v="594.73333333333335"/>
    <n v="18656"/>
    <n v="621.86666666666667"/>
    <n v="9159"/>
    <n v="10447"/>
    <n v="17842"/>
    <n v="18656"/>
    <m/>
    <m/>
    <m/>
    <m/>
    <m/>
    <m/>
    <m/>
    <m/>
    <n v="0"/>
    <n v="0"/>
    <n v="0"/>
    <n v="0"/>
    <m/>
    <m/>
    <n v="0"/>
    <n v="0"/>
  </r>
  <r>
    <x v="14"/>
    <s v="Danville Community College "/>
    <s v=" "/>
    <n v="231882"/>
    <x v="8"/>
    <m/>
    <m/>
    <m/>
    <m/>
    <n v="22528"/>
    <n v="21827"/>
    <n v="5711"/>
    <n v="5707"/>
    <n v="25680"/>
    <n v="21954"/>
    <n v="53919"/>
    <n v="1797.3"/>
    <n v="49488"/>
    <n v="1649.6"/>
    <n v="26334"/>
    <n v="25445"/>
    <n v="53919"/>
    <n v="49488"/>
    <m/>
    <m/>
    <m/>
    <m/>
    <m/>
    <m/>
    <m/>
    <m/>
    <n v="0"/>
    <n v="0"/>
    <n v="0"/>
    <n v="0"/>
    <m/>
    <m/>
    <n v="0"/>
    <n v="0"/>
  </r>
  <r>
    <x v="14"/>
    <s v="Eastern Shore Community College"/>
    <s v=" "/>
    <n v="232052"/>
    <x v="8"/>
    <m/>
    <m/>
    <m/>
    <m/>
    <n v="4613"/>
    <n v="5460"/>
    <n v="814"/>
    <n v="783"/>
    <n v="4972"/>
    <n v="5939"/>
    <n v="10399"/>
    <n v="346.63333333333333"/>
    <n v="12182"/>
    <n v="406.06666666666666"/>
    <n v="6051"/>
    <n v="6484"/>
    <n v="10399"/>
    <n v="12182"/>
    <m/>
    <m/>
    <m/>
    <m/>
    <m/>
    <m/>
    <m/>
    <m/>
    <n v="0"/>
    <n v="0"/>
    <n v="0"/>
    <n v="0"/>
    <m/>
    <m/>
    <n v="0"/>
    <n v="0"/>
  </r>
  <r>
    <x v="14"/>
    <s v="Mountain Empire Community College"/>
    <s v=" "/>
    <n v="232788"/>
    <x v="8"/>
    <m/>
    <m/>
    <m/>
    <m/>
    <n v="19771"/>
    <n v="18368"/>
    <n v="5223"/>
    <n v="5334"/>
    <n v="21954"/>
    <n v="21535"/>
    <n v="46948"/>
    <n v="1564.9333333333334"/>
    <n v="45237"/>
    <n v="1507.9"/>
    <n v="25482"/>
    <n v="24553"/>
    <n v="46948"/>
    <n v="45237"/>
    <m/>
    <m/>
    <m/>
    <m/>
    <m/>
    <m/>
    <m/>
    <m/>
    <n v="0"/>
    <n v="0"/>
    <n v="0"/>
    <n v="0"/>
    <m/>
    <m/>
    <n v="0"/>
    <n v="0"/>
  </r>
  <r>
    <x v="14"/>
    <s v="Patrick Henry Community College "/>
    <s v=" "/>
    <n v="233019"/>
    <x v="8"/>
    <m/>
    <m/>
    <m/>
    <m/>
    <n v="21431"/>
    <n v="19699"/>
    <n v="4562"/>
    <n v="4288"/>
    <n v="24493"/>
    <n v="22098"/>
    <n v="50486"/>
    <n v="1682.8666666666666"/>
    <n v="46085"/>
    <n v="1536.1666666666667"/>
    <n v="26448"/>
    <n v="22866"/>
    <n v="50486"/>
    <n v="46085"/>
    <m/>
    <m/>
    <m/>
    <m/>
    <m/>
    <m/>
    <m/>
    <m/>
    <n v="0"/>
    <n v="0"/>
    <n v="0"/>
    <n v="0"/>
    <m/>
    <m/>
    <n v="0"/>
    <n v="0"/>
  </r>
  <r>
    <x v="14"/>
    <s v="Paul D. Camp Community College"/>
    <s v=" "/>
    <n v="233037"/>
    <x v="8"/>
    <m/>
    <m/>
    <m/>
    <m/>
    <n v="9888"/>
    <n v="10120"/>
    <n v="3168"/>
    <n v="2808"/>
    <n v="10347"/>
    <n v="10008"/>
    <n v="23403"/>
    <n v="780.1"/>
    <n v="22936"/>
    <n v="764.5333333333333"/>
    <n v="15017"/>
    <n v="16213"/>
    <n v="23403"/>
    <n v="22936"/>
    <m/>
    <m/>
    <m/>
    <m/>
    <m/>
    <m/>
    <m/>
    <m/>
    <n v="0"/>
    <n v="0"/>
    <n v="0"/>
    <n v="0"/>
    <m/>
    <m/>
    <n v="0"/>
    <n v="0"/>
  </r>
  <r>
    <x v="14"/>
    <s v="Rappahannock Community College"/>
    <s v=" "/>
    <n v="233310"/>
    <x v="8"/>
    <m/>
    <m/>
    <m/>
    <m/>
    <n v="20918"/>
    <n v="20326"/>
    <n v="5806"/>
    <n v="5351"/>
    <n v="24082"/>
    <n v="22233"/>
    <n v="50806"/>
    <n v="1693.5333333333333"/>
    <n v="47910"/>
    <n v="1597"/>
    <n v="40765"/>
    <n v="39608"/>
    <n v="50806"/>
    <n v="47910"/>
    <m/>
    <m/>
    <m/>
    <m/>
    <m/>
    <m/>
    <m/>
    <m/>
    <n v="0"/>
    <n v="0"/>
    <n v="0"/>
    <n v="0"/>
    <m/>
    <m/>
    <n v="0"/>
    <n v="0"/>
  </r>
  <r>
    <x v="14"/>
    <s v="Richard Bland College "/>
    <s v=" "/>
    <n v="233338"/>
    <x v="8"/>
    <m/>
    <m/>
    <m/>
    <m/>
    <n v="16910"/>
    <n v="16391"/>
    <n v="1586"/>
    <n v="1221"/>
    <n v="19383"/>
    <n v="19236"/>
    <n v="37879"/>
    <n v="1262.6333333333334"/>
    <n v="36848"/>
    <n v="1228.2666666666667"/>
    <n v="27079"/>
    <n v="25605"/>
    <n v="37879"/>
    <n v="36848"/>
    <m/>
    <m/>
    <m/>
    <m/>
    <m/>
    <m/>
    <m/>
    <m/>
    <n v="0"/>
    <n v="0"/>
    <n v="0"/>
    <n v="0"/>
    <m/>
    <m/>
    <n v="0"/>
    <n v="0"/>
  </r>
  <r>
    <x v="14"/>
    <s v="Southwest Virginia Community College "/>
    <s v=" "/>
    <n v="233648"/>
    <x v="8"/>
    <m/>
    <m/>
    <m/>
    <m/>
    <n v="19005"/>
    <n v="20190"/>
    <n v="5520"/>
    <n v="6103"/>
    <n v="23028"/>
    <n v="22421"/>
    <n v="47553"/>
    <n v="1585.1"/>
    <n v="48714"/>
    <n v="1623.8"/>
    <n v="17717"/>
    <n v="17697"/>
    <n v="47553"/>
    <n v="48714"/>
    <m/>
    <m/>
    <m/>
    <m/>
    <m/>
    <m/>
    <m/>
    <m/>
    <n v="0"/>
    <n v="0"/>
    <n v="0"/>
    <n v="0"/>
    <m/>
    <m/>
    <n v="0"/>
    <n v="0"/>
  </r>
  <r>
    <x v="14"/>
    <s v="Virginia Highlands Community College "/>
    <s v=" "/>
    <n v="233903"/>
    <x v="8"/>
    <m/>
    <m/>
    <m/>
    <m/>
    <n v="18809"/>
    <n v="18506"/>
    <n v="3759"/>
    <n v="3777"/>
    <n v="21325"/>
    <n v="19702"/>
    <n v="43893"/>
    <n v="1463.1"/>
    <n v="41985"/>
    <n v="1399.5"/>
    <n v="20603"/>
    <n v="18509"/>
    <n v="43893"/>
    <n v="41985"/>
    <m/>
    <m/>
    <m/>
    <m/>
    <m/>
    <m/>
    <m/>
    <m/>
    <n v="0"/>
    <n v="0"/>
    <n v="0"/>
    <n v="0"/>
    <m/>
    <m/>
    <n v="0"/>
    <n v="0"/>
  </r>
  <r>
    <x v="14"/>
    <s v="Wytheville Community College "/>
    <s v=" "/>
    <n v="234377"/>
    <x v="8"/>
    <m/>
    <m/>
    <m/>
    <m/>
    <n v="20070"/>
    <n v="19675"/>
    <n v="4658"/>
    <n v="4281"/>
    <n v="21986"/>
    <n v="20131"/>
    <n v="46714"/>
    <n v="1557.1333333333334"/>
    <n v="44087"/>
    <n v="1469.5666666666666"/>
    <n v="27982"/>
    <n v="25010"/>
    <n v="46714"/>
    <n v="44087"/>
    <m/>
    <m/>
    <m/>
    <m/>
    <m/>
    <m/>
    <m/>
    <m/>
    <n v="0"/>
    <n v="0"/>
    <n v="0"/>
    <n v="0"/>
    <m/>
    <m/>
    <n v="0"/>
    <n v="0"/>
  </r>
  <r>
    <x v="14"/>
    <s v="All Community Colleges except R. Bland"/>
    <m/>
    <s v="All CC - Bland"/>
    <x v="14"/>
    <m/>
    <m/>
    <m/>
    <m/>
    <n v="1226533"/>
    <n v="1187696"/>
    <n v="376716"/>
    <n v="353284"/>
    <n v="1326707"/>
    <n v="1272996"/>
    <n v="2929956"/>
    <n v="97665.2"/>
    <n v="2813976"/>
    <n v="93799.2"/>
    <n v="890041"/>
    <n v="918047"/>
    <n v="2929956"/>
    <n v="2813976"/>
    <m/>
    <m/>
    <m/>
    <m/>
    <m/>
    <m/>
    <m/>
    <m/>
    <n v="0"/>
    <n v="0"/>
    <n v="0"/>
    <n v="0"/>
    <m/>
    <m/>
    <n v="0"/>
    <n v="0"/>
  </r>
  <r>
    <x v="14"/>
    <m/>
    <s v="all 8's"/>
    <m/>
    <x v="15"/>
    <m/>
    <m/>
    <m/>
    <m/>
    <n v="762232"/>
    <n v="724916"/>
    <n v="259978"/>
    <n v="239739"/>
    <n v="797739"/>
    <n v="767105"/>
    <n v="1819949"/>
    <n v="60664.966666666667"/>
    <n v="1731760"/>
    <n v="57725.333333333336"/>
    <n v="337929"/>
    <n v="381149"/>
    <n v="1819949"/>
    <n v="1731760"/>
    <m/>
    <m/>
    <m/>
    <m/>
    <m/>
    <m/>
    <m/>
    <m/>
    <n v="0"/>
    <n v="0"/>
    <n v="0"/>
    <n v="0"/>
    <m/>
    <m/>
    <n v="0"/>
    <n v="0"/>
  </r>
  <r>
    <x v="14"/>
    <m/>
    <s v="all 9's"/>
    <m/>
    <x v="16"/>
    <m/>
    <m/>
    <m/>
    <m/>
    <n v="299634"/>
    <n v="300690"/>
    <n v="76153"/>
    <n v="73782"/>
    <n v="342257"/>
    <n v="330464"/>
    <n v="718044"/>
    <n v="23934.799999999999"/>
    <n v="704936"/>
    <n v="23497.866666666665"/>
    <n v="336554"/>
    <n v="330066"/>
    <n v="718044"/>
    <n v="704936"/>
    <m/>
    <m/>
    <m/>
    <m/>
    <m/>
    <m/>
    <m/>
    <m/>
    <n v="0"/>
    <n v="0"/>
    <n v="0"/>
    <n v="0"/>
    <m/>
    <m/>
    <n v="0"/>
    <n v="0"/>
  </r>
  <r>
    <x v="14"/>
    <s v="Richard Bland College B"/>
    <m/>
    <s v="233338"/>
    <x v="17"/>
    <m/>
    <m/>
    <m/>
    <m/>
    <n v="16910"/>
    <n v="16391"/>
    <n v="1586"/>
    <n v="1221"/>
    <n v="19383"/>
    <n v="19236"/>
    <n v="37879"/>
    <n v="1262.6333333333334"/>
    <n v="36848"/>
    <n v="1228.2666666666667"/>
    <n v="27079"/>
    <n v="25605"/>
    <n v="37879"/>
    <n v="36848"/>
    <m/>
    <m/>
    <m/>
    <m/>
    <m/>
    <m/>
    <m/>
    <m/>
    <n v="0"/>
    <n v="0"/>
    <n v="0"/>
    <n v="0"/>
    <m/>
    <m/>
    <n v="0"/>
    <n v="0"/>
  </r>
  <r>
    <x v="14"/>
    <m/>
    <s v="All'10's except R.B."/>
    <m/>
    <x v="17"/>
    <m/>
    <m/>
    <m/>
    <m/>
    <n v="164667"/>
    <n v="162090"/>
    <n v="40585"/>
    <n v="39763"/>
    <n v="186711"/>
    <n v="175427"/>
    <n v="391963"/>
    <n v="13065.433333333332"/>
    <n v="377280"/>
    <n v="12576"/>
    <n v="215558"/>
    <n v="206832"/>
    <n v="391963"/>
    <n v="377280"/>
    <m/>
    <m/>
    <m/>
    <m/>
    <m/>
    <m/>
    <m/>
    <m/>
    <n v="0"/>
    <n v="0"/>
    <n v="0"/>
    <n v="0"/>
    <m/>
    <m/>
    <n v="0"/>
    <n v="0"/>
  </r>
  <r>
    <x v="15"/>
    <s v="West Virginia University"/>
    <s v="Met the criteria for Four-Year 4 in 2019-20 and 2020-21."/>
    <n v="238032"/>
    <x v="0"/>
    <s v="sem"/>
    <s v="sem"/>
    <m/>
    <m/>
    <n v="272304"/>
    <n v="271478"/>
    <n v="39413"/>
    <n v="37080"/>
    <n v="295898.5"/>
    <n v="287589"/>
    <n v="607615.5"/>
    <n v="20253.849999999999"/>
    <n v="596147"/>
    <n v="19871.566666666666"/>
    <n v="5494"/>
    <n v="6214"/>
    <n v="607615.5"/>
    <n v="596147"/>
    <m/>
    <m/>
    <m/>
    <m/>
    <m/>
    <m/>
    <m/>
    <m/>
    <n v="0"/>
    <n v="0"/>
    <n v="0"/>
    <n v="0"/>
    <m/>
    <m/>
    <n v="0"/>
    <n v="0"/>
  </r>
  <r>
    <x v="15"/>
    <s v="Marshall University "/>
    <m/>
    <n v="237525"/>
    <x v="2"/>
    <s v="sem"/>
    <s v="sem"/>
    <m/>
    <m/>
    <n v="112777"/>
    <n v="108351"/>
    <n v="10949"/>
    <n v="11380"/>
    <n v="120831"/>
    <n v="116225"/>
    <n v="244557"/>
    <n v="8151.9"/>
    <n v="235956"/>
    <n v="7865.2"/>
    <n v="15505"/>
    <n v="12750"/>
    <n v="244557"/>
    <n v="235956"/>
    <m/>
    <m/>
    <m/>
    <m/>
    <m/>
    <m/>
    <m/>
    <m/>
    <n v="0"/>
    <n v="0"/>
    <n v="0"/>
    <n v="0"/>
    <m/>
    <m/>
    <n v="0"/>
    <n v="0"/>
  </r>
  <r>
    <x v="15"/>
    <s v="Concord University "/>
    <m/>
    <n v="237330"/>
    <x v="4"/>
    <s v="sem"/>
    <s v="sem"/>
    <m/>
    <m/>
    <n v="21786"/>
    <n v="19692"/>
    <n v="1814"/>
    <n v="2052"/>
    <n v="22807"/>
    <n v="21668"/>
    <n v="46407"/>
    <n v="1546.9"/>
    <n v="43412"/>
    <n v="1447.0666666666666"/>
    <n v="419"/>
    <n v="244"/>
    <n v="46407"/>
    <n v="43412"/>
    <m/>
    <m/>
    <m/>
    <m/>
    <m/>
    <m/>
    <m/>
    <m/>
    <n v="0"/>
    <n v="0"/>
    <n v="0"/>
    <n v="0"/>
    <m/>
    <m/>
    <n v="0"/>
    <n v="0"/>
  </r>
  <r>
    <x v="15"/>
    <s v="Fairmont State University"/>
    <m/>
    <n v="237367"/>
    <x v="4"/>
    <s v="sem"/>
    <s v="sem"/>
    <m/>
    <m/>
    <n v="44948"/>
    <n v="42507"/>
    <n v="3862"/>
    <n v="3997"/>
    <n v="47863"/>
    <n v="48023"/>
    <n v="96673"/>
    <n v="3222.4333333333334"/>
    <n v="94527"/>
    <n v="3150.9"/>
    <n v="1138"/>
    <n v="1632"/>
    <n v="96673"/>
    <n v="94527"/>
    <m/>
    <m/>
    <m/>
    <m/>
    <m/>
    <m/>
    <m/>
    <m/>
    <n v="0"/>
    <n v="0"/>
    <n v="0"/>
    <n v="0"/>
    <m/>
    <m/>
    <n v="0"/>
    <n v="0"/>
  </r>
  <r>
    <x v="15"/>
    <s v="Shepherd University "/>
    <m/>
    <n v="237792"/>
    <x v="4"/>
    <s v="sem"/>
    <s v="sem"/>
    <m/>
    <m/>
    <n v="37523"/>
    <n v="35331.5"/>
    <n v="3764"/>
    <n v="3458"/>
    <n v="39624.5"/>
    <n v="36641.5"/>
    <n v="80911.5"/>
    <n v="2697.05"/>
    <n v="75431"/>
    <n v="2514.3666666666668"/>
    <n v="1256"/>
    <n v="1998"/>
    <n v="80911.5"/>
    <n v="75431"/>
    <m/>
    <m/>
    <m/>
    <m/>
    <m/>
    <m/>
    <m/>
    <m/>
    <n v="0"/>
    <n v="0"/>
    <n v="0"/>
    <n v="0"/>
    <m/>
    <m/>
    <n v="0"/>
    <n v="0"/>
  </r>
  <r>
    <x v="15"/>
    <s v="West Liberty University"/>
    <s v="Met the criteria for Four-Year 4 in 2019-20 and 2020-21."/>
    <n v="237932"/>
    <x v="4"/>
    <s v="sem"/>
    <s v="sem"/>
    <m/>
    <m/>
    <n v="28073"/>
    <n v="27859"/>
    <n v="1959"/>
    <n v="1976"/>
    <n v="31312"/>
    <n v="30114"/>
    <n v="61344"/>
    <n v="2044.8"/>
    <n v="59949"/>
    <n v="1998.3"/>
    <n v="1637"/>
    <n v="1822"/>
    <n v="61344"/>
    <n v="59949"/>
    <m/>
    <m/>
    <m/>
    <m/>
    <m/>
    <m/>
    <m/>
    <m/>
    <n v="0"/>
    <n v="0"/>
    <n v="0"/>
    <n v="0"/>
    <m/>
    <m/>
    <n v="0"/>
    <n v="0"/>
  </r>
  <r>
    <x v="15"/>
    <s v="Bluefield State College "/>
    <m/>
    <n v="237215"/>
    <x v="5"/>
    <s v="sem"/>
    <s v="sem"/>
    <m/>
    <m/>
    <n v="15388"/>
    <n v="14666"/>
    <n v="1266"/>
    <n v="1250"/>
    <n v="16030"/>
    <n v="15617"/>
    <n v="32684"/>
    <n v="1089.4666666666667"/>
    <n v="31533"/>
    <n v="1051.0999999999999"/>
    <n v="569"/>
    <n v="643"/>
    <n v="32684"/>
    <n v="31533"/>
    <m/>
    <m/>
    <m/>
    <m/>
    <m/>
    <m/>
    <m/>
    <m/>
    <n v="0"/>
    <n v="0"/>
    <n v="0"/>
    <n v="0"/>
    <m/>
    <m/>
    <n v="0"/>
    <n v="0"/>
  </r>
  <r>
    <x v="15"/>
    <s v="Glenville State College "/>
    <m/>
    <n v="237385"/>
    <x v="5"/>
    <s v="sem"/>
    <s v="sem"/>
    <m/>
    <m/>
    <n v="14895"/>
    <n v="16171"/>
    <n v="1887"/>
    <n v="1475"/>
    <n v="18286"/>
    <n v="19242"/>
    <n v="35068"/>
    <n v="1168.9333333333334"/>
    <n v="36888"/>
    <n v="1229.5999999999999"/>
    <n v="3467"/>
    <n v="4372"/>
    <n v="35068"/>
    <n v="36888"/>
    <m/>
    <m/>
    <m/>
    <m/>
    <m/>
    <m/>
    <m/>
    <m/>
    <n v="0"/>
    <n v="0"/>
    <n v="0"/>
    <n v="0"/>
    <m/>
    <m/>
    <n v="0"/>
    <n v="0"/>
  </r>
  <r>
    <x v="15"/>
    <s v="West Virginia State University "/>
    <s v="Met the criteria for Four-Year 4 in 2019-20."/>
    <n v="237899"/>
    <x v="5"/>
    <s v="sem"/>
    <s v="sem"/>
    <m/>
    <m/>
    <n v="30661"/>
    <n v="30502"/>
    <n v="1940"/>
    <n v="1690"/>
    <n v="36943"/>
    <n v="32825"/>
    <n v="69544"/>
    <n v="2318.1333333333332"/>
    <n v="65017"/>
    <n v="2167.2333333333331"/>
    <n v="18900"/>
    <n v="16722"/>
    <n v="69544"/>
    <n v="65017"/>
    <m/>
    <m/>
    <m/>
    <m/>
    <m/>
    <m/>
    <m/>
    <m/>
    <n v="0"/>
    <n v="0"/>
    <n v="0"/>
    <n v="0"/>
    <m/>
    <m/>
    <n v="0"/>
    <n v="0"/>
  </r>
  <r>
    <x v="15"/>
    <s v="West Virginia University Institute of Technology"/>
    <m/>
    <n v="237950"/>
    <x v="5"/>
    <s v="sem"/>
    <s v="sem"/>
    <m/>
    <m/>
    <n v="19102"/>
    <n v="18971"/>
    <n v="1112"/>
    <n v="1199"/>
    <n v="20198"/>
    <n v="19292"/>
    <n v="40412"/>
    <n v="1347.0666666666666"/>
    <n v="39462"/>
    <n v="1315.4"/>
    <n v="3842"/>
    <n v="4003"/>
    <n v="40412"/>
    <n v="39462"/>
    <m/>
    <m/>
    <m/>
    <m/>
    <m/>
    <m/>
    <m/>
    <m/>
    <n v="0"/>
    <n v="0"/>
    <n v="0"/>
    <n v="0"/>
    <m/>
    <m/>
    <n v="0"/>
    <n v="0"/>
  </r>
  <r>
    <x v="15"/>
    <s v="Potomac State College of West Virginia University"/>
    <m/>
    <n v="237701"/>
    <x v="12"/>
    <s v="sem"/>
    <s v="sem"/>
    <m/>
    <m/>
    <n v="15097"/>
    <n v="14896"/>
    <n v="955"/>
    <n v="1311"/>
    <n v="16496"/>
    <n v="15481"/>
    <n v="32548"/>
    <n v="1084.9333333333334"/>
    <n v="31688"/>
    <n v="1056.2666666666667"/>
    <n v="2437"/>
    <n v="2252"/>
    <n v="32548"/>
    <n v="31688"/>
    <m/>
    <m/>
    <m/>
    <m/>
    <m/>
    <m/>
    <m/>
    <m/>
    <n v="0"/>
    <n v="0"/>
    <n v="0"/>
    <n v="0"/>
    <m/>
    <m/>
    <n v="0"/>
    <n v="0"/>
  </r>
  <r>
    <x v="15"/>
    <s v="West Virginia University at Parkersburg"/>
    <s v="Met the criteria for Four-Year 6 in 2020-21."/>
    <n v="237686"/>
    <x v="12"/>
    <s v="sem"/>
    <s v="sem"/>
    <m/>
    <m/>
    <n v="23587"/>
    <n v="24231"/>
    <n v="3804"/>
    <n v="4213"/>
    <n v="26533"/>
    <n v="25609"/>
    <n v="53924"/>
    <n v="1797.4666666666667"/>
    <n v="54053"/>
    <n v="1801.7666666666667"/>
    <n v="7898"/>
    <n v="9737"/>
    <n v="53924"/>
    <n v="54053"/>
    <m/>
    <m/>
    <m/>
    <m/>
    <m/>
    <m/>
    <m/>
    <m/>
    <n v="0"/>
    <n v="0"/>
    <n v="0"/>
    <n v="0"/>
    <m/>
    <m/>
    <n v="0"/>
    <n v="0"/>
  </r>
  <r>
    <x v="15"/>
    <s v="Blue Ridge Community &amp; Technical College"/>
    <s v="Met the criteria for Two-Year 3 in 2020-21."/>
    <n v="446774"/>
    <x v="7"/>
    <s v="sem"/>
    <s v="sem"/>
    <m/>
    <m/>
    <n v="28981"/>
    <n v="27181.1"/>
    <n v="2760"/>
    <n v="3226"/>
    <n v="33613.699999999997"/>
    <n v="20445.3"/>
    <n v="65354.7"/>
    <n v="2178.4899999999998"/>
    <n v="50852.399999999994"/>
    <n v="1695.0799999999997"/>
    <n v="8314"/>
    <n v="7811.1"/>
    <n v="65354.7"/>
    <n v="50852.399999999994"/>
    <m/>
    <m/>
    <m/>
    <m/>
    <m/>
    <m/>
    <m/>
    <m/>
    <n v="0"/>
    <n v="0"/>
    <n v="0"/>
    <n v="0"/>
    <m/>
    <m/>
    <n v="0"/>
    <n v="0"/>
  </r>
  <r>
    <x v="15"/>
    <s v="BridgeValley Community &amp; Technical College"/>
    <m/>
    <n v="484932"/>
    <x v="8"/>
    <s v="sem"/>
    <s v="sem"/>
    <m/>
    <m/>
    <n v="16609"/>
    <n v="16917"/>
    <n v="1302"/>
    <n v="1199"/>
    <n v="19840"/>
    <n v="18667"/>
    <n v="37751"/>
    <n v="1258.3666666666666"/>
    <n v="36783"/>
    <n v="1226.0999999999999"/>
    <n v="58"/>
    <n v="39"/>
    <n v="37751"/>
    <n v="36783"/>
    <m/>
    <m/>
    <m/>
    <m/>
    <m/>
    <m/>
    <m/>
    <m/>
    <n v="0"/>
    <n v="0"/>
    <n v="0"/>
    <n v="0"/>
    <m/>
    <m/>
    <n v="0"/>
    <n v="0"/>
  </r>
  <r>
    <x v="15"/>
    <s v="Eastern West Virginia Community &amp; Technical College"/>
    <m/>
    <n v="438708"/>
    <x v="8"/>
    <s v="sem"/>
    <s v="sem"/>
    <m/>
    <m/>
    <n v="3217"/>
    <n v="3204"/>
    <n v="330"/>
    <n v="380"/>
    <n v="4060"/>
    <n v="3012"/>
    <n v="7607"/>
    <n v="253.56666666666666"/>
    <n v="6596"/>
    <n v="219.86666666666667"/>
    <n v="1478"/>
    <n v="1586"/>
    <n v="7607"/>
    <n v="6596"/>
    <m/>
    <m/>
    <m/>
    <m/>
    <m/>
    <m/>
    <m/>
    <m/>
    <n v="0"/>
    <n v="0"/>
    <n v="0"/>
    <n v="0"/>
    <m/>
    <m/>
    <n v="0"/>
    <n v="0"/>
  </r>
  <r>
    <x v="15"/>
    <s v="Mountwest Community &amp; Technical College"/>
    <m/>
    <n v="444954"/>
    <x v="8"/>
    <s v="sem"/>
    <s v="sem"/>
    <m/>
    <m/>
    <n v="17701"/>
    <n v="16851"/>
    <n v="4217"/>
    <n v="2201"/>
    <n v="19143"/>
    <n v="14657"/>
    <n v="41061"/>
    <n v="1368.7"/>
    <n v="33709"/>
    <n v="1123.6333333333334"/>
    <n v="3136"/>
    <n v="2330"/>
    <n v="41061"/>
    <n v="33709"/>
    <m/>
    <m/>
    <m/>
    <m/>
    <m/>
    <m/>
    <m/>
    <m/>
    <n v="0"/>
    <n v="0"/>
    <n v="0"/>
    <n v="0"/>
    <m/>
    <m/>
    <n v="0"/>
    <n v="0"/>
  </r>
  <r>
    <x v="15"/>
    <s v="New River Community &amp; Technical College"/>
    <m/>
    <n v="447582"/>
    <x v="8"/>
    <s v="sem"/>
    <s v="sem"/>
    <m/>
    <m/>
    <n v="10659"/>
    <n v="11625"/>
    <n v="2595"/>
    <n v="2523"/>
    <n v="12437"/>
    <n v="11263"/>
    <n v="25691"/>
    <n v="856.36666666666667"/>
    <n v="25411"/>
    <n v="847.0333333333333"/>
    <n v="2447"/>
    <n v="2141"/>
    <n v="25691"/>
    <n v="25411"/>
    <m/>
    <m/>
    <m/>
    <m/>
    <m/>
    <m/>
    <m/>
    <m/>
    <n v="0"/>
    <n v="0"/>
    <n v="0"/>
    <n v="0"/>
    <m/>
    <m/>
    <n v="0"/>
    <n v="0"/>
  </r>
  <r>
    <x v="15"/>
    <s v="Pierpont Community &amp; Technical College"/>
    <m/>
    <n v="443492"/>
    <x v="8"/>
    <s v="sem"/>
    <s v="sem"/>
    <m/>
    <m/>
    <n v="16003"/>
    <n v="16020"/>
    <n v="1807"/>
    <n v="1583"/>
    <n v="20230"/>
    <n v="17976"/>
    <n v="38040"/>
    <n v="1268"/>
    <n v="35579"/>
    <n v="1185.9666666666667"/>
    <n v="4262"/>
    <n v="4116"/>
    <n v="38040"/>
    <n v="35579"/>
    <m/>
    <m/>
    <m/>
    <m/>
    <m/>
    <m/>
    <m/>
    <m/>
    <n v="0"/>
    <n v="0"/>
    <n v="0"/>
    <n v="0"/>
    <m/>
    <m/>
    <n v="0"/>
    <n v="0"/>
  </r>
  <r>
    <x v="15"/>
    <s v="Southern West Virginia Community &amp; Technical College "/>
    <m/>
    <n v="237817"/>
    <x v="8"/>
    <s v="sem"/>
    <s v="sem"/>
    <m/>
    <m/>
    <n v="14689"/>
    <n v="14980"/>
    <n v="1047"/>
    <n v="801"/>
    <n v="16756"/>
    <n v="17626"/>
    <n v="32492"/>
    <n v="1083.0666666666666"/>
    <n v="33407"/>
    <n v="1113.5666666666666"/>
    <n v="1232"/>
    <n v="1419"/>
    <n v="32492"/>
    <n v="33407"/>
    <m/>
    <m/>
    <m/>
    <m/>
    <m/>
    <m/>
    <m/>
    <m/>
    <n v="0"/>
    <n v="0"/>
    <n v="0"/>
    <n v="0"/>
    <m/>
    <m/>
    <n v="0"/>
    <n v="0"/>
  </r>
  <r>
    <x v="15"/>
    <s v="West Virginia Northern Community College"/>
    <m/>
    <n v="238014"/>
    <x v="8"/>
    <s v="sem"/>
    <s v="sem"/>
    <m/>
    <m/>
    <n v="13346.4"/>
    <n v="12589"/>
    <n v="2648"/>
    <n v="2349"/>
    <n v="14318.2"/>
    <n v="12927"/>
    <n v="30312.6"/>
    <n v="1010.42"/>
    <n v="27865"/>
    <n v="928.83333333333337"/>
    <n v="4139"/>
    <n v="3684"/>
    <n v="30312.6"/>
    <n v="27865"/>
    <m/>
    <m/>
    <m/>
    <m/>
    <m/>
    <m/>
    <m/>
    <m/>
    <n v="0"/>
    <n v="0"/>
    <n v="0"/>
    <n v="0"/>
    <m/>
    <m/>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
  <r>
    <x v="0"/>
    <s v="Auburn University"/>
    <m/>
    <n v="100858"/>
    <x v="0"/>
    <m/>
    <m/>
    <m/>
    <m/>
    <n v="323849"/>
    <n v="325844"/>
    <n v="60899"/>
    <n v="65889"/>
    <n v="349196"/>
    <n v="347470"/>
    <n v="733944"/>
    <n v="24464.799999999999"/>
    <n v="739203"/>
    <n v="24640.1"/>
    <n v="1584"/>
    <n v="2390"/>
    <n v="733944"/>
    <n v="739203"/>
    <m/>
    <m/>
    <m/>
    <m/>
    <m/>
    <m/>
    <m/>
    <m/>
    <n v="0"/>
    <n v="0"/>
    <n v="0"/>
    <n v="0"/>
    <m/>
    <m/>
    <n v="0"/>
    <n v="0"/>
    <m/>
    <m/>
    <n v="41979"/>
    <n v="41647"/>
    <n v="21839"/>
    <n v="23689"/>
    <n v="45709"/>
    <n v="48026"/>
    <n v="109527"/>
    <n v="4563.625"/>
    <n v="113362"/>
    <n v="4723.416666666667"/>
    <n v="29028.424999999999"/>
    <n v="29363.516666666666"/>
  </r>
  <r>
    <x v="0"/>
    <s v="University of Alabama "/>
    <m/>
    <n v="100751"/>
    <x v="0"/>
    <m/>
    <m/>
    <m/>
    <m/>
    <n v="413606"/>
    <n v="403673"/>
    <n v="65592"/>
    <n v="64637"/>
    <n v="441293"/>
    <n v="420300"/>
    <n v="920491"/>
    <n v="30683.033333333333"/>
    <n v="888610"/>
    <n v="29620.333333333332"/>
    <n v="7528"/>
    <n v="10710"/>
    <n v="920491"/>
    <n v="888610"/>
    <m/>
    <m/>
    <m/>
    <m/>
    <m/>
    <m/>
    <m/>
    <m/>
    <n v="0"/>
    <n v="0"/>
    <n v="0"/>
    <n v="0"/>
    <m/>
    <m/>
    <n v="0"/>
    <n v="0"/>
    <m/>
    <m/>
    <n v="44652"/>
    <n v="43912"/>
    <n v="10963"/>
    <n v="10634"/>
    <n v="44079"/>
    <n v="49937"/>
    <n v="99694"/>
    <n v="4153.916666666667"/>
    <n v="104483"/>
    <n v="4353.458333333333"/>
    <n v="34836.949999999997"/>
    <n v="33973.791666666664"/>
  </r>
  <r>
    <x v="0"/>
    <s v="University of Alabama at Birmingham"/>
    <m/>
    <n v="100663"/>
    <x v="0"/>
    <m/>
    <m/>
    <m/>
    <m/>
    <n v="134602"/>
    <n v="135897"/>
    <n v="34186"/>
    <n v="35410"/>
    <n v="150218"/>
    <n v="150286"/>
    <n v="319006"/>
    <n v="10633.533333333333"/>
    <n v="321593"/>
    <n v="10719.766666666666"/>
    <n v="2230"/>
    <n v="860"/>
    <n v="319006"/>
    <n v="321593"/>
    <m/>
    <m/>
    <m/>
    <m/>
    <m/>
    <m/>
    <m/>
    <m/>
    <n v="0"/>
    <n v="0"/>
    <n v="0"/>
    <n v="0"/>
    <m/>
    <m/>
    <n v="0"/>
    <n v="0"/>
    <m/>
    <m/>
    <n v="20948"/>
    <n v="20306"/>
    <n v="14069"/>
    <n v="13336"/>
    <n v="21528"/>
    <n v="22282"/>
    <n v="56545"/>
    <n v="2356.0416666666665"/>
    <n v="55924"/>
    <n v="2330.1666666666665"/>
    <n v="12989.574999999999"/>
    <n v="13049.933333333332"/>
  </r>
  <r>
    <x v="0"/>
    <s v="University of Alabama in Huntsville"/>
    <s v="Met the criteria for Four-Year 3 in 2018-19 and 2019-20."/>
    <n v="100706"/>
    <x v="1"/>
    <m/>
    <m/>
    <m/>
    <m/>
    <n v="94761"/>
    <n v="97398"/>
    <n v="15562"/>
    <n v="15771"/>
    <n v="106168"/>
    <n v="107385"/>
    <n v="216491"/>
    <n v="7216.3666666666668"/>
    <n v="220554"/>
    <n v="7351.8"/>
    <n v="1631"/>
    <n v="1580"/>
    <n v="216491"/>
    <n v="220554"/>
    <m/>
    <m/>
    <m/>
    <m/>
    <m/>
    <m/>
    <m/>
    <m/>
    <n v="0"/>
    <n v="0"/>
    <n v="0"/>
    <n v="0"/>
    <m/>
    <m/>
    <n v="0"/>
    <n v="0"/>
    <m/>
    <m/>
    <n v="12417"/>
    <n v="11634"/>
    <n v="6042"/>
    <n v="5767"/>
    <n v="12801"/>
    <n v="12755"/>
    <n v="31260"/>
    <n v="1302.5"/>
    <n v="30156"/>
    <n v="1256.5"/>
    <n v="8518.8666666666668"/>
    <n v="8608.2999999999993"/>
  </r>
  <r>
    <x v="0"/>
    <s v="University of South Alabama"/>
    <m/>
    <n v="102094"/>
    <x v="1"/>
    <m/>
    <m/>
    <m/>
    <m/>
    <n v="111754"/>
    <n v="102831"/>
    <n v="21011"/>
    <n v="20267"/>
    <n v="115544"/>
    <n v="108083"/>
    <n v="248309"/>
    <n v="8276.9666666666672"/>
    <n v="231181"/>
    <n v="7706.0333333333338"/>
    <n v="434"/>
    <n v="192"/>
    <n v="248309"/>
    <n v="231181"/>
    <m/>
    <m/>
    <m/>
    <m/>
    <m/>
    <m/>
    <m/>
    <m/>
    <n v="0"/>
    <n v="0"/>
    <n v="0"/>
    <n v="0"/>
    <m/>
    <m/>
    <n v="0"/>
    <n v="0"/>
    <m/>
    <m/>
    <n v="6374"/>
    <n v="7132"/>
    <n v="3855"/>
    <n v="4594"/>
    <n v="7125"/>
    <n v="8238"/>
    <n v="17354"/>
    <n v="723.08333333333337"/>
    <n v="19964"/>
    <n v="831.83333333333337"/>
    <n v="9000.0500000000011"/>
    <n v="8537.8666666666668"/>
  </r>
  <r>
    <x v="0"/>
    <s v="Alabama Agricultural &amp; Mechanical University"/>
    <m/>
    <n v="100654"/>
    <x v="2"/>
    <m/>
    <m/>
    <m/>
    <m/>
    <n v="68607"/>
    <n v="70410"/>
    <n v="7195"/>
    <n v="9207"/>
    <n v="88642"/>
    <n v="70545"/>
    <n v="164444"/>
    <n v="5481.4666666666662"/>
    <n v="150162"/>
    <n v="5005.3999999999996"/>
    <n v="0"/>
    <n v="0"/>
    <n v="164444"/>
    <n v="150162"/>
    <m/>
    <m/>
    <m/>
    <m/>
    <m/>
    <m/>
    <m/>
    <m/>
    <n v="0"/>
    <n v="0"/>
    <n v="0"/>
    <n v="0"/>
    <m/>
    <m/>
    <n v="0"/>
    <n v="0"/>
    <m/>
    <m/>
    <n v="7667"/>
    <n v="7355"/>
    <n v="3176"/>
    <n v="3298"/>
    <n v="8546"/>
    <n v="7273"/>
    <n v="19389"/>
    <n v="807.875"/>
    <n v="17926"/>
    <n v="746.91666666666663"/>
    <n v="6289.3416666666662"/>
    <n v="5752.3166666666666"/>
  </r>
  <r>
    <x v="0"/>
    <s v="Jacksonville State University "/>
    <m/>
    <n v="101480"/>
    <x v="2"/>
    <m/>
    <m/>
    <m/>
    <m/>
    <n v="80815"/>
    <n v="86049"/>
    <n v="21281"/>
    <n v="23153"/>
    <n v="96239"/>
    <n v="96075"/>
    <n v="198335"/>
    <n v="6611.166666666667"/>
    <n v="205277"/>
    <n v="6842.5666666666666"/>
    <n v="5627"/>
    <n v="5773"/>
    <n v="198335"/>
    <n v="205277"/>
    <m/>
    <m/>
    <m/>
    <m/>
    <m/>
    <m/>
    <m/>
    <m/>
    <n v="0"/>
    <n v="0"/>
    <n v="0"/>
    <n v="0"/>
    <m/>
    <m/>
    <n v="0"/>
    <n v="0"/>
    <m/>
    <m/>
    <n v="6990"/>
    <n v="8101"/>
    <n v="4955"/>
    <n v="6573"/>
    <n v="8263"/>
    <n v="10195"/>
    <n v="20208"/>
    <n v="842"/>
    <n v="24869"/>
    <n v="1036.2083333333333"/>
    <n v="7453.166666666667"/>
    <n v="7878.7749999999996"/>
  </r>
  <r>
    <x v="0"/>
    <s v="Troy University"/>
    <m/>
    <n v="102368"/>
    <x v="2"/>
    <m/>
    <m/>
    <m/>
    <m/>
    <n v="119446"/>
    <n v="137450"/>
    <n v="21272"/>
    <n v="34074"/>
    <n v="147936"/>
    <n v="142473"/>
    <n v="288654"/>
    <n v="9621.7999999999993"/>
    <n v="313997"/>
    <n v="10466.566666666668"/>
    <n v="2308"/>
    <n v="3165"/>
    <n v="288654"/>
    <n v="313997"/>
    <m/>
    <m/>
    <m/>
    <m/>
    <m/>
    <m/>
    <m/>
    <m/>
    <n v="0"/>
    <n v="0"/>
    <n v="0"/>
    <n v="0"/>
    <m/>
    <m/>
    <n v="0"/>
    <n v="0"/>
    <m/>
    <m/>
    <n v="12883"/>
    <n v="21018"/>
    <n v="4957"/>
    <n v="9620"/>
    <n v="19971"/>
    <n v="22767"/>
    <n v="37811"/>
    <n v="1575.4583333333333"/>
    <n v="53405"/>
    <n v="2225.2083333333335"/>
    <n v="11197.258333333333"/>
    <n v="12691.775000000001"/>
  </r>
  <r>
    <x v="0"/>
    <s v="University of North Alabama"/>
    <m/>
    <n v="101879"/>
    <x v="2"/>
    <m/>
    <m/>
    <m/>
    <m/>
    <n v="71601"/>
    <n v="71063"/>
    <n v="12740"/>
    <n v="15048"/>
    <n v="77767"/>
    <n v="74693"/>
    <n v="162108"/>
    <n v="5403.6"/>
    <n v="160804"/>
    <n v="5360.1333333333332"/>
    <n v="1291"/>
    <n v="3173"/>
    <n v="162108"/>
    <n v="160804"/>
    <m/>
    <m/>
    <m/>
    <m/>
    <m/>
    <m/>
    <m/>
    <m/>
    <n v="0"/>
    <n v="0"/>
    <n v="0"/>
    <n v="0"/>
    <m/>
    <m/>
    <n v="0"/>
    <n v="0"/>
    <m/>
    <m/>
    <n v="8714"/>
    <n v="9996"/>
    <n v="4550"/>
    <n v="6260"/>
    <n v="9780"/>
    <n v="14088"/>
    <n v="23044"/>
    <n v="960.16666666666663"/>
    <n v="30344"/>
    <n v="1264.3333333333333"/>
    <n v="6363.7666666666673"/>
    <n v="6624.4666666666662"/>
  </r>
  <r>
    <x v="0"/>
    <s v="Alabama State University "/>
    <m/>
    <n v="100724"/>
    <x v="3"/>
    <m/>
    <m/>
    <m/>
    <m/>
    <n v="49742"/>
    <n v="48938"/>
    <n v="7390"/>
    <n v="6893"/>
    <n v="55146"/>
    <n v="53655"/>
    <n v="112278"/>
    <n v="3742.6"/>
    <n v="109486"/>
    <n v="3649.5333333333333"/>
    <n v="21"/>
    <n v="42"/>
    <n v="112278"/>
    <n v="109486"/>
    <m/>
    <m/>
    <m/>
    <m/>
    <m/>
    <m/>
    <m/>
    <m/>
    <n v="0"/>
    <n v="0"/>
    <n v="0"/>
    <n v="0"/>
    <m/>
    <m/>
    <n v="0"/>
    <n v="0"/>
    <m/>
    <m/>
    <n v="4751"/>
    <n v="4687"/>
    <n v="2031"/>
    <n v="1923"/>
    <n v="5253"/>
    <n v="5474"/>
    <n v="12035"/>
    <n v="501.45833333333331"/>
    <n v="12084"/>
    <n v="503.5"/>
    <n v="4244.0583333333334"/>
    <n v="4153.0333333333328"/>
  </r>
  <r>
    <x v="0"/>
    <s v="Auburn University at Montgomery"/>
    <s v="Reclassified: Met the criteria for Four-Year 3 in 2018-19, 2019-20, and 2020-21."/>
    <n v="100830"/>
    <x v="2"/>
    <m/>
    <m/>
    <m/>
    <m/>
    <n v="50061"/>
    <n v="48898"/>
    <n v="12963"/>
    <n v="13471"/>
    <n v="54646"/>
    <n v="52421"/>
    <n v="117670"/>
    <n v="3922.3333333333335"/>
    <n v="114790"/>
    <n v="3826.3333333333335"/>
    <n v="337"/>
    <n v="481"/>
    <n v="117670"/>
    <n v="114790"/>
    <m/>
    <m/>
    <m/>
    <m/>
    <m/>
    <m/>
    <m/>
    <m/>
    <n v="0"/>
    <n v="0"/>
    <n v="0"/>
    <n v="0"/>
    <m/>
    <m/>
    <n v="0"/>
    <n v="0"/>
    <m/>
    <m/>
    <n v="3982"/>
    <n v="4719"/>
    <n v="2353"/>
    <n v="2983"/>
    <n v="4661"/>
    <n v="5994"/>
    <n v="10996"/>
    <n v="458.16666666666669"/>
    <n v="13696"/>
    <n v="570.66666666666663"/>
    <n v="4380.5"/>
    <n v="4397"/>
  </r>
  <r>
    <x v="0"/>
    <s v="University of Montevallo"/>
    <m/>
    <n v="101709"/>
    <x v="4"/>
    <m/>
    <m/>
    <m/>
    <m/>
    <n v="27607"/>
    <n v="27689"/>
    <n v="3882"/>
    <n v="4145"/>
    <n v="30446"/>
    <n v="30424"/>
    <n v="61935"/>
    <n v="2064.5"/>
    <n v="62258"/>
    <n v="2075.2666666666669"/>
    <n v="207"/>
    <n v="227"/>
    <n v="61935"/>
    <n v="62258"/>
    <m/>
    <m/>
    <m/>
    <m/>
    <m/>
    <m/>
    <m/>
    <m/>
    <n v="0"/>
    <n v="0"/>
    <n v="0"/>
    <n v="0"/>
    <m/>
    <m/>
    <n v="0"/>
    <n v="0"/>
    <m/>
    <m/>
    <n v="2332"/>
    <n v="2230"/>
    <n v="1293"/>
    <n v="1704"/>
    <n v="2341"/>
    <n v="2725"/>
    <n v="5966"/>
    <n v="248.58333333333334"/>
    <n v="6659"/>
    <n v="277.45833333333331"/>
    <n v="2313.0833333333335"/>
    <n v="2352.7250000000004"/>
  </r>
  <r>
    <x v="0"/>
    <s v="University of West Alabama"/>
    <s v="Reclassified: Met the criteria for Four-Year 4 in 2018-19, 2019-20, and 2020-21."/>
    <n v="101587"/>
    <x v="3"/>
    <m/>
    <m/>
    <m/>
    <m/>
    <n v="27203"/>
    <n v="27483"/>
    <n v="6972"/>
    <n v="7822"/>
    <n v="29281"/>
    <n v="28659"/>
    <n v="63456"/>
    <n v="2115.1999999999998"/>
    <n v="63964"/>
    <n v="2132.1333333333332"/>
    <n v="243"/>
    <n v="210"/>
    <n v="63456"/>
    <n v="63964"/>
    <m/>
    <m/>
    <m/>
    <m/>
    <m/>
    <m/>
    <m/>
    <m/>
    <n v="0"/>
    <n v="0"/>
    <n v="0"/>
    <n v="0"/>
    <m/>
    <m/>
    <n v="0"/>
    <n v="0"/>
    <m/>
    <m/>
    <n v="21213"/>
    <n v="22255"/>
    <n v="21781"/>
    <n v="23271"/>
    <n v="22176"/>
    <n v="22603"/>
    <n v="65170"/>
    <n v="2715.4166666666665"/>
    <n v="68129"/>
    <n v="2838.7083333333335"/>
    <n v="4830.6166666666668"/>
    <n v="4970.8416666666672"/>
  </r>
  <r>
    <x v="0"/>
    <s v="Athens State University"/>
    <s v="Met the criteria for Four-Year 5 in 2019-20 and 2020-21."/>
    <n v="100812"/>
    <x v="5"/>
    <m/>
    <m/>
    <m/>
    <m/>
    <n v="25034"/>
    <n v="25274"/>
    <n v="12332"/>
    <n v="13215"/>
    <n v="26727"/>
    <n v="26560"/>
    <n v="64093"/>
    <n v="2136.4333333333334"/>
    <n v="65049"/>
    <n v="2168.3000000000002"/>
    <n v="0"/>
    <n v="0"/>
    <n v="64093"/>
    <n v="65049"/>
    <m/>
    <m/>
    <m/>
    <m/>
    <m/>
    <m/>
    <m/>
    <m/>
    <n v="0"/>
    <n v="0"/>
    <n v="0"/>
    <n v="0"/>
    <m/>
    <m/>
    <n v="0"/>
    <n v="0"/>
    <m/>
    <m/>
    <n v="897"/>
    <n v="1095"/>
    <n v="447"/>
    <n v="693"/>
    <n v="1071"/>
    <n v="1194"/>
    <n v="2415"/>
    <n v="100.625"/>
    <n v="2982"/>
    <n v="124.25"/>
    <n v="2237.0583333333334"/>
    <n v="2292.5500000000002"/>
  </r>
  <r>
    <x v="0"/>
    <s v="Jefferson State Community College"/>
    <m/>
    <n v="101505"/>
    <x v="6"/>
    <m/>
    <m/>
    <m/>
    <m/>
    <n v="64020"/>
    <n v="61389"/>
    <n v="32543"/>
    <n v="31490"/>
    <n v="69773"/>
    <n v="68416"/>
    <n v="166336"/>
    <n v="5544.5333333333338"/>
    <n v="161295"/>
    <n v="5376.5"/>
    <n v="15108"/>
    <n v="15806"/>
    <n v="166336"/>
    <n v="161295"/>
    <m/>
    <m/>
    <m/>
    <m/>
    <m/>
    <m/>
    <m/>
    <m/>
    <n v="0"/>
    <n v="0"/>
    <n v="0"/>
    <n v="0"/>
    <m/>
    <m/>
    <n v="0"/>
    <n v="0"/>
    <m/>
    <m/>
    <m/>
    <m/>
    <m/>
    <m/>
    <m/>
    <m/>
    <n v="0"/>
    <n v="0"/>
    <n v="0"/>
    <n v="0"/>
    <n v="5544.5333333333338"/>
    <n v="5376.5"/>
  </r>
  <r>
    <x v="0"/>
    <s v="John C. Calhoun Community College "/>
    <m/>
    <n v="101514"/>
    <x v="6"/>
    <m/>
    <m/>
    <m/>
    <m/>
    <n v="77456"/>
    <n v="74336"/>
    <n v="36047"/>
    <n v="32281"/>
    <n v="81361"/>
    <n v="70317"/>
    <n v="194864"/>
    <n v="6495.4666666666662"/>
    <n v="176934"/>
    <n v="5897.8"/>
    <n v="12880"/>
    <n v="13453"/>
    <n v="194864"/>
    <n v="176934"/>
    <m/>
    <m/>
    <m/>
    <m/>
    <m/>
    <m/>
    <m/>
    <m/>
    <n v="0"/>
    <n v="0"/>
    <n v="0"/>
    <n v="0"/>
    <m/>
    <m/>
    <n v="0"/>
    <n v="0"/>
    <m/>
    <m/>
    <m/>
    <m/>
    <m/>
    <m/>
    <m/>
    <m/>
    <n v="0"/>
    <n v="0"/>
    <n v="0"/>
    <n v="0"/>
    <n v="6495.4666666666662"/>
    <n v="5897.8"/>
  </r>
  <r>
    <x v="0"/>
    <s v="Bevill State Community College"/>
    <m/>
    <n v="102429"/>
    <x v="7"/>
    <m/>
    <m/>
    <m/>
    <m/>
    <n v="29948"/>
    <n v="29956"/>
    <n v="17113"/>
    <n v="13763"/>
    <n v="33374"/>
    <n v="27028"/>
    <n v="80435"/>
    <n v="2681.1666666666665"/>
    <n v="70747"/>
    <n v="2358.2333333333331"/>
    <n v="9813"/>
    <n v="10490"/>
    <n v="80435"/>
    <n v="70747"/>
    <m/>
    <m/>
    <m/>
    <m/>
    <m/>
    <m/>
    <m/>
    <m/>
    <n v="0"/>
    <n v="0"/>
    <n v="0"/>
    <n v="0"/>
    <m/>
    <m/>
    <n v="0"/>
    <n v="0"/>
    <m/>
    <m/>
    <m/>
    <m/>
    <m/>
    <m/>
    <m/>
    <m/>
    <n v="0"/>
    <n v="0"/>
    <n v="0"/>
    <n v="0"/>
    <n v="2681.1666666666665"/>
    <n v="2358.2333333333331"/>
  </r>
  <r>
    <x v="0"/>
    <s v="Bishop State Community College"/>
    <s v="Met the criteria for Two-Year 3 in 2020-21."/>
    <n v="102030"/>
    <x v="7"/>
    <m/>
    <m/>
    <m/>
    <m/>
    <n v="26212"/>
    <n v="25972"/>
    <n v="11356"/>
    <n v="10290"/>
    <n v="27590"/>
    <n v="18700"/>
    <n v="65158"/>
    <n v="2171.9333333333334"/>
    <n v="54962"/>
    <n v="1832.0666666666666"/>
    <n v="3584"/>
    <n v="4101"/>
    <n v="65158"/>
    <n v="54962"/>
    <m/>
    <m/>
    <m/>
    <m/>
    <m/>
    <m/>
    <m/>
    <m/>
    <n v="0"/>
    <n v="0"/>
    <n v="0"/>
    <n v="0"/>
    <m/>
    <m/>
    <n v="0"/>
    <n v="0"/>
    <m/>
    <m/>
    <m/>
    <m/>
    <m/>
    <m/>
    <m/>
    <m/>
    <n v="0"/>
    <n v="0"/>
    <n v="0"/>
    <n v="0"/>
    <n v="2171.9333333333334"/>
    <n v="1832.0666666666666"/>
  </r>
  <r>
    <x v="0"/>
    <s v="Coastal Alabama Community College"/>
    <s v="Reclassified: Met the criteria for Two-Year 1 in 2018-19, 2019-20, and 2020-21."/>
    <n v="101161"/>
    <x v="6"/>
    <m/>
    <m/>
    <m/>
    <m/>
    <n v="65242"/>
    <n v="65377"/>
    <n v="29445"/>
    <n v="27248"/>
    <n v="74144"/>
    <n v="63082"/>
    <n v="168831"/>
    <n v="5627.7"/>
    <n v="155707"/>
    <n v="5190.2333333333336"/>
    <n v="17228"/>
    <n v="16860"/>
    <n v="168831"/>
    <n v="155707"/>
    <m/>
    <m/>
    <m/>
    <m/>
    <m/>
    <m/>
    <m/>
    <m/>
    <n v="0"/>
    <n v="0"/>
    <n v="0"/>
    <n v="0"/>
    <m/>
    <m/>
    <n v="0"/>
    <n v="0"/>
    <m/>
    <m/>
    <m/>
    <m/>
    <m/>
    <m/>
    <m/>
    <m/>
    <n v="0"/>
    <n v="0"/>
    <n v="0"/>
    <n v="0"/>
    <n v="5627.7"/>
    <n v="5190.2333333333336"/>
  </r>
  <r>
    <x v="0"/>
    <s v="Gadsden State Community College"/>
    <m/>
    <n v="101240"/>
    <x v="7"/>
    <m/>
    <m/>
    <m/>
    <m/>
    <n v="41847"/>
    <n v="39353"/>
    <n v="21713"/>
    <n v="18276"/>
    <n v="45523"/>
    <n v="39506"/>
    <n v="109083"/>
    <n v="3636.1"/>
    <n v="97135"/>
    <n v="3237.8333333333335"/>
    <n v="5709"/>
    <n v="4934"/>
    <n v="109083"/>
    <n v="97135"/>
    <m/>
    <m/>
    <m/>
    <m/>
    <m/>
    <m/>
    <m/>
    <m/>
    <n v="0"/>
    <n v="0"/>
    <n v="0"/>
    <n v="0"/>
    <m/>
    <m/>
    <n v="0"/>
    <n v="0"/>
    <m/>
    <m/>
    <m/>
    <m/>
    <m/>
    <m/>
    <m/>
    <m/>
    <n v="0"/>
    <n v="0"/>
    <n v="0"/>
    <n v="0"/>
    <n v="3636.1"/>
    <n v="3237.8333333333335"/>
  </r>
  <r>
    <x v="0"/>
    <s v="George C. Wallace Community College-Dothan"/>
    <m/>
    <n v="101286"/>
    <x v="7"/>
    <m/>
    <m/>
    <m/>
    <m/>
    <n v="37419"/>
    <n v="36713"/>
    <n v="18911"/>
    <n v="17248"/>
    <n v="40500"/>
    <n v="32178"/>
    <n v="96830"/>
    <n v="3227.6666666666665"/>
    <n v="86139"/>
    <n v="2871.3"/>
    <n v="7135"/>
    <n v="6515"/>
    <n v="96830"/>
    <n v="86139"/>
    <m/>
    <m/>
    <m/>
    <m/>
    <m/>
    <m/>
    <m/>
    <m/>
    <n v="0"/>
    <n v="0"/>
    <n v="0"/>
    <n v="0"/>
    <m/>
    <m/>
    <n v="0"/>
    <n v="0"/>
    <m/>
    <m/>
    <m/>
    <m/>
    <m/>
    <m/>
    <m/>
    <m/>
    <n v="0"/>
    <n v="0"/>
    <n v="0"/>
    <n v="0"/>
    <n v="3227.6666666666665"/>
    <n v="2871.3"/>
  </r>
  <r>
    <x v="0"/>
    <s v="George C. Wallace State Community College-Hanceville"/>
    <m/>
    <n v="101295"/>
    <x v="7"/>
    <m/>
    <m/>
    <m/>
    <m/>
    <n v="49387"/>
    <n v="48052"/>
    <n v="22665"/>
    <n v="21257"/>
    <n v="52910"/>
    <n v="49925"/>
    <n v="124962"/>
    <n v="4165.3999999999996"/>
    <n v="119234"/>
    <n v="3974.4666666666667"/>
    <n v="7814"/>
    <n v="8105"/>
    <n v="124962"/>
    <n v="119234"/>
    <m/>
    <m/>
    <m/>
    <m/>
    <m/>
    <m/>
    <m/>
    <m/>
    <n v="0"/>
    <n v="0"/>
    <n v="0"/>
    <n v="0"/>
    <m/>
    <m/>
    <n v="0"/>
    <n v="0"/>
    <m/>
    <m/>
    <m/>
    <m/>
    <m/>
    <m/>
    <m/>
    <m/>
    <n v="0"/>
    <n v="0"/>
    <n v="0"/>
    <n v="0"/>
    <n v="4165.3999999999996"/>
    <n v="3974.4666666666667"/>
  </r>
  <r>
    <x v="0"/>
    <s v="Lawson State Community College "/>
    <m/>
    <n v="101569"/>
    <x v="7"/>
    <m/>
    <m/>
    <m/>
    <m/>
    <n v="29490"/>
    <n v="29269"/>
    <n v="12649"/>
    <n v="11700"/>
    <n v="34177"/>
    <n v="27548"/>
    <n v="76316"/>
    <n v="2543.8666666666668"/>
    <n v="68517"/>
    <n v="2283.9"/>
    <n v="2322"/>
    <n v="1965"/>
    <n v="76316"/>
    <n v="68517"/>
    <m/>
    <m/>
    <m/>
    <m/>
    <m/>
    <m/>
    <m/>
    <m/>
    <n v="0"/>
    <n v="0"/>
    <n v="0"/>
    <n v="0"/>
    <m/>
    <m/>
    <n v="0"/>
    <n v="0"/>
    <m/>
    <m/>
    <m/>
    <m/>
    <m/>
    <m/>
    <m/>
    <m/>
    <n v="0"/>
    <n v="0"/>
    <n v="0"/>
    <n v="0"/>
    <n v="2543.8666666666668"/>
    <n v="2283.9"/>
  </r>
  <r>
    <x v="0"/>
    <s v="Northwest-Shoals Community College"/>
    <m/>
    <n v="101736"/>
    <x v="7"/>
    <m/>
    <m/>
    <m/>
    <m/>
    <n v="25950"/>
    <n v="25281"/>
    <n v="10366"/>
    <n v="9757"/>
    <n v="30047"/>
    <n v="27289"/>
    <n v="66363"/>
    <n v="2212.1"/>
    <n v="62327"/>
    <n v="2077.5666666666666"/>
    <n v="8135"/>
    <n v="8025"/>
    <n v="66363"/>
    <n v="62327"/>
    <m/>
    <m/>
    <m/>
    <m/>
    <m/>
    <m/>
    <m/>
    <m/>
    <n v="0"/>
    <n v="0"/>
    <n v="0"/>
    <n v="0"/>
    <m/>
    <m/>
    <n v="0"/>
    <n v="0"/>
    <m/>
    <m/>
    <m/>
    <m/>
    <m/>
    <m/>
    <m/>
    <m/>
    <n v="0"/>
    <n v="0"/>
    <n v="0"/>
    <n v="0"/>
    <n v="2212.1"/>
    <n v="2077.5666666666666"/>
  </r>
  <r>
    <x v="0"/>
    <s v="Shelton State Community College"/>
    <m/>
    <n v="102067"/>
    <x v="7"/>
    <m/>
    <m/>
    <m/>
    <m/>
    <n v="38313"/>
    <n v="37193"/>
    <n v="21306"/>
    <n v="18816"/>
    <n v="42594"/>
    <n v="35893"/>
    <n v="102213"/>
    <n v="3407.1"/>
    <n v="91902"/>
    <n v="3063.4"/>
    <n v="3271"/>
    <n v="3449"/>
    <n v="102213"/>
    <n v="91902"/>
    <m/>
    <m/>
    <m/>
    <m/>
    <m/>
    <m/>
    <m/>
    <m/>
    <n v="0"/>
    <n v="0"/>
    <n v="0"/>
    <n v="0"/>
    <m/>
    <m/>
    <n v="0"/>
    <n v="0"/>
    <m/>
    <m/>
    <m/>
    <m/>
    <m/>
    <m/>
    <m/>
    <m/>
    <n v="0"/>
    <n v="0"/>
    <n v="0"/>
    <n v="0"/>
    <n v="3407.1"/>
    <n v="3063.4"/>
  </r>
  <r>
    <x v="0"/>
    <s v="Southern Union State Community College"/>
    <m/>
    <n v="251260"/>
    <x v="7"/>
    <m/>
    <m/>
    <m/>
    <m/>
    <n v="43553"/>
    <n v="44046"/>
    <n v="20132"/>
    <n v="18475"/>
    <n v="48947"/>
    <n v="41544"/>
    <n v="112632"/>
    <n v="3754.4"/>
    <n v="104065"/>
    <n v="3468.8333333333335"/>
    <n v="3798"/>
    <n v="3706"/>
    <n v="112632"/>
    <n v="104065"/>
    <m/>
    <m/>
    <m/>
    <m/>
    <m/>
    <m/>
    <m/>
    <m/>
    <n v="0"/>
    <n v="0"/>
    <n v="0"/>
    <n v="0"/>
    <m/>
    <m/>
    <n v="0"/>
    <n v="0"/>
    <m/>
    <m/>
    <m/>
    <m/>
    <m/>
    <m/>
    <m/>
    <m/>
    <n v="0"/>
    <n v="0"/>
    <n v="0"/>
    <n v="0"/>
    <n v="3754.4"/>
    <n v="3468.8333333333335"/>
  </r>
  <r>
    <x v="0"/>
    <s v="Central Alabama Community College"/>
    <m/>
    <n v="100760"/>
    <x v="8"/>
    <m/>
    <m/>
    <m/>
    <m/>
    <n v="13646"/>
    <n v="13211"/>
    <n v="4986"/>
    <n v="5444"/>
    <n v="16077"/>
    <n v="13361"/>
    <n v="34709"/>
    <n v="1156.9666666666667"/>
    <n v="32016"/>
    <n v="1067.2"/>
    <n v="4651"/>
    <n v="4544"/>
    <n v="34709"/>
    <n v="32016"/>
    <m/>
    <m/>
    <m/>
    <m/>
    <m/>
    <m/>
    <m/>
    <m/>
    <n v="0"/>
    <n v="0"/>
    <n v="0"/>
    <n v="0"/>
    <m/>
    <m/>
    <n v="0"/>
    <n v="0"/>
    <m/>
    <m/>
    <m/>
    <m/>
    <m/>
    <m/>
    <m/>
    <m/>
    <n v="0"/>
    <n v="0"/>
    <n v="0"/>
    <n v="0"/>
    <n v="1156.9666666666667"/>
    <n v="1067.2"/>
  </r>
  <r>
    <x v="0"/>
    <s v="Chattahoochee Valley Community College"/>
    <m/>
    <n v="101028"/>
    <x v="8"/>
    <m/>
    <m/>
    <m/>
    <m/>
    <n v="15474"/>
    <n v="14450"/>
    <n v="7335"/>
    <n v="6811"/>
    <n v="16229"/>
    <n v="13396"/>
    <n v="39038"/>
    <n v="1301.2666666666667"/>
    <n v="34657"/>
    <n v="1155.2333333333333"/>
    <n v="2094"/>
    <n v="2055"/>
    <n v="39038"/>
    <n v="34657"/>
    <m/>
    <m/>
    <m/>
    <m/>
    <m/>
    <m/>
    <m/>
    <m/>
    <n v="0"/>
    <n v="0"/>
    <n v="0"/>
    <n v="0"/>
    <m/>
    <m/>
    <n v="0"/>
    <n v="0"/>
    <m/>
    <m/>
    <m/>
    <m/>
    <m/>
    <m/>
    <m/>
    <m/>
    <n v="0"/>
    <n v="0"/>
    <n v="0"/>
    <n v="0"/>
    <n v="1301.2666666666667"/>
    <n v="1155.2333333333333"/>
  </r>
  <r>
    <x v="0"/>
    <s v="Enterprise State Community College"/>
    <m/>
    <n v="101143"/>
    <x v="8"/>
    <m/>
    <m/>
    <m/>
    <m/>
    <n v="16053"/>
    <n v="17358"/>
    <n v="6648"/>
    <n v="5322"/>
    <n v="18814"/>
    <n v="18355"/>
    <n v="41515"/>
    <n v="1383.8333333333333"/>
    <n v="41035"/>
    <n v="1367.8333333333333"/>
    <n v="5421"/>
    <n v="5762"/>
    <n v="41515"/>
    <n v="41035"/>
    <m/>
    <m/>
    <m/>
    <m/>
    <m/>
    <m/>
    <m/>
    <m/>
    <n v="0"/>
    <n v="0"/>
    <n v="0"/>
    <n v="0"/>
    <m/>
    <m/>
    <n v="0"/>
    <n v="0"/>
    <m/>
    <m/>
    <m/>
    <m/>
    <m/>
    <m/>
    <m/>
    <m/>
    <n v="0"/>
    <n v="0"/>
    <n v="0"/>
    <n v="0"/>
    <n v="1383.8333333333333"/>
    <n v="1367.8333333333333"/>
  </r>
  <r>
    <x v="0"/>
    <s v="George Corley Wallace State Community College - Selma"/>
    <m/>
    <n v="101301"/>
    <x v="8"/>
    <m/>
    <m/>
    <m/>
    <m/>
    <n v="13356"/>
    <n v="11845"/>
    <n v="9188"/>
    <n v="8195"/>
    <n v="14072"/>
    <n v="11469"/>
    <n v="36616"/>
    <n v="1220.5333333333333"/>
    <n v="31509"/>
    <n v="1050.3"/>
    <n v="5360"/>
    <n v="5483"/>
    <n v="36616"/>
    <n v="31509"/>
    <m/>
    <m/>
    <m/>
    <m/>
    <m/>
    <m/>
    <m/>
    <m/>
    <n v="0"/>
    <n v="0"/>
    <n v="0"/>
    <n v="0"/>
    <m/>
    <m/>
    <n v="0"/>
    <n v="0"/>
    <m/>
    <m/>
    <m/>
    <m/>
    <m/>
    <m/>
    <m/>
    <m/>
    <n v="0"/>
    <n v="0"/>
    <n v="0"/>
    <n v="0"/>
    <n v="1220.5333333333333"/>
    <n v="1050.3"/>
  </r>
  <r>
    <x v="0"/>
    <s v="Lurleen B. Wallace Community College "/>
    <m/>
    <n v="101602"/>
    <x v="8"/>
    <m/>
    <m/>
    <m/>
    <m/>
    <n v="14183"/>
    <n v="14673"/>
    <n v="7765"/>
    <n v="7669"/>
    <n v="16847"/>
    <n v="15511"/>
    <n v="38795"/>
    <n v="1293.1666666666667"/>
    <n v="37853"/>
    <n v="1261.7666666666667"/>
    <n v="4880"/>
    <n v="5460"/>
    <n v="38795"/>
    <n v="37853"/>
    <m/>
    <m/>
    <m/>
    <m/>
    <m/>
    <m/>
    <m/>
    <m/>
    <n v="0"/>
    <n v="0"/>
    <n v="0"/>
    <n v="0"/>
    <m/>
    <m/>
    <n v="0"/>
    <n v="0"/>
    <m/>
    <m/>
    <m/>
    <m/>
    <m/>
    <m/>
    <m/>
    <m/>
    <n v="0"/>
    <n v="0"/>
    <n v="0"/>
    <n v="0"/>
    <n v="1293.1666666666667"/>
    <n v="1261.7666666666667"/>
  </r>
  <r>
    <x v="0"/>
    <s v="Northeast Alabama Community College"/>
    <s v="Met the criteria for Two-Year 2 in 2018-19 and 2019-20."/>
    <n v="101897"/>
    <x v="8"/>
    <m/>
    <m/>
    <m/>
    <m/>
    <n v="23208"/>
    <n v="23104"/>
    <n v="11392"/>
    <n v="10798"/>
    <n v="26864"/>
    <n v="22589"/>
    <n v="61464"/>
    <n v="2048.8000000000002"/>
    <n v="56491"/>
    <n v="1883.0333333333333"/>
    <n v="11057"/>
    <n v="11087"/>
    <n v="61464"/>
    <n v="56491"/>
    <m/>
    <m/>
    <m/>
    <m/>
    <m/>
    <m/>
    <m/>
    <m/>
    <n v="0"/>
    <n v="0"/>
    <n v="0"/>
    <n v="0"/>
    <m/>
    <m/>
    <n v="0"/>
    <n v="0"/>
    <m/>
    <m/>
    <m/>
    <m/>
    <m/>
    <m/>
    <m/>
    <m/>
    <n v="0"/>
    <n v="0"/>
    <n v="0"/>
    <n v="0"/>
    <n v="2048.8000000000002"/>
    <n v="1883.0333333333333"/>
  </r>
  <r>
    <x v="0"/>
    <s v="Snead State Community College "/>
    <s v="Met the criteria for Two-Year 2 in 2018-19 and 2019-20."/>
    <n v="102076"/>
    <x v="8"/>
    <m/>
    <m/>
    <m/>
    <m/>
    <n v="22540"/>
    <n v="22380"/>
    <n v="13492"/>
    <n v="13328"/>
    <n v="24145"/>
    <n v="20874"/>
    <n v="60177"/>
    <n v="2005.9"/>
    <n v="56582"/>
    <n v="1886.0666666666666"/>
    <n v="2600"/>
    <n v="2922"/>
    <n v="60177"/>
    <n v="56582"/>
    <m/>
    <m/>
    <m/>
    <m/>
    <m/>
    <m/>
    <m/>
    <m/>
    <n v="0"/>
    <n v="0"/>
    <n v="0"/>
    <n v="0"/>
    <m/>
    <m/>
    <n v="0"/>
    <n v="0"/>
    <m/>
    <m/>
    <m/>
    <m/>
    <m/>
    <m/>
    <m/>
    <m/>
    <n v="0"/>
    <n v="0"/>
    <n v="0"/>
    <n v="0"/>
    <n v="2005.9"/>
    <n v="1886.0666666666666"/>
  </r>
  <r>
    <x v="0"/>
    <s v="H. Councill Trenholm State Community College"/>
    <m/>
    <n v="102313"/>
    <x v="9"/>
    <m/>
    <m/>
    <m/>
    <m/>
    <n v="16722"/>
    <n v="18054"/>
    <n v="8588"/>
    <n v="8555"/>
    <n v="19027"/>
    <n v="14127"/>
    <n v="44337"/>
    <n v="1477.9"/>
    <n v="40736"/>
    <n v="1357.8666666666666"/>
    <n v="1993"/>
    <n v="1729"/>
    <n v="44337"/>
    <n v="40736"/>
    <m/>
    <m/>
    <m/>
    <m/>
    <m/>
    <m/>
    <m/>
    <m/>
    <n v="0"/>
    <n v="0"/>
    <n v="0"/>
    <n v="0"/>
    <m/>
    <m/>
    <n v="0"/>
    <n v="0"/>
    <m/>
    <m/>
    <m/>
    <m/>
    <m/>
    <m/>
    <m/>
    <m/>
    <n v="0"/>
    <n v="0"/>
    <n v="0"/>
    <n v="0"/>
    <n v="1477.9"/>
    <n v="1357.8666666666666"/>
  </r>
  <r>
    <x v="0"/>
    <s v="J.F. Drake State Community and Technical College"/>
    <m/>
    <n v="101462"/>
    <x v="10"/>
    <m/>
    <m/>
    <m/>
    <m/>
    <n v="6332"/>
    <n v="6859"/>
    <n v="2997"/>
    <n v="3123"/>
    <n v="6673"/>
    <n v="6501"/>
    <n v="16002"/>
    <n v="533.4"/>
    <n v="16483"/>
    <n v="549.43333333333328"/>
    <n v="1060"/>
    <n v="1602"/>
    <n v="16002"/>
    <n v="16483"/>
    <m/>
    <m/>
    <m/>
    <m/>
    <m/>
    <m/>
    <m/>
    <m/>
    <n v="0"/>
    <n v="0"/>
    <n v="0"/>
    <n v="0"/>
    <m/>
    <m/>
    <n v="0"/>
    <n v="0"/>
    <m/>
    <m/>
    <m/>
    <m/>
    <m/>
    <m/>
    <m/>
    <m/>
    <n v="0"/>
    <n v="0"/>
    <n v="0"/>
    <n v="0"/>
    <n v="533.4"/>
    <n v="549.43333333333328"/>
  </r>
  <r>
    <x v="0"/>
    <s v="J.F. Ingram State Technical College "/>
    <m/>
    <n v="101471"/>
    <x v="10"/>
    <m/>
    <m/>
    <m/>
    <m/>
    <n v="6409"/>
    <n v="6571"/>
    <n v="5608"/>
    <n v="0"/>
    <n v="6336"/>
    <n v="4727"/>
    <n v="18353"/>
    <n v="611.76666666666665"/>
    <n v="11298"/>
    <n v="376.6"/>
    <n v="0"/>
    <n v="0"/>
    <n v="18353"/>
    <n v="11298"/>
    <m/>
    <m/>
    <m/>
    <m/>
    <m/>
    <m/>
    <m/>
    <m/>
    <n v="0"/>
    <n v="0"/>
    <n v="0"/>
    <n v="0"/>
    <m/>
    <m/>
    <n v="0"/>
    <n v="0"/>
    <m/>
    <m/>
    <m/>
    <m/>
    <m/>
    <m/>
    <m/>
    <m/>
    <n v="0"/>
    <n v="0"/>
    <n v="0"/>
    <n v="0"/>
    <n v="611.76666666666665"/>
    <n v="376.6"/>
  </r>
  <r>
    <x v="0"/>
    <s v="Reid State Technical College "/>
    <m/>
    <n v="101994"/>
    <x v="10"/>
    <m/>
    <m/>
    <m/>
    <m/>
    <n v="3900"/>
    <n v="3895"/>
    <n v="2531"/>
    <n v="2751"/>
    <n v="4329"/>
    <n v="2751"/>
    <n v="10760"/>
    <n v="358.66666666666669"/>
    <n v="9397"/>
    <n v="313.23333333333335"/>
    <n v="1227"/>
    <n v="741"/>
    <n v="10760"/>
    <n v="9397"/>
    <m/>
    <m/>
    <m/>
    <m/>
    <m/>
    <m/>
    <m/>
    <m/>
    <n v="0"/>
    <n v="0"/>
    <n v="0"/>
    <n v="0"/>
    <m/>
    <m/>
    <n v="0"/>
    <n v="0"/>
    <m/>
    <m/>
    <m/>
    <m/>
    <m/>
    <m/>
    <m/>
    <m/>
    <n v="0"/>
    <n v="0"/>
    <n v="0"/>
    <n v="0"/>
    <n v="358.66666666666669"/>
    <n v="313.23333333333335"/>
  </r>
  <r>
    <x v="0"/>
    <s v="Marion Military Institute"/>
    <m/>
    <n v="101648"/>
    <x v="11"/>
    <m/>
    <m/>
    <m/>
    <m/>
    <n v="6061"/>
    <n v="6231"/>
    <n v="0"/>
    <n v="0"/>
    <n v="6793"/>
    <n v="6477"/>
    <n v="12854"/>
    <n v="428.46666666666664"/>
    <n v="12708"/>
    <n v="423.6"/>
    <m/>
    <n v="36"/>
    <n v="0"/>
    <n v="12708"/>
    <m/>
    <m/>
    <m/>
    <m/>
    <m/>
    <m/>
    <m/>
    <m/>
    <n v="0"/>
    <n v="0"/>
    <n v="0"/>
    <n v="0"/>
    <m/>
    <m/>
    <n v="0"/>
    <n v="0"/>
    <m/>
    <m/>
    <m/>
    <m/>
    <m/>
    <m/>
    <m/>
    <m/>
    <n v="0"/>
    <n v="0"/>
    <n v="0"/>
    <n v="0"/>
    <n v="428.46666666666664"/>
    <n v="423.6"/>
  </r>
  <r>
    <x v="1"/>
    <s v="Arkansas State University"/>
    <m/>
    <n v="106458"/>
    <x v="2"/>
    <s v="sem"/>
    <s v="sem"/>
    <m/>
    <m/>
    <n v="112143"/>
    <n v="108209"/>
    <n v="19137"/>
    <n v="18938"/>
    <n v="117994"/>
    <n v="111422"/>
    <n v="249274"/>
    <n v="8309.1333333333332"/>
    <n v="238569"/>
    <n v="7952.3"/>
    <n v="7449"/>
    <n v="7532"/>
    <n v="249274"/>
    <n v="238569"/>
    <m/>
    <m/>
    <m/>
    <m/>
    <m/>
    <m/>
    <m/>
    <m/>
    <n v="0"/>
    <n v="0"/>
    <n v="0"/>
    <n v="0"/>
    <m/>
    <m/>
    <n v="0"/>
    <n v="0"/>
    <m/>
    <m/>
    <n v="36882"/>
    <n v="37357"/>
    <n v="29940"/>
    <n v="34123"/>
    <n v="36131"/>
    <n v="37255"/>
    <n v="102953"/>
    <n v="4289.708333333333"/>
    <n v="108735"/>
    <n v="4530.625"/>
    <n v="12598.841666666667"/>
    <n v="12482.924999999999"/>
  </r>
  <r>
    <x v="1"/>
    <s v="Arkansas Tech University"/>
    <m/>
    <n v="106467"/>
    <x v="2"/>
    <s v="sem"/>
    <s v="sem"/>
    <m/>
    <m/>
    <n v="106847"/>
    <n v="107736"/>
    <n v="13392"/>
    <n v="12040"/>
    <n v="120865"/>
    <n v="113783"/>
    <n v="241104"/>
    <n v="8036.8"/>
    <n v="233559"/>
    <n v="7785.3"/>
    <n v="24854"/>
    <n v="24047"/>
    <n v="241104"/>
    <n v="233559"/>
    <m/>
    <m/>
    <m/>
    <m/>
    <m/>
    <m/>
    <m/>
    <m/>
    <n v="0"/>
    <n v="0"/>
    <n v="0"/>
    <n v="0"/>
    <m/>
    <m/>
    <n v="0"/>
    <n v="0"/>
    <m/>
    <m/>
    <n v="5319"/>
    <n v="4451"/>
    <n v="3032"/>
    <n v="2552"/>
    <n v="4799"/>
    <n v="4252"/>
    <n v="13150"/>
    <n v="547.91666666666663"/>
    <n v="11255"/>
    <n v="468.95833333333331"/>
    <n v="8584.7166666666672"/>
    <n v="8254.2583333333332"/>
  </r>
  <r>
    <x v="1"/>
    <s v="Henderson State University"/>
    <m/>
    <n v="107071"/>
    <x v="3"/>
    <s v="sem"/>
    <s v="sem"/>
    <m/>
    <m/>
    <n v="40753"/>
    <n v="40041"/>
    <n v="5372"/>
    <n v="5049"/>
    <n v="46097"/>
    <n v="37756"/>
    <n v="92222"/>
    <n v="3074.0666666666666"/>
    <n v="82846"/>
    <n v="2761.5333333333333"/>
    <n v="4692"/>
    <n v="2441"/>
    <n v="92222"/>
    <n v="82846"/>
    <m/>
    <m/>
    <m/>
    <m/>
    <m/>
    <m/>
    <m/>
    <m/>
    <n v="0"/>
    <n v="0"/>
    <n v="0"/>
    <n v="0"/>
    <m/>
    <m/>
    <n v="0"/>
    <n v="0"/>
    <m/>
    <m/>
    <n v="3418"/>
    <n v="3610"/>
    <n v="2265"/>
    <n v="2190"/>
    <n v="3785"/>
    <n v="3564"/>
    <n v="9468"/>
    <n v="394.5"/>
    <n v="9364"/>
    <n v="390.16666666666669"/>
    <n v="3468.5666666666666"/>
    <n v="3151.7"/>
  </r>
  <r>
    <x v="1"/>
    <s v="Southern Arkansas University"/>
    <m/>
    <n v="107983"/>
    <x v="3"/>
    <s v="sem"/>
    <s v="sem"/>
    <m/>
    <m/>
    <n v="43743"/>
    <n v="44179"/>
    <n v="5102"/>
    <n v="4756"/>
    <n v="49644"/>
    <n v="49184"/>
    <n v="98489"/>
    <n v="3282.9666666666667"/>
    <n v="98119"/>
    <n v="3270.6333333333332"/>
    <n v="2871"/>
    <n v="2775"/>
    <n v="98489"/>
    <n v="98119"/>
    <m/>
    <m/>
    <m/>
    <m/>
    <m/>
    <m/>
    <m/>
    <m/>
    <n v="0"/>
    <n v="0"/>
    <n v="0"/>
    <n v="0"/>
    <m/>
    <m/>
    <n v="0"/>
    <n v="0"/>
    <m/>
    <m/>
    <n v="5266"/>
    <n v="5157"/>
    <n v="4377"/>
    <n v="5163"/>
    <n v="4872"/>
    <n v="5529"/>
    <n v="14515"/>
    <n v="604.79166666666663"/>
    <n v="15849"/>
    <n v="660.375"/>
    <n v="3887.7583333333332"/>
    <n v="3931.0083333333332"/>
  </r>
  <r>
    <x v="1"/>
    <s v="University of Arkansas, Fayetteville"/>
    <m/>
    <n v="106397"/>
    <x v="0"/>
    <s v="sem"/>
    <s v="sem"/>
    <m/>
    <m/>
    <n v="300858"/>
    <n v="295335"/>
    <n v="42576"/>
    <n v="42213"/>
    <n v="320340"/>
    <n v="316631"/>
    <n v="663774"/>
    <n v="22125.8"/>
    <n v="654179"/>
    <n v="21805.966666666667"/>
    <n v="1941"/>
    <n v="719"/>
    <n v="663774"/>
    <n v="654179"/>
    <m/>
    <m/>
    <m/>
    <m/>
    <m/>
    <m/>
    <m/>
    <m/>
    <n v="0"/>
    <n v="0"/>
    <n v="0"/>
    <n v="0"/>
    <m/>
    <m/>
    <n v="0"/>
    <n v="0"/>
    <m/>
    <m/>
    <n v="31509"/>
    <n v="32805"/>
    <n v="12147"/>
    <n v="12599"/>
    <n v="33907"/>
    <n v="36732"/>
    <n v="77563"/>
    <n v="3231.7916666666665"/>
    <n v="82136"/>
    <n v="3422.3333333333335"/>
    <n v="25357.591666666667"/>
    <n v="25228.3"/>
  </r>
  <r>
    <x v="1"/>
    <s v="University of Arkansas at Fort Smith"/>
    <m/>
    <n v="108092"/>
    <x v="5"/>
    <s v="sem"/>
    <s v="sem"/>
    <m/>
    <m/>
    <n v="70041"/>
    <n v="66632"/>
    <n v="7308"/>
    <n v="6996"/>
    <n v="74530"/>
    <n v="70368"/>
    <n v="151879"/>
    <n v="5062.6333333333332"/>
    <n v="143996"/>
    <n v="4799.8666666666668"/>
    <n v="16239"/>
    <n v="15823"/>
    <n v="151879"/>
    <n v="143996"/>
    <m/>
    <m/>
    <m/>
    <m/>
    <m/>
    <m/>
    <m/>
    <m/>
    <n v="0"/>
    <n v="0"/>
    <n v="0"/>
    <n v="0"/>
    <m/>
    <m/>
    <n v="0"/>
    <n v="0"/>
    <m/>
    <m/>
    <n v="196"/>
    <n v="228"/>
    <n v="96"/>
    <n v="147"/>
    <n v="207"/>
    <n v="372"/>
    <n v="499"/>
    <n v="20.791666666666668"/>
    <n v="747"/>
    <n v="31.125"/>
    <n v="5083.4250000000002"/>
    <n v="4830.9916666666668"/>
  </r>
  <r>
    <x v="1"/>
    <s v="University of Arkansas at Little Rock"/>
    <m/>
    <n v="106245"/>
    <x v="1"/>
    <s v="sem"/>
    <s v="sem"/>
    <m/>
    <m/>
    <n v="77296"/>
    <n v="73382"/>
    <n v="17476"/>
    <n v="16609"/>
    <n v="80450"/>
    <n v="75663"/>
    <n v="175222"/>
    <n v="5840.7333333333336"/>
    <n v="165654"/>
    <n v="5521.8"/>
    <n v="12084"/>
    <n v="10489"/>
    <n v="175222"/>
    <n v="165654"/>
    <m/>
    <m/>
    <m/>
    <m/>
    <m/>
    <m/>
    <m/>
    <m/>
    <n v="0"/>
    <n v="0"/>
    <n v="0"/>
    <n v="0"/>
    <m/>
    <m/>
    <n v="0"/>
    <n v="0"/>
    <m/>
    <m/>
    <n v="18227"/>
    <n v="16395"/>
    <n v="4053"/>
    <n v="2892"/>
    <n v="16968"/>
    <n v="16999"/>
    <n v="39248"/>
    <n v="1635.3333333333333"/>
    <n v="36286"/>
    <n v="1511.9166666666667"/>
    <n v="7476.0666666666666"/>
    <n v="7033.7166666666672"/>
  </r>
  <r>
    <x v="1"/>
    <s v="University of Arkansas at Monticello"/>
    <m/>
    <n v="106485"/>
    <x v="3"/>
    <s v="sem"/>
    <s v="sem"/>
    <m/>
    <m/>
    <n v="29830"/>
    <n v="27736"/>
    <n v="4878"/>
    <n v="5540"/>
    <n v="31135"/>
    <n v="29320"/>
    <n v="65843"/>
    <n v="2194.7666666666669"/>
    <n v="62596"/>
    <n v="2086.5333333333333"/>
    <n v="3327"/>
    <n v="2815"/>
    <n v="65843"/>
    <n v="62596"/>
    <m/>
    <m/>
    <m/>
    <m/>
    <m/>
    <m/>
    <m/>
    <m/>
    <n v="0"/>
    <n v="0"/>
    <n v="0"/>
    <n v="0"/>
    <m/>
    <m/>
    <n v="0"/>
    <n v="0"/>
    <m/>
    <m/>
    <n v="1934"/>
    <n v="2204"/>
    <n v="2764"/>
    <n v="2555"/>
    <n v="2107"/>
    <n v="1902"/>
    <n v="6805"/>
    <n v="283.54166666666669"/>
    <n v="6661"/>
    <n v="277.54166666666669"/>
    <n v="2478.3083333333334"/>
    <n v="2364.0749999999998"/>
  </r>
  <r>
    <x v="1"/>
    <s v="University of Arkansas at Pine Bluff"/>
    <s v="Met the criteria for Four-Year 4 in 2020-21."/>
    <n v="106412"/>
    <x v="5"/>
    <s v="sem"/>
    <s v="sem"/>
    <m/>
    <m/>
    <n v="31385"/>
    <n v="29442"/>
    <n v="3718"/>
    <n v="3107"/>
    <n v="33617"/>
    <n v="34550"/>
    <n v="68720"/>
    <n v="2290.6666666666665"/>
    <n v="67099"/>
    <n v="2236.6333333333332"/>
    <n v="0"/>
    <n v="252"/>
    <n v="68720"/>
    <n v="67099"/>
    <m/>
    <m/>
    <m/>
    <m/>
    <m/>
    <m/>
    <m/>
    <m/>
    <n v="0"/>
    <n v="0"/>
    <n v="0"/>
    <n v="0"/>
    <m/>
    <m/>
    <n v="0"/>
    <n v="0"/>
    <m/>
    <m/>
    <n v="677"/>
    <n v="803"/>
    <n v="305"/>
    <n v="272"/>
    <n v="845"/>
    <n v="1185"/>
    <n v="1827"/>
    <n v="76.125"/>
    <n v="2260"/>
    <n v="94.166666666666671"/>
    <n v="2366.7916666666665"/>
    <n v="2330.7999999999997"/>
  </r>
  <r>
    <x v="1"/>
    <s v="University of Central Arkansas "/>
    <m/>
    <n v="106704"/>
    <x v="2"/>
    <s v="sem"/>
    <s v="sem"/>
    <m/>
    <m/>
    <n v="114661"/>
    <n v="110711"/>
    <n v="16563"/>
    <n v="17429"/>
    <n v="124254"/>
    <n v="119194"/>
    <n v="255478"/>
    <n v="8515.9333333333325"/>
    <n v="247334"/>
    <n v="8244.4666666666672"/>
    <n v="4216"/>
    <n v="2806"/>
    <n v="255478"/>
    <n v="247334"/>
    <m/>
    <m/>
    <m/>
    <m/>
    <m/>
    <m/>
    <m/>
    <m/>
    <n v="0"/>
    <n v="0"/>
    <n v="0"/>
    <n v="0"/>
    <m/>
    <m/>
    <n v="0"/>
    <n v="0"/>
    <m/>
    <m/>
    <n v="12883"/>
    <n v="13062"/>
    <n v="9534"/>
    <n v="9844"/>
    <n v="14275"/>
    <n v="14031"/>
    <n v="36692"/>
    <n v="1528.8333333333333"/>
    <n v="36937"/>
    <n v="1539.0416666666667"/>
    <n v="10044.766666666666"/>
    <n v="9783.5083333333332"/>
  </r>
  <r>
    <x v="1"/>
    <s v="Arkansas Northeastern College"/>
    <m/>
    <n v="107327"/>
    <x v="8"/>
    <s v="sem"/>
    <s v="sem"/>
    <m/>
    <m/>
    <n v="11819"/>
    <n v="11593"/>
    <n v="2132"/>
    <n v="2171"/>
    <n v="13267"/>
    <n v="12107"/>
    <n v="27218"/>
    <n v="907.26666666666665"/>
    <n v="25871"/>
    <n v="862.36666666666667"/>
    <n v="4738"/>
    <n v="4105"/>
    <n v="27218"/>
    <n v="25871"/>
    <m/>
    <m/>
    <m/>
    <m/>
    <m/>
    <m/>
    <m/>
    <m/>
    <n v="0"/>
    <n v="0"/>
    <n v="0"/>
    <n v="0"/>
    <m/>
    <m/>
    <n v="0"/>
    <n v="0"/>
    <m/>
    <m/>
    <m/>
    <m/>
    <m/>
    <m/>
    <m/>
    <m/>
    <n v="0"/>
    <n v="0"/>
    <n v="0"/>
    <n v="0"/>
    <n v="907.26666666666665"/>
    <n v="862.36666666666667"/>
  </r>
  <r>
    <x v="1"/>
    <s v="Arkansas State University-Beebe"/>
    <m/>
    <n v="106449"/>
    <x v="7"/>
    <s v="sem"/>
    <s v="sem"/>
    <m/>
    <m/>
    <n v="33197"/>
    <n v="31302"/>
    <n v="5987"/>
    <n v="6253"/>
    <n v="35218"/>
    <n v="31537"/>
    <n v="74402"/>
    <n v="2480.0666666666666"/>
    <n v="69092"/>
    <n v="2303.0666666666666"/>
    <n v="7692"/>
    <n v="7681"/>
    <n v="74402"/>
    <n v="69092"/>
    <m/>
    <m/>
    <m/>
    <m/>
    <m/>
    <m/>
    <m/>
    <m/>
    <n v="0"/>
    <n v="0"/>
    <n v="0"/>
    <n v="0"/>
    <m/>
    <m/>
    <n v="0"/>
    <n v="0"/>
    <m/>
    <m/>
    <m/>
    <m/>
    <m/>
    <m/>
    <m/>
    <m/>
    <n v="0"/>
    <n v="0"/>
    <n v="0"/>
    <n v="0"/>
    <n v="2480.0666666666666"/>
    <n v="2303.0666666666666"/>
  </r>
  <r>
    <x v="1"/>
    <s v="Arkansas State University Mountain Home"/>
    <m/>
    <n v="420538"/>
    <x v="8"/>
    <s v="sem"/>
    <s v="sem"/>
    <m/>
    <m/>
    <n v="12802"/>
    <n v="11576"/>
    <n v="2585"/>
    <n v="2499"/>
    <n v="13246"/>
    <n v="12333"/>
    <n v="28633"/>
    <n v="954.43333333333328"/>
    <n v="26408"/>
    <n v="880.26666666666665"/>
    <n v="3163"/>
    <n v="3751"/>
    <n v="28633"/>
    <n v="26408"/>
    <m/>
    <m/>
    <m/>
    <m/>
    <m/>
    <m/>
    <m/>
    <m/>
    <n v="0"/>
    <n v="0"/>
    <n v="0"/>
    <n v="0"/>
    <m/>
    <m/>
    <n v="0"/>
    <n v="0"/>
    <m/>
    <m/>
    <m/>
    <m/>
    <m/>
    <m/>
    <m/>
    <m/>
    <n v="0"/>
    <n v="0"/>
    <n v="0"/>
    <n v="0"/>
    <n v="954.43333333333328"/>
    <n v="880.26666666666665"/>
  </r>
  <r>
    <x v="1"/>
    <s v="Arkansas State University Mid-South"/>
    <m/>
    <n v="107318"/>
    <x v="8"/>
    <s v="sem"/>
    <s v="sem"/>
    <m/>
    <m/>
    <n v="10641"/>
    <n v="9413"/>
    <n v="1883"/>
    <n v="2011"/>
    <n v="11315"/>
    <n v="10338"/>
    <n v="23839"/>
    <n v="794.63333333333333"/>
    <n v="21762"/>
    <n v="725.4"/>
    <n v="7048"/>
    <n v="6358"/>
    <n v="23839"/>
    <n v="21762"/>
    <m/>
    <m/>
    <m/>
    <m/>
    <m/>
    <m/>
    <m/>
    <m/>
    <n v="0"/>
    <n v="0"/>
    <n v="0"/>
    <n v="0"/>
    <m/>
    <m/>
    <n v="0"/>
    <n v="0"/>
    <m/>
    <m/>
    <m/>
    <m/>
    <m/>
    <m/>
    <m/>
    <m/>
    <n v="0"/>
    <n v="0"/>
    <n v="0"/>
    <n v="0"/>
    <n v="794.63333333333333"/>
    <n v="725.4"/>
  </r>
  <r>
    <x v="1"/>
    <s v="Arkansas State University-Newport"/>
    <m/>
    <n v="440402"/>
    <x v="8"/>
    <s v="sem"/>
    <s v="sem"/>
    <m/>
    <m/>
    <n v="21686"/>
    <n v="21163"/>
    <n v="11695"/>
    <n v="11369"/>
    <n v="22867"/>
    <n v="19174"/>
    <n v="56248"/>
    <n v="1874.9333333333334"/>
    <n v="51706"/>
    <n v="1723.5333333333333"/>
    <n v="15085"/>
    <n v="15044"/>
    <n v="56248"/>
    <n v="51706"/>
    <m/>
    <m/>
    <m/>
    <m/>
    <m/>
    <m/>
    <m/>
    <m/>
    <n v="0"/>
    <n v="0"/>
    <n v="0"/>
    <n v="0"/>
    <m/>
    <m/>
    <n v="0"/>
    <n v="0"/>
    <m/>
    <m/>
    <m/>
    <m/>
    <m/>
    <m/>
    <m/>
    <m/>
    <n v="0"/>
    <n v="0"/>
    <n v="0"/>
    <n v="0"/>
    <n v="1874.9333333333334"/>
    <n v="1723.5333333333333"/>
  </r>
  <r>
    <x v="1"/>
    <s v="Arkansas State University Three Rivers"/>
    <s v="2019-20: Institution joined one of our university systems"/>
    <n v="107521"/>
    <x v="8"/>
    <s v="sem"/>
    <s v="sem"/>
    <m/>
    <m/>
    <n v="8847"/>
    <n v="8770"/>
    <n v="3178"/>
    <n v="2714"/>
    <n v="8766"/>
    <n v="8342"/>
    <n v="20791"/>
    <n v="693.0333333333333"/>
    <n v="19826"/>
    <n v="660.86666666666667"/>
    <n v="6904"/>
    <n v="3399"/>
    <n v="20791"/>
    <n v="19826"/>
    <m/>
    <m/>
    <m/>
    <m/>
    <m/>
    <m/>
    <m/>
    <m/>
    <n v="0"/>
    <n v="0"/>
    <n v="0"/>
    <n v="0"/>
    <m/>
    <m/>
    <n v="0"/>
    <n v="0"/>
    <m/>
    <m/>
    <m/>
    <m/>
    <m/>
    <m/>
    <m/>
    <m/>
    <n v="0"/>
    <n v="0"/>
    <n v="0"/>
    <n v="0"/>
    <n v="693.0333333333333"/>
    <n v="660.86666666666667"/>
  </r>
  <r>
    <x v="1"/>
    <s v="Black River Technical College"/>
    <m/>
    <n v="106625"/>
    <x v="8"/>
    <s v="sem"/>
    <s v="sem"/>
    <m/>
    <m/>
    <n v="15610"/>
    <n v="14405"/>
    <n v="2998"/>
    <n v="3079"/>
    <n v="16353"/>
    <n v="15434"/>
    <n v="34961"/>
    <n v="1165.3666666666666"/>
    <n v="32918"/>
    <n v="1097.2666666666667"/>
    <n v="3749"/>
    <n v="3506"/>
    <n v="34961"/>
    <n v="32918"/>
    <m/>
    <m/>
    <m/>
    <m/>
    <m/>
    <m/>
    <m/>
    <m/>
    <n v="0"/>
    <n v="0"/>
    <n v="0"/>
    <n v="0"/>
    <m/>
    <m/>
    <n v="0"/>
    <n v="0"/>
    <m/>
    <m/>
    <m/>
    <m/>
    <m/>
    <m/>
    <m/>
    <m/>
    <n v="0"/>
    <n v="0"/>
    <n v="0"/>
    <n v="0"/>
    <n v="1165.3666666666666"/>
    <n v="1097.2666666666667"/>
  </r>
  <r>
    <x v="1"/>
    <s v="Cossatot Community College of the University of Arkansas"/>
    <m/>
    <n v="106795"/>
    <x v="8"/>
    <s v="sem"/>
    <s v="sem"/>
    <m/>
    <m/>
    <n v="11987"/>
    <n v="12227"/>
    <n v="2334"/>
    <n v="2238"/>
    <n v="14237"/>
    <n v="13134"/>
    <n v="28558"/>
    <n v="951.93333333333328"/>
    <n v="27599"/>
    <n v="919.9666666666667"/>
    <n v="4814"/>
    <n v="6462"/>
    <n v="28558"/>
    <n v="27599"/>
    <m/>
    <m/>
    <m/>
    <m/>
    <m/>
    <m/>
    <m/>
    <m/>
    <n v="0"/>
    <n v="0"/>
    <n v="0"/>
    <n v="0"/>
    <m/>
    <m/>
    <n v="0"/>
    <n v="0"/>
    <m/>
    <m/>
    <m/>
    <m/>
    <m/>
    <m/>
    <m/>
    <m/>
    <n v="0"/>
    <n v="0"/>
    <n v="0"/>
    <n v="0"/>
    <n v="951.93333333333328"/>
    <n v="919.9666666666667"/>
  </r>
  <r>
    <x v="1"/>
    <s v="East Arkansas Community College "/>
    <m/>
    <n v="106883"/>
    <x v="8"/>
    <s v="sem"/>
    <s v="sem"/>
    <m/>
    <m/>
    <n v="9131"/>
    <n v="11061"/>
    <n v="3672"/>
    <n v="3226"/>
    <n v="11898"/>
    <n v="9355"/>
    <n v="24701"/>
    <n v="823.36666666666667"/>
    <n v="23642"/>
    <n v="788.06666666666672"/>
    <n v="4144"/>
    <n v="3593"/>
    <n v="24701"/>
    <n v="23642"/>
    <m/>
    <m/>
    <m/>
    <m/>
    <m/>
    <m/>
    <m/>
    <m/>
    <n v="0"/>
    <n v="0"/>
    <n v="0"/>
    <n v="0"/>
    <m/>
    <m/>
    <n v="0"/>
    <n v="0"/>
    <m/>
    <m/>
    <m/>
    <m/>
    <m/>
    <m/>
    <m/>
    <m/>
    <n v="0"/>
    <n v="0"/>
    <n v="0"/>
    <n v="0"/>
    <n v="823.36666666666667"/>
    <n v="788.06666666666672"/>
  </r>
  <r>
    <x v="1"/>
    <s v="North Arkansas College"/>
    <m/>
    <n v="107460"/>
    <x v="8"/>
    <s v="sem"/>
    <s v="sem"/>
    <m/>
    <m/>
    <n v="16591"/>
    <n v="15790"/>
    <n v="2480"/>
    <n v="2879"/>
    <n v="18594"/>
    <n v="17315"/>
    <n v="37665"/>
    <n v="1255.5"/>
    <n v="35984"/>
    <n v="1199.4666666666667"/>
    <n v="3856"/>
    <n v="3864"/>
    <n v="37665"/>
    <n v="35984"/>
    <m/>
    <m/>
    <m/>
    <m/>
    <m/>
    <m/>
    <m/>
    <m/>
    <n v="0"/>
    <n v="0"/>
    <n v="0"/>
    <n v="0"/>
    <m/>
    <m/>
    <n v="0"/>
    <n v="0"/>
    <m/>
    <m/>
    <m/>
    <m/>
    <m/>
    <m/>
    <m/>
    <m/>
    <n v="0"/>
    <n v="0"/>
    <n v="0"/>
    <n v="0"/>
    <n v="1255.5"/>
    <n v="1199.4666666666667"/>
  </r>
  <r>
    <x v="1"/>
    <s v="National Park College"/>
    <m/>
    <n v="106980"/>
    <x v="8"/>
    <s v="sem"/>
    <s v="sem"/>
    <m/>
    <m/>
    <n v="23487"/>
    <n v="23417"/>
    <n v="4456"/>
    <n v="4639"/>
    <n v="26273"/>
    <n v="24729"/>
    <n v="54216"/>
    <n v="1807.2"/>
    <n v="52785"/>
    <n v="1759.5"/>
    <n v="4213"/>
    <n v="5260"/>
    <n v="54216"/>
    <n v="52785"/>
    <m/>
    <m/>
    <m/>
    <m/>
    <m/>
    <m/>
    <m/>
    <m/>
    <n v="0"/>
    <n v="0"/>
    <n v="0"/>
    <n v="0"/>
    <m/>
    <m/>
    <n v="0"/>
    <n v="0"/>
    <m/>
    <m/>
    <m/>
    <m/>
    <m/>
    <m/>
    <m/>
    <m/>
    <n v="0"/>
    <n v="0"/>
    <n v="0"/>
    <n v="0"/>
    <n v="1807.2"/>
    <n v="1759.5"/>
  </r>
  <r>
    <x v="1"/>
    <s v="Northwest Arkansas Community College "/>
    <s v="Met the criteria for Two-Year 2 in 2020-21."/>
    <n v="367459"/>
    <x v="6"/>
    <s v="sem"/>
    <s v="sem"/>
    <m/>
    <m/>
    <n v="63515"/>
    <n v="63624"/>
    <n v="13622"/>
    <n v="13384"/>
    <n v="73609"/>
    <n v="63953"/>
    <n v="150746"/>
    <n v="5024.8666666666668"/>
    <n v="140961"/>
    <n v="4698.7"/>
    <n v="24056"/>
    <n v="23845"/>
    <n v="150746"/>
    <n v="140961"/>
    <m/>
    <m/>
    <m/>
    <m/>
    <m/>
    <m/>
    <m/>
    <m/>
    <n v="0"/>
    <n v="0"/>
    <n v="0"/>
    <n v="0"/>
    <m/>
    <m/>
    <n v="0"/>
    <n v="0"/>
    <m/>
    <m/>
    <m/>
    <m/>
    <m/>
    <m/>
    <m/>
    <m/>
    <n v="0"/>
    <n v="0"/>
    <n v="0"/>
    <n v="0"/>
    <n v="5024.8666666666668"/>
    <n v="4698.7"/>
  </r>
  <r>
    <x v="1"/>
    <s v="Ozarka College "/>
    <m/>
    <n v="107549"/>
    <x v="8"/>
    <s v="sem"/>
    <s v="sem"/>
    <m/>
    <m/>
    <n v="10621"/>
    <n v="10189"/>
    <n v="2294"/>
    <n v="2583"/>
    <n v="11253"/>
    <n v="10168"/>
    <n v="24168"/>
    <n v="805.6"/>
    <n v="22940"/>
    <n v="764.66666666666663"/>
    <n v="3535"/>
    <n v="3478"/>
    <n v="24168"/>
    <n v="22940"/>
    <m/>
    <m/>
    <m/>
    <m/>
    <m/>
    <m/>
    <m/>
    <m/>
    <n v="0"/>
    <n v="0"/>
    <n v="0"/>
    <n v="0"/>
    <m/>
    <m/>
    <n v="0"/>
    <n v="0"/>
    <m/>
    <m/>
    <m/>
    <m/>
    <m/>
    <m/>
    <m/>
    <m/>
    <n v="0"/>
    <n v="0"/>
    <n v="0"/>
    <n v="0"/>
    <n v="805.6"/>
    <n v="764.66666666666663"/>
  </r>
  <r>
    <x v="1"/>
    <s v="Phillips Community College of the Univ of Arkansas"/>
    <m/>
    <n v="107619"/>
    <x v="8"/>
    <s v="sem"/>
    <s v="sem"/>
    <m/>
    <m/>
    <n v="11375"/>
    <n v="11064"/>
    <n v="2576"/>
    <n v="2802"/>
    <n v="13912"/>
    <n v="9863"/>
    <n v="27863"/>
    <n v="928.76666666666665"/>
    <n v="23729"/>
    <n v="790.9666666666667"/>
    <n v="6522"/>
    <n v="4835"/>
    <n v="27863"/>
    <n v="23729"/>
    <m/>
    <m/>
    <m/>
    <m/>
    <m/>
    <m/>
    <m/>
    <m/>
    <n v="0"/>
    <n v="0"/>
    <n v="0"/>
    <n v="0"/>
    <m/>
    <m/>
    <n v="0"/>
    <n v="0"/>
    <m/>
    <m/>
    <m/>
    <m/>
    <m/>
    <m/>
    <m/>
    <m/>
    <n v="0"/>
    <n v="0"/>
    <n v="0"/>
    <n v="0"/>
    <n v="928.76666666666665"/>
    <n v="790.9666666666667"/>
  </r>
  <r>
    <x v="1"/>
    <s v="South Arkansas Community College"/>
    <m/>
    <n v="107974"/>
    <x v="8"/>
    <s v="sem"/>
    <s v="sem"/>
    <m/>
    <m/>
    <n v="12802"/>
    <n v="12437"/>
    <n v="4955"/>
    <n v="4360"/>
    <n v="13298"/>
    <n v="11939"/>
    <n v="31055"/>
    <n v="1035.1666666666667"/>
    <n v="28736"/>
    <n v="957.86666666666667"/>
    <n v="2969"/>
    <n v="2676"/>
    <n v="31055"/>
    <n v="28736"/>
    <m/>
    <m/>
    <m/>
    <m/>
    <m/>
    <m/>
    <m/>
    <m/>
    <n v="0"/>
    <n v="0"/>
    <n v="0"/>
    <n v="0"/>
    <m/>
    <m/>
    <n v="0"/>
    <n v="0"/>
    <m/>
    <m/>
    <m/>
    <m/>
    <m/>
    <m/>
    <m/>
    <m/>
    <n v="0"/>
    <n v="0"/>
    <n v="0"/>
    <n v="0"/>
    <n v="1035.1666666666667"/>
    <n v="957.86666666666667"/>
  </r>
  <r>
    <x v="1"/>
    <s v="Southern Arkansas University Tech"/>
    <m/>
    <n v="107992"/>
    <x v="8"/>
    <s v="sem"/>
    <s v="sem"/>
    <m/>
    <m/>
    <n v="10778"/>
    <n v="11040"/>
    <n v="3272"/>
    <n v="2973"/>
    <n v="12410"/>
    <n v="10721"/>
    <n v="26460"/>
    <n v="882"/>
    <n v="24734"/>
    <n v="824.4666666666667"/>
    <n v="3677"/>
    <n v="2945"/>
    <n v="26460"/>
    <n v="24734"/>
    <m/>
    <m/>
    <m/>
    <m/>
    <m/>
    <m/>
    <m/>
    <m/>
    <n v="0"/>
    <n v="0"/>
    <n v="0"/>
    <n v="0"/>
    <m/>
    <m/>
    <n v="0"/>
    <n v="0"/>
    <m/>
    <m/>
    <m/>
    <m/>
    <m/>
    <m/>
    <m/>
    <m/>
    <n v="0"/>
    <n v="0"/>
    <n v="0"/>
    <n v="0"/>
    <n v="882"/>
    <n v="824.4666666666667"/>
  </r>
  <r>
    <x v="1"/>
    <s v="Southeast Arkansas College"/>
    <m/>
    <n v="107637"/>
    <x v="8"/>
    <s v="sem"/>
    <s v="sem"/>
    <m/>
    <m/>
    <n v="10381"/>
    <n v="10768"/>
    <n v="3413"/>
    <n v="3293"/>
    <n v="12578"/>
    <n v="10539"/>
    <n v="26372"/>
    <n v="879.06666666666672"/>
    <n v="24600"/>
    <n v="820"/>
    <n v="2026"/>
    <n v="1821"/>
    <n v="26372"/>
    <n v="24600"/>
    <m/>
    <m/>
    <m/>
    <m/>
    <m/>
    <m/>
    <m/>
    <m/>
    <n v="0"/>
    <n v="0"/>
    <n v="0"/>
    <n v="0"/>
    <m/>
    <m/>
    <n v="0"/>
    <n v="0"/>
    <m/>
    <m/>
    <m/>
    <m/>
    <m/>
    <m/>
    <m/>
    <m/>
    <n v="0"/>
    <n v="0"/>
    <n v="0"/>
    <n v="0"/>
    <n v="879.06666666666672"/>
    <n v="820"/>
  </r>
  <r>
    <x v="1"/>
    <s v="University of Arkansas Community College at Batesville"/>
    <m/>
    <n v="106999"/>
    <x v="8"/>
    <s v="sem"/>
    <s v="sem"/>
    <m/>
    <m/>
    <n v="12012"/>
    <n v="12151"/>
    <n v="2968"/>
    <n v="2609"/>
    <n v="14654"/>
    <n v="12753"/>
    <n v="29634"/>
    <n v="987.8"/>
    <n v="27513"/>
    <n v="917.1"/>
    <n v="4662"/>
    <n v="4273"/>
    <n v="29634"/>
    <n v="27513"/>
    <m/>
    <m/>
    <m/>
    <m/>
    <m/>
    <m/>
    <m/>
    <m/>
    <n v="0"/>
    <n v="0"/>
    <n v="0"/>
    <n v="0"/>
    <m/>
    <m/>
    <n v="0"/>
    <n v="0"/>
    <m/>
    <m/>
    <m/>
    <m/>
    <m/>
    <m/>
    <m/>
    <m/>
    <n v="0"/>
    <n v="0"/>
    <n v="0"/>
    <n v="0"/>
    <n v="987.8"/>
    <n v="917.1"/>
  </r>
  <r>
    <x v="1"/>
    <s v="University of Arkansas Community College at Hope-Texarkana"/>
    <m/>
    <n v="107725"/>
    <x v="8"/>
    <s v="sem"/>
    <s v="sem"/>
    <m/>
    <m/>
    <n v="12947"/>
    <n v="12157"/>
    <n v="2264"/>
    <n v="2415"/>
    <n v="13158"/>
    <n v="11563"/>
    <n v="28369"/>
    <n v="945.63333333333333"/>
    <n v="26135"/>
    <n v="871.16666666666663"/>
    <n v="5709"/>
    <n v="5996"/>
    <n v="28369"/>
    <n v="26135"/>
    <m/>
    <m/>
    <m/>
    <m/>
    <m/>
    <m/>
    <m/>
    <m/>
    <n v="0"/>
    <n v="0"/>
    <n v="0"/>
    <n v="0"/>
    <m/>
    <m/>
    <n v="0"/>
    <n v="0"/>
    <m/>
    <m/>
    <m/>
    <m/>
    <m/>
    <m/>
    <m/>
    <m/>
    <n v="0"/>
    <n v="0"/>
    <n v="0"/>
    <n v="0"/>
    <n v="945.63333333333333"/>
    <n v="871.16666666666663"/>
  </r>
  <r>
    <x v="1"/>
    <s v="University of Arkansas Community College at Morrilton"/>
    <m/>
    <n v="107585"/>
    <x v="8"/>
    <s v="sem"/>
    <s v="sem"/>
    <m/>
    <m/>
    <n v="18307"/>
    <n v="17756"/>
    <n v="3499"/>
    <n v="3011"/>
    <n v="20014"/>
    <n v="19832"/>
    <n v="41820"/>
    <n v="1394"/>
    <n v="40599"/>
    <n v="1353.3"/>
    <n v="2662"/>
    <n v="2707"/>
    <n v="41820"/>
    <n v="40599"/>
    <m/>
    <m/>
    <m/>
    <m/>
    <m/>
    <m/>
    <m/>
    <m/>
    <n v="0"/>
    <n v="0"/>
    <n v="0"/>
    <n v="0"/>
    <m/>
    <m/>
    <n v="0"/>
    <n v="0"/>
    <m/>
    <m/>
    <m/>
    <m/>
    <m/>
    <m/>
    <m/>
    <m/>
    <n v="0"/>
    <n v="0"/>
    <n v="0"/>
    <n v="0"/>
    <n v="1394"/>
    <n v="1353.3"/>
  </r>
  <r>
    <x v="1"/>
    <s v="University of Arkansas Community College Rich Mountain"/>
    <m/>
    <n v="107743"/>
    <x v="8"/>
    <s v="sem"/>
    <s v="sem"/>
    <m/>
    <m/>
    <n v="6616"/>
    <n v="7204"/>
    <n v="1446"/>
    <n v="1077"/>
    <n v="8581"/>
    <n v="8940"/>
    <n v="16643"/>
    <n v="554.76666666666665"/>
    <n v="17221"/>
    <n v="574.0333333333333"/>
    <n v="3089"/>
    <n v="2735"/>
    <n v="16643"/>
    <n v="17221"/>
    <m/>
    <m/>
    <m/>
    <m/>
    <m/>
    <m/>
    <m/>
    <m/>
    <n v="0"/>
    <n v="0"/>
    <n v="0"/>
    <n v="0"/>
    <m/>
    <m/>
    <n v="0"/>
    <n v="0"/>
    <m/>
    <m/>
    <m/>
    <m/>
    <m/>
    <m/>
    <m/>
    <m/>
    <n v="0"/>
    <n v="0"/>
    <n v="0"/>
    <n v="0"/>
    <n v="554.76666666666665"/>
    <n v="574.0333333333333"/>
  </r>
  <r>
    <x v="1"/>
    <s v="University of Arkansas - Pulaski Technical College"/>
    <m/>
    <n v="107664"/>
    <x v="7"/>
    <s v="sem"/>
    <s v="sem"/>
    <m/>
    <m/>
    <n v="47677"/>
    <n v="51561"/>
    <n v="11302"/>
    <n v="11753"/>
    <n v="55272"/>
    <n v="49410"/>
    <n v="114251"/>
    <n v="3808.3666666666668"/>
    <n v="112724"/>
    <n v="3757.4666666666667"/>
    <n v="8471"/>
    <n v="5345"/>
    <n v="114251"/>
    <n v="112724"/>
    <m/>
    <m/>
    <m/>
    <m/>
    <m/>
    <m/>
    <m/>
    <m/>
    <n v="0"/>
    <n v="0"/>
    <n v="0"/>
    <n v="0"/>
    <m/>
    <m/>
    <n v="0"/>
    <n v="0"/>
    <m/>
    <m/>
    <m/>
    <m/>
    <m/>
    <m/>
    <m/>
    <m/>
    <n v="0"/>
    <n v="0"/>
    <n v="0"/>
    <n v="0"/>
    <n v="3808.3666666666668"/>
    <n v="3757.4666666666667"/>
  </r>
  <r>
    <x v="2"/>
    <s v="University of Delaware"/>
    <m/>
    <n v="130943"/>
    <x v="0"/>
    <m/>
    <m/>
    <n v="27893"/>
    <n v="27294"/>
    <n v="265680"/>
    <n v="264814"/>
    <n v="18429"/>
    <n v="29207"/>
    <n v="287289"/>
    <n v="279297"/>
    <n v="599291"/>
    <n v="19976.366666666665"/>
    <n v="600612"/>
    <n v="20020.400000000001"/>
    <m/>
    <m/>
    <n v="0"/>
    <n v="0"/>
    <m/>
    <m/>
    <m/>
    <m/>
    <m/>
    <m/>
    <m/>
    <m/>
    <n v="0"/>
    <n v="0"/>
    <n v="0"/>
    <n v="0"/>
    <m/>
    <m/>
    <n v="0"/>
    <n v="0"/>
    <n v="2292"/>
    <n v="2465"/>
    <n v="30363"/>
    <n v="30287"/>
    <n v="10297"/>
    <n v="8166"/>
    <n v="32900"/>
    <n v="33690"/>
    <n v="75852"/>
    <n v="3160.5"/>
    <n v="74608"/>
    <n v="3108.6666666666665"/>
    <n v="23136.866666666665"/>
    <n v="23129.066666666669"/>
  </r>
  <r>
    <x v="2"/>
    <s v="Delaware State University"/>
    <m/>
    <n v="130934"/>
    <x v="2"/>
    <m/>
    <m/>
    <m/>
    <m/>
    <n v="55845"/>
    <n v="58128"/>
    <n v="10297"/>
    <n v="10113"/>
    <n v="62039"/>
    <n v="63465"/>
    <n v="128181"/>
    <n v="4272.7"/>
    <n v="131706"/>
    <n v="4390.2"/>
    <m/>
    <m/>
    <n v="0"/>
    <n v="0"/>
    <m/>
    <m/>
    <m/>
    <m/>
    <m/>
    <m/>
    <m/>
    <m/>
    <n v="0"/>
    <n v="0"/>
    <n v="0"/>
    <n v="0"/>
    <m/>
    <m/>
    <n v="0"/>
    <n v="0"/>
    <m/>
    <m/>
    <n v="3186"/>
    <n v="3930"/>
    <n v="780"/>
    <n v="1429"/>
    <n v="3277"/>
    <n v="3995"/>
    <n v="7243"/>
    <n v="301.79166666666669"/>
    <n v="9354"/>
    <n v="389.75"/>
    <n v="4574.4916666666668"/>
    <n v="4779.95"/>
  </r>
  <r>
    <x v="2"/>
    <s v="Delaware Technical and Community College--Terry"/>
    <s v="Met the criteria for Two-Year with Bachelor's in 2019-20 and 2020-21. "/>
    <n v="130907"/>
    <x v="7"/>
    <m/>
    <m/>
    <m/>
    <m/>
    <n v="107651"/>
    <n v="100220"/>
    <n v="30148"/>
    <n v="32370"/>
    <n v="121988"/>
    <n v="116491"/>
    <n v="259787"/>
    <n v="8659.5666666666675"/>
    <n v="249081"/>
    <n v="8302.7000000000007"/>
    <m/>
    <m/>
    <n v="0"/>
    <n v="0"/>
    <m/>
    <m/>
    <m/>
    <m/>
    <m/>
    <m/>
    <m/>
    <m/>
    <n v="0"/>
    <n v="0"/>
    <n v="0"/>
    <n v="0"/>
    <m/>
    <m/>
    <n v="0"/>
    <n v="0"/>
    <m/>
    <m/>
    <m/>
    <m/>
    <m/>
    <m/>
    <m/>
    <m/>
    <n v="0"/>
    <n v="0"/>
    <n v="0"/>
    <n v="0"/>
    <n v="8659.5666666666675"/>
    <n v="8302.7000000000007"/>
  </r>
  <r>
    <x v="3"/>
    <s v="Eastern Florida State College"/>
    <m/>
    <n v="132693"/>
    <x v="12"/>
    <m/>
    <m/>
    <m/>
    <m/>
    <n v="127638"/>
    <n v="127669"/>
    <n v="50812"/>
    <n v="53421"/>
    <n v="134887"/>
    <n v="124032"/>
    <n v="313337"/>
    <n v="10444.566666666668"/>
    <n v="305122"/>
    <n v="10170.733333333334"/>
    <n v="60958"/>
    <n v="60572"/>
    <n v="313337"/>
    <n v="305122"/>
    <m/>
    <m/>
    <n v="140839"/>
    <n v="160119"/>
    <n v="39390"/>
    <n v="21876"/>
    <n v="119244"/>
    <n v="97947"/>
    <n v="299473"/>
    <n v="332.7477777777778"/>
    <n v="279942"/>
    <n v="311.04666666666668"/>
    <n v="23585"/>
    <n v="21860"/>
    <n v="299473"/>
    <n v="279942"/>
    <m/>
    <m/>
    <m/>
    <m/>
    <m/>
    <m/>
    <m/>
    <m/>
    <n v="0"/>
    <n v="0"/>
    <n v="0"/>
    <n v="0"/>
    <n v="10777.314444444446"/>
    <n v="10481.780000000001"/>
  </r>
  <r>
    <x v="3"/>
    <s v="Broward College "/>
    <m/>
    <n v="132709"/>
    <x v="12"/>
    <m/>
    <m/>
    <m/>
    <m/>
    <n v="325009"/>
    <n v="306238"/>
    <n v="165999"/>
    <n v="153503"/>
    <n v="335411"/>
    <n v="301326"/>
    <n v="826419"/>
    <n v="27547.3"/>
    <n v="761067"/>
    <n v="25368.9"/>
    <n v="76482"/>
    <n v="65528"/>
    <n v="826419"/>
    <n v="761067"/>
    <m/>
    <m/>
    <n v="97009"/>
    <n v="68290"/>
    <n v="73292"/>
    <n v="15576"/>
    <n v="56416"/>
    <n v="99592"/>
    <n v="226717"/>
    <n v="251.90777777777777"/>
    <n v="183458"/>
    <n v="203.84222222222223"/>
    <n v="7573"/>
    <n v="0"/>
    <n v="226717"/>
    <n v="183458"/>
    <m/>
    <m/>
    <m/>
    <m/>
    <m/>
    <m/>
    <m/>
    <m/>
    <n v="0"/>
    <n v="0"/>
    <n v="0"/>
    <n v="0"/>
    <n v="27799.207777777778"/>
    <n v="25572.742222222223"/>
  </r>
  <r>
    <x v="3"/>
    <s v="College of Central Florida"/>
    <m/>
    <n v="132851"/>
    <x v="12"/>
    <m/>
    <m/>
    <m/>
    <m/>
    <n v="59649"/>
    <n v="57789"/>
    <n v="23812"/>
    <n v="24432"/>
    <n v="62897"/>
    <n v="57082"/>
    <n v="146358"/>
    <n v="4878.6000000000004"/>
    <n v="139303"/>
    <n v="4643.4333333333334"/>
    <n v="20212"/>
    <n v="20511"/>
    <n v="146358"/>
    <n v="139303"/>
    <m/>
    <m/>
    <n v="46756"/>
    <n v="53333"/>
    <n v="46649"/>
    <n v="24476"/>
    <n v="67221"/>
    <n v="59275"/>
    <n v="160626"/>
    <n v="178.47333333333333"/>
    <n v="137084"/>
    <n v="152.31555555555556"/>
    <n v="4380"/>
    <n v="5910"/>
    <n v="160626"/>
    <n v="137084"/>
    <m/>
    <m/>
    <m/>
    <m/>
    <m/>
    <m/>
    <m/>
    <m/>
    <n v="0"/>
    <n v="0"/>
    <n v="0"/>
    <n v="0"/>
    <n v="5057.0733333333337"/>
    <n v="4795.7488888888893"/>
  </r>
  <r>
    <x v="3"/>
    <s v="Chipola College "/>
    <m/>
    <n v="133021"/>
    <x v="12"/>
    <m/>
    <m/>
    <m/>
    <m/>
    <n v="16328"/>
    <n v="15610"/>
    <n v="4708"/>
    <n v="5118"/>
    <n v="17344"/>
    <n v="16676"/>
    <n v="38380"/>
    <n v="1279.3333333333333"/>
    <n v="37404"/>
    <n v="1246.8"/>
    <n v="8009"/>
    <n v="7982"/>
    <n v="38380"/>
    <n v="37404"/>
    <m/>
    <m/>
    <n v="52324"/>
    <n v="46348"/>
    <n v="16415"/>
    <n v="27055"/>
    <n v="56749"/>
    <n v="60038"/>
    <n v="125488"/>
    <n v="139.43111111111111"/>
    <n v="133441"/>
    <n v="148.26777777777778"/>
    <n v="1020"/>
    <n v="3210"/>
    <n v="125488"/>
    <n v="133441"/>
    <m/>
    <m/>
    <m/>
    <m/>
    <m/>
    <m/>
    <m/>
    <m/>
    <n v="0"/>
    <n v="0"/>
    <n v="0"/>
    <n v="0"/>
    <n v="1418.7644444444443"/>
    <n v="1395.0677777777778"/>
  </r>
  <r>
    <x v="3"/>
    <s v="Daytona State College "/>
    <m/>
    <n v="133386"/>
    <x v="12"/>
    <m/>
    <m/>
    <m/>
    <m/>
    <n v="114978"/>
    <n v="116276"/>
    <n v="43369"/>
    <n v="44333"/>
    <n v="124666"/>
    <n v="118104"/>
    <n v="283013"/>
    <n v="9433.7666666666664"/>
    <n v="278713"/>
    <n v="9290.4333333333325"/>
    <n v="42775"/>
    <n v="42905"/>
    <n v="283013"/>
    <n v="278713"/>
    <m/>
    <m/>
    <n v="624866"/>
    <n v="548380"/>
    <n v="331309"/>
    <n v="252868"/>
    <n v="550959"/>
    <n v="460628"/>
    <n v="1507134"/>
    <n v="1674.5933333333332"/>
    <n v="1261876"/>
    <n v="1402.0844444444444"/>
    <n v="13935"/>
    <n v="10820"/>
    <n v="1507134"/>
    <n v="1261876"/>
    <m/>
    <m/>
    <m/>
    <m/>
    <m/>
    <m/>
    <m/>
    <m/>
    <n v="0"/>
    <n v="0"/>
    <n v="0"/>
    <n v="0"/>
    <n v="11108.36"/>
    <n v="10692.517777777777"/>
  </r>
  <r>
    <x v="3"/>
    <s v="Florida SouthWestern State College"/>
    <m/>
    <n v="133508"/>
    <x v="12"/>
    <m/>
    <m/>
    <m/>
    <m/>
    <n v="137759"/>
    <n v="131986"/>
    <n v="45142"/>
    <n v="41741"/>
    <n v="147596"/>
    <n v="136908"/>
    <n v="330497"/>
    <n v="11016.566666666668"/>
    <n v="310635"/>
    <n v="10354.5"/>
    <n v="52037"/>
    <n v="45171"/>
    <n v="330497"/>
    <n v="310635"/>
    <m/>
    <m/>
    <n v="4350"/>
    <n v="4800"/>
    <n v="8100"/>
    <n v="12450"/>
    <n v="3900"/>
    <n v="6720"/>
    <n v="16350"/>
    <n v="18.166666666666668"/>
    <n v="23970"/>
    <n v="26.633333333333333"/>
    <n v="0"/>
    <n v="0"/>
    <n v="16350"/>
    <n v="23970"/>
    <m/>
    <m/>
    <m/>
    <m/>
    <m/>
    <m/>
    <m/>
    <m/>
    <n v="0"/>
    <n v="0"/>
    <n v="0"/>
    <n v="0"/>
    <n v="11034.733333333334"/>
    <n v="10381.133333333333"/>
  </r>
  <r>
    <x v="3"/>
    <s v="Florida State College at Jacksonville"/>
    <m/>
    <n v="133702"/>
    <x v="12"/>
    <m/>
    <m/>
    <m/>
    <m/>
    <n v="184360"/>
    <n v="184397"/>
    <n v="101331"/>
    <n v="97946"/>
    <n v="194222"/>
    <n v="178559"/>
    <n v="479913"/>
    <n v="15997.1"/>
    <n v="460902"/>
    <n v="15363.4"/>
    <n v="42345"/>
    <n v="38431"/>
    <n v="479913"/>
    <n v="460902"/>
    <m/>
    <m/>
    <n v="376108"/>
    <n v="390805"/>
    <n v="322752"/>
    <n v="190314"/>
    <n v="404814"/>
    <n v="314158"/>
    <n v="1103674"/>
    <n v="1226.3044444444445"/>
    <n v="895277"/>
    <n v="994.75222222222226"/>
    <n v="7695"/>
    <n v="12148"/>
    <n v="1103674"/>
    <n v="895277"/>
    <m/>
    <m/>
    <m/>
    <m/>
    <m/>
    <m/>
    <m/>
    <m/>
    <n v="0"/>
    <n v="0"/>
    <n v="0"/>
    <n v="0"/>
    <n v="17223.404444444444"/>
    <n v="16358.152222222221"/>
  </r>
  <r>
    <x v="3"/>
    <s v="The College of the Florida Keys"/>
    <s v="Met the criteria for Two-Year with Bachelor's in 2018-19 and 2019-20. "/>
    <n v="133960"/>
    <x v="8"/>
    <m/>
    <m/>
    <m/>
    <m/>
    <n v="7596"/>
    <n v="8606"/>
    <n v="2614"/>
    <n v="2812"/>
    <n v="8752"/>
    <n v="9392"/>
    <n v="18962"/>
    <n v="632.06666666666672"/>
    <n v="20810"/>
    <n v="693.66666666666663"/>
    <n v="1604"/>
    <n v="2226"/>
    <n v="18962"/>
    <n v="20810"/>
    <m/>
    <m/>
    <n v="18815"/>
    <n v="31580"/>
    <n v="28486"/>
    <n v="19302"/>
    <n v="28210"/>
    <n v="31261"/>
    <n v="75511"/>
    <n v="83.901111111111106"/>
    <n v="82143"/>
    <n v="91.27"/>
    <n v="0"/>
    <n v="0"/>
    <n v="75511"/>
    <n v="82143"/>
    <m/>
    <m/>
    <m/>
    <m/>
    <m/>
    <m/>
    <m/>
    <m/>
    <n v="0"/>
    <n v="0"/>
    <n v="0"/>
    <n v="0"/>
    <n v="715.96777777777788"/>
    <n v="784.93666666666661"/>
  </r>
  <r>
    <x v="3"/>
    <s v="Gulf Coast State College "/>
    <m/>
    <n v="134343"/>
    <x v="12"/>
    <m/>
    <m/>
    <m/>
    <m/>
    <n v="37152"/>
    <n v="38945"/>
    <n v="10804"/>
    <n v="11191"/>
    <n v="42220"/>
    <n v="40033"/>
    <n v="90176"/>
    <n v="3005.8666666666668"/>
    <n v="90169"/>
    <n v="3005.6333333333332"/>
    <n v="11641"/>
    <n v="12056"/>
    <n v="90176"/>
    <n v="90169"/>
    <m/>
    <m/>
    <n v="50519"/>
    <n v="47862"/>
    <n v="20794"/>
    <n v="24107"/>
    <n v="43051"/>
    <n v="51646"/>
    <n v="114364"/>
    <n v="127.07111111111111"/>
    <n v="123615"/>
    <n v="137.35"/>
    <n v="0"/>
    <n v="0"/>
    <n v="114364"/>
    <n v="123615"/>
    <m/>
    <m/>
    <m/>
    <m/>
    <m/>
    <m/>
    <m/>
    <m/>
    <n v="0"/>
    <n v="0"/>
    <n v="0"/>
    <n v="0"/>
    <n v="3132.9377777777777"/>
    <n v="3142.9833333333331"/>
  </r>
  <r>
    <x v="3"/>
    <s v="Hillsborough Community College "/>
    <m/>
    <n v="134495"/>
    <x v="6"/>
    <m/>
    <m/>
    <m/>
    <m/>
    <n v="229697"/>
    <n v="237483"/>
    <n v="99322"/>
    <n v="96362"/>
    <n v="258930"/>
    <n v="232718"/>
    <n v="587949"/>
    <n v="19598.3"/>
    <n v="566563"/>
    <n v="18885.433333333334"/>
    <n v="68049"/>
    <n v="71752"/>
    <n v="587949"/>
    <n v="566563"/>
    <m/>
    <m/>
    <n v="919395"/>
    <n v="875049"/>
    <n v="125546"/>
    <n v="64272"/>
    <n v="921136"/>
    <n v="846842"/>
    <n v="1966077"/>
    <n v="2184.5300000000002"/>
    <n v="1786163"/>
    <n v="1984.6255555555556"/>
    <n v="0"/>
    <n v="0"/>
    <n v="1966077"/>
    <n v="1786163"/>
    <m/>
    <m/>
    <m/>
    <m/>
    <m/>
    <m/>
    <m/>
    <m/>
    <n v="0"/>
    <n v="0"/>
    <n v="0"/>
    <n v="0"/>
    <n v="21782.829999999998"/>
    <n v="20870.058888888889"/>
  </r>
  <r>
    <x v="3"/>
    <s v="Indian River State College "/>
    <m/>
    <n v="134608"/>
    <x v="12"/>
    <m/>
    <m/>
    <m/>
    <m/>
    <n v="122905"/>
    <n v="120054"/>
    <n v="60239"/>
    <n v="60010"/>
    <n v="133776"/>
    <n v="121224"/>
    <n v="316920"/>
    <n v="10564"/>
    <n v="301288"/>
    <n v="10042.933333333332"/>
    <n v="62559"/>
    <n v="63338"/>
    <n v="316920"/>
    <n v="301288"/>
    <m/>
    <m/>
    <n v="574551"/>
    <n v="626352"/>
    <n v="485683"/>
    <n v="275731"/>
    <n v="680440"/>
    <n v="376074"/>
    <n v="1740674"/>
    <n v="1934.0822222222223"/>
    <n v="1278157"/>
    <n v="1420.1744444444444"/>
    <n v="900"/>
    <n v="1500"/>
    <n v="1740674"/>
    <n v="1278157"/>
    <m/>
    <m/>
    <m/>
    <m/>
    <m/>
    <m/>
    <m/>
    <m/>
    <n v="0"/>
    <n v="0"/>
    <n v="0"/>
    <n v="0"/>
    <n v="12498.082222222223"/>
    <n v="11463.107777777777"/>
  </r>
  <r>
    <x v="3"/>
    <s v="Florida Gateway College"/>
    <m/>
    <n v="135160"/>
    <x v="12"/>
    <m/>
    <m/>
    <m/>
    <m/>
    <n v="25702"/>
    <n v="25259"/>
    <n v="11160"/>
    <n v="11539"/>
    <n v="27375"/>
    <n v="23619"/>
    <n v="64237"/>
    <n v="2141.2333333333331"/>
    <n v="60417"/>
    <n v="2013.9"/>
    <n v="14426"/>
    <n v="13299"/>
    <n v="64237"/>
    <n v="60417"/>
    <m/>
    <m/>
    <n v="99935"/>
    <n v="90149"/>
    <n v="51032"/>
    <n v="43816"/>
    <n v="101671"/>
    <n v="102831"/>
    <n v="252638"/>
    <n v="280.70888888888891"/>
    <n v="236796"/>
    <n v="263.10666666666668"/>
    <n v="5010"/>
    <n v="3000"/>
    <n v="252638"/>
    <n v="236796"/>
    <m/>
    <m/>
    <m/>
    <m/>
    <m/>
    <m/>
    <m/>
    <m/>
    <n v="0"/>
    <n v="0"/>
    <n v="0"/>
    <n v="0"/>
    <n v="2421.942222222222"/>
    <n v="2277.0066666666667"/>
  </r>
  <r>
    <x v="3"/>
    <s v="Lake-Sumter State College "/>
    <m/>
    <n v="135188"/>
    <x v="12"/>
    <m/>
    <m/>
    <m/>
    <m/>
    <n v="39511"/>
    <n v="39810"/>
    <n v="14596"/>
    <n v="15197"/>
    <n v="45055"/>
    <n v="42699"/>
    <n v="99162"/>
    <n v="3305.4"/>
    <n v="97706"/>
    <n v="3256.8666666666668"/>
    <n v="22443"/>
    <n v="24011"/>
    <n v="99162"/>
    <n v="97706"/>
    <m/>
    <m/>
    <n v="402"/>
    <n v="114"/>
    <n v="0"/>
    <n v="0"/>
    <n v="12"/>
    <n v="392"/>
    <n v="414"/>
    <n v="0.46"/>
    <n v="506"/>
    <n v="0.56222222222222218"/>
    <n v="0"/>
    <n v="0"/>
    <n v="414"/>
    <n v="506"/>
    <m/>
    <m/>
    <m/>
    <m/>
    <m/>
    <m/>
    <m/>
    <m/>
    <n v="0"/>
    <n v="0"/>
    <n v="0"/>
    <n v="0"/>
    <n v="3305.86"/>
    <n v="3257.4288888888891"/>
  </r>
  <r>
    <x v="3"/>
    <s v="State College of Florida, Manatee-Sarasota"/>
    <m/>
    <n v="135391"/>
    <x v="12"/>
    <m/>
    <m/>
    <m/>
    <m/>
    <n v="81772"/>
    <n v="81023"/>
    <n v="28244"/>
    <n v="30021"/>
    <n v="90625"/>
    <n v="86374"/>
    <n v="200641"/>
    <n v="6688.0333333333338"/>
    <n v="197418"/>
    <n v="6580.6"/>
    <n v="21261"/>
    <n v="16324"/>
    <n v="200641"/>
    <n v="197418"/>
    <m/>
    <m/>
    <n v="0"/>
    <n v="0"/>
    <n v="0"/>
    <n v="0"/>
    <n v="0"/>
    <n v="0"/>
    <n v="0"/>
    <n v="0"/>
    <n v="0"/>
    <n v="0"/>
    <n v="0"/>
    <n v="0"/>
    <n v="0"/>
    <n v="0"/>
    <m/>
    <m/>
    <m/>
    <m/>
    <m/>
    <m/>
    <m/>
    <m/>
    <n v="0"/>
    <n v="0"/>
    <n v="0"/>
    <n v="0"/>
    <n v="6688.0333333333338"/>
    <n v="6580.6"/>
  </r>
  <r>
    <x v="3"/>
    <s v="Miami Dade College "/>
    <m/>
    <n v="135717"/>
    <x v="12"/>
    <m/>
    <m/>
    <m/>
    <m/>
    <n v="521983"/>
    <n v="499096"/>
    <n v="253786"/>
    <n v="256784"/>
    <n v="549536"/>
    <n v="482907"/>
    <n v="1325305"/>
    <n v="44176.833333333336"/>
    <n v="1238787"/>
    <n v="41292.9"/>
    <n v="66974"/>
    <n v="68977"/>
    <n v="1325305"/>
    <n v="1238787"/>
    <m/>
    <m/>
    <n v="818338"/>
    <n v="890680"/>
    <n v="508754"/>
    <n v="204286"/>
    <n v="669159"/>
    <n v="358370"/>
    <n v="1996251"/>
    <n v="2218.0566666666668"/>
    <n v="1453336"/>
    <n v="1614.8177777777778"/>
    <n v="0"/>
    <n v="0"/>
    <n v="1996251"/>
    <n v="1453336"/>
    <m/>
    <m/>
    <m/>
    <m/>
    <m/>
    <m/>
    <m/>
    <m/>
    <n v="0"/>
    <n v="0"/>
    <n v="0"/>
    <n v="0"/>
    <n v="46394.89"/>
    <n v="42907.717777777776"/>
  </r>
  <r>
    <x v="3"/>
    <s v="North Florida College "/>
    <s v="Met the criteria for Two-Year with Bachelor's in 2019-20. "/>
    <n v="136145"/>
    <x v="8"/>
    <m/>
    <m/>
    <m/>
    <m/>
    <n v="8973"/>
    <n v="9113"/>
    <n v="3626"/>
    <n v="3207"/>
    <n v="9736"/>
    <n v="9612"/>
    <n v="22335"/>
    <n v="744.5"/>
    <n v="21932"/>
    <n v="731.06666666666672"/>
    <n v="6222"/>
    <n v="5402"/>
    <n v="22335"/>
    <n v="21932"/>
    <m/>
    <m/>
    <n v="35051"/>
    <n v="33721"/>
    <n v="9082"/>
    <n v="6640"/>
    <n v="40034"/>
    <n v="19838"/>
    <n v="84167"/>
    <n v="93.518888888888895"/>
    <n v="60199"/>
    <n v="66.887777777777771"/>
    <n v="6750"/>
    <n v="3150"/>
    <n v="84167"/>
    <n v="60199"/>
    <m/>
    <m/>
    <m/>
    <m/>
    <m/>
    <m/>
    <m/>
    <m/>
    <n v="0"/>
    <n v="0"/>
    <n v="0"/>
    <n v="0"/>
    <n v="838.01888888888891"/>
    <n v="797.95444444444445"/>
  </r>
  <r>
    <x v="3"/>
    <s v="Northwest Florida State College"/>
    <m/>
    <n v="136233"/>
    <x v="12"/>
    <m/>
    <m/>
    <m/>
    <m/>
    <n v="44162"/>
    <n v="44214"/>
    <n v="16931"/>
    <n v="18349"/>
    <n v="47721"/>
    <n v="42943"/>
    <n v="108814"/>
    <n v="3627.1333333333332"/>
    <n v="105506"/>
    <n v="3516.8666666666668"/>
    <n v="17594"/>
    <n v="18485"/>
    <n v="108814"/>
    <n v="105506"/>
    <m/>
    <m/>
    <n v="92244"/>
    <n v="102523"/>
    <n v="43221"/>
    <n v="7424"/>
    <n v="96908"/>
    <n v="86153"/>
    <n v="232373"/>
    <n v="258.1922222222222"/>
    <n v="196100"/>
    <n v="217.88888888888889"/>
    <n v="0"/>
    <n v="0"/>
    <n v="232373"/>
    <n v="196100"/>
    <m/>
    <m/>
    <m/>
    <m/>
    <m/>
    <m/>
    <m/>
    <m/>
    <n v="0"/>
    <n v="0"/>
    <n v="0"/>
    <n v="0"/>
    <n v="3885.3255555555552"/>
    <n v="3734.7555555555555"/>
  </r>
  <r>
    <x v="3"/>
    <s v="Palm Beach State College "/>
    <m/>
    <n v="136358"/>
    <x v="12"/>
    <m/>
    <m/>
    <m/>
    <m/>
    <n v="230004"/>
    <n v="220541"/>
    <n v="110682"/>
    <n v="120964"/>
    <n v="248628"/>
    <n v="218438"/>
    <n v="589314"/>
    <n v="19643.8"/>
    <n v="559943"/>
    <n v="18664.766666666666"/>
    <n v="38823"/>
    <n v="39731"/>
    <n v="589314"/>
    <n v="559943"/>
    <m/>
    <m/>
    <n v="543242"/>
    <n v="517305"/>
    <n v="290589"/>
    <n v="271739"/>
    <n v="547935"/>
    <n v="442577"/>
    <n v="1381766"/>
    <n v="1535.2955555555557"/>
    <n v="1231621"/>
    <n v="1368.4677777777779"/>
    <n v="6000"/>
    <n v="1920"/>
    <n v="1381766"/>
    <n v="1231621"/>
    <m/>
    <m/>
    <m/>
    <m/>
    <m/>
    <m/>
    <m/>
    <m/>
    <n v="0"/>
    <n v="0"/>
    <n v="0"/>
    <n v="0"/>
    <n v="21179.095555555556"/>
    <n v="20033.234444444446"/>
  </r>
  <r>
    <x v="3"/>
    <s v="Pasco-Hernando State College "/>
    <m/>
    <n v="136400"/>
    <x v="12"/>
    <m/>
    <m/>
    <m/>
    <m/>
    <n v="91099"/>
    <n v="92543"/>
    <n v="27731"/>
    <n v="29752"/>
    <n v="100467"/>
    <n v="90133"/>
    <n v="219297"/>
    <n v="7309.9"/>
    <n v="212428"/>
    <n v="7080.9333333333334"/>
    <n v="33817"/>
    <n v="37152"/>
    <n v="219297"/>
    <n v="212428"/>
    <m/>
    <m/>
    <n v="142999"/>
    <n v="114435"/>
    <n v="70489"/>
    <n v="12446"/>
    <n v="127151"/>
    <n v="59344"/>
    <n v="340639"/>
    <n v="378.48777777777775"/>
    <n v="186225"/>
    <n v="206.91666666666666"/>
    <n v="3150"/>
    <n v="2100"/>
    <n v="340639"/>
    <n v="186225"/>
    <m/>
    <m/>
    <m/>
    <m/>
    <m/>
    <m/>
    <m/>
    <m/>
    <n v="0"/>
    <n v="0"/>
    <n v="0"/>
    <n v="0"/>
    <n v="7688.387777777777"/>
    <n v="7287.85"/>
  </r>
  <r>
    <x v="3"/>
    <s v="Pensacola State College "/>
    <m/>
    <n v="136473"/>
    <x v="12"/>
    <m/>
    <m/>
    <m/>
    <m/>
    <n v="78978"/>
    <n v="77997"/>
    <n v="34592"/>
    <n v="30648"/>
    <n v="84562"/>
    <n v="78284"/>
    <n v="198132"/>
    <n v="6604.4"/>
    <n v="186929"/>
    <n v="6230.9666666666662"/>
    <n v="24047"/>
    <n v="26065"/>
    <n v="198132"/>
    <n v="186929"/>
    <m/>
    <m/>
    <n v="228830"/>
    <n v="173412"/>
    <n v="116764"/>
    <n v="64278"/>
    <n v="163440"/>
    <n v="133087"/>
    <n v="509034"/>
    <n v="565.59333333333336"/>
    <n v="370777"/>
    <n v="411.97444444444443"/>
    <n v="1350"/>
    <n v="2700"/>
    <n v="509034"/>
    <n v="370777"/>
    <m/>
    <m/>
    <m/>
    <m/>
    <m/>
    <m/>
    <m/>
    <m/>
    <n v="0"/>
    <n v="0"/>
    <n v="0"/>
    <n v="0"/>
    <n v="7169.9933333333329"/>
    <n v="6642.9411111111103"/>
  </r>
  <r>
    <x v="3"/>
    <s v="Polk State College "/>
    <m/>
    <n v="136516"/>
    <x v="12"/>
    <m/>
    <m/>
    <m/>
    <m/>
    <n v="79669"/>
    <n v="79005"/>
    <n v="29678"/>
    <n v="31004"/>
    <n v="87974"/>
    <n v="80269"/>
    <n v="197321"/>
    <n v="6577.3666666666668"/>
    <n v="190278"/>
    <n v="6342.6"/>
    <n v="20506"/>
    <n v="21372"/>
    <n v="197321"/>
    <n v="190278"/>
    <m/>
    <m/>
    <n v="39533"/>
    <n v="29514"/>
    <n v="24035"/>
    <n v="14739"/>
    <n v="42270"/>
    <n v="36752"/>
    <n v="105838"/>
    <n v="117.59777777777778"/>
    <n v="81005"/>
    <n v="90.00555555555556"/>
    <n v="0"/>
    <n v="0"/>
    <n v="105838"/>
    <n v="81005"/>
    <m/>
    <m/>
    <m/>
    <m/>
    <m/>
    <m/>
    <m/>
    <m/>
    <n v="0"/>
    <n v="0"/>
    <n v="0"/>
    <n v="0"/>
    <n v="6694.9644444444448"/>
    <n v="6432.6055555555558"/>
  </r>
  <r>
    <x v="3"/>
    <s v="St. Johns River State College "/>
    <m/>
    <n v="137281"/>
    <x v="12"/>
    <m/>
    <m/>
    <m/>
    <m/>
    <n v="53381"/>
    <n v="53848"/>
    <n v="21221"/>
    <n v="22640"/>
    <n v="60211"/>
    <n v="56936"/>
    <n v="134813"/>
    <n v="4493.7666666666664"/>
    <n v="133424"/>
    <n v="4447.4666666666662"/>
    <n v="33076"/>
    <n v="36232"/>
    <n v="134813"/>
    <n v="133424"/>
    <m/>
    <m/>
    <n v="56595"/>
    <n v="45624"/>
    <n v="26534"/>
    <n v="20984"/>
    <n v="67257"/>
    <n v="26343"/>
    <n v="150386"/>
    <n v="167.09555555555556"/>
    <n v="92951"/>
    <n v="103.27888888888889"/>
    <n v="2160"/>
    <n v="1320"/>
    <n v="150386"/>
    <n v="92951"/>
    <m/>
    <m/>
    <m/>
    <m/>
    <m/>
    <m/>
    <m/>
    <m/>
    <n v="0"/>
    <n v="0"/>
    <n v="0"/>
    <n v="0"/>
    <n v="4660.862222222222"/>
    <n v="4550.7455555555553"/>
  </r>
  <r>
    <x v="3"/>
    <s v="St. Petersburg College "/>
    <m/>
    <n v="137078"/>
    <x v="12"/>
    <m/>
    <m/>
    <m/>
    <m/>
    <n v="229861"/>
    <n v="224398"/>
    <n v="83065"/>
    <n v="82899"/>
    <n v="237537"/>
    <n v="215624"/>
    <n v="550463"/>
    <n v="18348.766666666666"/>
    <n v="522921"/>
    <n v="17430.7"/>
    <n v="46430"/>
    <n v="45611"/>
    <n v="550463"/>
    <n v="522921"/>
    <m/>
    <m/>
    <n v="94298"/>
    <n v="68153"/>
    <n v="33355"/>
    <n v="37279"/>
    <n v="74018"/>
    <n v="79586"/>
    <n v="201671"/>
    <n v="224.07888888888888"/>
    <n v="185018"/>
    <n v="205.57555555555555"/>
    <n v="0"/>
    <n v="0"/>
    <n v="201671"/>
    <n v="185018"/>
    <m/>
    <m/>
    <m/>
    <m/>
    <m/>
    <m/>
    <m/>
    <m/>
    <n v="0"/>
    <n v="0"/>
    <n v="0"/>
    <n v="0"/>
    <n v="18572.845555555556"/>
    <n v="17636.275555555556"/>
  </r>
  <r>
    <x v="3"/>
    <s v="Santa Fe College "/>
    <m/>
    <n v="137096"/>
    <x v="12"/>
    <m/>
    <m/>
    <m/>
    <m/>
    <n v="121470"/>
    <n v="118747"/>
    <n v="50029"/>
    <n v="48120"/>
    <n v="136281"/>
    <n v="122669"/>
    <n v="307780"/>
    <n v="10259.333333333334"/>
    <n v="289536"/>
    <n v="9651.2000000000007"/>
    <n v="20244"/>
    <n v="18539"/>
    <n v="307780"/>
    <n v="289536"/>
    <m/>
    <m/>
    <n v="265512"/>
    <n v="288901"/>
    <n v="187674"/>
    <n v="154479"/>
    <n v="295717"/>
    <n v="243304"/>
    <n v="748903"/>
    <n v="832.11444444444442"/>
    <n v="686684"/>
    <n v="762.98222222222228"/>
    <n v="1626"/>
    <n v="2118"/>
    <n v="748903"/>
    <n v="686684"/>
    <m/>
    <m/>
    <m/>
    <m/>
    <m/>
    <m/>
    <m/>
    <m/>
    <n v="0"/>
    <n v="0"/>
    <n v="0"/>
    <n v="0"/>
    <n v="11091.447777777779"/>
    <n v="10414.182222222224"/>
  </r>
  <r>
    <x v="3"/>
    <s v="Seminole State College of Florida"/>
    <m/>
    <n v="137209"/>
    <x v="12"/>
    <m/>
    <m/>
    <m/>
    <m/>
    <n v="129527"/>
    <n v="132321"/>
    <n v="60326"/>
    <n v="67365"/>
    <n v="143587"/>
    <n v="132878"/>
    <n v="333440"/>
    <n v="11114.666666666666"/>
    <n v="332564"/>
    <n v="11085.466666666667"/>
    <n v="16233"/>
    <n v="19486"/>
    <n v="333440"/>
    <n v="332564"/>
    <m/>
    <m/>
    <n v="559975"/>
    <n v="596078"/>
    <n v="392874"/>
    <n v="413902"/>
    <n v="607306"/>
    <n v="464010"/>
    <n v="1560155"/>
    <n v="1733.5055555555555"/>
    <n v="1473990"/>
    <n v="1637.7666666666667"/>
    <n v="0"/>
    <n v="0"/>
    <n v="1560155"/>
    <n v="1473990"/>
    <m/>
    <m/>
    <m/>
    <m/>
    <m/>
    <m/>
    <m/>
    <m/>
    <n v="0"/>
    <n v="0"/>
    <n v="0"/>
    <n v="0"/>
    <n v="12848.172222222222"/>
    <n v="12723.233333333334"/>
  </r>
  <r>
    <x v="3"/>
    <s v="South Florida State College "/>
    <m/>
    <n v="137315"/>
    <x v="12"/>
    <m/>
    <m/>
    <m/>
    <m/>
    <n v="19771"/>
    <n v="19465"/>
    <n v="6342"/>
    <n v="6124"/>
    <n v="21778"/>
    <n v="22581"/>
    <n v="47891"/>
    <n v="1596.3666666666666"/>
    <n v="48170"/>
    <n v="1605.6666666666667"/>
    <n v="8686"/>
    <n v="9093"/>
    <n v="47891"/>
    <n v="48170"/>
    <m/>
    <m/>
    <n v="262817"/>
    <n v="283005"/>
    <n v="117655"/>
    <n v="92292"/>
    <n v="320852"/>
    <n v="286330"/>
    <n v="701324"/>
    <n v="779.24888888888893"/>
    <n v="661627"/>
    <n v="735.14111111111106"/>
    <n v="67477"/>
    <n v="66660"/>
    <n v="701324"/>
    <n v="661627"/>
    <m/>
    <m/>
    <m/>
    <m/>
    <m/>
    <m/>
    <m/>
    <m/>
    <n v="0"/>
    <n v="0"/>
    <n v="0"/>
    <n v="0"/>
    <n v="2375.6155555555556"/>
    <n v="2340.807777777778"/>
  </r>
  <r>
    <x v="3"/>
    <s v="Tallahassee Community College "/>
    <s v="Met the criteria for Two-Year with Bachelor's in 2019-20. "/>
    <n v="137759"/>
    <x v="6"/>
    <m/>
    <m/>
    <m/>
    <m/>
    <n v="100103"/>
    <n v="99273"/>
    <n v="43500"/>
    <n v="42609"/>
    <n v="115349"/>
    <n v="110866"/>
    <n v="258952"/>
    <n v="8631.7333333333336"/>
    <n v="252748"/>
    <n v="8424.9333333333325"/>
    <n v="8859"/>
    <n v="10903"/>
    <n v="258952"/>
    <n v="252748"/>
    <m/>
    <m/>
    <n v="165651"/>
    <n v="135526"/>
    <n v="16587"/>
    <n v="5170"/>
    <n v="163256"/>
    <n v="127392"/>
    <n v="345494"/>
    <n v="383.8822222222222"/>
    <n v="268088"/>
    <n v="297.87555555555554"/>
    <n v="0"/>
    <n v="0"/>
    <n v="345494"/>
    <n v="268088"/>
    <m/>
    <m/>
    <m/>
    <m/>
    <m/>
    <m/>
    <m/>
    <m/>
    <n v="0"/>
    <n v="0"/>
    <n v="0"/>
    <n v="0"/>
    <n v="9015.6155555555561"/>
    <n v="8722.8088888888888"/>
  </r>
  <r>
    <x v="3"/>
    <s v="Valencia College "/>
    <m/>
    <n v="138187"/>
    <x v="12"/>
    <m/>
    <m/>
    <m/>
    <m/>
    <n v="382186"/>
    <n v="389871"/>
    <n v="175404"/>
    <n v="207915"/>
    <n v="426340"/>
    <n v="429906"/>
    <n v="983930"/>
    <n v="32797.666666666664"/>
    <n v="1027692"/>
    <n v="34256.400000000001"/>
    <n v="98132"/>
    <n v="111499"/>
    <n v="983930"/>
    <n v="1027692"/>
    <m/>
    <m/>
    <n v="100422"/>
    <n v="102098"/>
    <n v="68710"/>
    <n v="63163"/>
    <n v="91928"/>
    <n v="70970"/>
    <n v="261060"/>
    <n v="290.06666666666666"/>
    <n v="236231"/>
    <n v="262.47888888888889"/>
    <n v="0"/>
    <n v="0"/>
    <n v="261060"/>
    <n v="236231"/>
    <m/>
    <m/>
    <m/>
    <m/>
    <m/>
    <m/>
    <m/>
    <m/>
    <n v="0"/>
    <n v="0"/>
    <n v="0"/>
    <n v="0"/>
    <n v="33087.73333333333"/>
    <n v="34518.878888888888"/>
  </r>
  <r>
    <x v="4"/>
    <s v="Georgia State University "/>
    <m/>
    <n v="139940"/>
    <x v="0"/>
    <m/>
    <m/>
    <m/>
    <m/>
    <n v="484483"/>
    <n v="489543.5"/>
    <n v="136691"/>
    <n v="154606"/>
    <n v="530095"/>
    <n v="522155.5"/>
    <n v="1151269"/>
    <n v="38375.633333333331"/>
    <n v="1166305"/>
    <n v="38876.833333333336"/>
    <n v="26778.5"/>
    <n v="29104.5"/>
    <n v="1151269"/>
    <n v="1166305"/>
    <m/>
    <m/>
    <m/>
    <m/>
    <m/>
    <m/>
    <m/>
    <m/>
    <n v="0"/>
    <n v="0"/>
    <n v="0"/>
    <n v="0"/>
    <m/>
    <m/>
    <n v="0"/>
    <n v="0"/>
    <m/>
    <m/>
    <n v="87481"/>
    <n v="86346.5"/>
    <n v="47202.5"/>
    <n v="47864"/>
    <n v="90882.5"/>
    <n v="87426.5"/>
    <n v="225566"/>
    <n v="9398.5833333333339"/>
    <n v="221637"/>
    <n v="9234.875"/>
    <n v="47774.216666666667"/>
    <n v="48111.708333333336"/>
  </r>
  <r>
    <x v="4"/>
    <s v="University of Georgia"/>
    <m/>
    <n v="139959"/>
    <x v="0"/>
    <m/>
    <m/>
    <m/>
    <m/>
    <n v="388090.5"/>
    <n v="387828.5"/>
    <n v="73794"/>
    <n v="78267"/>
    <n v="405292.5"/>
    <n v="403765"/>
    <n v="867177"/>
    <n v="28905.9"/>
    <n v="869860.5"/>
    <n v="28995.35"/>
    <n v="546"/>
    <n v="819"/>
    <n v="867177"/>
    <n v="869860.5"/>
    <m/>
    <m/>
    <m/>
    <m/>
    <m/>
    <m/>
    <m/>
    <m/>
    <n v="0"/>
    <n v="0"/>
    <n v="0"/>
    <n v="0"/>
    <m/>
    <m/>
    <n v="0"/>
    <n v="0"/>
    <m/>
    <m/>
    <n v="113970.2"/>
    <n v="115495.8"/>
    <n v="48483.3"/>
    <n v="52548.1"/>
    <n v="118123.7"/>
    <n v="120898"/>
    <n v="280577.2"/>
    <n v="11690.716666666667"/>
    <n v="288941.90000000002"/>
    <n v="12039.245833333334"/>
    <n v="40596.616666666669"/>
    <n v="41034.595833333333"/>
  </r>
  <r>
    <x v="4"/>
    <s v="Georgia Institute of Technology"/>
    <m/>
    <n v="139755"/>
    <x v="1"/>
    <m/>
    <m/>
    <m/>
    <m/>
    <n v="195803"/>
    <n v="200200.97"/>
    <n v="44695"/>
    <n v="57738"/>
    <n v="215629.53"/>
    <n v="224031"/>
    <n v="456127.53"/>
    <n v="15204.251"/>
    <n v="481969.97"/>
    <n v="16065.665666666666"/>
    <n v="4173"/>
    <n v="4804"/>
    <n v="456127.53"/>
    <n v="481969.97"/>
    <m/>
    <m/>
    <m/>
    <m/>
    <m/>
    <m/>
    <m/>
    <m/>
    <n v="0"/>
    <n v="0"/>
    <n v="0"/>
    <n v="0"/>
    <m/>
    <m/>
    <n v="0"/>
    <n v="0"/>
    <m/>
    <m/>
    <n v="145863"/>
    <n v="154035.5"/>
    <n v="66190"/>
    <n v="78380.5"/>
    <n v="163852.5"/>
    <n v="170322.5"/>
    <n v="375905.5"/>
    <n v="15662.729166666666"/>
    <n v="402738.5"/>
    <n v="16780.770833333332"/>
    <n v="30866.980166666668"/>
    <n v="32846.436499999996"/>
  </r>
  <r>
    <x v="4"/>
    <s v="Georgia Southern University"/>
    <s v="Met the criteria for Four-Year 2 in 2019-20."/>
    <n v="139931"/>
    <x v="2"/>
    <m/>
    <m/>
    <m/>
    <m/>
    <n v="274778"/>
    <n v="267704"/>
    <n v="73334"/>
    <n v="75748"/>
    <n v="298227"/>
    <n v="304969"/>
    <n v="646339"/>
    <n v="21544.633333333335"/>
    <n v="648421"/>
    <n v="21614.033333333333"/>
    <n v="10905"/>
    <n v="12455"/>
    <n v="646339"/>
    <n v="648421"/>
    <m/>
    <m/>
    <m/>
    <m/>
    <m/>
    <m/>
    <m/>
    <m/>
    <n v="0"/>
    <n v="0"/>
    <n v="0"/>
    <n v="0"/>
    <m/>
    <m/>
    <n v="0"/>
    <n v="0"/>
    <m/>
    <m/>
    <n v="21942"/>
    <n v="22641"/>
    <n v="15781"/>
    <n v="17245"/>
    <n v="24012"/>
    <n v="25127"/>
    <n v="61735"/>
    <n v="2572.2916666666665"/>
    <n v="65013"/>
    <n v="2708.875"/>
    <n v="24116.925000000003"/>
    <n v="24322.908333333333"/>
  </r>
  <r>
    <x v="4"/>
    <s v="Kennesaw State University"/>
    <s v="Met the criteria for Four-Year 2 in 2019-20."/>
    <n v="486840"/>
    <x v="2"/>
    <m/>
    <m/>
    <m/>
    <m/>
    <n v="374370"/>
    <n v="393334"/>
    <n v="98853"/>
    <n v="117730"/>
    <n v="424298"/>
    <n v="456454"/>
    <n v="897521"/>
    <n v="29917.366666666665"/>
    <n v="967518"/>
    <n v="32250.6"/>
    <n v="13898"/>
    <n v="16415"/>
    <n v="897521"/>
    <n v="967518"/>
    <m/>
    <m/>
    <m/>
    <m/>
    <m/>
    <m/>
    <m/>
    <m/>
    <n v="0"/>
    <n v="0"/>
    <n v="0"/>
    <n v="0"/>
    <m/>
    <m/>
    <n v="0"/>
    <n v="0"/>
    <m/>
    <m/>
    <n v="20653"/>
    <n v="21164"/>
    <n v="12633.1"/>
    <n v="14408"/>
    <n v="23114"/>
    <n v="26283"/>
    <n v="56400.1"/>
    <n v="2350.0041666666666"/>
    <n v="61855"/>
    <n v="2577.2916666666665"/>
    <n v="32267.370833333331"/>
    <n v="34827.891666666663"/>
  </r>
  <r>
    <x v="4"/>
    <s v="University of West Georgia"/>
    <m/>
    <n v="141334"/>
    <x v="2"/>
    <m/>
    <m/>
    <m/>
    <m/>
    <n v="127200"/>
    <n v="119289"/>
    <n v="30937"/>
    <n v="34423"/>
    <n v="130258"/>
    <n v="126581"/>
    <n v="288395"/>
    <n v="9613.1666666666661"/>
    <n v="280293"/>
    <n v="9343.1"/>
    <n v="8570"/>
    <n v="9494"/>
    <n v="288395"/>
    <n v="280293"/>
    <m/>
    <m/>
    <m/>
    <m/>
    <m/>
    <m/>
    <m/>
    <m/>
    <n v="0"/>
    <n v="0"/>
    <n v="0"/>
    <n v="0"/>
    <m/>
    <m/>
    <n v="0"/>
    <n v="0"/>
    <m/>
    <m/>
    <n v="15771"/>
    <n v="16982"/>
    <n v="13787"/>
    <n v="16008"/>
    <n v="17782"/>
    <n v="19599"/>
    <n v="47340"/>
    <n v="1972.5"/>
    <n v="52589"/>
    <n v="2191.2083333333335"/>
    <n v="11585.666666666666"/>
    <n v="11534.308333333334"/>
  </r>
  <r>
    <x v="4"/>
    <s v="Valdosta State University "/>
    <m/>
    <n v="141264"/>
    <x v="2"/>
    <m/>
    <m/>
    <m/>
    <m/>
    <n v="100760"/>
    <n v="97569"/>
    <n v="24843"/>
    <n v="26198"/>
    <n v="107919"/>
    <n v="118153"/>
    <n v="233522"/>
    <n v="7784.0666666666666"/>
    <n v="241920"/>
    <n v="8064"/>
    <n v="3142"/>
    <n v="2715"/>
    <n v="233522"/>
    <n v="241920"/>
    <m/>
    <m/>
    <m/>
    <m/>
    <m/>
    <m/>
    <m/>
    <m/>
    <n v="0"/>
    <n v="0"/>
    <n v="0"/>
    <n v="0"/>
    <m/>
    <m/>
    <n v="0"/>
    <n v="0"/>
    <m/>
    <m/>
    <n v="16147"/>
    <n v="16822"/>
    <n v="13353"/>
    <n v="13479"/>
    <n v="17524"/>
    <n v="18156"/>
    <n v="47024"/>
    <n v="1959.3333333333333"/>
    <n v="48457"/>
    <n v="2019.0416666666667"/>
    <n v="9743.4"/>
    <n v="10083.041666666666"/>
  </r>
  <r>
    <x v="4"/>
    <s v="Albany State University "/>
    <m/>
    <n v="138716"/>
    <x v="3"/>
    <m/>
    <m/>
    <m/>
    <m/>
    <n v="64354"/>
    <n v="65480"/>
    <n v="17144"/>
    <n v="17594"/>
    <n v="70191"/>
    <n v="71883"/>
    <n v="151689"/>
    <n v="5056.3"/>
    <n v="154957"/>
    <n v="5165.2333333333336"/>
    <n v="7901"/>
    <n v="5732"/>
    <n v="151689"/>
    <n v="154957"/>
    <m/>
    <m/>
    <m/>
    <m/>
    <m/>
    <m/>
    <m/>
    <m/>
    <n v="0"/>
    <n v="0"/>
    <n v="0"/>
    <n v="0"/>
    <m/>
    <m/>
    <n v="0"/>
    <n v="0"/>
    <m/>
    <m/>
    <n v="2534"/>
    <n v="2348"/>
    <n v="1104"/>
    <n v="1549"/>
    <n v="2662"/>
    <n v="3136"/>
    <n v="6300"/>
    <n v="262.5"/>
    <n v="7033"/>
    <n v="293.04166666666669"/>
    <n v="5318.8"/>
    <n v="5458.2750000000005"/>
  </r>
  <r>
    <x v="4"/>
    <s v="Augusta University"/>
    <m/>
    <n v="482149"/>
    <x v="3"/>
    <m/>
    <m/>
    <m/>
    <m/>
    <n v="65225"/>
    <n v="66566"/>
    <n v="12703"/>
    <n v="14260"/>
    <n v="73498"/>
    <n v="73883"/>
    <n v="151426"/>
    <n v="5047.5333333333338"/>
    <n v="154709"/>
    <n v="5156.9666666666662"/>
    <n v="2874"/>
    <n v="3219"/>
    <n v="151426"/>
    <n v="154709"/>
    <m/>
    <m/>
    <m/>
    <m/>
    <m/>
    <m/>
    <m/>
    <m/>
    <n v="0"/>
    <n v="0"/>
    <n v="0"/>
    <n v="0"/>
    <m/>
    <m/>
    <n v="0"/>
    <n v="0"/>
    <m/>
    <m/>
    <n v="15687"/>
    <n v="16660"/>
    <n v="13202"/>
    <n v="14267"/>
    <n v="19368"/>
    <n v="21162"/>
    <n v="48257"/>
    <n v="2010.7083333333333"/>
    <n v="52089"/>
    <n v="2170.375"/>
    <n v="7058.2416666666668"/>
    <n v="7327.3416666666662"/>
  </r>
  <r>
    <x v="4"/>
    <s v="Clayton State University"/>
    <m/>
    <n v="139311"/>
    <x v="3"/>
    <m/>
    <m/>
    <m/>
    <m/>
    <n v="66921"/>
    <n v="65891"/>
    <n v="21666"/>
    <n v="21965"/>
    <n v="69758"/>
    <n v="68382"/>
    <n v="158345"/>
    <n v="5278.166666666667"/>
    <n v="156238"/>
    <n v="5207.9333333333334"/>
    <n v="16028"/>
    <n v="15116"/>
    <n v="158345"/>
    <n v="156238"/>
    <m/>
    <m/>
    <m/>
    <m/>
    <m/>
    <m/>
    <m/>
    <m/>
    <n v="0"/>
    <n v="0"/>
    <n v="0"/>
    <n v="0"/>
    <m/>
    <m/>
    <n v="0"/>
    <n v="0"/>
    <m/>
    <m/>
    <n v="3249"/>
    <n v="4081"/>
    <n v="1756"/>
    <n v="1884"/>
    <n v="3878"/>
    <n v="5431"/>
    <n v="8883"/>
    <n v="370.125"/>
    <n v="11396"/>
    <n v="474.83333333333331"/>
    <n v="5648.291666666667"/>
    <n v="5682.7666666666664"/>
  </r>
  <r>
    <x v="4"/>
    <s v="Columbus State University"/>
    <s v="Met the criteria for Four-Year 3 in 2018-19 and 2019-20."/>
    <n v="139366"/>
    <x v="3"/>
    <m/>
    <m/>
    <m/>
    <m/>
    <n v="77136"/>
    <n v="72906"/>
    <n v="15697"/>
    <n v="19205"/>
    <n v="78129"/>
    <n v="82191"/>
    <n v="170962"/>
    <n v="5698.7333333333336"/>
    <n v="174302"/>
    <n v="5810.0666666666666"/>
    <n v="5190"/>
    <n v="5391"/>
    <n v="170962"/>
    <n v="174302"/>
    <m/>
    <m/>
    <m/>
    <m/>
    <m/>
    <m/>
    <m/>
    <m/>
    <n v="0"/>
    <n v="0"/>
    <n v="0"/>
    <n v="0"/>
    <m/>
    <m/>
    <n v="0"/>
    <n v="0"/>
    <m/>
    <m/>
    <n v="9742"/>
    <n v="8917"/>
    <n v="5878"/>
    <n v="5784"/>
    <n v="9093"/>
    <n v="9925"/>
    <n v="24713"/>
    <n v="1029.7083333333333"/>
    <n v="24626"/>
    <n v="1026.0833333333333"/>
    <n v="6728.4416666666666"/>
    <n v="6836.15"/>
  </r>
  <r>
    <x v="4"/>
    <s v="Fort Valley State University"/>
    <s v="Reclassified Met the criteria for Four-Year 5 in 2018-19, 2019-20, and 2020-21."/>
    <n v="139719"/>
    <x v="4"/>
    <m/>
    <m/>
    <m/>
    <m/>
    <n v="30106"/>
    <n v="29115"/>
    <n v="6032"/>
    <n v="6608"/>
    <n v="31880"/>
    <n v="34115"/>
    <n v="68018"/>
    <n v="2267.2666666666669"/>
    <n v="69838"/>
    <n v="2327.9333333333334"/>
    <n v="611"/>
    <n v="506"/>
    <n v="68018"/>
    <n v="69838"/>
    <m/>
    <m/>
    <m/>
    <m/>
    <m/>
    <m/>
    <m/>
    <m/>
    <n v="0"/>
    <n v="0"/>
    <n v="0"/>
    <n v="0"/>
    <m/>
    <m/>
    <n v="0"/>
    <n v="0"/>
    <m/>
    <m/>
    <n v="2851"/>
    <n v="2231"/>
    <n v="1188"/>
    <n v="1056"/>
    <n v="2333"/>
    <n v="1896"/>
    <n v="6372"/>
    <n v="265.5"/>
    <n v="5183"/>
    <n v="215.95833333333334"/>
    <n v="2532.7666666666669"/>
    <n v="2543.8916666666669"/>
  </r>
  <r>
    <x v="4"/>
    <s v="Georgia College and State University"/>
    <m/>
    <n v="139861"/>
    <x v="3"/>
    <m/>
    <m/>
    <m/>
    <m/>
    <n v="76744"/>
    <n v="74524"/>
    <n v="19414"/>
    <n v="17617"/>
    <n v="80939"/>
    <n v="77021"/>
    <n v="177097"/>
    <n v="5903.2333333333336"/>
    <n v="169162"/>
    <n v="5638.7333333333336"/>
    <n v="737"/>
    <n v="594"/>
    <n v="177097"/>
    <n v="169162"/>
    <m/>
    <m/>
    <m/>
    <m/>
    <m/>
    <m/>
    <m/>
    <m/>
    <n v="0"/>
    <n v="0"/>
    <n v="0"/>
    <n v="0"/>
    <m/>
    <m/>
    <n v="0"/>
    <n v="0"/>
    <m/>
    <m/>
    <n v="7441"/>
    <n v="8338"/>
    <n v="7164"/>
    <n v="8364"/>
    <n v="8580"/>
    <n v="9005"/>
    <n v="23185"/>
    <n v="966.04166666666663"/>
    <n v="25707"/>
    <n v="1071.125"/>
    <n v="6869.2750000000005"/>
    <n v="6709.8583333333336"/>
  </r>
  <r>
    <x v="4"/>
    <s v="Georgia Southwestern State University"/>
    <s v="Met the criteria for Four-Year 5 in 2019-20."/>
    <n v="139764"/>
    <x v="3"/>
    <m/>
    <m/>
    <m/>
    <m/>
    <n v="26942"/>
    <n v="26236"/>
    <n v="7902"/>
    <n v="7961"/>
    <n v="28447"/>
    <n v="29121"/>
    <n v="63291"/>
    <n v="2109.6999999999998"/>
    <n v="63318"/>
    <n v="2110.6"/>
    <n v="2859"/>
    <n v="3066"/>
    <n v="63291"/>
    <n v="63318"/>
    <m/>
    <m/>
    <m/>
    <m/>
    <m/>
    <m/>
    <m/>
    <m/>
    <n v="0"/>
    <n v="0"/>
    <n v="0"/>
    <n v="0"/>
    <m/>
    <m/>
    <n v="0"/>
    <n v="0"/>
    <m/>
    <m/>
    <n v="2946"/>
    <n v="3137"/>
    <n v="4119"/>
    <n v="4486"/>
    <n v="3419"/>
    <n v="3890"/>
    <n v="10484"/>
    <n v="436.83333333333331"/>
    <n v="11513"/>
    <n v="479.70833333333331"/>
    <n v="2546.5333333333333"/>
    <n v="2590.3083333333334"/>
  </r>
  <r>
    <x v="4"/>
    <s v="University of North Georgia"/>
    <m/>
    <n v="482680"/>
    <x v="3"/>
    <m/>
    <m/>
    <m/>
    <m/>
    <n v="200223"/>
    <n v="198841"/>
    <n v="41098"/>
    <n v="48643"/>
    <n v="221729"/>
    <n v="219432"/>
    <n v="463050"/>
    <n v="15435"/>
    <n v="466916"/>
    <n v="15563.866666666667"/>
    <n v="20841"/>
    <n v="21184"/>
    <n v="463050"/>
    <n v="466916"/>
    <m/>
    <m/>
    <m/>
    <m/>
    <m/>
    <m/>
    <m/>
    <m/>
    <n v="0"/>
    <n v="0"/>
    <n v="0"/>
    <n v="0"/>
    <m/>
    <m/>
    <n v="0"/>
    <n v="0"/>
    <m/>
    <m/>
    <n v="5215"/>
    <n v="5434"/>
    <n v="4123"/>
    <n v="4498"/>
    <n v="5600"/>
    <n v="6014"/>
    <n v="14938"/>
    <n v="622.41666666666663"/>
    <n v="15946"/>
    <n v="664.41666666666663"/>
    <n v="16057.416666666666"/>
    <n v="16228.283333333333"/>
  </r>
  <r>
    <x v="4"/>
    <s v="Savannah State University"/>
    <s v="Met the criteria for Four-Year 4 in 2020-21."/>
    <n v="140960"/>
    <x v="4"/>
    <m/>
    <m/>
    <m/>
    <m/>
    <n v="46736"/>
    <n v="41787"/>
    <n v="9465"/>
    <n v="9058"/>
    <n v="47427"/>
    <n v="42382"/>
    <n v="103628"/>
    <n v="3454.2666666666669"/>
    <n v="93227"/>
    <n v="3107.5666666666666"/>
    <n v="2079"/>
    <n v="1709"/>
    <n v="103628"/>
    <n v="93227"/>
    <m/>
    <m/>
    <m/>
    <m/>
    <m/>
    <m/>
    <m/>
    <m/>
    <n v="0"/>
    <n v="0"/>
    <n v="0"/>
    <n v="0"/>
    <m/>
    <m/>
    <n v="0"/>
    <n v="0"/>
    <m/>
    <m/>
    <n v="1688"/>
    <n v="1689"/>
    <n v="387"/>
    <n v="607"/>
    <n v="1606"/>
    <n v="2244"/>
    <n v="3681"/>
    <n v="153.375"/>
    <n v="4540"/>
    <n v="189.16666666666666"/>
    <n v="3607.6416666666669"/>
    <n v="3296.7333333333331"/>
  </r>
  <r>
    <x v="4"/>
    <s v="Abraham Baldwin Agricultural College "/>
    <m/>
    <n v="138558"/>
    <x v="5"/>
    <m/>
    <m/>
    <m/>
    <m/>
    <n v="42933"/>
    <n v="39190"/>
    <n v="9366"/>
    <n v="8370"/>
    <n v="45340"/>
    <n v="45710"/>
    <n v="97639"/>
    <n v="3254.6333333333332"/>
    <n v="93270"/>
    <n v="3109"/>
    <n v="6837"/>
    <n v="5926"/>
    <n v="97639"/>
    <n v="93270"/>
    <m/>
    <m/>
    <m/>
    <m/>
    <m/>
    <m/>
    <m/>
    <m/>
    <n v="0"/>
    <n v="0"/>
    <n v="0"/>
    <n v="0"/>
    <m/>
    <m/>
    <n v="0"/>
    <n v="0"/>
    <m/>
    <m/>
    <m/>
    <m/>
    <m/>
    <m/>
    <m/>
    <m/>
    <n v="0"/>
    <n v="0"/>
    <n v="0"/>
    <n v="0"/>
    <n v="3254.6333333333332"/>
    <n v="3109"/>
  </r>
  <r>
    <x v="4"/>
    <s v="College of Coastal Georgia "/>
    <m/>
    <n v="139250"/>
    <x v="5"/>
    <m/>
    <m/>
    <m/>
    <m/>
    <n v="35927"/>
    <n v="35488"/>
    <n v="8691"/>
    <n v="9214"/>
    <n v="38423"/>
    <n v="36862"/>
    <n v="83041"/>
    <n v="2768.0333333333333"/>
    <n v="81564"/>
    <n v="2718.8"/>
    <n v="6911"/>
    <n v="6624"/>
    <n v="83041"/>
    <n v="81564"/>
    <m/>
    <m/>
    <m/>
    <m/>
    <m/>
    <m/>
    <m/>
    <m/>
    <n v="0"/>
    <n v="0"/>
    <n v="0"/>
    <n v="0"/>
    <m/>
    <m/>
    <n v="0"/>
    <n v="0"/>
    <m/>
    <m/>
    <m/>
    <m/>
    <m/>
    <m/>
    <m/>
    <m/>
    <n v="0"/>
    <n v="0"/>
    <n v="0"/>
    <n v="0"/>
    <n v="2768.0333333333333"/>
    <n v="2718.8"/>
  </r>
  <r>
    <x v="4"/>
    <s v="Dalton State College "/>
    <m/>
    <n v="139463"/>
    <x v="5"/>
    <m/>
    <m/>
    <m/>
    <m/>
    <n v="51609"/>
    <n v="49176"/>
    <n v="10809"/>
    <n v="11492"/>
    <n v="56205"/>
    <n v="53945"/>
    <n v="118623"/>
    <n v="3954.1"/>
    <n v="114613"/>
    <n v="3820.4333333333334"/>
    <n v="5757"/>
    <n v="5497"/>
    <n v="118623"/>
    <n v="114613"/>
    <m/>
    <m/>
    <m/>
    <m/>
    <m/>
    <m/>
    <m/>
    <m/>
    <n v="0"/>
    <n v="0"/>
    <n v="0"/>
    <n v="0"/>
    <m/>
    <m/>
    <n v="0"/>
    <n v="0"/>
    <m/>
    <m/>
    <m/>
    <m/>
    <m/>
    <m/>
    <m/>
    <m/>
    <n v="0"/>
    <n v="0"/>
    <n v="0"/>
    <n v="0"/>
    <n v="3954.1"/>
    <n v="3820.4333333333334"/>
  </r>
  <r>
    <x v="4"/>
    <s v="Georgia Gwinnett College"/>
    <m/>
    <n v="447689"/>
    <x v="5"/>
    <m/>
    <m/>
    <m/>
    <m/>
    <n v="134853"/>
    <n v="135738"/>
    <n v="26996"/>
    <n v="32797"/>
    <n v="150260"/>
    <n v="136317"/>
    <n v="312109"/>
    <n v="10403.633333333333"/>
    <n v="304852"/>
    <n v="10161.733333333334"/>
    <n v="11808"/>
    <n v="9397"/>
    <n v="312109"/>
    <n v="304852"/>
    <m/>
    <m/>
    <m/>
    <m/>
    <m/>
    <m/>
    <m/>
    <m/>
    <n v="0"/>
    <n v="0"/>
    <n v="0"/>
    <n v="0"/>
    <m/>
    <m/>
    <n v="0"/>
    <n v="0"/>
    <m/>
    <m/>
    <m/>
    <m/>
    <m/>
    <m/>
    <m/>
    <m/>
    <n v="0"/>
    <n v="0"/>
    <n v="0"/>
    <n v="0"/>
    <n v="10403.633333333333"/>
    <n v="10161.733333333334"/>
  </r>
  <r>
    <x v="4"/>
    <s v="Gordon State College "/>
    <m/>
    <n v="139968"/>
    <x v="5"/>
    <m/>
    <m/>
    <m/>
    <m/>
    <n v="37179"/>
    <n v="35631"/>
    <n v="5317"/>
    <n v="6452"/>
    <n v="40865"/>
    <n v="35552"/>
    <n v="83361"/>
    <n v="2778.7"/>
    <n v="77635"/>
    <n v="2587.8333333333335"/>
    <n v="7619"/>
    <n v="6863"/>
    <n v="83361"/>
    <n v="77635"/>
    <m/>
    <m/>
    <m/>
    <m/>
    <m/>
    <m/>
    <m/>
    <m/>
    <n v="0"/>
    <n v="0"/>
    <n v="0"/>
    <n v="0"/>
    <m/>
    <m/>
    <n v="0"/>
    <n v="0"/>
    <m/>
    <m/>
    <m/>
    <m/>
    <m/>
    <m/>
    <m/>
    <m/>
    <n v="0"/>
    <n v="0"/>
    <n v="0"/>
    <n v="0"/>
    <n v="2778.7"/>
    <n v="2587.8333333333335"/>
  </r>
  <r>
    <x v="4"/>
    <s v="Middle Georgia State College"/>
    <s v="Reclassified: Met the criteria for Four-Year 5 in 2018-19, 2019-20, and 2020-21."/>
    <n v="482158"/>
    <x v="4"/>
    <m/>
    <m/>
    <m/>
    <m/>
    <n v="77832"/>
    <n v="80927"/>
    <n v="21985"/>
    <n v="25127"/>
    <n v="86107"/>
    <n v="89079"/>
    <n v="185924"/>
    <n v="6197.4666666666662"/>
    <n v="195133"/>
    <n v="6504.4333333333334"/>
    <n v="7645"/>
    <n v="7546"/>
    <n v="185924"/>
    <n v="195133"/>
    <m/>
    <m/>
    <m/>
    <m/>
    <m/>
    <m/>
    <m/>
    <m/>
    <n v="0"/>
    <n v="0"/>
    <n v="0"/>
    <n v="0"/>
    <m/>
    <m/>
    <n v="0"/>
    <n v="0"/>
    <m/>
    <m/>
    <n v="1806"/>
    <n v="2194"/>
    <n v="924"/>
    <n v="1227"/>
    <n v="2004"/>
    <n v="3019"/>
    <n v="4734"/>
    <n v="197.25"/>
    <n v="6440"/>
    <n v="268.33333333333331"/>
    <n v="6394.7166666666662"/>
    <n v="6772.7666666666664"/>
  </r>
  <r>
    <x v="4"/>
    <s v="Atlanta Metropolitan State College"/>
    <m/>
    <n v="138901"/>
    <x v="12"/>
    <m/>
    <m/>
    <m/>
    <m/>
    <n v="20318"/>
    <n v="16128"/>
    <n v="6218"/>
    <n v="5644"/>
    <n v="17499"/>
    <n v="16441"/>
    <n v="44035"/>
    <n v="1467.8333333333333"/>
    <n v="38213"/>
    <n v="1273.7666666666667"/>
    <n v="2957"/>
    <n v="2030"/>
    <n v="44035"/>
    <n v="38213"/>
    <m/>
    <m/>
    <m/>
    <m/>
    <m/>
    <m/>
    <m/>
    <m/>
    <n v="0"/>
    <n v="0"/>
    <n v="0"/>
    <n v="0"/>
    <m/>
    <m/>
    <n v="0"/>
    <n v="0"/>
    <m/>
    <m/>
    <m/>
    <m/>
    <m/>
    <m/>
    <m/>
    <m/>
    <n v="0"/>
    <n v="0"/>
    <n v="0"/>
    <n v="0"/>
    <n v="1467.8333333333333"/>
    <n v="1273.7666666666667"/>
  </r>
  <r>
    <x v="4"/>
    <s v="East Georgia State College"/>
    <m/>
    <n v="139621"/>
    <x v="12"/>
    <m/>
    <m/>
    <m/>
    <m/>
    <n v="29103"/>
    <n v="26122"/>
    <n v="5468"/>
    <n v="5769"/>
    <n v="31567"/>
    <n v="25811"/>
    <n v="66138"/>
    <n v="2204.6"/>
    <n v="57702"/>
    <n v="1923.4"/>
    <n v="4642"/>
    <n v="3855"/>
    <n v="66138"/>
    <n v="57702"/>
    <m/>
    <m/>
    <m/>
    <m/>
    <m/>
    <m/>
    <m/>
    <m/>
    <n v="0"/>
    <n v="0"/>
    <n v="0"/>
    <n v="0"/>
    <m/>
    <m/>
    <n v="0"/>
    <n v="0"/>
    <m/>
    <m/>
    <m/>
    <m/>
    <m/>
    <m/>
    <m/>
    <m/>
    <n v="0"/>
    <n v="0"/>
    <n v="0"/>
    <n v="0"/>
    <n v="2204.6"/>
    <n v="1923.4"/>
  </r>
  <r>
    <x v="4"/>
    <s v="Georgia Highlands College"/>
    <m/>
    <n v="139700"/>
    <x v="12"/>
    <m/>
    <m/>
    <m/>
    <m/>
    <n v="56720"/>
    <n v="55957"/>
    <n v="13779"/>
    <n v="16355"/>
    <n v="62364"/>
    <n v="54578"/>
    <n v="132863"/>
    <n v="4428.7666666666664"/>
    <n v="126890"/>
    <n v="4229.666666666667"/>
    <n v="6193"/>
    <n v="6101"/>
    <n v="132863"/>
    <n v="126890"/>
    <m/>
    <m/>
    <m/>
    <m/>
    <m/>
    <m/>
    <m/>
    <m/>
    <n v="0"/>
    <n v="0"/>
    <n v="0"/>
    <n v="0"/>
    <m/>
    <m/>
    <n v="0"/>
    <n v="0"/>
    <m/>
    <m/>
    <m/>
    <m/>
    <m/>
    <m/>
    <m/>
    <m/>
    <n v="0"/>
    <n v="0"/>
    <n v="0"/>
    <n v="0"/>
    <n v="4428.7666666666664"/>
    <n v="4229.666666666667"/>
  </r>
  <r>
    <x v="4"/>
    <s v="South Georgia State College"/>
    <m/>
    <n v="482699"/>
    <x v="12"/>
    <m/>
    <m/>
    <m/>
    <m/>
    <n v="25962"/>
    <n v="24417"/>
    <n v="7286"/>
    <n v="7813"/>
    <n v="26496"/>
    <n v="21898"/>
    <n v="59744"/>
    <n v="1991.4666666666667"/>
    <n v="54128"/>
    <n v="1804.2666666666667"/>
    <n v="6628"/>
    <n v="5742"/>
    <n v="59744"/>
    <n v="54128"/>
    <m/>
    <m/>
    <m/>
    <m/>
    <m/>
    <m/>
    <m/>
    <m/>
    <n v="0"/>
    <n v="0"/>
    <n v="0"/>
    <n v="0"/>
    <m/>
    <m/>
    <n v="0"/>
    <n v="0"/>
    <m/>
    <m/>
    <m/>
    <m/>
    <m/>
    <m/>
    <m/>
    <m/>
    <n v="0"/>
    <n v="0"/>
    <n v="0"/>
    <n v="0"/>
    <n v="1991.4666666666667"/>
    <n v="1804.2666666666667"/>
  </r>
  <r>
    <x v="4"/>
    <s v="Albany Technical College"/>
    <m/>
    <n v="138682"/>
    <x v="9"/>
    <s v="sem"/>
    <s v="sem"/>
    <m/>
    <m/>
    <n v="27462"/>
    <n v="29119"/>
    <n v="17995"/>
    <n v="13007"/>
    <n v="31178"/>
    <n v="28638"/>
    <n v="76635"/>
    <n v="2554.5"/>
    <n v="70764"/>
    <n v="2358.8000000000002"/>
    <n v="11006"/>
    <n v="10674"/>
    <n v="76635"/>
    <n v="70764"/>
    <m/>
    <m/>
    <m/>
    <m/>
    <m/>
    <m/>
    <m/>
    <m/>
    <n v="0"/>
    <n v="0"/>
    <n v="0"/>
    <n v="0"/>
    <m/>
    <m/>
    <n v="0"/>
    <n v="0"/>
    <m/>
    <m/>
    <m/>
    <m/>
    <m/>
    <m/>
    <m/>
    <m/>
    <n v="0"/>
    <n v="0"/>
    <n v="0"/>
    <n v="0"/>
    <n v="2554.5"/>
    <n v="2358.8000000000002"/>
  </r>
  <r>
    <x v="4"/>
    <s v="Athens Technical College"/>
    <m/>
    <n v="246813"/>
    <x v="9"/>
    <s v="sem"/>
    <s v="sem"/>
    <m/>
    <m/>
    <n v="33812"/>
    <n v="32973"/>
    <n v="15486"/>
    <n v="13092"/>
    <n v="36996"/>
    <n v="33018"/>
    <n v="86294"/>
    <n v="2876.4666666666667"/>
    <n v="79083"/>
    <n v="2636.1"/>
    <n v="11811"/>
    <n v="11217"/>
    <n v="86294"/>
    <n v="79083"/>
    <m/>
    <m/>
    <m/>
    <m/>
    <m/>
    <m/>
    <m/>
    <m/>
    <n v="0"/>
    <n v="0"/>
    <n v="0"/>
    <n v="0"/>
    <m/>
    <m/>
    <n v="0"/>
    <n v="0"/>
    <m/>
    <m/>
    <m/>
    <m/>
    <m/>
    <m/>
    <m/>
    <m/>
    <n v="0"/>
    <n v="0"/>
    <n v="0"/>
    <n v="0"/>
    <n v="2876.4666666666667"/>
    <n v="2636.1"/>
  </r>
  <r>
    <x v="4"/>
    <s v="Atlanta Technical College"/>
    <m/>
    <n v="138840"/>
    <x v="9"/>
    <s v="sem"/>
    <s v="sem"/>
    <m/>
    <m/>
    <n v="34432"/>
    <n v="35461"/>
    <n v="18347"/>
    <n v="17655"/>
    <n v="34831"/>
    <n v="26787"/>
    <n v="87610"/>
    <n v="2920.3333333333335"/>
    <n v="79903"/>
    <n v="2663.4333333333334"/>
    <n v="3905"/>
    <n v="3673"/>
    <n v="87610"/>
    <n v="79903"/>
    <m/>
    <m/>
    <m/>
    <m/>
    <m/>
    <m/>
    <m/>
    <m/>
    <n v="0"/>
    <n v="0"/>
    <n v="0"/>
    <n v="0"/>
    <m/>
    <m/>
    <n v="0"/>
    <n v="0"/>
    <m/>
    <m/>
    <m/>
    <m/>
    <m/>
    <m/>
    <m/>
    <m/>
    <n v="0"/>
    <n v="0"/>
    <n v="0"/>
    <n v="0"/>
    <n v="2920.3333333333335"/>
    <n v="2663.4333333333334"/>
  </r>
  <r>
    <x v="4"/>
    <s v="Augusta Technical College"/>
    <m/>
    <n v="138956"/>
    <x v="9"/>
    <s v="sem"/>
    <s v="sem"/>
    <m/>
    <m/>
    <n v="37560"/>
    <n v="36493"/>
    <n v="19099"/>
    <n v="16661"/>
    <n v="39567"/>
    <n v="35152"/>
    <n v="96226"/>
    <n v="3207.5333333333333"/>
    <n v="88306"/>
    <n v="2943.5333333333333"/>
    <n v="7501"/>
    <n v="7116"/>
    <n v="96226"/>
    <n v="88306"/>
    <m/>
    <m/>
    <m/>
    <m/>
    <m/>
    <m/>
    <m/>
    <m/>
    <n v="0"/>
    <n v="0"/>
    <n v="0"/>
    <n v="0"/>
    <m/>
    <m/>
    <n v="0"/>
    <n v="0"/>
    <m/>
    <m/>
    <m/>
    <m/>
    <m/>
    <m/>
    <m/>
    <m/>
    <n v="0"/>
    <n v="0"/>
    <n v="0"/>
    <n v="0"/>
    <n v="3207.5333333333333"/>
    <n v="2943.5333333333333"/>
  </r>
  <r>
    <x v="4"/>
    <s v="Central Georgia Technical College"/>
    <m/>
    <n v="483045"/>
    <x v="9"/>
    <s v="sem"/>
    <s v="sem"/>
    <m/>
    <m/>
    <n v="63676"/>
    <n v="63217"/>
    <n v="34123"/>
    <n v="26185"/>
    <n v="69761"/>
    <n v="64637"/>
    <n v="167560"/>
    <n v="5585.333333333333"/>
    <n v="154039"/>
    <n v="5134.6333333333332"/>
    <n v="26969"/>
    <n v="27107"/>
    <n v="167560"/>
    <n v="154039"/>
    <m/>
    <m/>
    <m/>
    <m/>
    <m/>
    <m/>
    <m/>
    <m/>
    <n v="0"/>
    <n v="0"/>
    <n v="0"/>
    <n v="0"/>
    <m/>
    <m/>
    <n v="0"/>
    <n v="0"/>
    <m/>
    <m/>
    <m/>
    <m/>
    <m/>
    <m/>
    <m/>
    <m/>
    <n v="0"/>
    <n v="0"/>
    <n v="0"/>
    <n v="0"/>
    <n v="5585.333333333333"/>
    <n v="5134.6333333333332"/>
  </r>
  <r>
    <x v="4"/>
    <s v="Chattahoochee Technical College"/>
    <m/>
    <n v="140331"/>
    <x v="9"/>
    <s v="sem"/>
    <s v="sem"/>
    <m/>
    <m/>
    <n v="80430"/>
    <n v="82462"/>
    <n v="28075"/>
    <n v="29925"/>
    <n v="84859"/>
    <n v="78587"/>
    <n v="193364"/>
    <n v="6445.4666666666662"/>
    <n v="190974"/>
    <n v="6365.8"/>
    <n v="28113"/>
    <n v="25147"/>
    <n v="193364"/>
    <n v="190974"/>
    <m/>
    <m/>
    <m/>
    <m/>
    <m/>
    <m/>
    <m/>
    <m/>
    <n v="0"/>
    <n v="0"/>
    <n v="0"/>
    <n v="0"/>
    <m/>
    <m/>
    <n v="0"/>
    <n v="0"/>
    <m/>
    <m/>
    <m/>
    <m/>
    <m/>
    <m/>
    <m/>
    <m/>
    <n v="0"/>
    <n v="0"/>
    <n v="0"/>
    <n v="0"/>
    <n v="6445.4666666666662"/>
    <n v="6365.8"/>
  </r>
  <r>
    <x v="4"/>
    <s v="Coastal Pines Technical College"/>
    <m/>
    <n v="485458"/>
    <x v="9"/>
    <s v="sem"/>
    <s v="sem"/>
    <m/>
    <m/>
    <n v="29018"/>
    <n v="31363"/>
    <n v="10783"/>
    <n v="10768"/>
    <n v="32337"/>
    <n v="26551"/>
    <n v="72138"/>
    <n v="2404.6"/>
    <n v="68682"/>
    <n v="2289.4"/>
    <n v="31605"/>
    <n v="27850"/>
    <n v="72138"/>
    <n v="68682"/>
    <m/>
    <m/>
    <m/>
    <m/>
    <m/>
    <m/>
    <m/>
    <m/>
    <n v="0"/>
    <n v="0"/>
    <n v="0"/>
    <n v="0"/>
    <m/>
    <m/>
    <n v="0"/>
    <n v="0"/>
    <m/>
    <m/>
    <m/>
    <m/>
    <m/>
    <m/>
    <m/>
    <m/>
    <n v="0"/>
    <n v="0"/>
    <n v="0"/>
    <n v="0"/>
    <n v="2404.6"/>
    <n v="2289.4"/>
  </r>
  <r>
    <x v="4"/>
    <s v="Columbus Technical College"/>
    <m/>
    <n v="139357"/>
    <x v="9"/>
    <s v="sem"/>
    <s v="sem"/>
    <m/>
    <m/>
    <n v="27721"/>
    <n v="29210"/>
    <n v="14830"/>
    <n v="13111"/>
    <n v="30700"/>
    <n v="26172"/>
    <n v="73251"/>
    <n v="2441.6999999999998"/>
    <n v="68493"/>
    <n v="2283.1"/>
    <n v="9103"/>
    <n v="7619"/>
    <n v="73251"/>
    <n v="68493"/>
    <m/>
    <m/>
    <m/>
    <m/>
    <m/>
    <m/>
    <m/>
    <m/>
    <n v="0"/>
    <n v="0"/>
    <n v="0"/>
    <n v="0"/>
    <m/>
    <m/>
    <n v="0"/>
    <n v="0"/>
    <m/>
    <m/>
    <m/>
    <m/>
    <m/>
    <m/>
    <m/>
    <m/>
    <n v="0"/>
    <n v="0"/>
    <n v="0"/>
    <n v="0"/>
    <n v="2441.6999999999998"/>
    <n v="2283.1"/>
  </r>
  <r>
    <x v="4"/>
    <s v="Georgia Northwestern Technical College"/>
    <m/>
    <n v="139384"/>
    <x v="9"/>
    <s v="sem"/>
    <s v="sem"/>
    <m/>
    <m/>
    <n v="45881"/>
    <n v="51946"/>
    <n v="18691"/>
    <n v="20070"/>
    <n v="55379"/>
    <n v="55324"/>
    <n v="119951"/>
    <n v="3998.3666666666668"/>
    <n v="127340"/>
    <n v="4244.666666666667"/>
    <n v="29929"/>
    <n v="26412"/>
    <n v="119951"/>
    <n v="127340"/>
    <m/>
    <m/>
    <m/>
    <m/>
    <m/>
    <m/>
    <m/>
    <m/>
    <n v="0"/>
    <n v="0"/>
    <n v="0"/>
    <n v="0"/>
    <m/>
    <m/>
    <n v="0"/>
    <n v="0"/>
    <m/>
    <m/>
    <m/>
    <m/>
    <m/>
    <m/>
    <m/>
    <m/>
    <n v="0"/>
    <n v="0"/>
    <n v="0"/>
    <n v="0"/>
    <n v="3998.3666666666668"/>
    <n v="4244.666666666667"/>
  </r>
  <r>
    <x v="4"/>
    <s v="Georgia Piedmont Technical College"/>
    <m/>
    <n v="244446"/>
    <x v="9"/>
    <s v="sem"/>
    <s v="sem"/>
    <m/>
    <m/>
    <n v="27028"/>
    <n v="27791.5"/>
    <n v="13707"/>
    <n v="12043"/>
    <n v="28735"/>
    <n v="21083"/>
    <n v="69470"/>
    <n v="2315.6666666666665"/>
    <n v="60917.5"/>
    <n v="2030.5833333333333"/>
    <n v="16569"/>
    <n v="11902.5"/>
    <n v="69470"/>
    <n v="60917.5"/>
    <m/>
    <m/>
    <m/>
    <m/>
    <m/>
    <m/>
    <m/>
    <m/>
    <n v="0"/>
    <n v="0"/>
    <n v="0"/>
    <n v="0"/>
    <m/>
    <m/>
    <n v="0"/>
    <n v="0"/>
    <m/>
    <m/>
    <m/>
    <m/>
    <m/>
    <m/>
    <m/>
    <m/>
    <n v="0"/>
    <n v="0"/>
    <n v="0"/>
    <n v="0"/>
    <n v="2315.6666666666665"/>
    <n v="2030.5833333333333"/>
  </r>
  <r>
    <x v="4"/>
    <s v="Gwinnett Technical College"/>
    <m/>
    <n v="140012"/>
    <x v="9"/>
    <s v="sem"/>
    <s v="sem"/>
    <m/>
    <m/>
    <n v="71637"/>
    <n v="75208"/>
    <n v="23880"/>
    <n v="23404"/>
    <n v="76574"/>
    <n v="68037"/>
    <n v="172091"/>
    <n v="5736.3666666666668"/>
    <n v="166649"/>
    <n v="5554.9666666666662"/>
    <n v="24431"/>
    <n v="24675"/>
    <n v="172091"/>
    <n v="166649"/>
    <m/>
    <m/>
    <m/>
    <m/>
    <m/>
    <m/>
    <m/>
    <m/>
    <n v="0"/>
    <n v="0"/>
    <n v="0"/>
    <n v="0"/>
    <m/>
    <m/>
    <n v="0"/>
    <n v="0"/>
    <m/>
    <m/>
    <m/>
    <m/>
    <m/>
    <m/>
    <m/>
    <m/>
    <n v="0"/>
    <n v="0"/>
    <n v="0"/>
    <n v="0"/>
    <n v="5736.3666666666668"/>
    <n v="5554.9666666666662"/>
  </r>
  <r>
    <x v="4"/>
    <s v="Lanier Technical College"/>
    <m/>
    <n v="140243"/>
    <x v="9"/>
    <s v="sem"/>
    <s v="sem"/>
    <m/>
    <m/>
    <n v="33187"/>
    <n v="37624"/>
    <n v="14072"/>
    <n v="14745"/>
    <n v="38405"/>
    <n v="40793"/>
    <n v="85664"/>
    <n v="2855.4666666666667"/>
    <n v="93162"/>
    <n v="3105.4"/>
    <n v="14447"/>
    <n v="16131"/>
    <n v="85664"/>
    <n v="93162"/>
    <m/>
    <m/>
    <m/>
    <m/>
    <m/>
    <m/>
    <m/>
    <m/>
    <n v="0"/>
    <n v="0"/>
    <n v="0"/>
    <n v="0"/>
    <m/>
    <m/>
    <n v="0"/>
    <n v="0"/>
    <m/>
    <m/>
    <m/>
    <m/>
    <m/>
    <m/>
    <m/>
    <m/>
    <n v="0"/>
    <n v="0"/>
    <n v="0"/>
    <n v="0"/>
    <n v="2855.4666666666667"/>
    <n v="3105.4"/>
  </r>
  <r>
    <x v="4"/>
    <s v="North Georgia Technical College"/>
    <m/>
    <n v="140678"/>
    <x v="9"/>
    <s v="sem"/>
    <s v="sem"/>
    <m/>
    <m/>
    <n v="21619"/>
    <n v="23018"/>
    <n v="9732"/>
    <n v="9754"/>
    <n v="23608"/>
    <n v="22209"/>
    <n v="54959"/>
    <n v="1831.9666666666667"/>
    <n v="54981"/>
    <n v="1832.7"/>
    <n v="6225"/>
    <n v="6448"/>
    <n v="54959"/>
    <n v="54981"/>
    <m/>
    <m/>
    <m/>
    <m/>
    <m/>
    <m/>
    <m/>
    <m/>
    <n v="0"/>
    <n v="0"/>
    <n v="0"/>
    <n v="0"/>
    <m/>
    <m/>
    <n v="0"/>
    <n v="0"/>
    <m/>
    <m/>
    <m/>
    <m/>
    <m/>
    <m/>
    <m/>
    <m/>
    <n v="0"/>
    <n v="0"/>
    <n v="0"/>
    <n v="0"/>
    <n v="1831.9666666666667"/>
    <n v="1832.7"/>
  </r>
  <r>
    <x v="4"/>
    <s v="Oconee Fall Line Technical College"/>
    <m/>
    <n v="420431"/>
    <x v="9"/>
    <s v="sem"/>
    <s v="sem"/>
    <m/>
    <m/>
    <n v="11673"/>
    <n v="14403"/>
    <n v="7566"/>
    <n v="7254"/>
    <n v="15184"/>
    <n v="14203"/>
    <n v="34423"/>
    <n v="1147.4333333333334"/>
    <n v="35860"/>
    <n v="1195.3333333333333"/>
    <n v="4182"/>
    <n v="3697"/>
    <n v="34423"/>
    <n v="35860"/>
    <m/>
    <m/>
    <m/>
    <m/>
    <m/>
    <m/>
    <m/>
    <m/>
    <n v="0"/>
    <n v="0"/>
    <n v="0"/>
    <n v="0"/>
    <m/>
    <m/>
    <n v="0"/>
    <n v="0"/>
    <m/>
    <m/>
    <m/>
    <m/>
    <m/>
    <m/>
    <m/>
    <m/>
    <n v="0"/>
    <n v="0"/>
    <n v="0"/>
    <n v="0"/>
    <n v="1147.4333333333334"/>
    <n v="1195.3333333333333"/>
  </r>
  <r>
    <x v="4"/>
    <s v="Ogeechee Technical College"/>
    <m/>
    <n v="366465"/>
    <x v="9"/>
    <s v="sem"/>
    <s v="sem"/>
    <m/>
    <m/>
    <n v="19715"/>
    <n v="19373"/>
    <n v="10295"/>
    <n v="9918"/>
    <n v="20123"/>
    <n v="20188"/>
    <n v="50133"/>
    <n v="1671.1"/>
    <n v="49479"/>
    <n v="1649.3"/>
    <n v="4438"/>
    <n v="4768"/>
    <n v="50133"/>
    <n v="49479"/>
    <m/>
    <m/>
    <m/>
    <m/>
    <m/>
    <m/>
    <m/>
    <m/>
    <n v="0"/>
    <n v="0"/>
    <n v="0"/>
    <n v="0"/>
    <m/>
    <m/>
    <n v="0"/>
    <n v="0"/>
    <m/>
    <m/>
    <m/>
    <m/>
    <m/>
    <m/>
    <m/>
    <m/>
    <n v="0"/>
    <n v="0"/>
    <n v="0"/>
    <n v="0"/>
    <n v="1671.1"/>
    <n v="1649.3"/>
  </r>
  <r>
    <x v="4"/>
    <s v="Savannah Technical College"/>
    <m/>
    <n v="140942"/>
    <x v="9"/>
    <s v="sem"/>
    <s v="sem"/>
    <m/>
    <m/>
    <n v="34150"/>
    <n v="37047"/>
    <n v="15277"/>
    <n v="14136"/>
    <n v="38073"/>
    <n v="33744"/>
    <n v="87500"/>
    <n v="2916.6666666666665"/>
    <n v="84927"/>
    <n v="2830.9"/>
    <n v="8475"/>
    <n v="7575"/>
    <n v="87500"/>
    <n v="84927"/>
    <m/>
    <m/>
    <m/>
    <m/>
    <m/>
    <m/>
    <m/>
    <m/>
    <n v="0"/>
    <n v="0"/>
    <n v="0"/>
    <n v="0"/>
    <m/>
    <m/>
    <n v="0"/>
    <n v="0"/>
    <m/>
    <m/>
    <m/>
    <m/>
    <m/>
    <m/>
    <m/>
    <m/>
    <n v="0"/>
    <n v="0"/>
    <n v="0"/>
    <n v="0"/>
    <n v="2916.6666666666665"/>
    <n v="2830.9"/>
  </r>
  <r>
    <x v="4"/>
    <s v="South Georgia Technical College"/>
    <m/>
    <n v="141006"/>
    <x v="9"/>
    <s v="sem"/>
    <s v="sem"/>
    <m/>
    <m/>
    <n v="20432"/>
    <n v="19745"/>
    <n v="10127"/>
    <n v="8383"/>
    <n v="21354"/>
    <n v="17816"/>
    <n v="51913"/>
    <n v="1730.4333333333334"/>
    <n v="45944"/>
    <n v="1531.4666666666667"/>
    <n v="6525"/>
    <n v="5471"/>
    <n v="51913"/>
    <n v="45944"/>
    <m/>
    <m/>
    <m/>
    <m/>
    <m/>
    <m/>
    <m/>
    <m/>
    <n v="0"/>
    <n v="0"/>
    <n v="0"/>
    <n v="0"/>
    <m/>
    <m/>
    <n v="0"/>
    <n v="0"/>
    <m/>
    <m/>
    <m/>
    <m/>
    <m/>
    <m/>
    <m/>
    <m/>
    <n v="0"/>
    <n v="0"/>
    <n v="0"/>
    <n v="0"/>
    <n v="1730.4333333333334"/>
    <n v="1531.4666666666667"/>
  </r>
  <r>
    <x v="4"/>
    <s v="Southeastern Technical College"/>
    <m/>
    <n v="368911"/>
    <x v="9"/>
    <s v="sem"/>
    <s v="sem"/>
    <m/>
    <m/>
    <n v="14094"/>
    <n v="13711"/>
    <n v="6711"/>
    <n v="4956"/>
    <n v="15724"/>
    <n v="13708"/>
    <n v="36529"/>
    <n v="1217.6333333333334"/>
    <n v="32375"/>
    <n v="1079.1666666666667"/>
    <n v="8280"/>
    <n v="7721"/>
    <n v="36529"/>
    <n v="32375"/>
    <m/>
    <m/>
    <m/>
    <m/>
    <m/>
    <m/>
    <m/>
    <m/>
    <n v="0"/>
    <n v="0"/>
    <n v="0"/>
    <n v="0"/>
    <m/>
    <m/>
    <n v="0"/>
    <n v="0"/>
    <m/>
    <m/>
    <m/>
    <m/>
    <m/>
    <m/>
    <m/>
    <m/>
    <n v="0"/>
    <n v="0"/>
    <n v="0"/>
    <n v="0"/>
    <n v="1217.6333333333334"/>
    <n v="1079.1666666666667"/>
  </r>
  <r>
    <x v="4"/>
    <s v="Southern Crescent Technical College"/>
    <m/>
    <n v="139986"/>
    <x v="9"/>
    <s v="sem"/>
    <s v="sem"/>
    <m/>
    <m/>
    <n v="40998"/>
    <n v="43936"/>
    <n v="19668"/>
    <n v="19785"/>
    <n v="44272"/>
    <n v="43996"/>
    <n v="104938"/>
    <n v="3497.9333333333334"/>
    <n v="107717"/>
    <n v="3590.5666666666666"/>
    <n v="16553"/>
    <n v="16442"/>
    <n v="104938"/>
    <n v="107717"/>
    <m/>
    <m/>
    <m/>
    <m/>
    <m/>
    <m/>
    <m/>
    <m/>
    <n v="0"/>
    <n v="0"/>
    <n v="0"/>
    <n v="0"/>
    <m/>
    <m/>
    <n v="0"/>
    <n v="0"/>
    <m/>
    <m/>
    <m/>
    <m/>
    <m/>
    <m/>
    <m/>
    <m/>
    <n v="0"/>
    <n v="0"/>
    <n v="0"/>
    <n v="0"/>
    <n v="3497.9333333333334"/>
    <n v="3590.5666666666666"/>
  </r>
  <r>
    <x v="4"/>
    <s v="Southern Regional Technical College"/>
    <m/>
    <n v="487162"/>
    <x v="9"/>
    <s v="sem"/>
    <s v="sem"/>
    <m/>
    <m/>
    <n v="37017"/>
    <n v="41784"/>
    <n v="19085"/>
    <n v="16868"/>
    <n v="43103"/>
    <n v="35632"/>
    <n v="99205"/>
    <n v="3306.8333333333335"/>
    <n v="94284"/>
    <n v="3142.8"/>
    <n v="24245"/>
    <n v="22666"/>
    <n v="99205"/>
    <n v="94284"/>
    <m/>
    <m/>
    <m/>
    <m/>
    <m/>
    <m/>
    <m/>
    <m/>
    <n v="0"/>
    <n v="0"/>
    <n v="0"/>
    <n v="0"/>
    <m/>
    <m/>
    <n v="0"/>
    <n v="0"/>
    <m/>
    <m/>
    <m/>
    <m/>
    <m/>
    <m/>
    <m/>
    <m/>
    <n v="0"/>
    <n v="0"/>
    <n v="0"/>
    <n v="0"/>
    <n v="3306.8333333333335"/>
    <n v="3142.8"/>
  </r>
  <r>
    <x v="4"/>
    <s v="West Georgia Technical College"/>
    <m/>
    <n v="139278"/>
    <x v="9"/>
    <s v="sem"/>
    <s v="sem"/>
    <m/>
    <m/>
    <n v="56025"/>
    <n v="54321"/>
    <n v="21115"/>
    <n v="19948"/>
    <n v="57550"/>
    <n v="53630"/>
    <n v="134690"/>
    <n v="4489.666666666667"/>
    <n v="127899"/>
    <n v="4263.3"/>
    <n v="26107"/>
    <n v="23893"/>
    <n v="134690"/>
    <n v="127899"/>
    <m/>
    <m/>
    <m/>
    <m/>
    <m/>
    <m/>
    <m/>
    <m/>
    <n v="0"/>
    <n v="0"/>
    <n v="0"/>
    <n v="0"/>
    <m/>
    <m/>
    <n v="0"/>
    <n v="0"/>
    <m/>
    <m/>
    <m/>
    <m/>
    <m/>
    <m/>
    <m/>
    <m/>
    <n v="0"/>
    <n v="0"/>
    <n v="0"/>
    <n v="0"/>
    <n v="4489.666666666667"/>
    <n v="4263.3"/>
  </r>
  <r>
    <x v="4"/>
    <s v="Wiregrass Georgia Technical College"/>
    <m/>
    <n v="141255"/>
    <x v="9"/>
    <s v="sem"/>
    <s v="sem"/>
    <m/>
    <m/>
    <n v="34604"/>
    <n v="33759"/>
    <n v="13868"/>
    <n v="12252"/>
    <n v="35821"/>
    <n v="28581"/>
    <n v="84293"/>
    <n v="2809.7666666666669"/>
    <n v="74592"/>
    <n v="2486.4"/>
    <n v="28513"/>
    <n v="21147"/>
    <n v="84293"/>
    <n v="74592"/>
    <m/>
    <m/>
    <m/>
    <m/>
    <m/>
    <m/>
    <m/>
    <m/>
    <n v="0"/>
    <n v="0"/>
    <n v="0"/>
    <n v="0"/>
    <m/>
    <m/>
    <n v="0"/>
    <n v="0"/>
    <m/>
    <m/>
    <m/>
    <m/>
    <m/>
    <m/>
    <m/>
    <m/>
    <n v="0"/>
    <n v="0"/>
    <n v="0"/>
    <n v="0"/>
    <n v="2809.7666666666669"/>
    <n v="2486.4"/>
  </r>
  <r>
    <x v="5"/>
    <s v="University of Kentucky"/>
    <m/>
    <n v="157085"/>
    <x v="0"/>
    <m/>
    <m/>
    <m/>
    <m/>
    <n v="270444"/>
    <n v="275771"/>
    <n v="21426"/>
    <n v="30247"/>
    <n v="304171"/>
    <n v="299390"/>
    <n v="596041"/>
    <n v="19868.033333333333"/>
    <n v="605408"/>
    <n v="20180.266666666666"/>
    <n v="633"/>
    <n v="1620"/>
    <n v="596041"/>
    <n v="605408"/>
    <m/>
    <m/>
    <m/>
    <m/>
    <m/>
    <m/>
    <m/>
    <m/>
    <n v="0"/>
    <n v="0"/>
    <n v="0"/>
    <n v="0"/>
    <m/>
    <m/>
    <n v="0"/>
    <n v="0"/>
    <m/>
    <m/>
    <n v="36701"/>
    <n v="37086"/>
    <n v="5593"/>
    <n v="7637"/>
    <n v="38387"/>
    <n v="42473"/>
    <n v="80681"/>
    <n v="3361.7083333333335"/>
    <n v="87196"/>
    <n v="3633.1666666666665"/>
    <n v="23229.741666666665"/>
    <n v="23813.433333333334"/>
  </r>
  <r>
    <x v="5"/>
    <s v="University of Louisville"/>
    <m/>
    <n v="157289"/>
    <x v="0"/>
    <m/>
    <m/>
    <m/>
    <m/>
    <n v="168184"/>
    <n v="166769"/>
    <n v="31258"/>
    <n v="36751"/>
    <n v="183361.5"/>
    <n v="183918"/>
    <n v="382803.5"/>
    <n v="12760.116666666667"/>
    <n v="387438"/>
    <n v="12914.6"/>
    <n v="5128"/>
    <n v="6797"/>
    <n v="382803.5"/>
    <n v="387438"/>
    <m/>
    <m/>
    <m/>
    <m/>
    <m/>
    <m/>
    <m/>
    <m/>
    <n v="0"/>
    <n v="0"/>
    <n v="0"/>
    <n v="0"/>
    <m/>
    <m/>
    <n v="0"/>
    <n v="0"/>
    <m/>
    <m/>
    <n v="32255"/>
    <n v="32691"/>
    <n v="12325"/>
    <n v="14539"/>
    <n v="33520.5"/>
    <n v="37705"/>
    <n v="78100.5"/>
    <n v="3254.1875"/>
    <n v="84935"/>
    <n v="3538.9583333333335"/>
    <n v="16014.304166666667"/>
    <n v="16453.558333333334"/>
  </r>
  <r>
    <x v="5"/>
    <s v="Eastern Kentucky University "/>
    <m/>
    <n v="156620"/>
    <x v="2"/>
    <m/>
    <m/>
    <m/>
    <m/>
    <n v="150653"/>
    <n v="141295"/>
    <n v="16414"/>
    <n v="16651"/>
    <n v="158165.5"/>
    <n v="152426"/>
    <n v="325232.5"/>
    <n v="10841.083333333334"/>
    <n v="310372"/>
    <n v="10345.733333333334"/>
    <n v="9280.5"/>
    <n v="7642"/>
    <n v="325232.5"/>
    <n v="310372"/>
    <m/>
    <m/>
    <m/>
    <m/>
    <m/>
    <m/>
    <m/>
    <m/>
    <n v="0"/>
    <n v="0"/>
    <n v="0"/>
    <n v="0"/>
    <m/>
    <m/>
    <n v="0"/>
    <n v="0"/>
    <m/>
    <m/>
    <n v="16521"/>
    <n v="15295"/>
    <n v="8241.5"/>
    <n v="9177"/>
    <n v="15386"/>
    <n v="15926"/>
    <n v="40148.5"/>
    <n v="1672.8541666666667"/>
    <n v="40398"/>
    <n v="1683.25"/>
    <n v="12513.9375"/>
    <n v="12028.983333333334"/>
  </r>
  <r>
    <x v="5"/>
    <s v="Morehead State University "/>
    <m/>
    <n v="157386"/>
    <x v="2"/>
    <m/>
    <m/>
    <m/>
    <m/>
    <n v="89328"/>
    <n v="87269"/>
    <n v="6198"/>
    <n v="5859"/>
    <n v="96317"/>
    <n v="93643"/>
    <n v="191843"/>
    <n v="6394.7666666666664"/>
    <n v="186771"/>
    <n v="6225.7"/>
    <n v="24261"/>
    <n v="25179"/>
    <n v="191843"/>
    <n v="186771"/>
    <m/>
    <m/>
    <m/>
    <m/>
    <m/>
    <m/>
    <m/>
    <m/>
    <n v="0"/>
    <n v="0"/>
    <n v="0"/>
    <n v="0"/>
    <m/>
    <m/>
    <n v="0"/>
    <n v="0"/>
    <m/>
    <m/>
    <n v="4996"/>
    <n v="4201"/>
    <n v="2257"/>
    <n v="2422"/>
    <n v="4512"/>
    <n v="4395"/>
    <n v="11765"/>
    <n v="490.20833333333331"/>
    <n v="11018"/>
    <n v="459.08333333333331"/>
    <n v="6884.9749999999995"/>
    <n v="6684.7833333333328"/>
  </r>
  <r>
    <x v="5"/>
    <s v="Murray State University "/>
    <m/>
    <n v="157401"/>
    <x v="2"/>
    <m/>
    <m/>
    <m/>
    <m/>
    <n v="92327"/>
    <n v="90962"/>
    <n v="8202"/>
    <n v="9957"/>
    <n v="100724"/>
    <n v="98947"/>
    <n v="201253"/>
    <n v="6708.4333333333334"/>
    <n v="199866"/>
    <n v="6662.2"/>
    <n v="9437"/>
    <n v="7946"/>
    <n v="201253"/>
    <n v="199866"/>
    <m/>
    <m/>
    <m/>
    <m/>
    <m/>
    <m/>
    <m/>
    <m/>
    <n v="0"/>
    <n v="0"/>
    <n v="0"/>
    <n v="0"/>
    <m/>
    <m/>
    <n v="0"/>
    <n v="0"/>
    <m/>
    <m/>
    <n v="8227"/>
    <n v="8760"/>
    <n v="4168"/>
    <n v="4821"/>
    <n v="8519"/>
    <n v="9499"/>
    <n v="20914"/>
    <n v="871.41666666666663"/>
    <n v="23080"/>
    <n v="961.66666666666663"/>
    <n v="7579.85"/>
    <n v="7623.8666666666668"/>
  </r>
  <r>
    <x v="5"/>
    <s v="Northern Kentucky University "/>
    <m/>
    <n v="157447"/>
    <x v="2"/>
    <m/>
    <m/>
    <m/>
    <m/>
    <n v="19261"/>
    <n v="130198"/>
    <n v="13527"/>
    <n v="13441"/>
    <n v="143066"/>
    <n v="138589"/>
    <n v="175854"/>
    <n v="5861.8"/>
    <n v="282228"/>
    <n v="9407.6"/>
    <n v="13849"/>
    <n v="15782"/>
    <n v="175854"/>
    <n v="282228"/>
    <m/>
    <m/>
    <m/>
    <m/>
    <m/>
    <m/>
    <m/>
    <m/>
    <n v="0"/>
    <n v="0"/>
    <n v="0"/>
    <n v="0"/>
    <m/>
    <m/>
    <n v="0"/>
    <n v="0"/>
    <m/>
    <m/>
    <n v="20683"/>
    <n v="26985"/>
    <n v="12445"/>
    <n v="17449"/>
    <n v="24731"/>
    <n v="29069"/>
    <n v="57859"/>
    <n v="2410.7916666666665"/>
    <n v="73503"/>
    <n v="3062.625"/>
    <n v="8272.5916666666672"/>
    <n v="12470.225"/>
  </r>
  <r>
    <x v="5"/>
    <s v="Western Kentucky University "/>
    <m/>
    <n v="157951"/>
    <x v="2"/>
    <m/>
    <m/>
    <m/>
    <m/>
    <n v="184875"/>
    <n v="173682"/>
    <n v="20814"/>
    <n v="16979"/>
    <n v="192870"/>
    <n v="190497"/>
    <n v="398559"/>
    <n v="13285.3"/>
    <n v="381158"/>
    <n v="12705.266666666666"/>
    <n v="23832"/>
    <n v="20757"/>
    <n v="398559"/>
    <n v="381158"/>
    <m/>
    <m/>
    <m/>
    <m/>
    <m/>
    <m/>
    <m/>
    <m/>
    <n v="0"/>
    <n v="0"/>
    <n v="0"/>
    <n v="0"/>
    <m/>
    <m/>
    <n v="0"/>
    <n v="0"/>
    <m/>
    <m/>
    <n v="14978"/>
    <n v="14136"/>
    <n v="6234"/>
    <n v="6726"/>
    <n v="13531"/>
    <n v="13723"/>
    <n v="34743"/>
    <n v="1447.625"/>
    <n v="34585"/>
    <n v="1441.0416666666667"/>
    <n v="14732.924999999999"/>
    <n v="14146.308333333332"/>
  </r>
  <r>
    <x v="5"/>
    <s v="Kentucky State University "/>
    <s v="Met the criteria for Four-Year 6 in 2020-21."/>
    <n v="157058"/>
    <x v="3"/>
    <m/>
    <m/>
    <m/>
    <m/>
    <n v="19261"/>
    <n v="21887"/>
    <n v="2253"/>
    <n v="2277"/>
    <n v="22244.5"/>
    <n v="25449"/>
    <n v="43758.5"/>
    <n v="1458.6166666666666"/>
    <n v="49613"/>
    <n v="1653.7666666666667"/>
    <n v="6775"/>
    <n v="6607"/>
    <n v="43758.5"/>
    <n v="49613"/>
    <m/>
    <m/>
    <m/>
    <m/>
    <m/>
    <m/>
    <m/>
    <m/>
    <n v="0"/>
    <n v="0"/>
    <n v="0"/>
    <n v="0"/>
    <m/>
    <m/>
    <n v="0"/>
    <n v="0"/>
    <m/>
    <m/>
    <n v="711"/>
    <n v="857"/>
    <n v="103"/>
    <n v="126"/>
    <n v="889"/>
    <n v="931"/>
    <n v="1703"/>
    <n v="70.958333333333329"/>
    <n v="1914"/>
    <n v="79.75"/>
    <n v="1529.5749999999998"/>
    <n v="1733.5166666666667"/>
  </r>
  <r>
    <x v="5"/>
    <s v="Bluegrass Community and Technical College"/>
    <s v="Changed # from 157173 to 156392"/>
    <n v="156392"/>
    <x v="6"/>
    <m/>
    <m/>
    <m/>
    <m/>
    <n v="81042"/>
    <n v="88616"/>
    <n v="17584"/>
    <n v="18071"/>
    <n v="96875"/>
    <n v="95310"/>
    <n v="195501"/>
    <n v="6516.7"/>
    <n v="201997"/>
    <n v="6733.2333333333336"/>
    <n v="11685"/>
    <n v="14713"/>
    <n v="195501"/>
    <n v="201997"/>
    <m/>
    <m/>
    <m/>
    <m/>
    <m/>
    <m/>
    <m/>
    <m/>
    <n v="0"/>
    <n v="0"/>
    <n v="0"/>
    <n v="0"/>
    <m/>
    <m/>
    <n v="0"/>
    <n v="0"/>
    <m/>
    <m/>
    <m/>
    <m/>
    <m/>
    <m/>
    <m/>
    <m/>
    <n v="0"/>
    <n v="0"/>
    <n v="0"/>
    <n v="0"/>
    <n v="6516.7"/>
    <n v="6733.2333333333336"/>
  </r>
  <r>
    <x v="5"/>
    <s v="Jefferson Community and Technical College "/>
    <m/>
    <n v="156921"/>
    <x v="6"/>
    <m/>
    <m/>
    <m/>
    <m/>
    <n v="84733"/>
    <n v="85730"/>
    <n v="13230"/>
    <n v="11348"/>
    <n v="94065.7"/>
    <n v="91709"/>
    <n v="192028.7"/>
    <n v="6400.9566666666669"/>
    <n v="188787"/>
    <n v="6292.9"/>
    <n v="27799.5"/>
    <n v="32851"/>
    <n v="192028.7"/>
    <n v="188787"/>
    <m/>
    <m/>
    <m/>
    <m/>
    <m/>
    <m/>
    <m/>
    <m/>
    <n v="0"/>
    <n v="0"/>
    <n v="0"/>
    <n v="0"/>
    <m/>
    <m/>
    <n v="0"/>
    <n v="0"/>
    <m/>
    <m/>
    <m/>
    <m/>
    <m/>
    <m/>
    <m/>
    <m/>
    <n v="0"/>
    <n v="0"/>
    <n v="0"/>
    <n v="0"/>
    <n v="6400.9566666666669"/>
    <n v="6292.9"/>
  </r>
  <r>
    <x v="5"/>
    <s v="Big Sandy Community and Technical College "/>
    <s v="Met the criteria for Two-Year 3 in 2019-20 and 2020-21."/>
    <n v="157553"/>
    <x v="7"/>
    <m/>
    <m/>
    <m/>
    <m/>
    <n v="26653"/>
    <n v="24953"/>
    <n v="3727"/>
    <n v="2908"/>
    <n v="28954.1"/>
    <n v="25611"/>
    <n v="59334.1"/>
    <n v="1977.8033333333333"/>
    <n v="53472"/>
    <n v="1782.4"/>
    <n v="3736"/>
    <n v="3929"/>
    <n v="59334.1"/>
    <n v="53472"/>
    <m/>
    <m/>
    <m/>
    <m/>
    <m/>
    <m/>
    <m/>
    <m/>
    <n v="0"/>
    <n v="0"/>
    <n v="0"/>
    <n v="0"/>
    <m/>
    <m/>
    <n v="0"/>
    <n v="0"/>
    <m/>
    <m/>
    <m/>
    <m/>
    <m/>
    <m/>
    <m/>
    <m/>
    <n v="0"/>
    <n v="0"/>
    <n v="0"/>
    <n v="0"/>
    <n v="1977.8033333333333"/>
    <n v="1782.4"/>
  </r>
  <r>
    <x v="5"/>
    <s v="Elizabethtown Community and Technical College "/>
    <m/>
    <n v="156648"/>
    <x v="7"/>
    <m/>
    <m/>
    <m/>
    <m/>
    <n v="46026"/>
    <n v="44961"/>
    <n v="8943"/>
    <n v="7595"/>
    <n v="52319.6"/>
    <n v="48880"/>
    <n v="107288.6"/>
    <n v="3576.2866666666669"/>
    <n v="101436"/>
    <n v="3381.2"/>
    <n v="14608.6"/>
    <n v="16064"/>
    <n v="107288.6"/>
    <n v="101436"/>
    <m/>
    <m/>
    <m/>
    <m/>
    <m/>
    <m/>
    <m/>
    <m/>
    <n v="0"/>
    <n v="0"/>
    <n v="0"/>
    <n v="0"/>
    <m/>
    <m/>
    <n v="0"/>
    <n v="0"/>
    <m/>
    <m/>
    <m/>
    <m/>
    <m/>
    <m/>
    <m/>
    <m/>
    <n v="0"/>
    <n v="0"/>
    <n v="0"/>
    <n v="0"/>
    <n v="3576.2866666666669"/>
    <n v="3381.2"/>
  </r>
  <r>
    <x v="5"/>
    <s v="Maysville Community and Technical College "/>
    <m/>
    <n v="157331"/>
    <x v="7"/>
    <m/>
    <m/>
    <m/>
    <m/>
    <n v="28211"/>
    <n v="26671"/>
    <n v="4064"/>
    <n v="4445"/>
    <n v="32450.799999999999"/>
    <n v="30874"/>
    <n v="64725.8"/>
    <n v="2157.5266666666666"/>
    <n v="61990"/>
    <n v="2066.3333333333335"/>
    <n v="10506"/>
    <n v="9903"/>
    <n v="64725.8"/>
    <n v="61990"/>
    <m/>
    <m/>
    <m/>
    <m/>
    <m/>
    <m/>
    <m/>
    <m/>
    <n v="0"/>
    <n v="0"/>
    <n v="0"/>
    <n v="0"/>
    <m/>
    <m/>
    <n v="0"/>
    <n v="0"/>
    <m/>
    <m/>
    <m/>
    <m/>
    <m/>
    <m/>
    <m/>
    <m/>
    <n v="0"/>
    <n v="0"/>
    <n v="0"/>
    <n v="0"/>
    <n v="2157.5266666666666"/>
    <n v="2066.3333333333335"/>
  </r>
  <r>
    <x v="5"/>
    <s v="Owensboro Community and Technical College "/>
    <m/>
    <n v="247940"/>
    <x v="7"/>
    <m/>
    <m/>
    <m/>
    <m/>
    <n v="31436"/>
    <n v="32509"/>
    <n v="4747"/>
    <n v="4580"/>
    <n v="35311.699999999997"/>
    <n v="32713"/>
    <n v="71494.7"/>
    <n v="2383.1566666666668"/>
    <n v="69802"/>
    <n v="2326.7333333333331"/>
    <n v="15123.3"/>
    <n v="17253"/>
    <n v="71494.7"/>
    <n v="69802"/>
    <m/>
    <m/>
    <m/>
    <m/>
    <m/>
    <m/>
    <m/>
    <m/>
    <n v="0"/>
    <n v="0"/>
    <n v="0"/>
    <n v="0"/>
    <m/>
    <m/>
    <n v="0"/>
    <n v="0"/>
    <m/>
    <m/>
    <m/>
    <m/>
    <m/>
    <m/>
    <m/>
    <m/>
    <n v="0"/>
    <n v="0"/>
    <n v="0"/>
    <n v="0"/>
    <n v="2383.1566666666668"/>
    <n v="2326.7333333333331"/>
  </r>
  <r>
    <x v="5"/>
    <s v="Somerset Community and Technical College "/>
    <m/>
    <n v="157711"/>
    <x v="7"/>
    <m/>
    <m/>
    <m/>
    <m/>
    <n v="45376"/>
    <n v="41716"/>
    <n v="7765"/>
    <n v="6989"/>
    <n v="49358.2"/>
    <n v="44642"/>
    <n v="102499.2"/>
    <n v="3416.64"/>
    <n v="93347"/>
    <n v="3111.5666666666666"/>
    <n v="9303.6"/>
    <n v="9267"/>
    <n v="102499.2"/>
    <n v="93347"/>
    <m/>
    <m/>
    <m/>
    <m/>
    <m/>
    <m/>
    <m/>
    <m/>
    <n v="0"/>
    <n v="0"/>
    <n v="0"/>
    <n v="0"/>
    <m/>
    <m/>
    <n v="0"/>
    <n v="0"/>
    <m/>
    <m/>
    <m/>
    <m/>
    <m/>
    <m/>
    <m/>
    <m/>
    <n v="0"/>
    <n v="0"/>
    <n v="0"/>
    <n v="0"/>
    <n v="3416.64"/>
    <n v="3111.5666666666666"/>
  </r>
  <r>
    <x v="5"/>
    <s v="West Kentucky Community and Technical College"/>
    <m/>
    <n v="157483"/>
    <x v="7"/>
    <m/>
    <m/>
    <m/>
    <m/>
    <n v="41729"/>
    <n v="39758"/>
    <n v="7280"/>
    <n v="5990"/>
    <n v="45707.9"/>
    <n v="40072"/>
    <n v="94716.9"/>
    <n v="3157.23"/>
    <n v="85820"/>
    <n v="2860.6666666666665"/>
    <n v="8208.2999999999993"/>
    <n v="7738"/>
    <n v="94716.9"/>
    <n v="85820"/>
    <m/>
    <m/>
    <m/>
    <m/>
    <m/>
    <m/>
    <m/>
    <m/>
    <n v="0"/>
    <n v="0"/>
    <n v="0"/>
    <n v="0"/>
    <m/>
    <m/>
    <n v="0"/>
    <n v="0"/>
    <m/>
    <m/>
    <m/>
    <m/>
    <m/>
    <m/>
    <m/>
    <m/>
    <n v="0"/>
    <n v="0"/>
    <n v="0"/>
    <n v="0"/>
    <n v="3157.23"/>
    <n v="2860.6666666666665"/>
  </r>
  <r>
    <x v="5"/>
    <s v="Ashland Community and Technical College"/>
    <m/>
    <n v="156231"/>
    <x v="8"/>
    <m/>
    <m/>
    <m/>
    <m/>
    <n v="24064"/>
    <n v="24315"/>
    <n v="4890"/>
    <n v="4606"/>
    <n v="26500"/>
    <n v="24256"/>
    <n v="55454"/>
    <n v="1848.4666666666667"/>
    <n v="53177"/>
    <n v="1772.5666666666666"/>
    <n v="3239"/>
    <n v="4137"/>
    <n v="55454"/>
    <n v="53177"/>
    <m/>
    <m/>
    <m/>
    <m/>
    <m/>
    <m/>
    <m/>
    <m/>
    <n v="0"/>
    <n v="0"/>
    <n v="0"/>
    <n v="0"/>
    <m/>
    <m/>
    <n v="0"/>
    <n v="0"/>
    <m/>
    <m/>
    <m/>
    <m/>
    <m/>
    <m/>
    <m/>
    <m/>
    <n v="0"/>
    <n v="0"/>
    <n v="0"/>
    <n v="0"/>
    <n v="1848.4666666666667"/>
    <n v="1772.5666666666666"/>
  </r>
  <r>
    <x v="5"/>
    <s v="Hazard Community and Technical College"/>
    <m/>
    <n v="156790"/>
    <x v="8"/>
    <m/>
    <m/>
    <m/>
    <m/>
    <n v="22963"/>
    <n v="23361"/>
    <n v="5706"/>
    <n v="4702"/>
    <n v="26283"/>
    <n v="23406"/>
    <n v="54952"/>
    <n v="1831.7333333333333"/>
    <n v="51469"/>
    <n v="1715.6333333333334"/>
    <n v="8211.7999999999993"/>
    <n v="7608"/>
    <n v="54952"/>
    <n v="51469"/>
    <m/>
    <m/>
    <m/>
    <m/>
    <m/>
    <m/>
    <m/>
    <m/>
    <n v="0"/>
    <n v="0"/>
    <n v="0"/>
    <n v="0"/>
    <m/>
    <m/>
    <n v="0"/>
    <n v="0"/>
    <m/>
    <m/>
    <m/>
    <m/>
    <m/>
    <m/>
    <m/>
    <m/>
    <n v="0"/>
    <n v="0"/>
    <n v="0"/>
    <n v="0"/>
    <n v="1831.7333333333333"/>
    <n v="1715.6333333333334"/>
  </r>
  <r>
    <x v="5"/>
    <s v="Henderson Community College "/>
    <m/>
    <n v="156851"/>
    <x v="8"/>
    <m/>
    <m/>
    <m/>
    <m/>
    <n v="11109"/>
    <n v="10242"/>
    <n v="1722"/>
    <n v="1610"/>
    <n v="12972"/>
    <n v="11426"/>
    <n v="25803"/>
    <n v="860.1"/>
    <n v="23278"/>
    <n v="775.93333333333328"/>
    <n v="3690"/>
    <n v="3700"/>
    <n v="25803"/>
    <n v="23278"/>
    <m/>
    <m/>
    <m/>
    <m/>
    <m/>
    <m/>
    <m/>
    <m/>
    <n v="0"/>
    <n v="0"/>
    <n v="0"/>
    <n v="0"/>
    <m/>
    <m/>
    <n v="0"/>
    <n v="0"/>
    <m/>
    <m/>
    <m/>
    <m/>
    <m/>
    <m/>
    <m/>
    <m/>
    <n v="0"/>
    <n v="0"/>
    <n v="0"/>
    <n v="0"/>
    <n v="860.1"/>
    <n v="775.93333333333328"/>
  </r>
  <r>
    <x v="5"/>
    <s v="Hopkinsville Community College "/>
    <m/>
    <n v="156860"/>
    <x v="8"/>
    <m/>
    <m/>
    <m/>
    <m/>
    <n v="20978"/>
    <n v="19380"/>
    <n v="4493"/>
    <n v="3800"/>
    <n v="21635"/>
    <n v="17929"/>
    <n v="47106"/>
    <n v="1570.2"/>
    <n v="41109"/>
    <n v="1370.3"/>
    <n v="4355"/>
    <n v="4213"/>
    <n v="47106"/>
    <n v="41109"/>
    <m/>
    <m/>
    <m/>
    <m/>
    <m/>
    <m/>
    <m/>
    <m/>
    <n v="0"/>
    <n v="0"/>
    <n v="0"/>
    <n v="0"/>
    <m/>
    <m/>
    <n v="0"/>
    <n v="0"/>
    <m/>
    <m/>
    <m/>
    <m/>
    <m/>
    <m/>
    <m/>
    <m/>
    <n v="0"/>
    <n v="0"/>
    <n v="0"/>
    <n v="0"/>
    <n v="1570.2"/>
    <n v="1370.3"/>
  </r>
  <r>
    <x v="5"/>
    <s v="Madisonville Community College"/>
    <m/>
    <n v="157304"/>
    <x v="8"/>
    <m/>
    <m/>
    <m/>
    <m/>
    <n v="20373"/>
    <n v="21936"/>
    <n v="3624"/>
    <n v="3202"/>
    <n v="26664.1"/>
    <n v="27602"/>
    <n v="50661.1"/>
    <n v="1688.7033333333334"/>
    <n v="52740"/>
    <n v="1758"/>
    <n v="9777"/>
    <n v="11235"/>
    <n v="50661.1"/>
    <n v="52740"/>
    <m/>
    <m/>
    <m/>
    <m/>
    <m/>
    <m/>
    <m/>
    <m/>
    <n v="0"/>
    <n v="0"/>
    <n v="0"/>
    <n v="0"/>
    <m/>
    <m/>
    <n v="0"/>
    <n v="0"/>
    <m/>
    <m/>
    <m/>
    <m/>
    <m/>
    <m/>
    <m/>
    <m/>
    <n v="0"/>
    <n v="0"/>
    <n v="0"/>
    <n v="0"/>
    <n v="1688.7033333333334"/>
    <n v="1758"/>
  </r>
  <r>
    <x v="5"/>
    <s v="Southeast Kentucky Community and Technical College"/>
    <m/>
    <n v="157739"/>
    <x v="8"/>
    <m/>
    <m/>
    <m/>
    <m/>
    <n v="22553"/>
    <n v="21919"/>
    <n v="3450"/>
    <n v="3797"/>
    <n v="27700.3"/>
    <n v="22190"/>
    <n v="53703.3"/>
    <n v="1790.1100000000001"/>
    <n v="47906"/>
    <n v="1596.8666666666666"/>
    <n v="7467.2"/>
    <n v="6372"/>
    <n v="53703.3"/>
    <n v="47906"/>
    <m/>
    <m/>
    <m/>
    <m/>
    <m/>
    <m/>
    <m/>
    <m/>
    <n v="0"/>
    <n v="0"/>
    <n v="0"/>
    <n v="0"/>
    <m/>
    <m/>
    <n v="0"/>
    <n v="0"/>
    <m/>
    <m/>
    <m/>
    <m/>
    <m/>
    <m/>
    <m/>
    <m/>
    <n v="0"/>
    <n v="0"/>
    <n v="0"/>
    <n v="0"/>
    <n v="1790.1100000000001"/>
    <n v="1596.8666666666666"/>
  </r>
  <r>
    <x v="5"/>
    <s v="Gateway Community and Technical College"/>
    <m/>
    <n v="157438"/>
    <x v="9"/>
    <m/>
    <m/>
    <m/>
    <m/>
    <n v="31104"/>
    <n v="32838"/>
    <n v="6496"/>
    <n v="5869"/>
    <n v="36568.199999999997"/>
    <n v="35605"/>
    <n v="74168.2"/>
    <n v="2472.2733333333331"/>
    <n v="74312"/>
    <n v="2477.0666666666666"/>
    <n v="11804.5"/>
    <n v="16192"/>
    <n v="74168.2"/>
    <n v="74312"/>
    <m/>
    <m/>
    <m/>
    <m/>
    <m/>
    <m/>
    <m/>
    <m/>
    <n v="0"/>
    <n v="0"/>
    <n v="0"/>
    <n v="0"/>
    <m/>
    <m/>
    <n v="0"/>
    <n v="0"/>
    <m/>
    <m/>
    <m/>
    <m/>
    <m/>
    <m/>
    <m/>
    <m/>
    <n v="0"/>
    <n v="0"/>
    <n v="0"/>
    <n v="0"/>
    <n v="2472.2733333333331"/>
    <n v="2477.0666666666666"/>
  </r>
  <r>
    <x v="5"/>
    <s v="Southcentral Kentucky Community and Technical College"/>
    <m/>
    <n v="156338"/>
    <x v="9"/>
    <m/>
    <m/>
    <m/>
    <m/>
    <n v="35396"/>
    <n v="35020"/>
    <n v="5356"/>
    <n v="5423"/>
    <n v="39600.699999999997"/>
    <n v="36466"/>
    <n v="80352.7"/>
    <n v="2678.4233333333332"/>
    <n v="76909"/>
    <n v="2563.6333333333332"/>
    <n v="8476"/>
    <n v="8568"/>
    <n v="80352.7"/>
    <n v="76909"/>
    <m/>
    <m/>
    <m/>
    <m/>
    <m/>
    <m/>
    <m/>
    <m/>
    <n v="0"/>
    <n v="0"/>
    <n v="0"/>
    <n v="0"/>
    <m/>
    <m/>
    <n v="0"/>
    <n v="0"/>
    <m/>
    <m/>
    <m/>
    <m/>
    <m/>
    <m/>
    <m/>
    <m/>
    <n v="0"/>
    <n v="0"/>
    <n v="0"/>
    <n v="0"/>
    <n v="2678.4233333333332"/>
    <n v="2563.6333333333332"/>
  </r>
  <r>
    <x v="6"/>
    <s v="Louisiana State University and A&amp;M College"/>
    <m/>
    <n v="159391"/>
    <x v="0"/>
    <m/>
    <m/>
    <m/>
    <m/>
    <n v="319146"/>
    <n v="326452"/>
    <n v="28240"/>
    <n v="35899"/>
    <n v="354136"/>
    <n v="383012"/>
    <n v="701522"/>
    <n v="23384.066666666666"/>
    <n v="745363"/>
    <n v="24845.433333333334"/>
    <n v="13261"/>
    <n v="18051"/>
    <n v="701522"/>
    <n v="745363"/>
    <m/>
    <m/>
    <m/>
    <m/>
    <m/>
    <m/>
    <m/>
    <m/>
    <n v="0"/>
    <n v="0"/>
    <n v="0"/>
    <n v="0"/>
    <m/>
    <m/>
    <n v="0"/>
    <n v="0"/>
    <m/>
    <m/>
    <n v="60091"/>
    <n v="61894"/>
    <n v="15984"/>
    <n v="15907"/>
    <n v="67908.5"/>
    <n v="72436"/>
    <n v="143983.5"/>
    <n v="5999.3125"/>
    <n v="150237"/>
    <n v="6259.875"/>
    <n v="29383.379166666666"/>
    <n v="31105.308333333334"/>
  </r>
  <r>
    <x v="6"/>
    <s v="Louisiana Tech University "/>
    <m/>
    <n v="159647"/>
    <x v="1"/>
    <m/>
    <m/>
    <n v="78585"/>
    <n v="78275"/>
    <n v="82208"/>
    <n v="79379"/>
    <n v="13356"/>
    <n v="16240"/>
    <n v="92816"/>
    <n v="88718"/>
    <n v="266965"/>
    <n v="8898.8333333333339"/>
    <n v="262612"/>
    <n v="8753.7333333333336"/>
    <n v="19972"/>
    <n v="18238"/>
    <n v="266965"/>
    <n v="262612"/>
    <m/>
    <m/>
    <m/>
    <m/>
    <m/>
    <m/>
    <m/>
    <m/>
    <n v="0"/>
    <n v="0"/>
    <n v="0"/>
    <n v="0"/>
    <m/>
    <m/>
    <n v="0"/>
    <n v="0"/>
    <n v="5909"/>
    <n v="5933"/>
    <n v="6127"/>
    <n v="5693"/>
    <n v="3571"/>
    <n v="4402"/>
    <n v="6431"/>
    <n v="6060"/>
    <n v="22038"/>
    <n v="918.25"/>
    <n v="22088"/>
    <n v="920.33333333333337"/>
    <n v="9817.0833333333339"/>
    <n v="9674.0666666666675"/>
  </r>
  <r>
    <x v="6"/>
    <s v="University of Louisiana at Lafayette"/>
    <m/>
    <n v="160658"/>
    <x v="1"/>
    <m/>
    <m/>
    <m/>
    <m/>
    <n v="177885"/>
    <n v="170777"/>
    <n v="17740"/>
    <n v="17674"/>
    <n v="190623"/>
    <n v="179915"/>
    <n v="386248"/>
    <n v="12874.933333333332"/>
    <n v="368366"/>
    <n v="12278.866666666667"/>
    <n v="5307"/>
    <n v="5666"/>
    <n v="386248"/>
    <n v="368366"/>
    <m/>
    <m/>
    <m/>
    <m/>
    <m/>
    <m/>
    <m/>
    <m/>
    <n v="0"/>
    <n v="0"/>
    <n v="0"/>
    <n v="0"/>
    <m/>
    <m/>
    <n v="0"/>
    <n v="0"/>
    <m/>
    <m/>
    <n v="15803"/>
    <n v="17250"/>
    <n v="5192"/>
    <n v="5566"/>
    <n v="17724"/>
    <n v="18139"/>
    <n v="38719"/>
    <n v="1613.2916666666667"/>
    <n v="40955"/>
    <n v="1706.4583333333333"/>
    <n v="14488.224999999999"/>
    <n v="13985.325000000001"/>
  </r>
  <r>
    <x v="6"/>
    <s v="University of New Orleans"/>
    <m/>
    <n v="159939"/>
    <x v="1"/>
    <m/>
    <m/>
    <m/>
    <m/>
    <n v="72248"/>
    <n v="70359"/>
    <n v="13044"/>
    <n v="12645"/>
    <n v="80373"/>
    <n v="81430"/>
    <n v="165665"/>
    <n v="5522.166666666667"/>
    <n v="164434"/>
    <n v="5481.1333333333332"/>
    <n v="4929"/>
    <n v="5721"/>
    <n v="165665"/>
    <n v="164434"/>
    <m/>
    <m/>
    <m/>
    <m/>
    <m/>
    <m/>
    <m/>
    <m/>
    <n v="0"/>
    <n v="0"/>
    <n v="0"/>
    <n v="0"/>
    <m/>
    <m/>
    <n v="0"/>
    <n v="0"/>
    <m/>
    <m/>
    <n v="10099"/>
    <n v="9733"/>
    <n v="2402"/>
    <n v="2462"/>
    <n v="10810"/>
    <n v="10909"/>
    <n v="23311"/>
    <n v="971.29166666666663"/>
    <n v="23104"/>
    <n v="962.66666666666663"/>
    <n v="6493.4583333333339"/>
    <n v="6443.8"/>
  </r>
  <r>
    <x v="6"/>
    <s v="McNeese State University"/>
    <m/>
    <n v="159717"/>
    <x v="2"/>
    <m/>
    <m/>
    <m/>
    <m/>
    <n v="83295"/>
    <n v="80099"/>
    <n v="9599"/>
    <n v="9788"/>
    <n v="89545"/>
    <n v="88621"/>
    <n v="182439"/>
    <n v="6081.3"/>
    <n v="178508"/>
    <n v="5950.2666666666664"/>
    <n v="10902"/>
    <n v="10383"/>
    <n v="182439"/>
    <n v="178508"/>
    <m/>
    <m/>
    <m/>
    <m/>
    <m/>
    <m/>
    <m/>
    <m/>
    <n v="0"/>
    <n v="0"/>
    <n v="0"/>
    <n v="0"/>
    <m/>
    <m/>
    <n v="0"/>
    <n v="0"/>
    <m/>
    <m/>
    <n v="4575"/>
    <n v="4822"/>
    <n v="1131"/>
    <n v="1128"/>
    <n v="4897"/>
    <n v="4844"/>
    <n v="10603"/>
    <n v="441.79166666666669"/>
    <n v="10794"/>
    <n v="449.75"/>
    <n v="6523.0916666666672"/>
    <n v="6400.0166666666664"/>
  </r>
  <r>
    <x v="6"/>
    <s v="Southeastern Louisiana University "/>
    <m/>
    <n v="160612"/>
    <x v="2"/>
    <m/>
    <m/>
    <m/>
    <m/>
    <n v="149827"/>
    <n v="148193"/>
    <n v="17379"/>
    <n v="20271"/>
    <n v="159246"/>
    <n v="159852"/>
    <n v="326452"/>
    <n v="10881.733333333334"/>
    <n v="328316"/>
    <n v="10943.866666666667"/>
    <n v="21710"/>
    <n v="21118"/>
    <n v="326452"/>
    <n v="328316"/>
    <m/>
    <m/>
    <m/>
    <m/>
    <m/>
    <m/>
    <m/>
    <m/>
    <n v="0"/>
    <n v="0"/>
    <n v="0"/>
    <n v="0"/>
    <m/>
    <m/>
    <n v="0"/>
    <n v="0"/>
    <m/>
    <m/>
    <n v="6654"/>
    <n v="6429"/>
    <n v="3221"/>
    <n v="3257"/>
    <n v="6941"/>
    <n v="6864"/>
    <n v="16816"/>
    <n v="700.66666666666663"/>
    <n v="16550"/>
    <n v="689.58333333333337"/>
    <n v="11582.4"/>
    <n v="11633.45"/>
  </r>
  <r>
    <x v="6"/>
    <s v="Southern University and A&amp;M College at Baton Rouge "/>
    <m/>
    <n v="160621"/>
    <x v="2"/>
    <m/>
    <m/>
    <m/>
    <m/>
    <n v="70114"/>
    <n v="71066"/>
    <n v="9215"/>
    <n v="9929"/>
    <n v="79480"/>
    <n v="75953"/>
    <n v="158809"/>
    <n v="5293.6333333333332"/>
    <n v="156948"/>
    <n v="5231.6000000000004"/>
    <n v="2513"/>
    <n v="4646"/>
    <n v="158809"/>
    <n v="156948"/>
    <m/>
    <m/>
    <m/>
    <m/>
    <m/>
    <m/>
    <m/>
    <m/>
    <n v="0"/>
    <n v="0"/>
    <n v="0"/>
    <n v="0"/>
    <m/>
    <m/>
    <n v="0"/>
    <n v="0"/>
    <m/>
    <m/>
    <n v="6976"/>
    <n v="6492"/>
    <n v="1950"/>
    <n v="1942"/>
    <n v="6845"/>
    <n v="6389"/>
    <n v="15771"/>
    <n v="657.125"/>
    <n v="14823"/>
    <n v="617.625"/>
    <n v="5950.7583333333332"/>
    <n v="5849.2250000000004"/>
  </r>
  <r>
    <x v="6"/>
    <s v="University of Louisiana at Monroe"/>
    <m/>
    <n v="159993"/>
    <x v="2"/>
    <m/>
    <m/>
    <m/>
    <m/>
    <n v="85595"/>
    <n v="81683"/>
    <n v="8257"/>
    <n v="8060"/>
    <n v="86786"/>
    <n v="85933"/>
    <n v="180638"/>
    <n v="6021.2666666666664"/>
    <n v="175676"/>
    <n v="5855.8666666666668"/>
    <n v="12605"/>
    <n v="12228"/>
    <n v="180638"/>
    <n v="175676"/>
    <m/>
    <m/>
    <m/>
    <m/>
    <m/>
    <m/>
    <m/>
    <m/>
    <n v="0"/>
    <n v="0"/>
    <n v="0"/>
    <n v="0"/>
    <m/>
    <m/>
    <n v="0"/>
    <n v="0"/>
    <m/>
    <m/>
    <n v="15700"/>
    <n v="16651"/>
    <n v="5754"/>
    <n v="6409"/>
    <n v="17415"/>
    <n v="19271"/>
    <n v="38869"/>
    <n v="1619.5416666666667"/>
    <n v="42331"/>
    <n v="1763.7916666666667"/>
    <n v="7640.8083333333334"/>
    <n v="7619.6583333333338"/>
  </r>
  <r>
    <x v="6"/>
    <s v="Grambling State University"/>
    <m/>
    <n v="159009"/>
    <x v="3"/>
    <m/>
    <m/>
    <m/>
    <m/>
    <n v="52125"/>
    <n v="53059"/>
    <n v="9509"/>
    <n v="10394"/>
    <n v="58761"/>
    <n v="62849"/>
    <n v="120395"/>
    <n v="4013.1666666666665"/>
    <n v="126302"/>
    <n v="4210.0666666666666"/>
    <n v="201"/>
    <n v="318"/>
    <n v="120395"/>
    <n v="126302"/>
    <m/>
    <m/>
    <m/>
    <m/>
    <m/>
    <m/>
    <m/>
    <m/>
    <n v="0"/>
    <n v="0"/>
    <n v="0"/>
    <n v="0"/>
    <m/>
    <m/>
    <n v="0"/>
    <n v="0"/>
    <m/>
    <m/>
    <n v="7289"/>
    <n v="6996"/>
    <n v="3168"/>
    <n v="2957"/>
    <n v="7639"/>
    <n v="6393"/>
    <n v="18096"/>
    <n v="754"/>
    <n v="16346"/>
    <n v="681.08333333333337"/>
    <n v="4767.1666666666661"/>
    <n v="4891.1499999999996"/>
  </r>
  <r>
    <x v="6"/>
    <s v="Louisiana State University in Shreveport"/>
    <m/>
    <n v="159416"/>
    <x v="3"/>
    <m/>
    <m/>
    <m/>
    <m/>
    <n v="26007"/>
    <n v="26451"/>
    <n v="4865"/>
    <n v="5165"/>
    <n v="28983"/>
    <n v="29050"/>
    <n v="59855"/>
    <n v="1995.1666666666667"/>
    <n v="60666"/>
    <n v="2022.2"/>
    <n v="2506"/>
    <n v="2320"/>
    <n v="59855"/>
    <n v="60666"/>
    <m/>
    <m/>
    <m/>
    <m/>
    <m/>
    <m/>
    <m/>
    <m/>
    <n v="0"/>
    <n v="0"/>
    <n v="0"/>
    <n v="0"/>
    <m/>
    <m/>
    <n v="0"/>
    <n v="0"/>
    <m/>
    <m/>
    <n v="32137"/>
    <n v="39491"/>
    <n v="28466"/>
    <n v="37946"/>
    <n v="36813"/>
    <n v="47065"/>
    <n v="97416"/>
    <n v="4059"/>
    <n v="124502"/>
    <n v="5187.583333333333"/>
    <n v="6054.166666666667"/>
    <n v="7209.7833333333328"/>
  </r>
  <r>
    <x v="6"/>
    <s v="Nicholls State University "/>
    <m/>
    <n v="159966"/>
    <x v="3"/>
    <m/>
    <m/>
    <m/>
    <m/>
    <n v="71653"/>
    <n v="72441"/>
    <n v="7849"/>
    <n v="8204"/>
    <n v="79340"/>
    <n v="80548"/>
    <n v="158842"/>
    <n v="5294.7333333333336"/>
    <n v="161193"/>
    <n v="5373.1"/>
    <n v="1792"/>
    <n v="2797"/>
    <n v="158842"/>
    <n v="161193"/>
    <m/>
    <m/>
    <m/>
    <m/>
    <m/>
    <m/>
    <m/>
    <m/>
    <n v="0"/>
    <n v="0"/>
    <n v="0"/>
    <n v="0"/>
    <m/>
    <m/>
    <n v="0"/>
    <n v="0"/>
    <m/>
    <m/>
    <n v="4247"/>
    <n v="4521"/>
    <n v="1698"/>
    <n v="2182"/>
    <n v="4363"/>
    <n v="4810"/>
    <n v="10308"/>
    <n v="429.5"/>
    <n v="11513"/>
    <n v="479.70833333333331"/>
    <n v="5724.2333333333336"/>
    <n v="5852.8083333333334"/>
  </r>
  <r>
    <x v="6"/>
    <s v="Northwestern State University"/>
    <m/>
    <n v="160038"/>
    <x v="3"/>
    <m/>
    <m/>
    <m/>
    <m/>
    <n v="107797"/>
    <n v="106047"/>
    <n v="15708"/>
    <n v="16739"/>
    <n v="117171"/>
    <n v="116028"/>
    <n v="240676"/>
    <n v="8022.5333333333338"/>
    <n v="238814"/>
    <n v="7960.4666666666662"/>
    <n v="18051"/>
    <n v="21156"/>
    <n v="240676"/>
    <n v="238814"/>
    <m/>
    <m/>
    <m/>
    <m/>
    <m/>
    <m/>
    <m/>
    <m/>
    <n v="0"/>
    <n v="0"/>
    <n v="0"/>
    <n v="0"/>
    <m/>
    <m/>
    <n v="0"/>
    <n v="0"/>
    <m/>
    <m/>
    <n v="5408"/>
    <n v="5694"/>
    <n v="3154"/>
    <n v="3447"/>
    <n v="5967"/>
    <n v="6450"/>
    <n v="14529"/>
    <n v="605.375"/>
    <n v="15591"/>
    <n v="649.625"/>
    <n v="8627.9083333333328"/>
    <n v="8610.0916666666672"/>
  </r>
  <r>
    <x v="6"/>
    <s v="Southern University at New Orleans"/>
    <m/>
    <n v="160630"/>
    <x v="4"/>
    <m/>
    <m/>
    <m/>
    <m/>
    <n v="22074"/>
    <n v="20509"/>
    <n v="1939"/>
    <n v="1737"/>
    <n v="22264"/>
    <n v="19350"/>
    <n v="46277"/>
    <n v="1542.5666666666666"/>
    <n v="41596"/>
    <n v="1386.5333333333333"/>
    <n v="1494"/>
    <n v="2642"/>
    <n v="46277"/>
    <n v="41596"/>
    <m/>
    <m/>
    <m/>
    <m/>
    <m/>
    <m/>
    <m/>
    <m/>
    <n v="0"/>
    <n v="0"/>
    <n v="0"/>
    <n v="0"/>
    <m/>
    <m/>
    <n v="0"/>
    <n v="0"/>
    <m/>
    <m/>
    <n v="4383"/>
    <n v="3594"/>
    <n v="651"/>
    <n v="561"/>
    <n v="3840"/>
    <n v="2884"/>
    <n v="8874"/>
    <n v="369.75"/>
    <n v="7039"/>
    <n v="293.29166666666669"/>
    <n v="1912.3166666666666"/>
    <n v="1679.825"/>
  </r>
  <r>
    <x v="6"/>
    <s v="Louisiana State University at Alexandria"/>
    <m/>
    <n v="159382"/>
    <x v="5"/>
    <m/>
    <m/>
    <m/>
    <m/>
    <n v="30627"/>
    <n v="32413"/>
    <n v="8421"/>
    <n v="10183"/>
    <n v="35962"/>
    <n v="37939"/>
    <n v="75010"/>
    <n v="2500.3333333333335"/>
    <n v="80535"/>
    <n v="2684.5"/>
    <n v="5600"/>
    <n v="5643"/>
    <n v="75010"/>
    <n v="80535"/>
    <m/>
    <m/>
    <m/>
    <m/>
    <m/>
    <m/>
    <m/>
    <m/>
    <n v="0"/>
    <n v="0"/>
    <n v="0"/>
    <n v="0"/>
    <m/>
    <m/>
    <n v="0"/>
    <n v="0"/>
    <m/>
    <m/>
    <n v="0"/>
    <n v="0"/>
    <n v="0"/>
    <n v="0"/>
    <n v="0"/>
    <n v="0"/>
    <n v="0"/>
    <n v="0"/>
    <n v="0"/>
    <n v="0"/>
    <n v="2500.3333333333335"/>
    <n v="2684.5"/>
  </r>
  <r>
    <x v="6"/>
    <s v="Baton Rouge Community College"/>
    <m/>
    <n v="437103"/>
    <x v="6"/>
    <m/>
    <m/>
    <m/>
    <m/>
    <n v="72063"/>
    <n v="67303"/>
    <n v="16546"/>
    <n v="15972"/>
    <n v="78188"/>
    <n v="71622"/>
    <n v="166797"/>
    <n v="5559.9"/>
    <n v="154897"/>
    <n v="5163.2333333333336"/>
    <n v="3641"/>
    <n v="3860"/>
    <n v="166797"/>
    <n v="154897"/>
    <m/>
    <m/>
    <m/>
    <m/>
    <m/>
    <m/>
    <m/>
    <m/>
    <n v="0"/>
    <n v="0"/>
    <n v="0"/>
    <n v="0"/>
    <m/>
    <m/>
    <n v="0"/>
    <n v="0"/>
    <m/>
    <m/>
    <n v="0"/>
    <n v="0"/>
    <n v="0"/>
    <n v="0"/>
    <n v="0"/>
    <n v="0"/>
    <n v="0"/>
    <n v="0"/>
    <n v="0"/>
    <n v="0"/>
    <n v="5559.9"/>
    <n v="5163.2333333333336"/>
  </r>
  <r>
    <x v="6"/>
    <s v="Delgado Community College "/>
    <m/>
    <n v="158662"/>
    <x v="6"/>
    <m/>
    <m/>
    <m/>
    <m/>
    <n v="119342"/>
    <n v="122980"/>
    <n v="25668"/>
    <n v="29222"/>
    <n v="128503"/>
    <n v="123416"/>
    <n v="273513"/>
    <n v="9117.1"/>
    <n v="275618"/>
    <n v="9187.2666666666664"/>
    <n v="6961"/>
    <n v="4595"/>
    <n v="273513"/>
    <n v="275618"/>
    <m/>
    <m/>
    <m/>
    <m/>
    <m/>
    <m/>
    <m/>
    <m/>
    <n v="0"/>
    <n v="0"/>
    <n v="0"/>
    <n v="0"/>
    <m/>
    <m/>
    <n v="0"/>
    <n v="0"/>
    <m/>
    <m/>
    <n v="0"/>
    <n v="0"/>
    <n v="0"/>
    <n v="0"/>
    <n v="0"/>
    <n v="0"/>
    <n v="0"/>
    <n v="0"/>
    <n v="0"/>
    <n v="0"/>
    <n v="9117.1"/>
    <n v="9187.2666666666664"/>
  </r>
  <r>
    <x v="6"/>
    <s v="Bossier Parish Community College"/>
    <m/>
    <n v="158431"/>
    <x v="7"/>
    <m/>
    <m/>
    <n v="0"/>
    <m/>
    <n v="59337"/>
    <n v="58526"/>
    <n v="12059"/>
    <n v="12045"/>
    <n v="62994"/>
    <n v="59479"/>
    <n v="134390"/>
    <n v="4479.666666666667"/>
    <n v="130050"/>
    <n v="4335"/>
    <n v="4854"/>
    <n v="4988"/>
    <n v="134390"/>
    <n v="130050"/>
    <m/>
    <m/>
    <m/>
    <m/>
    <m/>
    <m/>
    <m/>
    <m/>
    <n v="0"/>
    <n v="0"/>
    <n v="0"/>
    <n v="0"/>
    <m/>
    <m/>
    <n v="0"/>
    <n v="0"/>
    <m/>
    <m/>
    <n v="0"/>
    <n v="0"/>
    <n v="0"/>
    <n v="0"/>
    <n v="0"/>
    <n v="0"/>
    <n v="0"/>
    <n v="0"/>
    <n v="0"/>
    <n v="0"/>
    <n v="4479.666666666667"/>
    <n v="4335"/>
  </r>
  <r>
    <x v="6"/>
    <s v="Louisiana Delta Community College"/>
    <m/>
    <n v="483212"/>
    <x v="7"/>
    <m/>
    <m/>
    <m/>
    <m/>
    <n v="37133"/>
    <n v="37559.5"/>
    <n v="12240"/>
    <n v="9550.5"/>
    <n v="42692.5"/>
    <n v="37352"/>
    <n v="92065.5"/>
    <n v="3068.85"/>
    <n v="84462"/>
    <n v="2815.4"/>
    <n v="4869"/>
    <n v="5211"/>
    <n v="92065.5"/>
    <n v="84462"/>
    <m/>
    <m/>
    <m/>
    <m/>
    <m/>
    <m/>
    <m/>
    <m/>
    <n v="0"/>
    <n v="0"/>
    <n v="0"/>
    <n v="0"/>
    <m/>
    <m/>
    <n v="0"/>
    <n v="0"/>
    <m/>
    <m/>
    <n v="0"/>
    <n v="0"/>
    <n v="0"/>
    <n v="0"/>
    <n v="0"/>
    <n v="0"/>
    <n v="0"/>
    <n v="0"/>
    <n v="0"/>
    <n v="0"/>
    <n v="3068.85"/>
    <n v="2815.4"/>
  </r>
  <r>
    <x v="6"/>
    <s v="South Louisiana Community College"/>
    <m/>
    <n v="434061"/>
    <x v="7"/>
    <m/>
    <m/>
    <m/>
    <m/>
    <n v="58167"/>
    <n v="60089"/>
    <n v="15709"/>
    <n v="15748"/>
    <n v="69068"/>
    <n v="63628"/>
    <n v="142944"/>
    <n v="4764.8"/>
    <n v="139465"/>
    <n v="4648.833333333333"/>
    <n v="12335"/>
    <n v="10223"/>
    <n v="142944"/>
    <n v="139465"/>
    <m/>
    <m/>
    <m/>
    <m/>
    <m/>
    <m/>
    <m/>
    <m/>
    <n v="0"/>
    <n v="0"/>
    <n v="0"/>
    <n v="0"/>
    <m/>
    <m/>
    <n v="0"/>
    <n v="0"/>
    <m/>
    <m/>
    <n v="0"/>
    <n v="0"/>
    <n v="0"/>
    <n v="0"/>
    <n v="0"/>
    <n v="0"/>
    <n v="0"/>
    <n v="0"/>
    <n v="0"/>
    <n v="0"/>
    <n v="4764.8"/>
    <n v="4648.833333333333"/>
  </r>
  <r>
    <x v="6"/>
    <s v="Southern University in Shreveport"/>
    <m/>
    <n v="160649"/>
    <x v="7"/>
    <m/>
    <m/>
    <m/>
    <m/>
    <n v="24894"/>
    <n v="27043"/>
    <n v="9753"/>
    <n v="6980"/>
    <n v="31001"/>
    <n v="27360"/>
    <n v="65648"/>
    <n v="2188.2666666666669"/>
    <n v="61383"/>
    <n v="2046.1"/>
    <n v="4219"/>
    <n v="4190"/>
    <n v="65648"/>
    <n v="61383"/>
    <m/>
    <m/>
    <m/>
    <m/>
    <m/>
    <m/>
    <m/>
    <m/>
    <n v="0"/>
    <n v="0"/>
    <n v="0"/>
    <n v="0"/>
    <m/>
    <m/>
    <n v="0"/>
    <n v="0"/>
    <m/>
    <m/>
    <n v="0"/>
    <n v="0"/>
    <n v="0"/>
    <n v="0"/>
    <n v="0"/>
    <n v="0"/>
    <n v="0"/>
    <n v="0"/>
    <n v="0"/>
    <n v="0"/>
    <n v="2188.2666666666669"/>
    <n v="2046.1"/>
  </r>
  <r>
    <x v="6"/>
    <s v="Louisiana State University at Eunice"/>
    <s v="Reclassified: Met the criteria for Two-Year 2 in 2018-19, 2019-20, and 2020-21."/>
    <n v="159407"/>
    <x v="7"/>
    <m/>
    <m/>
    <m/>
    <m/>
    <n v="27806"/>
    <n v="25546"/>
    <n v="3542"/>
    <n v="3610"/>
    <n v="30533"/>
    <n v="31649"/>
    <n v="61881"/>
    <n v="2062.6999999999998"/>
    <n v="60805"/>
    <n v="2026.8333333333333"/>
    <n v="5257"/>
    <n v="5658"/>
    <n v="61881"/>
    <n v="60805"/>
    <m/>
    <m/>
    <m/>
    <m/>
    <m/>
    <m/>
    <m/>
    <m/>
    <n v="0"/>
    <n v="0"/>
    <n v="0"/>
    <n v="0"/>
    <m/>
    <m/>
    <n v="0"/>
    <n v="0"/>
    <m/>
    <m/>
    <n v="0"/>
    <n v="0"/>
    <n v="0"/>
    <n v="0"/>
    <n v="0"/>
    <n v="0"/>
    <n v="0"/>
    <n v="0"/>
    <n v="0"/>
    <n v="0"/>
    <n v="2062.6999999999998"/>
    <n v="2026.8333333333333"/>
  </r>
  <r>
    <x v="6"/>
    <s v="Nunez Community College"/>
    <m/>
    <n v="158884"/>
    <x v="8"/>
    <m/>
    <m/>
    <m/>
    <m/>
    <n v="19433"/>
    <n v="19922"/>
    <n v="4101"/>
    <n v="4819"/>
    <n v="20306"/>
    <n v="19862"/>
    <n v="43840"/>
    <n v="1461.3333333333333"/>
    <n v="44603"/>
    <n v="1486.7666666666667"/>
    <n v="4571"/>
    <n v="4151"/>
    <n v="43840"/>
    <n v="44603"/>
    <m/>
    <m/>
    <m/>
    <m/>
    <m/>
    <m/>
    <m/>
    <m/>
    <n v="0"/>
    <n v="0"/>
    <n v="0"/>
    <n v="0"/>
    <m/>
    <m/>
    <n v="0"/>
    <n v="0"/>
    <m/>
    <m/>
    <n v="0"/>
    <n v="0"/>
    <n v="0"/>
    <n v="0"/>
    <n v="0"/>
    <n v="0"/>
    <n v="0"/>
    <n v="0"/>
    <n v="0"/>
    <n v="0"/>
    <n v="1461.3333333333333"/>
    <n v="1486.7666666666667"/>
  </r>
  <r>
    <x v="6"/>
    <s v="River Parishes Community College"/>
    <s v="Met the criteria for Two-Year 2 in 2018-19 and 2019-20."/>
    <n v="436304"/>
    <x v="8"/>
    <m/>
    <m/>
    <m/>
    <m/>
    <n v="26604"/>
    <n v="27753"/>
    <n v="5434"/>
    <n v="4507"/>
    <n v="29482"/>
    <n v="26308"/>
    <n v="61520"/>
    <n v="2050.6666666666665"/>
    <n v="58568"/>
    <n v="1952.2666666666667"/>
    <n v="9243"/>
    <n v="9102"/>
    <n v="61520"/>
    <n v="58568"/>
    <m/>
    <m/>
    <m/>
    <m/>
    <m/>
    <m/>
    <m/>
    <m/>
    <n v="0"/>
    <n v="0"/>
    <n v="0"/>
    <n v="0"/>
    <m/>
    <m/>
    <n v="0"/>
    <n v="0"/>
    <m/>
    <m/>
    <n v="0"/>
    <n v="0"/>
    <n v="0"/>
    <n v="0"/>
    <n v="0"/>
    <n v="0"/>
    <n v="0"/>
    <n v="0"/>
    <n v="0"/>
    <n v="0"/>
    <n v="2050.6666666666665"/>
    <n v="1952.2666666666667"/>
  </r>
  <r>
    <x v="6"/>
    <s v="Central LA Technical Community College"/>
    <m/>
    <n v="158088"/>
    <x v="9"/>
    <m/>
    <m/>
    <m/>
    <m/>
    <n v="18799"/>
    <n v="20470"/>
    <n v="3746"/>
    <n v="3164"/>
    <n v="22989"/>
    <n v="19407"/>
    <n v="45534"/>
    <n v="1517.8"/>
    <n v="43041"/>
    <n v="1434.7"/>
    <n v="7479"/>
    <n v="7220"/>
    <n v="45534"/>
    <n v="43041"/>
    <m/>
    <m/>
    <m/>
    <m/>
    <m/>
    <m/>
    <m/>
    <m/>
    <n v="0"/>
    <n v="0"/>
    <n v="0"/>
    <n v="0"/>
    <m/>
    <m/>
    <n v="0"/>
    <n v="0"/>
    <m/>
    <m/>
    <n v="0"/>
    <n v="0"/>
    <n v="0"/>
    <n v="0"/>
    <n v="0"/>
    <n v="0"/>
    <n v="0"/>
    <n v="0"/>
    <n v="0"/>
    <n v="0"/>
    <n v="1517.8"/>
    <n v="1434.7"/>
  </r>
  <r>
    <x v="6"/>
    <s v="L.E. Fletcher Technical Community College"/>
    <m/>
    <n v="160481"/>
    <x v="9"/>
    <m/>
    <m/>
    <m/>
    <m/>
    <n v="20445"/>
    <n v="21994"/>
    <n v="3635"/>
    <n v="3024"/>
    <n v="24164"/>
    <n v="21844"/>
    <n v="48244"/>
    <n v="1608.1333333333334"/>
    <n v="46862"/>
    <n v="1562.0666666666666"/>
    <n v="2390"/>
    <n v="2096"/>
    <n v="48244"/>
    <n v="46862"/>
    <m/>
    <m/>
    <m/>
    <m/>
    <m/>
    <m/>
    <m/>
    <m/>
    <n v="0"/>
    <n v="0"/>
    <n v="0"/>
    <n v="0"/>
    <m/>
    <m/>
    <n v="0"/>
    <n v="0"/>
    <m/>
    <m/>
    <n v="0"/>
    <n v="0"/>
    <n v="0"/>
    <n v="0"/>
    <n v="0"/>
    <n v="0"/>
    <n v="0"/>
    <n v="0"/>
    <n v="0"/>
    <n v="0"/>
    <n v="1608.1333333333334"/>
    <n v="1562.0666666666666"/>
  </r>
  <r>
    <x v="6"/>
    <s v="Northshore Technical College"/>
    <m/>
    <n v="160667"/>
    <x v="9"/>
    <m/>
    <m/>
    <m/>
    <m/>
    <n v="30112"/>
    <n v="30265"/>
    <n v="4642"/>
    <n v="4747"/>
    <n v="33719"/>
    <n v="28770"/>
    <n v="68473"/>
    <n v="2282.4333333333334"/>
    <n v="63782"/>
    <n v="2126.0666666666666"/>
    <n v="8635"/>
    <n v="5489"/>
    <n v="68473"/>
    <n v="63782"/>
    <m/>
    <m/>
    <m/>
    <m/>
    <m/>
    <m/>
    <m/>
    <m/>
    <n v="0"/>
    <n v="0"/>
    <n v="0"/>
    <n v="0"/>
    <m/>
    <m/>
    <n v="0"/>
    <n v="0"/>
    <m/>
    <m/>
    <n v="0"/>
    <n v="0"/>
    <n v="0"/>
    <n v="0"/>
    <n v="0"/>
    <n v="0"/>
    <n v="0"/>
    <n v="0"/>
    <n v="0"/>
    <n v="0"/>
    <n v="2282.4333333333334"/>
    <n v="2126.0666666666666"/>
  </r>
  <r>
    <x v="6"/>
    <s v="Sowela Technical Community College"/>
    <m/>
    <n v="160579"/>
    <x v="9"/>
    <m/>
    <m/>
    <m/>
    <m/>
    <n v="31282"/>
    <n v="33539.5"/>
    <n v="5870"/>
    <n v="5671"/>
    <n v="37313.5"/>
    <n v="29649.5"/>
    <n v="74465.5"/>
    <n v="2482.1833333333334"/>
    <n v="68860"/>
    <n v="2295.3333333333335"/>
    <n v="5305"/>
    <n v="3937"/>
    <n v="74465.5"/>
    <n v="68860"/>
    <m/>
    <m/>
    <m/>
    <m/>
    <m/>
    <m/>
    <m/>
    <m/>
    <n v="0"/>
    <n v="0"/>
    <n v="0"/>
    <n v="0"/>
    <m/>
    <m/>
    <n v="0"/>
    <n v="0"/>
    <m/>
    <m/>
    <m/>
    <n v="0"/>
    <m/>
    <n v="0"/>
    <m/>
    <n v="0"/>
    <n v="0"/>
    <n v="0"/>
    <n v="0"/>
    <n v="0"/>
    <n v="2482.1833333333334"/>
    <n v="2295.3333333333335"/>
  </r>
  <r>
    <x v="6"/>
    <s v="Northwest LA Technical College"/>
    <m/>
    <n v="160010"/>
    <x v="10"/>
    <m/>
    <m/>
    <m/>
    <m/>
    <n v="10079"/>
    <n v="10324"/>
    <n v="3517"/>
    <n v="2720"/>
    <n v="11022"/>
    <n v="9779"/>
    <n v="24618"/>
    <n v="820.6"/>
    <n v="22823"/>
    <n v="760.76666666666665"/>
    <n v="1439"/>
    <n v="1348"/>
    <n v="24618"/>
    <n v="22823"/>
    <m/>
    <m/>
    <m/>
    <m/>
    <m/>
    <m/>
    <m/>
    <m/>
    <n v="0"/>
    <n v="0"/>
    <n v="0"/>
    <n v="0"/>
    <m/>
    <m/>
    <n v="0"/>
    <n v="0"/>
    <m/>
    <m/>
    <n v="0"/>
    <n v="0"/>
    <n v="0"/>
    <n v="0"/>
    <n v="0"/>
    <n v="0"/>
    <n v="0"/>
    <n v="0"/>
    <n v="0"/>
    <n v="0"/>
    <n v="820.6"/>
    <n v="760.76666666666665"/>
  </r>
  <r>
    <x v="6"/>
    <s v="Southern University Law Center"/>
    <m/>
    <n v="440916"/>
    <x v="11"/>
    <m/>
    <m/>
    <m/>
    <m/>
    <m/>
    <n v="0"/>
    <m/>
    <n v="0"/>
    <m/>
    <n v="0"/>
    <n v="0"/>
    <n v="0"/>
    <n v="0"/>
    <n v="0"/>
    <m/>
    <m/>
    <n v="0"/>
    <n v="0"/>
    <m/>
    <m/>
    <m/>
    <m/>
    <m/>
    <m/>
    <m/>
    <m/>
    <n v="0"/>
    <n v="0"/>
    <n v="0"/>
    <n v="0"/>
    <m/>
    <m/>
    <n v="0"/>
    <n v="0"/>
    <m/>
    <m/>
    <n v="7299"/>
    <n v="8126"/>
    <n v="1553"/>
    <n v="1856"/>
    <n v="8936"/>
    <n v="11238"/>
    <n v="17788"/>
    <n v="741.16666666666663"/>
    <n v="21220"/>
    <n v="884.16666666666663"/>
    <n v="741.16666666666663"/>
    <n v="884.16666666666663"/>
  </r>
  <r>
    <x v="7"/>
    <s v="Allegany College of Maryland"/>
    <m/>
    <n v="161688"/>
    <x v="8"/>
    <s v="sem"/>
    <s v="sem"/>
    <n v="0"/>
    <n v="0"/>
    <n v="20882"/>
    <n v="21157"/>
    <n v="3506"/>
    <n v="3558"/>
    <n v="23347"/>
    <n v="22222"/>
    <n v="47735"/>
    <n v="1591.1666666666667"/>
    <n v="46937"/>
    <n v="1564.5666666666666"/>
    <m/>
    <m/>
    <n v="0"/>
    <n v="0"/>
    <m/>
    <m/>
    <m/>
    <m/>
    <m/>
    <m/>
    <m/>
    <m/>
    <n v="0"/>
    <n v="0"/>
    <n v="0"/>
    <n v="0"/>
    <m/>
    <m/>
    <n v="0"/>
    <n v="0"/>
    <n v="0"/>
    <n v="0"/>
    <n v="0"/>
    <n v="0"/>
    <n v="0"/>
    <n v="0"/>
    <n v="0"/>
    <n v="0"/>
    <n v="0"/>
    <n v="0"/>
    <n v="0"/>
    <n v="0"/>
    <n v="1591.1666666666667"/>
    <n v="1564.5666666666666"/>
  </r>
  <r>
    <x v="7"/>
    <s v="Anne Arundel Community College "/>
    <m/>
    <n v="161767"/>
    <x v="6"/>
    <s v="sem"/>
    <s v="sem"/>
    <n v="4968"/>
    <n v="5210"/>
    <n v="93417"/>
    <n v="89281"/>
    <n v="25001"/>
    <n v="28777"/>
    <n v="103748"/>
    <n v="98900"/>
    <n v="227134"/>
    <n v="7571.1333333333332"/>
    <n v="222168"/>
    <n v="7405.6"/>
    <m/>
    <m/>
    <n v="0"/>
    <n v="0"/>
    <m/>
    <m/>
    <m/>
    <m/>
    <m/>
    <m/>
    <m/>
    <m/>
    <n v="0"/>
    <n v="0"/>
    <n v="0"/>
    <n v="0"/>
    <m/>
    <m/>
    <n v="0"/>
    <n v="0"/>
    <n v="0"/>
    <n v="0"/>
    <n v="0"/>
    <n v="0"/>
    <n v="0"/>
    <n v="0"/>
    <n v="0"/>
    <n v="0"/>
    <n v="0"/>
    <n v="0"/>
    <n v="0"/>
    <n v="0"/>
    <n v="7571.1333333333332"/>
    <n v="7405.6"/>
  </r>
  <r>
    <x v="7"/>
    <s v="Baltimore City Community College"/>
    <m/>
    <n v="161864"/>
    <x v="7"/>
    <s v="sem"/>
    <s v="sem"/>
    <n v="86"/>
    <n v="68"/>
    <n v="36214"/>
    <n v="36965"/>
    <n v="7432"/>
    <n v="11036"/>
    <n v="41555"/>
    <n v="33933"/>
    <n v="85287"/>
    <n v="2842.9"/>
    <n v="82002"/>
    <n v="2733.4"/>
    <m/>
    <m/>
    <n v="0"/>
    <n v="0"/>
    <m/>
    <m/>
    <m/>
    <m/>
    <m/>
    <m/>
    <m/>
    <m/>
    <n v="0"/>
    <n v="0"/>
    <n v="0"/>
    <n v="0"/>
    <m/>
    <m/>
    <n v="0"/>
    <n v="0"/>
    <n v="0"/>
    <n v="0"/>
    <n v="0"/>
    <n v="0"/>
    <n v="0"/>
    <n v="0"/>
    <n v="0"/>
    <n v="0"/>
    <n v="0"/>
    <n v="0"/>
    <n v="0"/>
    <n v="0"/>
    <n v="2842.9"/>
    <n v="2733.4"/>
  </r>
  <r>
    <x v="7"/>
    <s v="Carroll Community College"/>
    <s v="Met the criteria for Two-Year 3 in 2018-19 and 2019-20."/>
    <n v="405872"/>
    <x v="7"/>
    <s v="sem"/>
    <s v="sem"/>
    <n v="26243"/>
    <n v="1914"/>
    <n v="22950.5"/>
    <n v="22153.5"/>
    <n v="4661"/>
    <n v="4729"/>
    <n v="2178"/>
    <n v="24396.5"/>
    <n v="56032.5"/>
    <n v="1867.75"/>
    <n v="53193"/>
    <n v="1773.1"/>
    <m/>
    <m/>
    <n v="0"/>
    <n v="0"/>
    <m/>
    <m/>
    <m/>
    <m/>
    <m/>
    <m/>
    <m/>
    <m/>
    <n v="0"/>
    <n v="0"/>
    <n v="0"/>
    <n v="0"/>
    <m/>
    <m/>
    <n v="0"/>
    <n v="0"/>
    <n v="0"/>
    <n v="0"/>
    <n v="0"/>
    <n v="0"/>
    <n v="0"/>
    <n v="0"/>
    <n v="0"/>
    <n v="0"/>
    <n v="0"/>
    <n v="0"/>
    <n v="0"/>
    <n v="0"/>
    <n v="1867.75"/>
    <n v="1773.1"/>
  </r>
  <r>
    <x v="7"/>
    <s v="Cecil Community College "/>
    <m/>
    <n v="162104"/>
    <x v="8"/>
    <s v="sem"/>
    <s v="sem"/>
    <n v="0"/>
    <n v="0"/>
    <n v="17820"/>
    <n v="17396"/>
    <n v="2977"/>
    <n v="2853"/>
    <n v="20137"/>
    <n v="17487"/>
    <n v="40934"/>
    <n v="1364.4666666666667"/>
    <n v="37736"/>
    <n v="1257.8666666666666"/>
    <m/>
    <m/>
    <n v="0"/>
    <n v="0"/>
    <m/>
    <m/>
    <m/>
    <m/>
    <m/>
    <m/>
    <m/>
    <m/>
    <n v="0"/>
    <n v="0"/>
    <n v="0"/>
    <n v="0"/>
    <m/>
    <m/>
    <n v="0"/>
    <n v="0"/>
    <n v="0"/>
    <n v="0"/>
    <n v="0"/>
    <n v="0"/>
    <n v="0"/>
    <n v="0"/>
    <n v="0"/>
    <n v="0"/>
    <n v="0"/>
    <n v="0"/>
    <n v="0"/>
    <n v="0"/>
    <n v="1364.4666666666667"/>
    <n v="1257.8666666666666"/>
  </r>
  <r>
    <x v="7"/>
    <s v="Chesapeake College "/>
    <m/>
    <n v="162168"/>
    <x v="8"/>
    <s v="sem"/>
    <s v="sem"/>
    <n v="430"/>
    <n v="436"/>
    <n v="15337"/>
    <n v="14898"/>
    <n v="2314"/>
    <n v="2476"/>
    <n v="17460"/>
    <n v="15505"/>
    <n v="35541"/>
    <n v="1184.7"/>
    <n v="33315"/>
    <n v="1110.5"/>
    <m/>
    <m/>
    <n v="0"/>
    <n v="0"/>
    <m/>
    <m/>
    <m/>
    <m/>
    <m/>
    <m/>
    <m/>
    <m/>
    <n v="0"/>
    <n v="0"/>
    <n v="0"/>
    <n v="0"/>
    <m/>
    <m/>
    <n v="0"/>
    <n v="0"/>
    <n v="0"/>
    <n v="0"/>
    <n v="0"/>
    <n v="0"/>
    <n v="0"/>
    <n v="0"/>
    <n v="0"/>
    <n v="0"/>
    <n v="0"/>
    <n v="0"/>
    <n v="0"/>
    <n v="0"/>
    <n v="1184.7"/>
    <n v="1110.5"/>
  </r>
  <r>
    <x v="7"/>
    <s v="College of Southern Maryland"/>
    <m/>
    <n v="162122"/>
    <x v="7"/>
    <s v="sem"/>
    <s v="sem"/>
    <n v="0"/>
    <n v="1478"/>
    <n v="56368"/>
    <n v="53974"/>
    <n v="11755"/>
    <n v="14091"/>
    <n v="55258"/>
    <n v="55302"/>
    <n v="123381"/>
    <n v="4112.7"/>
    <n v="124845"/>
    <n v="4161.5"/>
    <m/>
    <m/>
    <n v="0"/>
    <n v="0"/>
    <m/>
    <m/>
    <m/>
    <m/>
    <m/>
    <m/>
    <m/>
    <m/>
    <n v="0"/>
    <n v="0"/>
    <n v="0"/>
    <n v="0"/>
    <m/>
    <m/>
    <n v="0"/>
    <n v="0"/>
    <n v="0"/>
    <n v="0"/>
    <n v="0"/>
    <n v="0"/>
    <n v="0"/>
    <n v="0"/>
    <n v="0"/>
    <n v="0"/>
    <n v="0"/>
    <n v="0"/>
    <n v="0"/>
    <n v="0"/>
    <n v="4112.7"/>
    <n v="4161.5"/>
  </r>
  <r>
    <x v="7"/>
    <s v="Community College of Baltimore County (all campuses)"/>
    <m/>
    <n v="434672"/>
    <x v="6"/>
    <s v="sem"/>
    <s v="sem"/>
    <n v="9415"/>
    <n v="9969"/>
    <n v="132304"/>
    <n v="126252.5"/>
    <n v="30120"/>
    <n v="31410"/>
    <n v="146813"/>
    <n v="145713"/>
    <n v="318652"/>
    <n v="10621.733333333334"/>
    <n v="313344.5"/>
    <n v="10444.816666666668"/>
    <m/>
    <m/>
    <n v="0"/>
    <n v="0"/>
    <m/>
    <m/>
    <m/>
    <m/>
    <m/>
    <m/>
    <m/>
    <m/>
    <n v="0"/>
    <n v="0"/>
    <n v="0"/>
    <n v="0"/>
    <m/>
    <m/>
    <n v="0"/>
    <n v="0"/>
    <n v="0"/>
    <n v="0"/>
    <n v="0"/>
    <n v="0"/>
    <n v="0"/>
    <n v="0"/>
    <n v="0"/>
    <n v="0"/>
    <n v="0"/>
    <n v="0"/>
    <n v="0"/>
    <n v="0"/>
    <n v="10621.733333333334"/>
    <n v="10444.816666666668"/>
  </r>
  <r>
    <x v="7"/>
    <s v="Frederick Community College "/>
    <m/>
    <n v="162557"/>
    <x v="7"/>
    <s v="sem"/>
    <s v="sem"/>
    <n v="1389"/>
    <n v="0"/>
    <n v="46713"/>
    <n v="47021"/>
    <n v="9000"/>
    <n v="9113"/>
    <n v="50384"/>
    <n v="46640"/>
    <n v="107486"/>
    <n v="3582.8666666666668"/>
    <n v="102774"/>
    <n v="3425.8"/>
    <m/>
    <m/>
    <n v="0"/>
    <n v="0"/>
    <m/>
    <m/>
    <m/>
    <m/>
    <m/>
    <m/>
    <m/>
    <m/>
    <n v="0"/>
    <n v="0"/>
    <n v="0"/>
    <n v="0"/>
    <m/>
    <m/>
    <n v="0"/>
    <n v="0"/>
    <n v="0"/>
    <n v="0"/>
    <n v="0"/>
    <n v="0"/>
    <n v="0"/>
    <n v="0"/>
    <n v="0"/>
    <n v="0"/>
    <n v="0"/>
    <n v="0"/>
    <n v="0"/>
    <n v="0"/>
    <n v="3582.8666666666668"/>
    <n v="3425.8"/>
  </r>
  <r>
    <x v="7"/>
    <s v="Garrett College "/>
    <m/>
    <n v="162609"/>
    <x v="8"/>
    <s v="sem"/>
    <s v="sem"/>
    <n v="290"/>
    <n v="362"/>
    <n v="5883.75"/>
    <n v="6181"/>
    <n v="597"/>
    <n v="539"/>
    <n v="7275.25"/>
    <n v="6422.25"/>
    <n v="14046"/>
    <n v="468.2"/>
    <n v="13504.25"/>
    <n v="450.14166666666665"/>
    <m/>
    <m/>
    <n v="0"/>
    <n v="0"/>
    <m/>
    <m/>
    <m/>
    <m/>
    <m/>
    <m/>
    <m/>
    <m/>
    <n v="0"/>
    <n v="0"/>
    <n v="0"/>
    <n v="0"/>
    <m/>
    <m/>
    <n v="0"/>
    <n v="0"/>
    <n v="0"/>
    <n v="0"/>
    <n v="0"/>
    <n v="0"/>
    <n v="0"/>
    <n v="0"/>
    <n v="0"/>
    <n v="0"/>
    <n v="0"/>
    <n v="0"/>
    <n v="0"/>
    <n v="0"/>
    <n v="468.2"/>
    <n v="450.14166666666665"/>
  </r>
  <r>
    <x v="7"/>
    <s v="Hagerstown Community College "/>
    <m/>
    <n v="162690"/>
    <x v="7"/>
    <s v="sem"/>
    <s v="sem"/>
    <n v="0"/>
    <n v="0"/>
    <n v="30094"/>
    <n v="37471"/>
    <n v="9102"/>
    <n v="9865"/>
    <n v="32333"/>
    <n v="35234"/>
    <n v="71529"/>
    <n v="2384.3000000000002"/>
    <n v="82570"/>
    <n v="2752.3333333333335"/>
    <m/>
    <m/>
    <n v="0"/>
    <n v="0"/>
    <m/>
    <m/>
    <m/>
    <m/>
    <m/>
    <m/>
    <m/>
    <m/>
    <n v="0"/>
    <n v="0"/>
    <n v="0"/>
    <n v="0"/>
    <m/>
    <m/>
    <n v="0"/>
    <n v="0"/>
    <n v="0"/>
    <n v="0"/>
    <n v="0"/>
    <n v="0"/>
    <n v="0"/>
    <n v="0"/>
    <n v="0"/>
    <n v="0"/>
    <n v="0"/>
    <n v="0"/>
    <n v="0"/>
    <n v="0"/>
    <n v="2384.3000000000002"/>
    <n v="2752.3333333333335"/>
  </r>
  <r>
    <x v="7"/>
    <s v="Harford Community College "/>
    <m/>
    <n v="162706"/>
    <x v="7"/>
    <s v="sem"/>
    <s v="sem"/>
    <n v="3546"/>
    <n v="3020"/>
    <n v="44045.5"/>
    <n v="42627.5"/>
    <n v="9408"/>
    <n v="9017"/>
    <n v="46258.5"/>
    <n v="44853"/>
    <n v="103258"/>
    <n v="3441.9333333333334"/>
    <n v="99517.5"/>
    <n v="3317.25"/>
    <m/>
    <m/>
    <n v="0"/>
    <n v="0"/>
    <m/>
    <m/>
    <m/>
    <m/>
    <m/>
    <m/>
    <m/>
    <m/>
    <n v="0"/>
    <n v="0"/>
    <n v="0"/>
    <n v="0"/>
    <m/>
    <m/>
    <n v="0"/>
    <n v="0"/>
    <n v="0"/>
    <n v="0"/>
    <n v="0"/>
    <n v="0"/>
    <n v="0"/>
    <n v="0"/>
    <n v="0"/>
    <n v="0"/>
    <n v="0"/>
    <n v="0"/>
    <n v="0"/>
    <n v="0"/>
    <n v="3441.9333333333334"/>
    <n v="3317.25"/>
  </r>
  <r>
    <x v="7"/>
    <s v="Howard Community College "/>
    <m/>
    <n v="162779"/>
    <x v="6"/>
    <s v="sem"/>
    <s v="sem"/>
    <n v="5493"/>
    <n v="5823"/>
    <n v="73747"/>
    <n v="63876"/>
    <n v="17921"/>
    <n v="19706"/>
    <n v="77773"/>
    <n v="86451"/>
    <n v="174934"/>
    <n v="5831.1333333333332"/>
    <n v="175856"/>
    <n v="5861.8666666666668"/>
    <m/>
    <m/>
    <n v="0"/>
    <n v="0"/>
    <m/>
    <m/>
    <m/>
    <m/>
    <m/>
    <m/>
    <m/>
    <m/>
    <n v="0"/>
    <n v="0"/>
    <n v="0"/>
    <n v="0"/>
    <m/>
    <m/>
    <n v="0"/>
    <n v="0"/>
    <n v="0"/>
    <n v="0"/>
    <n v="0"/>
    <n v="0"/>
    <n v="0"/>
    <n v="0"/>
    <n v="0"/>
    <n v="0"/>
    <n v="0"/>
    <n v="0"/>
    <n v="0"/>
    <n v="0"/>
    <n v="5831.1333333333332"/>
    <n v="5861.8666666666668"/>
  </r>
  <r>
    <x v="7"/>
    <s v="Montgomery College (all campuses)"/>
    <m/>
    <n v="163426"/>
    <x v="6"/>
    <s v="sem"/>
    <s v="sem"/>
    <n v="6715"/>
    <n v="6244"/>
    <n v="241915.5"/>
    <n v="267782"/>
    <n v="158532"/>
    <n v="125015"/>
    <n v="244043"/>
    <n v="242579"/>
    <n v="651205.5"/>
    <n v="21706.85"/>
    <n v="641620"/>
    <n v="21387.333333333332"/>
    <m/>
    <m/>
    <n v="0"/>
    <n v="0"/>
    <m/>
    <m/>
    <m/>
    <m/>
    <m/>
    <m/>
    <m/>
    <m/>
    <n v="0"/>
    <n v="0"/>
    <n v="0"/>
    <n v="0"/>
    <m/>
    <m/>
    <n v="0"/>
    <n v="0"/>
    <n v="0"/>
    <n v="0"/>
    <n v="0"/>
    <n v="0"/>
    <n v="0"/>
    <n v="0"/>
    <n v="0"/>
    <n v="0"/>
    <n v="0"/>
    <n v="0"/>
    <n v="0"/>
    <n v="0"/>
    <n v="21706.85"/>
    <n v="21387.333333333332"/>
  </r>
  <r>
    <x v="7"/>
    <s v="Prince George's Community College "/>
    <m/>
    <n v="163657"/>
    <x v="6"/>
    <s v="sem"/>
    <s v="sem"/>
    <n v="978"/>
    <n v="2500"/>
    <n v="168618"/>
    <n v="137434"/>
    <n v="69917"/>
    <n v="35633"/>
    <n v="164595"/>
    <n v="228704"/>
    <n v="404108"/>
    <n v="13470.266666666666"/>
    <n v="404271"/>
    <n v="13475.7"/>
    <m/>
    <m/>
    <n v="0"/>
    <n v="0"/>
    <m/>
    <m/>
    <m/>
    <m/>
    <m/>
    <m/>
    <m/>
    <m/>
    <n v="0"/>
    <n v="0"/>
    <n v="0"/>
    <n v="0"/>
    <m/>
    <m/>
    <n v="0"/>
    <n v="0"/>
    <n v="0"/>
    <n v="0"/>
    <n v="0"/>
    <n v="0"/>
    <n v="0"/>
    <n v="0"/>
    <n v="0"/>
    <n v="0"/>
    <n v="0"/>
    <n v="0"/>
    <n v="0"/>
    <n v="0"/>
    <n v="13470.266666666666"/>
    <n v="13475.7"/>
  </r>
  <r>
    <x v="7"/>
    <s v="Wor-Wic Community College "/>
    <m/>
    <n v="164313"/>
    <x v="8"/>
    <s v="sem"/>
    <s v="sem"/>
    <n v="0"/>
    <n v="0"/>
    <n v="20259.5"/>
    <n v="19773.5"/>
    <n v="5293.5"/>
    <n v="5354"/>
    <n v="23601.5"/>
    <n v="22199.5"/>
    <n v="49154.5"/>
    <n v="1638.4833333333333"/>
    <n v="47327"/>
    <n v="1577.5666666666666"/>
    <m/>
    <m/>
    <n v="0"/>
    <n v="0"/>
    <m/>
    <m/>
    <m/>
    <m/>
    <m/>
    <m/>
    <m/>
    <m/>
    <n v="0"/>
    <n v="0"/>
    <n v="0"/>
    <n v="0"/>
    <m/>
    <m/>
    <n v="0"/>
    <n v="0"/>
    <n v="0"/>
    <n v="0"/>
    <n v="0"/>
    <n v="0"/>
    <n v="0"/>
    <n v="0"/>
    <n v="0"/>
    <n v="0"/>
    <n v="0"/>
    <n v="0"/>
    <n v="0"/>
    <n v="0"/>
    <n v="1638.4833333333333"/>
    <n v="1577.5666666666666"/>
  </r>
  <r>
    <x v="7"/>
    <s v="Bowie State University "/>
    <s v="Met the criteria for Four-Year 3 in 2018-19 and 2019-20."/>
    <n v="162007"/>
    <x v="3"/>
    <s v="sem"/>
    <s v="sem"/>
    <n v="1608"/>
    <n v="1664"/>
    <n v="62691"/>
    <n v="63747"/>
    <n v="7096"/>
    <n v="8716"/>
    <n v="70243"/>
    <n v="71883"/>
    <n v="141638"/>
    <n v="4721.2666666666664"/>
    <n v="146010"/>
    <n v="4867"/>
    <m/>
    <m/>
    <n v="0"/>
    <n v="0"/>
    <m/>
    <m/>
    <m/>
    <m/>
    <m/>
    <m/>
    <m/>
    <m/>
    <n v="0"/>
    <n v="0"/>
    <n v="0"/>
    <n v="0"/>
    <m/>
    <m/>
    <n v="0"/>
    <n v="0"/>
    <n v="189"/>
    <n v="150"/>
    <n v="6553"/>
    <n v="6517"/>
    <n v="1394"/>
    <n v="1848"/>
    <n v="6922"/>
    <n v="6613"/>
    <n v="15058"/>
    <n v="627.41666666666663"/>
    <n v="15128"/>
    <n v="630.33333333333337"/>
    <n v="5348.6833333333334"/>
    <n v="5497.333333333333"/>
  </r>
  <r>
    <x v="7"/>
    <s v="Coppin State University"/>
    <s v="Met the criteria for Four-Year 4 in 2019-20."/>
    <n v="162283"/>
    <x v="4"/>
    <s v="sem"/>
    <s v="sem"/>
    <n v="213"/>
    <n v="342"/>
    <n v="27459"/>
    <n v="27154"/>
    <n v="1349"/>
    <n v="1260"/>
    <n v="31245"/>
    <n v="27425"/>
    <n v="60266"/>
    <n v="2008.8666666666666"/>
    <n v="56181"/>
    <n v="1872.7"/>
    <m/>
    <m/>
    <n v="0"/>
    <n v="0"/>
    <m/>
    <m/>
    <m/>
    <m/>
    <m/>
    <m/>
    <m/>
    <m/>
    <n v="0"/>
    <n v="0"/>
    <n v="0"/>
    <n v="0"/>
    <m/>
    <m/>
    <n v="0"/>
    <n v="0"/>
    <n v="27"/>
    <n v="17"/>
    <n v="2375"/>
    <n v="2134"/>
    <n v="143"/>
    <n v="178"/>
    <n v="2046"/>
    <n v="1447"/>
    <n v="4591"/>
    <n v="191.29166666666666"/>
    <n v="3776"/>
    <n v="157.33333333333334"/>
    <n v="2200.1583333333333"/>
    <n v="2030.0333333333333"/>
  </r>
  <r>
    <x v="7"/>
    <s v="Frostburg State University "/>
    <m/>
    <n v="162584"/>
    <x v="3"/>
    <s v="sem"/>
    <s v="sem"/>
    <n v="2368"/>
    <n v="1822"/>
    <n v="53759"/>
    <n v="49571"/>
    <n v="8272"/>
    <n v="7658"/>
    <n v="58494"/>
    <n v="52964"/>
    <n v="122893"/>
    <n v="4096.4333333333334"/>
    <n v="112015"/>
    <n v="3733.8333333333335"/>
    <m/>
    <m/>
    <n v="0"/>
    <n v="0"/>
    <m/>
    <m/>
    <m/>
    <m/>
    <m/>
    <m/>
    <m/>
    <m/>
    <n v="0"/>
    <n v="0"/>
    <n v="0"/>
    <n v="0"/>
    <m/>
    <m/>
    <n v="0"/>
    <n v="0"/>
    <n v="299"/>
    <n v="401"/>
    <n v="4107"/>
    <n v="4667"/>
    <n v="2804"/>
    <n v="3165"/>
    <n v="5032"/>
    <n v="5285"/>
    <n v="12242"/>
    <n v="510.08333333333331"/>
    <n v="13518"/>
    <n v="563.25"/>
    <n v="4606.5166666666664"/>
    <n v="4297.0833333333339"/>
  </r>
  <r>
    <x v="7"/>
    <s v="Salisbury University "/>
    <m/>
    <n v="163851"/>
    <x v="3"/>
    <s v="sem"/>
    <s v="sem"/>
    <n v="5199"/>
    <n v="4863"/>
    <n v="104797"/>
    <n v="103583"/>
    <n v="6156"/>
    <n v="7416"/>
    <n v="110435"/>
    <n v="103324"/>
    <n v="226587"/>
    <n v="7552.9"/>
    <n v="219186"/>
    <n v="7306.2"/>
    <m/>
    <m/>
    <n v="0"/>
    <n v="0"/>
    <m/>
    <m/>
    <m/>
    <m/>
    <m/>
    <m/>
    <m/>
    <m/>
    <n v="0"/>
    <n v="0"/>
    <n v="0"/>
    <n v="0"/>
    <m/>
    <m/>
    <n v="0"/>
    <n v="0"/>
    <n v="266"/>
    <n v="366"/>
    <n v="6385"/>
    <n v="6706"/>
    <n v="1880"/>
    <n v="2169"/>
    <n v="7038"/>
    <n v="7353"/>
    <n v="15569"/>
    <n v="648.70833333333337"/>
    <n v="16594"/>
    <n v="691.41666666666663"/>
    <n v="8201.6083333333336"/>
    <n v="7997.6166666666668"/>
  </r>
  <r>
    <x v="7"/>
    <s v="Towson University "/>
    <m/>
    <n v="164076"/>
    <x v="2"/>
    <s v="sem"/>
    <s v="sem"/>
    <n v="7207"/>
    <n v="6713"/>
    <n v="251636"/>
    <n v="247985.5"/>
    <n v="23905"/>
    <n v="29132"/>
    <n v="266658.5"/>
    <n v="255484.5"/>
    <n v="549406.5"/>
    <n v="18313.55"/>
    <n v="539315"/>
    <n v="17977.166666666668"/>
    <m/>
    <m/>
    <n v="0"/>
    <n v="0"/>
    <m/>
    <m/>
    <m/>
    <m/>
    <m/>
    <m/>
    <m/>
    <m/>
    <n v="0"/>
    <n v="0"/>
    <n v="0"/>
    <n v="0"/>
    <m/>
    <m/>
    <n v="0"/>
    <n v="0"/>
    <n v="538"/>
    <n v="445"/>
    <n v="18775.5"/>
    <n v="18295.5"/>
    <n v="6145"/>
    <n v="6511"/>
    <n v="18925.5"/>
    <n v="19690.5"/>
    <n v="44384"/>
    <n v="1849.3333333333333"/>
    <n v="44942"/>
    <n v="1872.5833333333333"/>
    <n v="20162.883333333331"/>
    <n v="19849.75"/>
  </r>
  <r>
    <x v="7"/>
    <s v="University of Baltimore"/>
    <m/>
    <n v="161873"/>
    <x v="2"/>
    <s v="sem"/>
    <s v="sem"/>
    <n v="252"/>
    <n v="122"/>
    <n v="24283"/>
    <n v="19317"/>
    <n v="2690"/>
    <n v="2306"/>
    <n v="21925"/>
    <n v="19435"/>
    <n v="49150"/>
    <n v="1638.3333333333333"/>
    <n v="41180"/>
    <n v="1372.6666666666667"/>
    <m/>
    <m/>
    <n v="0"/>
    <n v="0"/>
    <m/>
    <m/>
    <m/>
    <m/>
    <m/>
    <m/>
    <m/>
    <m/>
    <n v="0"/>
    <n v="0"/>
    <n v="0"/>
    <n v="0"/>
    <m/>
    <m/>
    <n v="0"/>
    <n v="0"/>
    <n v="229"/>
    <n v="117"/>
    <n v="18765.5"/>
    <n v="17829.5"/>
    <n v="2691.5"/>
    <n v="2501"/>
    <n v="19308.5"/>
    <n v="18972"/>
    <n v="40994.5"/>
    <n v="1708.1041666666667"/>
    <n v="39419.5"/>
    <n v="1642.4791666666667"/>
    <n v="3346.4375"/>
    <n v="3015.1458333333335"/>
  </r>
  <r>
    <x v="7"/>
    <s v="University of Maryland, Baltimore County"/>
    <m/>
    <n v="163268"/>
    <x v="1"/>
    <s v="sem"/>
    <s v="sem"/>
    <n v="5503.5"/>
    <n v="5485"/>
    <n v="142356"/>
    <n v="138392"/>
    <n v="17117"/>
    <n v="22354"/>
    <n v="149312"/>
    <n v="147993.5"/>
    <n v="314288.5"/>
    <n v="10476.283333333333"/>
    <n v="314224.5"/>
    <n v="10474.15"/>
    <m/>
    <m/>
    <n v="0"/>
    <n v="0"/>
    <m/>
    <m/>
    <m/>
    <m/>
    <m/>
    <m/>
    <m/>
    <m/>
    <n v="0"/>
    <n v="0"/>
    <n v="0"/>
    <n v="0"/>
    <m/>
    <m/>
    <n v="0"/>
    <n v="0"/>
    <n v="28"/>
    <n v="82"/>
    <n v="15774"/>
    <n v="16203"/>
    <n v="2531"/>
    <n v="2916"/>
    <n v="16491"/>
    <n v="17726"/>
    <n v="34824"/>
    <n v="1451"/>
    <n v="36927"/>
    <n v="1538.625"/>
    <n v="11927.283333333333"/>
    <n v="12012.775"/>
  </r>
  <r>
    <x v="7"/>
    <s v="University of Maryland College Park"/>
    <m/>
    <n v="163286"/>
    <x v="0"/>
    <s v="sem"/>
    <s v="sem"/>
    <n v="11515"/>
    <n v="12267"/>
    <n v="407236"/>
    <n v="404774"/>
    <n v="33091"/>
    <n v="43674"/>
    <n v="420148"/>
    <n v="422331"/>
    <n v="871990"/>
    <n v="29066.333333333332"/>
    <n v="883046"/>
    <n v="29434.866666666665"/>
    <m/>
    <m/>
    <n v="0"/>
    <n v="0"/>
    <m/>
    <m/>
    <m/>
    <m/>
    <m/>
    <m/>
    <m/>
    <m/>
    <n v="0"/>
    <n v="0"/>
    <n v="0"/>
    <n v="0"/>
    <m/>
    <m/>
    <n v="0"/>
    <n v="0"/>
    <n v="3085"/>
    <n v="2897"/>
    <n v="66323"/>
    <n v="64672"/>
    <n v="11875"/>
    <n v="11822"/>
    <n v="72934"/>
    <n v="70620"/>
    <n v="154217"/>
    <n v="6425.708333333333"/>
    <n v="150011"/>
    <n v="6250.458333333333"/>
    <n v="35492.041666666664"/>
    <n v="35685.324999999997"/>
  </r>
  <r>
    <x v="7"/>
    <s v="University of Maryland Eastern Shore "/>
    <m/>
    <n v="163338"/>
    <x v="3"/>
    <s v="sem"/>
    <s v="sem"/>
    <n v="778.5"/>
    <n v="573.5"/>
    <n v="32036"/>
    <n v="28664.5"/>
    <n v="2400"/>
    <n v="2580"/>
    <n v="33546.5"/>
    <n v="29848"/>
    <n v="68761"/>
    <n v="2292.0333333333333"/>
    <n v="61666"/>
    <n v="2055.5333333333333"/>
    <m/>
    <m/>
    <n v="0"/>
    <n v="0"/>
    <m/>
    <m/>
    <m/>
    <m/>
    <m/>
    <m/>
    <m/>
    <m/>
    <n v="0"/>
    <n v="0"/>
    <n v="0"/>
    <n v="0"/>
    <m/>
    <m/>
    <n v="0"/>
    <n v="0"/>
    <n v="307"/>
    <n v="390"/>
    <n v="6664.5"/>
    <n v="6485"/>
    <n v="1344"/>
    <n v="1293"/>
    <n v="7096"/>
    <n v="7361.5"/>
    <n v="15411.5"/>
    <n v="642.14583333333337"/>
    <n v="15529.5"/>
    <n v="647.0625"/>
    <n v="2934.1791666666668"/>
    <n v="2702.5958333333333"/>
  </r>
  <r>
    <x v="7"/>
    <s v="Morgan State University"/>
    <m/>
    <n v="163453"/>
    <x v="1"/>
    <s v="sem"/>
    <s v="sem"/>
    <n v="2475"/>
    <n v="2195"/>
    <n v="83996"/>
    <n v="81111"/>
    <n v="9125"/>
    <n v="9596"/>
    <n v="88915"/>
    <n v="89187"/>
    <n v="184511"/>
    <n v="6150.3666666666668"/>
    <n v="182089"/>
    <n v="6069.6333333333332"/>
    <m/>
    <m/>
    <n v="0"/>
    <n v="0"/>
    <m/>
    <m/>
    <m/>
    <m/>
    <m/>
    <m/>
    <m/>
    <m/>
    <n v="0"/>
    <n v="0"/>
    <n v="0"/>
    <n v="0"/>
    <m/>
    <m/>
    <n v="0"/>
    <n v="0"/>
    <n v="46"/>
    <n v="31"/>
    <n v="11859"/>
    <n v="11697"/>
    <n v="766"/>
    <n v="906"/>
    <n v="11937"/>
    <n v="12617"/>
    <n v="24608"/>
    <n v="1025.3333333333333"/>
    <n v="25251"/>
    <n v="1052.125"/>
    <n v="7175.7"/>
    <n v="7121.7583333333332"/>
  </r>
  <r>
    <x v="7"/>
    <s v="Saint Mary's College of Maryland"/>
    <m/>
    <n v="163912"/>
    <x v="5"/>
    <s v="sem"/>
    <s v="sem"/>
    <n v="0"/>
    <n v="0"/>
    <n v="22736.5"/>
    <n v="21516.5"/>
    <n v="1409"/>
    <n v="1644"/>
    <n v="22716.5"/>
    <n v="23251"/>
    <n v="46862"/>
    <n v="1562.0666666666666"/>
    <n v="46411.5"/>
    <n v="1547.05"/>
    <m/>
    <m/>
    <n v="0"/>
    <n v="0"/>
    <m/>
    <m/>
    <m/>
    <m/>
    <m/>
    <m/>
    <m/>
    <m/>
    <n v="0"/>
    <n v="0"/>
    <n v="0"/>
    <n v="0"/>
    <m/>
    <m/>
    <n v="0"/>
    <n v="0"/>
    <n v="0"/>
    <n v="0"/>
    <n v="458"/>
    <n v="292"/>
    <n v="375"/>
    <n v="327"/>
    <n v="289"/>
    <n v="270"/>
    <n v="1122"/>
    <n v="46.75"/>
    <n v="889"/>
    <n v="37.041666666666664"/>
    <n v="1608.8166666666666"/>
    <n v="1584.0916666666667"/>
  </r>
  <r>
    <x v="8"/>
    <s v="Mississippi State University"/>
    <m/>
    <n v="176080"/>
    <x v="0"/>
    <m/>
    <m/>
    <m/>
    <m/>
    <n v="241609"/>
    <n v="244205"/>
    <n v="30016"/>
    <n v="39336"/>
    <n v="266429"/>
    <n v="265672"/>
    <n v="538054"/>
    <n v="17935.133333333335"/>
    <n v="549213"/>
    <n v="18307.099999999999"/>
    <m/>
    <m/>
    <n v="0"/>
    <n v="0"/>
    <m/>
    <m/>
    <m/>
    <m/>
    <m/>
    <m/>
    <m/>
    <m/>
    <n v="0"/>
    <n v="0"/>
    <n v="0"/>
    <n v="0"/>
    <m/>
    <m/>
    <n v="0"/>
    <n v="0"/>
    <m/>
    <m/>
    <n v="21608"/>
    <n v="21219"/>
    <n v="11029"/>
    <n v="14142"/>
    <n v="21605"/>
    <n v="26329"/>
    <n v="54242"/>
    <n v="2260.0833333333335"/>
    <n v="61690"/>
    <n v="2570.4166666666665"/>
    <n v="20195.216666666667"/>
    <n v="20877.516666666666"/>
  </r>
  <r>
    <x v="8"/>
    <s v="University of Mississippi"/>
    <m/>
    <n v="176017"/>
    <x v="0"/>
    <m/>
    <m/>
    <m/>
    <m/>
    <n v="246873"/>
    <n v="234713"/>
    <n v="39636"/>
    <n v="35636"/>
    <n v="244471"/>
    <n v="231075"/>
    <n v="530980"/>
    <n v="17699.333333333332"/>
    <n v="501424"/>
    <n v="16714.133333333335"/>
    <m/>
    <m/>
    <n v="0"/>
    <n v="0"/>
    <m/>
    <m/>
    <m/>
    <m/>
    <m/>
    <m/>
    <m/>
    <m/>
    <n v="0"/>
    <n v="0"/>
    <n v="0"/>
    <n v="0"/>
    <m/>
    <m/>
    <n v="0"/>
    <n v="0"/>
    <m/>
    <m/>
    <n v="29090"/>
    <n v="29440"/>
    <n v="10657"/>
    <n v="11160"/>
    <n v="29912"/>
    <n v="32359"/>
    <n v="69659"/>
    <n v="2902.4583333333335"/>
    <n v="72959"/>
    <n v="3039.9583333333335"/>
    <n v="20601.791666666664"/>
    <n v="19754.091666666667"/>
  </r>
  <r>
    <x v="8"/>
    <s v="University of Southern Mississippi"/>
    <m/>
    <n v="176372"/>
    <x v="0"/>
    <m/>
    <m/>
    <m/>
    <m/>
    <n v="148324"/>
    <n v="147483"/>
    <n v="22338"/>
    <n v="20645"/>
    <n v="163204"/>
    <n v="162817"/>
    <n v="333866"/>
    <n v="11128.866666666667"/>
    <n v="330945"/>
    <n v="11031.5"/>
    <m/>
    <m/>
    <n v="0"/>
    <n v="0"/>
    <m/>
    <m/>
    <m/>
    <m/>
    <m/>
    <m/>
    <m/>
    <m/>
    <n v="0"/>
    <n v="0"/>
    <n v="0"/>
    <n v="0"/>
    <m/>
    <m/>
    <n v="0"/>
    <n v="0"/>
    <m/>
    <m/>
    <n v="19002"/>
    <n v="19267"/>
    <n v="9270"/>
    <n v="9784"/>
    <n v="20260"/>
    <n v="24636"/>
    <n v="48532"/>
    <n v="2022.1666666666667"/>
    <n v="53687"/>
    <n v="2236.9583333333335"/>
    <n v="13151.033333333333"/>
    <n v="13268.458333333334"/>
  </r>
  <r>
    <x v="8"/>
    <s v="Jackson State University "/>
    <m/>
    <n v="175856"/>
    <x v="1"/>
    <m/>
    <m/>
    <m/>
    <m/>
    <n v="65247"/>
    <n v="63475"/>
    <n v="7951"/>
    <n v="6606"/>
    <n v="69018"/>
    <n v="62207.5"/>
    <n v="142216"/>
    <n v="4740.5333333333338"/>
    <n v="132288.5"/>
    <n v="4409.6166666666668"/>
    <m/>
    <m/>
    <n v="0"/>
    <n v="0"/>
    <m/>
    <m/>
    <m/>
    <m/>
    <m/>
    <m/>
    <m/>
    <m/>
    <n v="0"/>
    <n v="0"/>
    <n v="0"/>
    <n v="0"/>
    <m/>
    <m/>
    <n v="0"/>
    <n v="0"/>
    <m/>
    <m/>
    <n v="12241"/>
    <n v="12798.5"/>
    <n v="3972"/>
    <n v="5455"/>
    <n v="13480"/>
    <n v="16197.5"/>
    <n v="29693"/>
    <n v="1237.2083333333333"/>
    <n v="34451"/>
    <n v="1435.4583333333333"/>
    <n v="5977.7416666666668"/>
    <n v="5845.0749999999998"/>
  </r>
  <r>
    <x v="8"/>
    <s v="Alcorn State University"/>
    <m/>
    <n v="175342"/>
    <x v="3"/>
    <m/>
    <m/>
    <m/>
    <m/>
    <n v="41900"/>
    <n v="39137"/>
    <n v="7374"/>
    <n v="7479"/>
    <n v="42875"/>
    <n v="36422"/>
    <n v="92149"/>
    <n v="3071.6333333333332"/>
    <n v="83038"/>
    <n v="2767.9333333333334"/>
    <m/>
    <m/>
    <n v="0"/>
    <n v="0"/>
    <m/>
    <m/>
    <m/>
    <m/>
    <m/>
    <m/>
    <m/>
    <m/>
    <n v="0"/>
    <n v="0"/>
    <n v="0"/>
    <n v="0"/>
    <m/>
    <m/>
    <n v="0"/>
    <n v="0"/>
    <m/>
    <m/>
    <n v="3338"/>
    <n v="2823"/>
    <n v="1257"/>
    <n v="1533"/>
    <n v="3113"/>
    <n v="3346"/>
    <n v="7708"/>
    <n v="321.16666666666669"/>
    <n v="7702"/>
    <n v="320.91666666666669"/>
    <n v="3392.7999999999997"/>
    <n v="3088.85"/>
  </r>
  <r>
    <x v="8"/>
    <s v="Delta State University"/>
    <m/>
    <n v="175616"/>
    <x v="3"/>
    <m/>
    <m/>
    <m/>
    <m/>
    <n v="33077"/>
    <n v="31323"/>
    <n v="3185"/>
    <n v="3582"/>
    <n v="36961"/>
    <n v="29214"/>
    <n v="73223"/>
    <n v="2440.7666666666669"/>
    <n v="64119"/>
    <n v="2137.3000000000002"/>
    <m/>
    <m/>
    <n v="0"/>
    <n v="0"/>
    <m/>
    <m/>
    <m/>
    <m/>
    <m/>
    <m/>
    <m/>
    <m/>
    <n v="0"/>
    <n v="0"/>
    <n v="0"/>
    <n v="0"/>
    <m/>
    <m/>
    <n v="0"/>
    <n v="0"/>
    <m/>
    <m/>
    <n v="4570"/>
    <n v="4830"/>
    <n v="6334"/>
    <n v="6836"/>
    <n v="4814.5"/>
    <n v="5115"/>
    <n v="15718.5"/>
    <n v="654.9375"/>
    <n v="16781"/>
    <n v="699.20833333333337"/>
    <n v="3095.7041666666669"/>
    <n v="2836.5083333333337"/>
  </r>
  <r>
    <x v="8"/>
    <s v="Mississippi University for Women"/>
    <m/>
    <n v="176035"/>
    <x v="3"/>
    <m/>
    <m/>
    <m/>
    <m/>
    <n v="30462"/>
    <n v="31188"/>
    <n v="8644"/>
    <n v="9289"/>
    <n v="32762"/>
    <n v="31398"/>
    <n v="71868"/>
    <n v="2395.6"/>
    <n v="71875"/>
    <n v="2395.8333333333335"/>
    <m/>
    <m/>
    <n v="0"/>
    <n v="0"/>
    <m/>
    <m/>
    <m/>
    <m/>
    <m/>
    <m/>
    <m/>
    <m/>
    <n v="0"/>
    <n v="0"/>
    <n v="0"/>
    <n v="0"/>
    <m/>
    <m/>
    <n v="0"/>
    <n v="0"/>
    <m/>
    <m/>
    <n v="1634"/>
    <n v="1896"/>
    <n v="971"/>
    <n v="1262"/>
    <n v="1945"/>
    <n v="2389"/>
    <n v="4550"/>
    <n v="189.58333333333334"/>
    <n v="5547"/>
    <n v="231.125"/>
    <n v="2585.1833333333334"/>
    <n v="2626.9583333333335"/>
  </r>
  <r>
    <x v="8"/>
    <s v="Mississippi Valley State University"/>
    <m/>
    <n v="176044"/>
    <x v="3"/>
    <m/>
    <m/>
    <m/>
    <m/>
    <n v="21299"/>
    <n v="20834"/>
    <n v="3971"/>
    <n v="2813"/>
    <n v="22347.7"/>
    <n v="20397"/>
    <n v="47617.7"/>
    <n v="1587.2566666666667"/>
    <n v="44044"/>
    <n v="1468.1333333333334"/>
    <m/>
    <m/>
    <n v="0"/>
    <n v="0"/>
    <m/>
    <m/>
    <m/>
    <m/>
    <m/>
    <m/>
    <m/>
    <m/>
    <n v="0"/>
    <n v="0"/>
    <n v="0"/>
    <n v="0"/>
    <m/>
    <m/>
    <n v="0"/>
    <n v="0"/>
    <m/>
    <m/>
    <n v="2242"/>
    <n v="2061"/>
    <n v="573"/>
    <n v="774"/>
    <n v="2163"/>
    <n v="2312"/>
    <n v="4978"/>
    <n v="207.41666666666666"/>
    <n v="5147"/>
    <n v="214.45833333333334"/>
    <n v="1794.6733333333334"/>
    <n v="1682.5916666666667"/>
  </r>
  <r>
    <x v="8"/>
    <s v="Not Reported"/>
    <m/>
    <m/>
    <x v="13"/>
    <m/>
    <m/>
    <m/>
    <m/>
    <m/>
    <m/>
    <m/>
    <m/>
    <m/>
    <m/>
    <n v="0"/>
    <n v="0"/>
    <n v="0"/>
    <n v="0"/>
    <m/>
    <m/>
    <n v="0"/>
    <n v="0"/>
    <m/>
    <m/>
    <m/>
    <m/>
    <m/>
    <m/>
    <m/>
    <m/>
    <n v="0"/>
    <n v="0"/>
    <n v="0"/>
    <n v="0"/>
    <m/>
    <m/>
    <n v="0"/>
    <n v="0"/>
    <m/>
    <m/>
    <m/>
    <m/>
    <m/>
    <m/>
    <m/>
    <m/>
    <n v="0"/>
    <n v="0"/>
    <n v="0"/>
    <n v="0"/>
    <n v="0"/>
    <n v="0"/>
  </r>
  <r>
    <x v="9"/>
    <s v="North Carolina State University "/>
    <m/>
    <n v="199193"/>
    <x v="0"/>
    <m/>
    <m/>
    <m/>
    <m/>
    <n v="325566"/>
    <n v="330667"/>
    <n v="48885"/>
    <n v="61576"/>
    <n v="354137"/>
    <n v="356095"/>
    <n v="728588"/>
    <n v="24286.266666666666"/>
    <n v="748338"/>
    <n v="24944.6"/>
    <n v="2123"/>
    <n v="2076"/>
    <n v="728588"/>
    <n v="748338"/>
    <m/>
    <m/>
    <m/>
    <m/>
    <m/>
    <m/>
    <m/>
    <m/>
    <n v="0"/>
    <n v="0"/>
    <n v="0"/>
    <n v="0"/>
    <m/>
    <m/>
    <n v="0"/>
    <n v="0"/>
    <m/>
    <m/>
    <n v="76388.5"/>
    <n v="75997"/>
    <n v="11500.5"/>
    <n v="11946.5"/>
    <n v="86724.5"/>
    <n v="81406.5"/>
    <n v="174613.5"/>
    <n v="7275.5625"/>
    <n v="169350"/>
    <n v="7056.25"/>
    <n v="31561.829166666666"/>
    <n v="32000.85"/>
  </r>
  <r>
    <x v="9"/>
    <s v="University of North Carolina at Chapel Hill "/>
    <m/>
    <n v="199120"/>
    <x v="0"/>
    <m/>
    <m/>
    <m/>
    <m/>
    <n v="249231.5"/>
    <n v="245762"/>
    <n v="31219"/>
    <n v="49262.5"/>
    <n v="265142.5"/>
    <n v="269367.5"/>
    <n v="545593"/>
    <n v="18186.433333333334"/>
    <n v="564392"/>
    <n v="18813.066666666666"/>
    <n v="0"/>
    <n v="0"/>
    <n v="545593"/>
    <n v="564392"/>
    <m/>
    <m/>
    <m/>
    <m/>
    <m/>
    <m/>
    <m/>
    <m/>
    <n v="0"/>
    <n v="0"/>
    <n v="0"/>
    <n v="0"/>
    <m/>
    <m/>
    <n v="0"/>
    <n v="0"/>
    <m/>
    <m/>
    <n v="88392"/>
    <n v="88367.5"/>
    <n v="16205"/>
    <n v="13142"/>
    <n v="93304.5"/>
    <n v="86959.75"/>
    <n v="197901.5"/>
    <n v="8245.8958333333339"/>
    <n v="188469.25"/>
    <n v="7852.885416666667"/>
    <n v="26432.32916666667"/>
    <n v="26665.952083333334"/>
  </r>
  <r>
    <x v="9"/>
    <s v="University of North Carolina at Charlotte"/>
    <m/>
    <n v="199139"/>
    <x v="0"/>
    <m/>
    <m/>
    <m/>
    <m/>
    <n v="305219"/>
    <n v="296870"/>
    <n v="54980"/>
    <n v="67105"/>
    <n v="322370"/>
    <n v="326619"/>
    <n v="682569"/>
    <n v="22752.3"/>
    <n v="690594"/>
    <n v="23019.8"/>
    <n v="4226"/>
    <n v="4905"/>
    <n v="682569"/>
    <n v="690594"/>
    <m/>
    <m/>
    <m/>
    <m/>
    <m/>
    <m/>
    <m/>
    <m/>
    <n v="0"/>
    <n v="0"/>
    <n v="0"/>
    <n v="0"/>
    <m/>
    <m/>
    <n v="0"/>
    <n v="0"/>
    <m/>
    <m/>
    <n v="36101"/>
    <n v="38014"/>
    <n v="10064"/>
    <n v="12625"/>
    <n v="41031"/>
    <n v="43283"/>
    <n v="87196"/>
    <n v="3633.1666666666665"/>
    <n v="93922"/>
    <n v="3913.4166666666665"/>
    <n v="26385.466666666667"/>
    <n v="26933.216666666667"/>
  </r>
  <r>
    <x v="9"/>
    <s v="University of North Carolina at Greensboro"/>
    <m/>
    <n v="199148"/>
    <x v="0"/>
    <m/>
    <m/>
    <m/>
    <m/>
    <n v="205042"/>
    <n v="202606"/>
    <n v="36452"/>
    <n v="35659"/>
    <n v="219953"/>
    <n v="213016"/>
    <n v="461447"/>
    <n v="15381.566666666668"/>
    <n v="451281"/>
    <n v="15042.7"/>
    <n v="1899"/>
    <n v="1940"/>
    <n v="461447"/>
    <n v="451281"/>
    <m/>
    <m/>
    <m/>
    <m/>
    <m/>
    <m/>
    <m/>
    <m/>
    <n v="0"/>
    <n v="0"/>
    <n v="0"/>
    <n v="0"/>
    <m/>
    <m/>
    <n v="0"/>
    <n v="0"/>
    <m/>
    <m/>
    <n v="26104.5"/>
    <n v="25588.5"/>
    <n v="7433"/>
    <n v="7213.5"/>
    <n v="27504"/>
    <n v="28521.5"/>
    <n v="61041.5"/>
    <n v="2543.3958333333335"/>
    <n v="61323.5"/>
    <n v="2555.1458333333335"/>
    <n v="17924.962500000001"/>
    <n v="17597.845833333333"/>
  </r>
  <r>
    <x v="9"/>
    <s v="East Carolina University "/>
    <m/>
    <n v="198464"/>
    <x v="1"/>
    <m/>
    <m/>
    <m/>
    <m/>
    <n v="282644"/>
    <n v="277548"/>
    <n v="53646"/>
    <n v="50567"/>
    <n v="304952"/>
    <n v="305077"/>
    <n v="641242"/>
    <n v="21374.733333333334"/>
    <n v="633192"/>
    <n v="21106.400000000001"/>
    <n v="302"/>
    <n v="762"/>
    <n v="641242"/>
    <n v="633192"/>
    <m/>
    <m/>
    <m/>
    <m/>
    <m/>
    <m/>
    <m/>
    <m/>
    <n v="0"/>
    <n v="0"/>
    <n v="0"/>
    <n v="0"/>
    <m/>
    <m/>
    <n v="0"/>
    <n v="0"/>
    <m/>
    <m/>
    <n v="33457"/>
    <n v="34328"/>
    <n v="17078"/>
    <n v="17082"/>
    <n v="36650"/>
    <n v="38053"/>
    <n v="87185"/>
    <n v="3632.7083333333335"/>
    <n v="89463"/>
    <n v="3727.625"/>
    <n v="25007.441666666666"/>
    <n v="24834.025000000001"/>
  </r>
  <r>
    <x v="9"/>
    <s v="Appalachian State University "/>
    <m/>
    <n v="197869"/>
    <x v="2"/>
    <m/>
    <m/>
    <m/>
    <m/>
    <n v="235523"/>
    <n v="235254"/>
    <n v="39598"/>
    <n v="44610"/>
    <n v="252871"/>
    <n v="258583"/>
    <n v="527992"/>
    <n v="17599.733333333334"/>
    <n v="538447"/>
    <n v="17948.233333333334"/>
    <n v="0"/>
    <n v="0"/>
    <n v="527992"/>
    <n v="538447"/>
    <m/>
    <m/>
    <m/>
    <m/>
    <m/>
    <m/>
    <m/>
    <m/>
    <n v="0"/>
    <n v="0"/>
    <n v="0"/>
    <n v="0"/>
    <m/>
    <m/>
    <n v="0"/>
    <n v="0"/>
    <m/>
    <m/>
    <n v="13190"/>
    <n v="13147"/>
    <n v="6639"/>
    <n v="7383"/>
    <n v="14148"/>
    <n v="15373"/>
    <n v="33977"/>
    <n v="1415.7083333333333"/>
    <n v="35903"/>
    <n v="1495.9583333333333"/>
    <n v="19015.441666666666"/>
    <n v="19444.191666666666"/>
  </r>
  <r>
    <x v="9"/>
    <s v="North Carolina A&amp;T State University"/>
    <s v="Met the criteria for Four-Year 2 in 2019-20 and 2020-21."/>
    <n v="199102"/>
    <x v="2"/>
    <m/>
    <m/>
    <m/>
    <m/>
    <n v="136331"/>
    <n v="141285"/>
    <n v="19972"/>
    <n v="22703"/>
    <n v="153869"/>
    <n v="154813"/>
    <n v="310172"/>
    <n v="10339.066666666668"/>
    <n v="318801"/>
    <n v="10626.7"/>
    <n v="843"/>
    <n v="2823"/>
    <n v="310172"/>
    <n v="318801"/>
    <m/>
    <m/>
    <m/>
    <m/>
    <m/>
    <m/>
    <m/>
    <m/>
    <n v="0"/>
    <n v="0"/>
    <n v="0"/>
    <n v="0"/>
    <m/>
    <m/>
    <n v="0"/>
    <n v="0"/>
    <m/>
    <m/>
    <n v="10861"/>
    <n v="10943"/>
    <n v="2282"/>
    <n v="2430"/>
    <n v="11899"/>
    <n v="12705"/>
    <n v="25042"/>
    <n v="1043.4166666666667"/>
    <n v="26078"/>
    <n v="1086.5833333333333"/>
    <n v="11382.483333333334"/>
    <n v="11713.283333333335"/>
  </r>
  <r>
    <x v="9"/>
    <s v="North Carolina Central University "/>
    <m/>
    <n v="199157"/>
    <x v="2"/>
    <m/>
    <m/>
    <m/>
    <m/>
    <n v="75543"/>
    <n v="69458.5"/>
    <n v="18097"/>
    <n v="19653"/>
    <n v="80366"/>
    <n v="78102.5"/>
    <n v="174006"/>
    <n v="5800.2"/>
    <n v="167214"/>
    <n v="5573.8"/>
    <n v="6206"/>
    <n v="6024"/>
    <n v="174006"/>
    <n v="167214"/>
    <m/>
    <m/>
    <m/>
    <m/>
    <m/>
    <m/>
    <m/>
    <m/>
    <n v="0"/>
    <n v="0"/>
    <n v="0"/>
    <n v="0"/>
    <m/>
    <m/>
    <n v="0"/>
    <n v="0"/>
    <m/>
    <m/>
    <n v="15736"/>
    <n v="16762.5"/>
    <n v="4822.5"/>
    <n v="5049.5"/>
    <n v="17874"/>
    <n v="18480.5"/>
    <n v="38432.5"/>
    <n v="1601.3541666666667"/>
    <n v="40292.5"/>
    <n v="1678.8541666666667"/>
    <n v="7401.5541666666668"/>
    <n v="7252.6541666666672"/>
  </r>
  <r>
    <x v="9"/>
    <s v="University of North Carolina at Wilmington"/>
    <m/>
    <n v="199218"/>
    <x v="2"/>
    <m/>
    <m/>
    <m/>
    <m/>
    <n v="179523.5"/>
    <n v="183171.5"/>
    <n v="40088.5"/>
    <n v="46093.5"/>
    <n v="195080.5"/>
    <n v="190767"/>
    <n v="414692.5"/>
    <n v="13823.083333333334"/>
    <n v="420032"/>
    <n v="14001.066666666668"/>
    <n v="2512"/>
    <n v="2905"/>
    <n v="414692.5"/>
    <n v="420032"/>
    <m/>
    <m/>
    <m/>
    <m/>
    <m/>
    <m/>
    <m/>
    <m/>
    <n v="0"/>
    <n v="0"/>
    <n v="0"/>
    <n v="0"/>
    <m/>
    <m/>
    <n v="0"/>
    <n v="0"/>
    <m/>
    <m/>
    <n v="16215"/>
    <n v="19209"/>
    <n v="7415.5"/>
    <n v="10344"/>
    <n v="20066"/>
    <n v="23629.5"/>
    <n v="43696.5"/>
    <n v="1820.6875"/>
    <n v="53182.5"/>
    <n v="2215.9375"/>
    <n v="15643.770833333334"/>
    <n v="16217.004166666668"/>
  </r>
  <r>
    <x v="9"/>
    <s v="Western Carolina University "/>
    <m/>
    <n v="200004"/>
    <x v="2"/>
    <m/>
    <m/>
    <m/>
    <m/>
    <n v="127502"/>
    <n v="131442"/>
    <n v="19115"/>
    <n v="17731"/>
    <n v="142083"/>
    <n v="139881"/>
    <n v="288700"/>
    <n v="9623.3333333333339"/>
    <n v="289054"/>
    <n v="9635.1333333333332"/>
    <n v="0"/>
    <n v="0"/>
    <n v="288700"/>
    <n v="289054"/>
    <m/>
    <m/>
    <m/>
    <m/>
    <m/>
    <m/>
    <m/>
    <m/>
    <n v="0"/>
    <n v="0"/>
    <n v="0"/>
    <n v="0"/>
    <m/>
    <m/>
    <n v="0"/>
    <n v="0"/>
    <m/>
    <m/>
    <n v="13036"/>
    <n v="13332"/>
    <n v="5669"/>
    <n v="5982"/>
    <n v="13967"/>
    <n v="14525"/>
    <n v="32672"/>
    <n v="1361.3333333333333"/>
    <n v="33839"/>
    <n v="1409.9583333333333"/>
    <n v="10984.666666666668"/>
    <n v="11045.091666666667"/>
  </r>
  <r>
    <x v="9"/>
    <s v="Fayetteville State University "/>
    <m/>
    <n v="198543"/>
    <x v="3"/>
    <m/>
    <m/>
    <m/>
    <m/>
    <n v="64237"/>
    <n v="64766"/>
    <n v="17177"/>
    <n v="18429"/>
    <n v="68701"/>
    <n v="66878"/>
    <n v="150115"/>
    <n v="5003.833333333333"/>
    <n v="150073"/>
    <n v="5002.4333333333334"/>
    <n v="7860"/>
    <n v="7856"/>
    <n v="150115"/>
    <n v="150073"/>
    <m/>
    <m/>
    <m/>
    <m/>
    <m/>
    <m/>
    <m/>
    <m/>
    <n v="0"/>
    <n v="0"/>
    <n v="0"/>
    <n v="0"/>
    <m/>
    <m/>
    <n v="0"/>
    <n v="0"/>
    <m/>
    <m/>
    <n v="5694"/>
    <n v="6006"/>
    <n v="2184"/>
    <n v="3783"/>
    <n v="6460"/>
    <n v="7796"/>
    <n v="14338"/>
    <n v="597.41666666666663"/>
    <n v="17585"/>
    <n v="732.70833333333337"/>
    <n v="5601.25"/>
    <n v="5735.1416666666664"/>
  </r>
  <r>
    <x v="9"/>
    <s v="University of North Carolina at Pembroke"/>
    <m/>
    <n v="199281"/>
    <x v="4"/>
    <m/>
    <m/>
    <m/>
    <m/>
    <n v="71272"/>
    <n v="74554"/>
    <n v="17971"/>
    <n v="18624"/>
    <n v="81177"/>
    <n v="80137"/>
    <n v="170420"/>
    <n v="5680.666666666667"/>
    <n v="173315"/>
    <n v="5777.166666666667"/>
    <n v="0"/>
    <n v="0"/>
    <n v="170420"/>
    <n v="173315"/>
    <m/>
    <m/>
    <m/>
    <m/>
    <m/>
    <m/>
    <m/>
    <m/>
    <n v="0"/>
    <n v="0"/>
    <n v="0"/>
    <n v="0"/>
    <m/>
    <m/>
    <n v="0"/>
    <n v="0"/>
    <m/>
    <m/>
    <n v="7137"/>
    <n v="9041"/>
    <n v="5618"/>
    <n v="7839"/>
    <n v="9416"/>
    <n v="12880"/>
    <n v="22171"/>
    <n v="923.79166666666663"/>
    <n v="29760"/>
    <n v="1240"/>
    <n v="6604.4583333333339"/>
    <n v="7017.166666666667"/>
  </r>
  <r>
    <x v="9"/>
    <s v="Winston-Salem State University "/>
    <m/>
    <n v="199999"/>
    <x v="4"/>
    <m/>
    <m/>
    <m/>
    <m/>
    <n v="59707"/>
    <n v="59980"/>
    <n v="8428"/>
    <n v="10241"/>
    <n v="64295"/>
    <n v="64300"/>
    <n v="132430"/>
    <n v="4414.333333333333"/>
    <n v="134521"/>
    <n v="4484.0333333333338"/>
    <n v="0"/>
    <n v="0"/>
    <n v="132430"/>
    <n v="134521"/>
    <m/>
    <m/>
    <m/>
    <m/>
    <m/>
    <m/>
    <m/>
    <m/>
    <n v="0"/>
    <n v="0"/>
    <n v="0"/>
    <n v="0"/>
    <m/>
    <m/>
    <n v="0"/>
    <n v="0"/>
    <m/>
    <m/>
    <n v="4309"/>
    <n v="4174"/>
    <n v="2247"/>
    <n v="2113"/>
    <n v="4457"/>
    <n v="4593"/>
    <n v="11013"/>
    <n v="458.875"/>
    <n v="10880"/>
    <n v="453.33333333333331"/>
    <n v="4873.208333333333"/>
    <n v="4937.3666666666668"/>
  </r>
  <r>
    <x v="9"/>
    <s v="Elizabeth City State University "/>
    <m/>
    <n v="198507"/>
    <x v="5"/>
    <m/>
    <m/>
    <m/>
    <m/>
    <n v="20165"/>
    <n v="21962"/>
    <n v="2453"/>
    <n v="3072"/>
    <n v="23739"/>
    <n v="25637"/>
    <n v="46357"/>
    <n v="1545.2333333333333"/>
    <n v="50671"/>
    <n v="1689.0333333333333"/>
    <n v="0"/>
    <n v="9"/>
    <n v="46357"/>
    <n v="50671"/>
    <m/>
    <m/>
    <m/>
    <m/>
    <m/>
    <m/>
    <m/>
    <m/>
    <n v="0"/>
    <n v="0"/>
    <n v="0"/>
    <n v="0"/>
    <m/>
    <m/>
    <n v="0"/>
    <n v="0"/>
    <m/>
    <m/>
    <n v="399"/>
    <n v="612"/>
    <n v="236"/>
    <n v="330"/>
    <n v="593"/>
    <n v="636"/>
    <n v="1228"/>
    <n v="51.166666666666664"/>
    <n v="1578"/>
    <n v="65.75"/>
    <n v="1596.4"/>
    <n v="1754.7833333333333"/>
  </r>
  <r>
    <x v="9"/>
    <s v="University of North Carolina at Asheville"/>
    <m/>
    <n v="199111"/>
    <x v="5"/>
    <m/>
    <m/>
    <m/>
    <m/>
    <n v="46802"/>
    <n v="44259"/>
    <n v="4228"/>
    <n v="6609"/>
    <n v="47948"/>
    <n v="45271"/>
    <n v="98978"/>
    <n v="3299.2666666666669"/>
    <n v="96139"/>
    <n v="3204.6333333333332"/>
    <n v="0"/>
    <n v="0"/>
    <n v="98978"/>
    <n v="96139"/>
    <m/>
    <m/>
    <m/>
    <m/>
    <m/>
    <m/>
    <m/>
    <m/>
    <n v="0"/>
    <n v="0"/>
    <n v="0"/>
    <n v="0"/>
    <m/>
    <m/>
    <n v="0"/>
    <n v="0"/>
    <m/>
    <m/>
    <n v="120"/>
    <n v="51"/>
    <n v="26"/>
    <n v="12"/>
    <n v="67"/>
    <n v="18"/>
    <n v="213"/>
    <n v="8.875"/>
    <n v="81"/>
    <n v="3.375"/>
    <n v="3308.1416666666669"/>
    <n v="3208.0083333333332"/>
  </r>
  <r>
    <x v="9"/>
    <s v="University of North Carolina School of the Arts"/>
    <m/>
    <n v="199184"/>
    <x v="11"/>
    <m/>
    <m/>
    <m/>
    <m/>
    <n v="13360"/>
    <n v="13093"/>
    <n v="230"/>
    <n v="294"/>
    <n v="13847"/>
    <n v="13331"/>
    <n v="27437"/>
    <n v="914.56666666666672"/>
    <n v="26718"/>
    <n v="890.6"/>
    <n v="0"/>
    <n v="0"/>
    <n v="27437"/>
    <n v="26718"/>
    <m/>
    <m/>
    <m/>
    <m/>
    <m/>
    <m/>
    <m/>
    <m/>
    <n v="0"/>
    <n v="0"/>
    <n v="0"/>
    <n v="0"/>
    <m/>
    <m/>
    <n v="0"/>
    <n v="0"/>
    <m/>
    <m/>
    <n v="1864"/>
    <n v="1853"/>
    <n v="0"/>
    <n v="3"/>
    <n v="1958"/>
    <n v="1816"/>
    <n v="3822"/>
    <n v="159.25"/>
    <n v="3672"/>
    <n v="153"/>
    <n v="1073.8166666666666"/>
    <n v="1043.5999999999999"/>
  </r>
  <r>
    <x v="9"/>
    <s v="Asheville-Buncombe Technical Community College"/>
    <m/>
    <n v="197887"/>
    <x v="6"/>
    <s v="sem"/>
    <m/>
    <m/>
    <m/>
    <n v="55880"/>
    <n v="52971"/>
    <n v="14802"/>
    <n v="16404"/>
    <n v="59570"/>
    <n v="56401"/>
    <n v="130252"/>
    <n v="4341.7333333333336"/>
    <n v="125776"/>
    <n v="4192.5333333333338"/>
    <n v="24622"/>
    <n v="24412"/>
    <n v="130252"/>
    <n v="125776"/>
    <m/>
    <m/>
    <n v="273043"/>
    <n v="197987"/>
    <n v="175951"/>
    <n v="62087"/>
    <n v="267607"/>
    <n v="135143"/>
    <n v="716601"/>
    <n v="796.22333333333336"/>
    <n v="395217"/>
    <n v="439.13"/>
    <m/>
    <m/>
    <n v="0"/>
    <n v="0"/>
    <m/>
    <m/>
    <m/>
    <m/>
    <m/>
    <m/>
    <m/>
    <m/>
    <n v="0"/>
    <n v="0"/>
    <n v="0"/>
    <n v="0"/>
    <n v="5137.9566666666669"/>
    <n v="4631.6633333333339"/>
  </r>
  <r>
    <x v="9"/>
    <s v="Cape Fear Community College"/>
    <m/>
    <n v="198154"/>
    <x v="6"/>
    <s v="sem"/>
    <m/>
    <m/>
    <m/>
    <n v="73892"/>
    <n v="78980"/>
    <n v="22097"/>
    <n v="25264.5"/>
    <n v="84210"/>
    <n v="84916"/>
    <n v="180199"/>
    <n v="6006.6333333333332"/>
    <n v="189160.5"/>
    <n v="6305.35"/>
    <n v="23372"/>
    <n v="27599"/>
    <n v="180199"/>
    <n v="189160.5"/>
    <m/>
    <m/>
    <n v="250103"/>
    <n v="231137"/>
    <n v="149085"/>
    <n v="74560"/>
    <n v="292108"/>
    <n v="248246"/>
    <n v="691296"/>
    <n v="768.10666666666668"/>
    <n v="553943"/>
    <n v="615.49222222222227"/>
    <m/>
    <m/>
    <n v="0"/>
    <n v="0"/>
    <m/>
    <m/>
    <m/>
    <m/>
    <m/>
    <m/>
    <m/>
    <m/>
    <n v="0"/>
    <n v="0"/>
    <n v="0"/>
    <n v="0"/>
    <n v="6774.74"/>
    <n v="6920.8422222222225"/>
  </r>
  <r>
    <x v="9"/>
    <s v="Central Piedmont Community College "/>
    <m/>
    <n v="198260"/>
    <x v="6"/>
    <s v="sem"/>
    <m/>
    <m/>
    <m/>
    <n v="169269.5"/>
    <n v="166754"/>
    <n v="46388"/>
    <n v="51271.5"/>
    <n v="178676"/>
    <n v="165091"/>
    <n v="394333.5"/>
    <n v="13144.45"/>
    <n v="383116.5"/>
    <n v="12770.55"/>
    <n v="30622.5"/>
    <n v="45420"/>
    <n v="394333.5"/>
    <n v="383116.5"/>
    <m/>
    <m/>
    <n v="544624"/>
    <n v="356816"/>
    <n v="233382"/>
    <n v="179451"/>
    <n v="502316"/>
    <n v="360847"/>
    <n v="1280322"/>
    <n v="1422.58"/>
    <n v="897114"/>
    <n v="996.79333333333329"/>
    <m/>
    <m/>
    <n v="0"/>
    <n v="0"/>
    <m/>
    <m/>
    <m/>
    <m/>
    <m/>
    <m/>
    <m/>
    <m/>
    <n v="0"/>
    <n v="0"/>
    <n v="0"/>
    <n v="0"/>
    <n v="14567.03"/>
    <n v="13767.343333333332"/>
  </r>
  <r>
    <x v="9"/>
    <s v="Fayetteville Technical Community College"/>
    <m/>
    <n v="198534"/>
    <x v="6"/>
    <s v="sem"/>
    <m/>
    <m/>
    <m/>
    <n v="104030"/>
    <n v="104333"/>
    <n v="35057"/>
    <n v="33835"/>
    <n v="113917"/>
    <n v="101114"/>
    <n v="253004"/>
    <n v="8433.4666666666672"/>
    <n v="239282"/>
    <n v="7976.0666666666666"/>
    <n v="20010"/>
    <n v="21290"/>
    <n v="253004"/>
    <n v="239282"/>
    <m/>
    <m/>
    <n v="727015"/>
    <n v="750212"/>
    <n v="650272"/>
    <n v="439923"/>
    <n v="970233"/>
    <n v="752533"/>
    <n v="2347520"/>
    <n v="2608.3555555555554"/>
    <n v="1942668"/>
    <n v="2158.52"/>
    <m/>
    <m/>
    <n v="0"/>
    <n v="0"/>
    <m/>
    <m/>
    <m/>
    <m/>
    <m/>
    <m/>
    <m/>
    <m/>
    <n v="0"/>
    <n v="0"/>
    <n v="0"/>
    <n v="0"/>
    <n v="11041.822222222223"/>
    <n v="10134.586666666666"/>
  </r>
  <r>
    <x v="9"/>
    <s v="Forsyth Technical Community College"/>
    <m/>
    <n v="198552"/>
    <x v="6"/>
    <s v="sem"/>
    <m/>
    <m/>
    <m/>
    <n v="67366"/>
    <n v="66978"/>
    <n v="23797"/>
    <n v="26268"/>
    <n v="72616"/>
    <n v="70109"/>
    <n v="163779"/>
    <n v="5459.3"/>
    <n v="163355"/>
    <n v="5445.166666666667"/>
    <n v="14786"/>
    <n v="16202"/>
    <n v="163779"/>
    <n v="163355"/>
    <m/>
    <m/>
    <n v="201159"/>
    <n v="161162"/>
    <n v="191527"/>
    <n v="110897"/>
    <n v="239291"/>
    <n v="156381"/>
    <n v="631977"/>
    <n v="702.19666666666672"/>
    <n v="428440"/>
    <n v="476.04444444444442"/>
    <m/>
    <m/>
    <n v="0"/>
    <n v="0"/>
    <m/>
    <m/>
    <m/>
    <m/>
    <m/>
    <m/>
    <m/>
    <m/>
    <n v="0"/>
    <n v="0"/>
    <n v="0"/>
    <n v="0"/>
    <n v="6161.4966666666669"/>
    <n v="5921.2111111111117"/>
  </r>
  <r>
    <x v="9"/>
    <s v="Guilford Technical Community College"/>
    <m/>
    <n v="198622"/>
    <x v="6"/>
    <s v="sem"/>
    <m/>
    <m/>
    <m/>
    <n v="90788"/>
    <n v="95481.5"/>
    <n v="26645"/>
    <n v="29489"/>
    <n v="105817"/>
    <n v="102535"/>
    <n v="223250"/>
    <n v="7441.666666666667"/>
    <n v="227505.5"/>
    <n v="7583.5166666666664"/>
    <n v="18352"/>
    <n v="22322"/>
    <n v="223250"/>
    <n v="227505.5"/>
    <m/>
    <m/>
    <n v="446684"/>
    <n v="289216"/>
    <n v="257759"/>
    <n v="135860"/>
    <n v="375261"/>
    <n v="254166"/>
    <n v="1079704"/>
    <n v="1199.671111111111"/>
    <n v="679242"/>
    <n v="754.71333333333337"/>
    <m/>
    <m/>
    <n v="0"/>
    <n v="0"/>
    <m/>
    <m/>
    <m/>
    <m/>
    <m/>
    <m/>
    <m/>
    <m/>
    <n v="0"/>
    <n v="0"/>
    <n v="0"/>
    <n v="0"/>
    <n v="8641.3377777777787"/>
    <n v="8338.23"/>
  </r>
  <r>
    <x v="9"/>
    <s v="Pitt Community College"/>
    <m/>
    <n v="199333"/>
    <x v="6"/>
    <s v="sem"/>
    <m/>
    <m/>
    <m/>
    <n v="73757"/>
    <n v="75221"/>
    <n v="22997"/>
    <n v="25297"/>
    <n v="80416"/>
    <n v="70867"/>
    <n v="177170"/>
    <n v="5905.666666666667"/>
    <n v="171385"/>
    <n v="5712.833333333333"/>
    <n v="18604"/>
    <n v="20192"/>
    <n v="177170"/>
    <n v="171385"/>
    <m/>
    <m/>
    <n v="187805"/>
    <n v="142069"/>
    <n v="122228"/>
    <n v="110182"/>
    <n v="251602"/>
    <n v="166730"/>
    <n v="561635"/>
    <n v="624.03888888888889"/>
    <n v="418981"/>
    <n v="465.53444444444443"/>
    <m/>
    <m/>
    <n v="0"/>
    <n v="0"/>
    <m/>
    <m/>
    <m/>
    <m/>
    <m/>
    <m/>
    <m/>
    <m/>
    <n v="0"/>
    <n v="0"/>
    <n v="0"/>
    <n v="0"/>
    <n v="6529.7055555555562"/>
    <n v="6178.3677777777775"/>
  </r>
  <r>
    <x v="9"/>
    <s v="Rowan-Cabarrus Community College"/>
    <m/>
    <n v="199494"/>
    <x v="6"/>
    <s v="sem"/>
    <m/>
    <m/>
    <m/>
    <n v="52491"/>
    <n v="55755"/>
    <n v="13900"/>
    <n v="14869"/>
    <n v="61435"/>
    <n v="59579"/>
    <n v="127826"/>
    <n v="4260.8666666666668"/>
    <n v="130203"/>
    <n v="4340.1000000000004"/>
    <n v="30097"/>
    <n v="34082"/>
    <n v="127826"/>
    <n v="130203"/>
    <m/>
    <m/>
    <n v="324177"/>
    <n v="242445"/>
    <n v="186892"/>
    <n v="133843"/>
    <n v="416158"/>
    <n v="319390"/>
    <n v="927227"/>
    <n v="1030.2522222222221"/>
    <n v="695678"/>
    <n v="772.9755555555555"/>
    <m/>
    <m/>
    <n v="0"/>
    <n v="0"/>
    <m/>
    <m/>
    <m/>
    <m/>
    <m/>
    <m/>
    <m/>
    <m/>
    <n v="0"/>
    <n v="0"/>
    <n v="0"/>
    <n v="0"/>
    <n v="5291.1188888888892"/>
    <n v="5113.0755555555561"/>
  </r>
  <r>
    <x v="9"/>
    <s v="Wake Technical Community College"/>
    <m/>
    <n v="199856"/>
    <x v="6"/>
    <s v="sem"/>
    <m/>
    <m/>
    <m/>
    <n v="190801"/>
    <n v="193599"/>
    <n v="51329"/>
    <n v="60890"/>
    <n v="209683"/>
    <n v="206440"/>
    <n v="451813"/>
    <n v="15060.433333333332"/>
    <n v="460929"/>
    <n v="15364.3"/>
    <n v="24076"/>
    <n v="28340"/>
    <n v="451813"/>
    <n v="460929"/>
    <m/>
    <m/>
    <n v="751268"/>
    <n v="645532"/>
    <n v="645131"/>
    <n v="301381"/>
    <n v="1035870"/>
    <n v="603078"/>
    <n v="2432269"/>
    <n v="2702.5211111111112"/>
    <n v="1549991"/>
    <n v="1722.2122222222222"/>
    <m/>
    <m/>
    <n v="0"/>
    <n v="0"/>
    <m/>
    <m/>
    <m/>
    <m/>
    <m/>
    <m/>
    <m/>
    <m/>
    <n v="0"/>
    <n v="0"/>
    <n v="0"/>
    <n v="0"/>
    <n v="17762.954444444444"/>
    <n v="17086.51222222222"/>
  </r>
  <r>
    <x v="9"/>
    <s v="Alamance Community College"/>
    <m/>
    <n v="199786"/>
    <x v="7"/>
    <s v="sem"/>
    <m/>
    <m/>
    <m/>
    <n v="35199"/>
    <n v="38193"/>
    <n v="9644"/>
    <n v="10803"/>
    <n v="40556.5"/>
    <n v="37427.5"/>
    <n v="85399.5"/>
    <n v="2846.65"/>
    <n v="86423.5"/>
    <n v="2880.7833333333333"/>
    <n v="17147"/>
    <n v="18997"/>
    <n v="85399.5"/>
    <n v="86423.5"/>
    <m/>
    <m/>
    <n v="199369"/>
    <n v="160922"/>
    <n v="123966"/>
    <n v="90661"/>
    <n v="261556"/>
    <n v="199375"/>
    <n v="584891"/>
    <n v="649.87888888888892"/>
    <n v="450958"/>
    <n v="501.06444444444446"/>
    <m/>
    <m/>
    <n v="0"/>
    <n v="0"/>
    <m/>
    <m/>
    <m/>
    <m/>
    <m/>
    <m/>
    <m/>
    <m/>
    <n v="0"/>
    <n v="0"/>
    <n v="0"/>
    <n v="0"/>
    <n v="3496.528888888889"/>
    <n v="3381.847777777778"/>
  </r>
  <r>
    <x v="9"/>
    <s v="Caldwell Community College &amp; Technical Institute"/>
    <m/>
    <n v="198118"/>
    <x v="7"/>
    <s v="sem"/>
    <m/>
    <m/>
    <m/>
    <n v="29843"/>
    <n v="32473"/>
    <n v="7755"/>
    <n v="8103"/>
    <n v="35505"/>
    <n v="36768"/>
    <n v="73103"/>
    <n v="2436.7666666666669"/>
    <n v="77344"/>
    <n v="2578.1333333333332"/>
    <n v="19195"/>
    <n v="20991"/>
    <n v="73103"/>
    <n v="77344"/>
    <m/>
    <m/>
    <n v="148790"/>
    <n v="144511"/>
    <n v="142987"/>
    <n v="78020"/>
    <n v="216626"/>
    <n v="193208"/>
    <n v="508403"/>
    <n v="564.89222222222224"/>
    <n v="415739"/>
    <n v="461.93222222222221"/>
    <m/>
    <m/>
    <n v="0"/>
    <n v="0"/>
    <m/>
    <m/>
    <m/>
    <m/>
    <m/>
    <m/>
    <m/>
    <m/>
    <n v="0"/>
    <n v="0"/>
    <n v="0"/>
    <n v="0"/>
    <n v="3001.6588888888891"/>
    <n v="3040.0655555555554"/>
  </r>
  <r>
    <x v="9"/>
    <s v="Catawba Valley Community College"/>
    <m/>
    <n v="198233"/>
    <x v="7"/>
    <s v="sem"/>
    <m/>
    <m/>
    <m/>
    <n v="40042"/>
    <n v="42501"/>
    <n v="9862"/>
    <n v="9680"/>
    <n v="45979"/>
    <n v="42449"/>
    <n v="95883"/>
    <n v="3196.1"/>
    <n v="94630"/>
    <n v="3154.3333333333335"/>
    <n v="22225"/>
    <n v="23155"/>
    <n v="95883"/>
    <n v="94630"/>
    <m/>
    <m/>
    <n v="185527"/>
    <n v="147723"/>
    <n v="144684"/>
    <n v="90901"/>
    <n v="193300"/>
    <n v="123661"/>
    <n v="523511"/>
    <n v="581.67888888888888"/>
    <n v="362285"/>
    <n v="402.53888888888889"/>
    <m/>
    <m/>
    <n v="0"/>
    <n v="0"/>
    <m/>
    <m/>
    <m/>
    <m/>
    <m/>
    <m/>
    <m/>
    <m/>
    <n v="0"/>
    <n v="0"/>
    <n v="0"/>
    <n v="0"/>
    <n v="3777.778888888889"/>
    <n v="3556.8722222222223"/>
  </r>
  <r>
    <x v="9"/>
    <s v="Central Carolina Commuity College"/>
    <m/>
    <n v="198251"/>
    <x v="7"/>
    <s v="sem"/>
    <m/>
    <m/>
    <m/>
    <n v="42886"/>
    <n v="49765"/>
    <n v="9704"/>
    <n v="9641"/>
    <n v="53472"/>
    <n v="50383"/>
    <n v="106062"/>
    <n v="3535.4"/>
    <n v="109789"/>
    <n v="3659.6333333333332"/>
    <n v="28678"/>
    <n v="30626"/>
    <n v="106062"/>
    <n v="109789"/>
    <m/>
    <m/>
    <n v="229757"/>
    <n v="206879"/>
    <n v="183269"/>
    <n v="55568"/>
    <n v="271956"/>
    <n v="148443"/>
    <n v="684982"/>
    <n v="761.0911111111111"/>
    <n v="410890"/>
    <n v="456.54444444444442"/>
    <m/>
    <m/>
    <n v="0"/>
    <n v="0"/>
    <m/>
    <m/>
    <m/>
    <m/>
    <m/>
    <m/>
    <m/>
    <m/>
    <n v="0"/>
    <n v="0"/>
    <n v="0"/>
    <n v="0"/>
    <n v="4296.4911111111114"/>
    <n v="4116.1777777777779"/>
  </r>
  <r>
    <x v="9"/>
    <s v="Cleveland Community College"/>
    <m/>
    <n v="198321"/>
    <x v="7"/>
    <s v="sem"/>
    <m/>
    <m/>
    <m/>
    <n v="21958"/>
    <n v="23419"/>
    <n v="6172"/>
    <n v="6681"/>
    <n v="24771"/>
    <n v="23486"/>
    <n v="52901"/>
    <n v="1763.3666666666666"/>
    <n v="53586"/>
    <n v="1786.2"/>
    <n v="10085"/>
    <n v="8925"/>
    <n v="52901"/>
    <n v="53586"/>
    <m/>
    <m/>
    <n v="163622"/>
    <n v="135304"/>
    <n v="100860"/>
    <n v="84510"/>
    <n v="200271"/>
    <n v="158802"/>
    <n v="464753"/>
    <n v="516.39222222222224"/>
    <n v="378616"/>
    <n v="420.68444444444447"/>
    <m/>
    <m/>
    <n v="0"/>
    <n v="0"/>
    <m/>
    <m/>
    <m/>
    <m/>
    <m/>
    <m/>
    <m/>
    <m/>
    <n v="0"/>
    <n v="0"/>
    <n v="0"/>
    <n v="0"/>
    <n v="2279.7588888888886"/>
    <n v="2206.8844444444444"/>
  </r>
  <r>
    <x v="9"/>
    <s v="Coastal Carolina Community College "/>
    <m/>
    <n v="198330"/>
    <x v="7"/>
    <s v="sem"/>
    <m/>
    <m/>
    <m/>
    <n v="36858"/>
    <n v="37420"/>
    <n v="13983"/>
    <n v="14020"/>
    <n v="38743"/>
    <n v="36383"/>
    <n v="89584"/>
    <n v="2986.1333333333332"/>
    <n v="87823"/>
    <n v="2927.4333333333334"/>
    <n v="4628"/>
    <n v="6965"/>
    <n v="89584"/>
    <n v="87823"/>
    <m/>
    <m/>
    <n v="147800"/>
    <n v="127907"/>
    <n v="122831"/>
    <n v="105324"/>
    <n v="182776"/>
    <n v="160242"/>
    <n v="453407"/>
    <n v="503.78555555555556"/>
    <n v="393473"/>
    <n v="437.1922222222222"/>
    <m/>
    <m/>
    <n v="0"/>
    <n v="0"/>
    <m/>
    <m/>
    <m/>
    <m/>
    <m/>
    <m/>
    <m/>
    <m/>
    <n v="0"/>
    <n v="0"/>
    <n v="0"/>
    <n v="0"/>
    <n v="3489.9188888888889"/>
    <n v="3364.6255555555554"/>
  </r>
  <r>
    <x v="9"/>
    <s v="Craven Community College "/>
    <m/>
    <n v="198367"/>
    <x v="7"/>
    <s v="sem"/>
    <m/>
    <m/>
    <m/>
    <n v="24679"/>
    <n v="25928"/>
    <n v="7619"/>
    <n v="7329"/>
    <n v="26985"/>
    <n v="25101"/>
    <n v="59283"/>
    <n v="1976.1"/>
    <n v="58358"/>
    <n v="1945.2666666666667"/>
    <n v="11001"/>
    <n v="12139"/>
    <n v="59283"/>
    <n v="58358"/>
    <m/>
    <m/>
    <n v="136265"/>
    <n v="116163"/>
    <n v="74267"/>
    <n v="97566"/>
    <n v="130383"/>
    <n v="131897"/>
    <n v="340915"/>
    <n v="378.79444444444442"/>
    <n v="345626"/>
    <n v="384.0288888888889"/>
    <m/>
    <m/>
    <n v="0"/>
    <n v="0"/>
    <m/>
    <m/>
    <m/>
    <m/>
    <m/>
    <m/>
    <m/>
    <m/>
    <n v="0"/>
    <n v="0"/>
    <n v="0"/>
    <n v="0"/>
    <n v="2354.8944444444442"/>
    <n v="2329.2955555555554"/>
  </r>
  <r>
    <x v="9"/>
    <s v="Davidson-Davie Community College"/>
    <m/>
    <n v="198376"/>
    <x v="7"/>
    <s v="sem"/>
    <m/>
    <m/>
    <m/>
    <n v="31138"/>
    <n v="32227"/>
    <n v="7170"/>
    <n v="7864"/>
    <n v="34883"/>
    <n v="36661"/>
    <n v="73191"/>
    <n v="2439.6999999999998"/>
    <n v="76752"/>
    <n v="2558.4"/>
    <n v="16692"/>
    <n v="18473"/>
    <n v="73191"/>
    <n v="76752"/>
    <m/>
    <m/>
    <n v="157079"/>
    <n v="108232"/>
    <n v="86379"/>
    <n v="61383"/>
    <n v="130508"/>
    <n v="146469"/>
    <n v="373966"/>
    <n v="415.51777777777778"/>
    <n v="316084"/>
    <n v="351.20444444444445"/>
    <m/>
    <m/>
    <n v="0"/>
    <n v="0"/>
    <m/>
    <m/>
    <m/>
    <m/>
    <m/>
    <m/>
    <m/>
    <m/>
    <n v="0"/>
    <n v="0"/>
    <n v="0"/>
    <n v="0"/>
    <n v="2855.2177777777774"/>
    <n v="2909.6044444444447"/>
  </r>
  <r>
    <x v="9"/>
    <s v="Durham Technical Community College"/>
    <m/>
    <n v="198455"/>
    <x v="7"/>
    <s v="sem"/>
    <m/>
    <m/>
    <m/>
    <n v="44361"/>
    <n v="46492"/>
    <n v="12334"/>
    <n v="14368"/>
    <n v="47570"/>
    <n v="45250"/>
    <n v="104265"/>
    <n v="3475.5"/>
    <n v="106110"/>
    <n v="3537"/>
    <n v="12114"/>
    <n v="13275"/>
    <n v="104265"/>
    <n v="106110"/>
    <m/>
    <m/>
    <n v="192831"/>
    <n v="162693"/>
    <n v="126157"/>
    <n v="69115"/>
    <n v="234484"/>
    <n v="174799"/>
    <n v="553472"/>
    <n v="614.96888888888884"/>
    <n v="406607"/>
    <n v="451.78555555555556"/>
    <m/>
    <m/>
    <n v="0"/>
    <n v="0"/>
    <m/>
    <m/>
    <m/>
    <m/>
    <m/>
    <m/>
    <m/>
    <m/>
    <n v="0"/>
    <n v="0"/>
    <n v="0"/>
    <n v="0"/>
    <n v="4090.4688888888886"/>
    <n v="3988.7855555555557"/>
  </r>
  <r>
    <x v="9"/>
    <s v="Gaston College "/>
    <m/>
    <n v="198570"/>
    <x v="7"/>
    <s v="sem"/>
    <m/>
    <m/>
    <m/>
    <n v="43385"/>
    <n v="44501"/>
    <n v="14197"/>
    <n v="16117"/>
    <n v="48852.5"/>
    <n v="45980"/>
    <n v="106434.5"/>
    <n v="3547.8166666666666"/>
    <n v="106598"/>
    <n v="3553.2666666666669"/>
    <n v="19137"/>
    <n v="22994"/>
    <n v="106434.5"/>
    <n v="106598"/>
    <m/>
    <m/>
    <n v="121757"/>
    <n v="104423"/>
    <n v="106318"/>
    <n v="60308"/>
    <n v="180479"/>
    <n v="105440"/>
    <n v="408554"/>
    <n v="453.94888888888892"/>
    <n v="270171"/>
    <n v="300.19"/>
    <m/>
    <m/>
    <n v="0"/>
    <n v="0"/>
    <m/>
    <m/>
    <m/>
    <m/>
    <m/>
    <m/>
    <m/>
    <m/>
    <n v="0"/>
    <n v="0"/>
    <n v="0"/>
    <n v="0"/>
    <n v="4001.7655555555557"/>
    <n v="3853.4566666666669"/>
  </r>
  <r>
    <x v="9"/>
    <s v="Johnston Community College"/>
    <m/>
    <n v="198774"/>
    <x v="7"/>
    <s v="sem"/>
    <m/>
    <m/>
    <m/>
    <n v="33471"/>
    <n v="36885"/>
    <n v="8428"/>
    <n v="9470"/>
    <n v="38913"/>
    <n v="39730"/>
    <n v="80812"/>
    <n v="2693.7333333333331"/>
    <n v="86085"/>
    <n v="2869.5"/>
    <n v="16070"/>
    <n v="19723"/>
    <n v="80812"/>
    <n v="86085"/>
    <m/>
    <m/>
    <n v="159182"/>
    <n v="97894"/>
    <n v="112947"/>
    <n v="112156"/>
    <n v="207217"/>
    <n v="142881"/>
    <n v="479346"/>
    <n v="532.60666666666668"/>
    <n v="352931"/>
    <n v="392.14555555555557"/>
    <m/>
    <m/>
    <n v="0"/>
    <n v="0"/>
    <m/>
    <m/>
    <m/>
    <m/>
    <m/>
    <m/>
    <m/>
    <m/>
    <n v="0"/>
    <n v="0"/>
    <n v="0"/>
    <n v="0"/>
    <n v="3226.3399999999997"/>
    <n v="3261.6455555555558"/>
  </r>
  <r>
    <x v="9"/>
    <s v="Lenoir Community College "/>
    <m/>
    <n v="198817"/>
    <x v="7"/>
    <s v="sem"/>
    <m/>
    <m/>
    <m/>
    <n v="21097"/>
    <n v="21263"/>
    <n v="7110"/>
    <n v="6856"/>
    <n v="25208"/>
    <n v="23172"/>
    <n v="53415"/>
    <n v="1780.5"/>
    <n v="51291"/>
    <n v="1709.7"/>
    <n v="14425"/>
    <n v="13474"/>
    <n v="53415"/>
    <n v="51291"/>
    <m/>
    <m/>
    <n v="524717"/>
    <n v="469211"/>
    <n v="231659"/>
    <n v="199905"/>
    <n v="475893"/>
    <n v="383076"/>
    <n v="1232269"/>
    <n v="1369.1877777777777"/>
    <n v="1052192"/>
    <n v="1169.1022222222223"/>
    <m/>
    <m/>
    <n v="0"/>
    <n v="0"/>
    <m/>
    <m/>
    <m/>
    <m/>
    <m/>
    <m/>
    <m/>
    <m/>
    <n v="0"/>
    <n v="0"/>
    <n v="0"/>
    <n v="0"/>
    <n v="3149.6877777777777"/>
    <n v="2878.8022222222226"/>
  </r>
  <r>
    <x v="9"/>
    <s v="Mitchell Community College "/>
    <m/>
    <n v="198987"/>
    <x v="7"/>
    <s v="sem"/>
    <m/>
    <m/>
    <m/>
    <n v="24349"/>
    <n v="25868"/>
    <n v="5727"/>
    <n v="6864"/>
    <n v="27407"/>
    <n v="27460.799999999999"/>
    <n v="57483"/>
    <n v="1916.1"/>
    <n v="60192.800000000003"/>
    <n v="2006.4266666666667"/>
    <n v="13147"/>
    <n v="15931"/>
    <n v="57483"/>
    <n v="60192.800000000003"/>
    <m/>
    <m/>
    <n v="88157"/>
    <n v="45508"/>
    <n v="73960"/>
    <n v="61352"/>
    <n v="128261"/>
    <n v="116334"/>
    <n v="290378"/>
    <n v="322.64222222222224"/>
    <n v="223194"/>
    <n v="247.99333333333334"/>
    <m/>
    <m/>
    <n v="0"/>
    <n v="0"/>
    <m/>
    <m/>
    <m/>
    <m/>
    <m/>
    <m/>
    <m/>
    <m/>
    <n v="0"/>
    <n v="0"/>
    <n v="0"/>
    <n v="0"/>
    <n v="2238.7422222222222"/>
    <n v="2254.42"/>
  </r>
  <r>
    <x v="9"/>
    <s v="Nash Community College"/>
    <m/>
    <n v="199087"/>
    <x v="7"/>
    <s v="sem"/>
    <m/>
    <m/>
    <m/>
    <n v="26627"/>
    <n v="26628"/>
    <n v="7150"/>
    <n v="5772"/>
    <n v="27571"/>
    <n v="23633"/>
    <n v="61348"/>
    <n v="2044.9333333333334"/>
    <n v="56033"/>
    <n v="1867.7666666666667"/>
    <n v="9921"/>
    <n v="12109"/>
    <n v="61348"/>
    <n v="56033"/>
    <m/>
    <m/>
    <n v="145232"/>
    <n v="88034"/>
    <n v="101848"/>
    <n v="68974"/>
    <n v="138111"/>
    <n v="94224"/>
    <n v="385191"/>
    <n v="427.99"/>
    <n v="251232"/>
    <n v="279.14666666666665"/>
    <m/>
    <m/>
    <n v="0"/>
    <n v="0"/>
    <m/>
    <m/>
    <m/>
    <m/>
    <m/>
    <m/>
    <m/>
    <m/>
    <n v="0"/>
    <n v="0"/>
    <n v="0"/>
    <n v="0"/>
    <n v="2472.9233333333332"/>
    <n v="2146.9133333333334"/>
  </r>
  <r>
    <x v="9"/>
    <s v="Randolph Community College"/>
    <m/>
    <n v="199421"/>
    <x v="7"/>
    <s v="sem"/>
    <m/>
    <m/>
    <m/>
    <n v="22952.5"/>
    <n v="24067"/>
    <n v="5376"/>
    <n v="5759"/>
    <n v="25623.5"/>
    <n v="23317"/>
    <n v="53952"/>
    <n v="1798.4"/>
    <n v="53143"/>
    <n v="1771.4333333333334"/>
    <n v="14270.5"/>
    <n v="15007"/>
    <n v="53952"/>
    <n v="53143"/>
    <m/>
    <m/>
    <n v="161999"/>
    <n v="119407"/>
    <n v="83262"/>
    <n v="67788"/>
    <n v="163364"/>
    <n v="135564"/>
    <n v="408625"/>
    <n v="454.02777777777777"/>
    <n v="322759"/>
    <n v="358.62111111111113"/>
    <m/>
    <m/>
    <n v="0"/>
    <n v="0"/>
    <m/>
    <m/>
    <m/>
    <m/>
    <m/>
    <m/>
    <m/>
    <m/>
    <n v="0"/>
    <n v="0"/>
    <n v="0"/>
    <n v="0"/>
    <n v="2252.4277777777779"/>
    <n v="2130.0544444444445"/>
  </r>
  <r>
    <x v="9"/>
    <s v="Richmond Community College"/>
    <m/>
    <n v="199449"/>
    <x v="7"/>
    <s v="sem"/>
    <m/>
    <m/>
    <m/>
    <n v="22110"/>
    <n v="21215.5"/>
    <n v="6268"/>
    <n v="5658"/>
    <n v="24445"/>
    <n v="21125"/>
    <n v="52823"/>
    <n v="1760.7666666666667"/>
    <n v="47998.5"/>
    <n v="1599.95"/>
    <n v="15911"/>
    <n v="14377.5"/>
    <n v="52823"/>
    <n v="47998.5"/>
    <m/>
    <m/>
    <n v="219076"/>
    <n v="149337"/>
    <n v="153743"/>
    <n v="73004"/>
    <n v="171919"/>
    <n v="156330"/>
    <n v="544738"/>
    <n v="605.26444444444439"/>
    <n v="378671"/>
    <n v="420.74555555555554"/>
    <m/>
    <m/>
    <n v="0"/>
    <n v="0"/>
    <m/>
    <m/>
    <m/>
    <m/>
    <m/>
    <m/>
    <m/>
    <m/>
    <n v="0"/>
    <n v="0"/>
    <n v="0"/>
    <n v="0"/>
    <n v="2366.0311111111109"/>
    <n v="2020.6955555555555"/>
  </r>
  <r>
    <x v="9"/>
    <s v="Sandhills Community College "/>
    <m/>
    <n v="199634"/>
    <x v="7"/>
    <s v="sem"/>
    <m/>
    <m/>
    <m/>
    <n v="34894"/>
    <n v="36297"/>
    <n v="9892"/>
    <n v="11379"/>
    <n v="37409"/>
    <n v="35549"/>
    <n v="82195"/>
    <n v="2739.8333333333335"/>
    <n v="83225"/>
    <n v="2774.1666666666665"/>
    <n v="17117"/>
    <n v="17868"/>
    <n v="82195"/>
    <n v="83225"/>
    <m/>
    <m/>
    <n v="171493"/>
    <n v="124591"/>
    <n v="106169"/>
    <n v="75037"/>
    <n v="158096"/>
    <n v="122591"/>
    <n v="435758"/>
    <n v="484.17555555555555"/>
    <n v="322219"/>
    <n v="358.02111111111111"/>
    <m/>
    <m/>
    <n v="0"/>
    <n v="0"/>
    <m/>
    <m/>
    <m/>
    <m/>
    <m/>
    <m/>
    <m/>
    <m/>
    <n v="0"/>
    <n v="0"/>
    <n v="0"/>
    <n v="0"/>
    <n v="3224.008888888889"/>
    <n v="3132.1877777777777"/>
  </r>
  <r>
    <x v="9"/>
    <s v="South Piedmont Community College"/>
    <m/>
    <n v="197850"/>
    <x v="7"/>
    <s v="sem"/>
    <m/>
    <m/>
    <m/>
    <n v="20994"/>
    <n v="22449"/>
    <n v="4600"/>
    <n v="5482"/>
    <n v="24636"/>
    <n v="23675"/>
    <n v="50230"/>
    <n v="1674.3333333333333"/>
    <n v="51606"/>
    <n v="1720.2"/>
    <n v="21316"/>
    <n v="21593"/>
    <n v="50230"/>
    <n v="51606"/>
    <m/>
    <m/>
    <n v="162744"/>
    <n v="165595"/>
    <n v="133834"/>
    <n v="104372"/>
    <n v="213700"/>
    <n v="186417"/>
    <n v="510278"/>
    <n v="566.9755555555555"/>
    <n v="456384"/>
    <n v="507.09333333333331"/>
    <m/>
    <m/>
    <n v="0"/>
    <n v="0"/>
    <m/>
    <m/>
    <m/>
    <m/>
    <m/>
    <m/>
    <m/>
    <m/>
    <n v="0"/>
    <n v="0"/>
    <n v="0"/>
    <n v="0"/>
    <n v="2241.3088888888888"/>
    <n v="2227.2933333333335"/>
  </r>
  <r>
    <x v="9"/>
    <s v="Stanly Community College"/>
    <m/>
    <n v="199740"/>
    <x v="7"/>
    <s v="sem"/>
    <m/>
    <m/>
    <m/>
    <n v="20496"/>
    <n v="20340"/>
    <n v="6444"/>
    <n v="6245"/>
    <n v="23769"/>
    <n v="21729"/>
    <n v="50709"/>
    <n v="1690.3"/>
    <n v="48314"/>
    <n v="1610.4666666666667"/>
    <n v="9552"/>
    <n v="9776"/>
    <n v="50709"/>
    <n v="48314"/>
    <m/>
    <m/>
    <n v="209966"/>
    <n v="178692"/>
    <n v="111625"/>
    <n v="76853"/>
    <n v="208612"/>
    <n v="169719"/>
    <n v="530203"/>
    <n v="589.11444444444442"/>
    <n v="425264"/>
    <n v="472.51555555555558"/>
    <m/>
    <m/>
    <n v="0"/>
    <n v="0"/>
    <m/>
    <m/>
    <m/>
    <m/>
    <m/>
    <m/>
    <m/>
    <m/>
    <n v="0"/>
    <n v="0"/>
    <n v="0"/>
    <n v="0"/>
    <n v="2279.4144444444446"/>
    <n v="2082.9822222222224"/>
  </r>
  <r>
    <x v="9"/>
    <s v="Surry Community College "/>
    <m/>
    <n v="199768"/>
    <x v="7"/>
    <s v="sem"/>
    <m/>
    <m/>
    <m/>
    <n v="26048"/>
    <n v="28354"/>
    <n v="6589"/>
    <n v="6105"/>
    <n v="30466"/>
    <n v="29348"/>
    <n v="63103"/>
    <n v="2103.4333333333334"/>
    <n v="63807"/>
    <n v="2126.9"/>
    <n v="17989"/>
    <n v="18623"/>
    <n v="63103"/>
    <n v="63807"/>
    <m/>
    <m/>
    <n v="125076"/>
    <n v="98114"/>
    <n v="108747"/>
    <n v="58414"/>
    <n v="174284"/>
    <n v="105255"/>
    <n v="408107"/>
    <n v="453.45222222222225"/>
    <n v="261783"/>
    <n v="290.87"/>
    <m/>
    <m/>
    <n v="0"/>
    <n v="0"/>
    <m/>
    <m/>
    <m/>
    <m/>
    <m/>
    <m/>
    <m/>
    <m/>
    <n v="0"/>
    <n v="0"/>
    <n v="0"/>
    <n v="0"/>
    <n v="2556.8855555555556"/>
    <n v="2417.77"/>
  </r>
  <r>
    <x v="9"/>
    <s v="Vance-Granville Community College "/>
    <m/>
    <n v="199838"/>
    <x v="7"/>
    <s v="sem"/>
    <m/>
    <m/>
    <m/>
    <n v="23329"/>
    <n v="25208"/>
    <n v="5309"/>
    <n v="6710"/>
    <n v="27722"/>
    <n v="25676"/>
    <n v="56360"/>
    <n v="1878.6666666666667"/>
    <n v="57594"/>
    <n v="1919.8"/>
    <n v="15388"/>
    <n v="16015"/>
    <n v="56360"/>
    <n v="57594"/>
    <m/>
    <m/>
    <n v="145264"/>
    <n v="116554"/>
    <n v="98682"/>
    <n v="43951"/>
    <n v="152433"/>
    <n v="119489"/>
    <n v="396379"/>
    <n v="440.42111111111109"/>
    <n v="279994"/>
    <n v="311.10444444444443"/>
    <m/>
    <m/>
    <n v="0"/>
    <n v="0"/>
    <m/>
    <m/>
    <m/>
    <m/>
    <m/>
    <m/>
    <m/>
    <m/>
    <n v="0"/>
    <n v="0"/>
    <n v="0"/>
    <n v="0"/>
    <n v="2319.0877777777778"/>
    <n v="2230.9044444444444"/>
  </r>
  <r>
    <x v="9"/>
    <s v="Wayne Community College"/>
    <m/>
    <n v="199892"/>
    <x v="7"/>
    <s v="sem"/>
    <m/>
    <m/>
    <m/>
    <n v="30073"/>
    <n v="29647"/>
    <n v="9353"/>
    <n v="10209"/>
    <n v="31252"/>
    <n v="29159"/>
    <n v="70678"/>
    <n v="2355.9333333333334"/>
    <n v="69015"/>
    <n v="2300.5"/>
    <n v="11618.5"/>
    <n v="11072"/>
    <n v="70678"/>
    <n v="69015"/>
    <m/>
    <m/>
    <n v="171551"/>
    <n v="115650"/>
    <n v="113241"/>
    <n v="41313"/>
    <n v="181076"/>
    <n v="89156"/>
    <n v="465868"/>
    <n v="517.63111111111107"/>
    <n v="246119"/>
    <n v="273.46555555555557"/>
    <m/>
    <m/>
    <n v="0"/>
    <n v="0"/>
    <m/>
    <m/>
    <m/>
    <m/>
    <m/>
    <m/>
    <m/>
    <m/>
    <n v="0"/>
    <n v="0"/>
    <n v="0"/>
    <n v="0"/>
    <n v="2873.5644444444442"/>
    <n v="2573.9655555555555"/>
  </r>
  <r>
    <x v="9"/>
    <s v="Wilkes Community College "/>
    <m/>
    <n v="199926"/>
    <x v="7"/>
    <s v="sem"/>
    <m/>
    <m/>
    <m/>
    <n v="22176"/>
    <n v="24135"/>
    <n v="4870"/>
    <n v="5171"/>
    <n v="26412"/>
    <n v="24048"/>
    <n v="53458"/>
    <n v="1781.9333333333334"/>
    <n v="53354"/>
    <n v="1778.4666666666667"/>
    <n v="12773"/>
    <n v="13955"/>
    <n v="53458"/>
    <n v="53354"/>
    <m/>
    <m/>
    <n v="158768"/>
    <n v="102177"/>
    <n v="97618"/>
    <n v="43914"/>
    <n v="158870"/>
    <n v="92856"/>
    <n v="415256"/>
    <n v="461.39555555555557"/>
    <n v="238947"/>
    <n v="265.49666666666667"/>
    <m/>
    <m/>
    <n v="0"/>
    <n v="0"/>
    <m/>
    <m/>
    <m/>
    <m/>
    <m/>
    <m/>
    <m/>
    <m/>
    <n v="0"/>
    <n v="0"/>
    <n v="0"/>
    <n v="0"/>
    <n v="2243.3288888888892"/>
    <n v="2043.9633333333334"/>
  </r>
  <r>
    <x v="9"/>
    <s v="Beaufort County Community College "/>
    <m/>
    <n v="197966"/>
    <x v="8"/>
    <s v="sem"/>
    <m/>
    <m/>
    <m/>
    <n v="13450"/>
    <n v="14040"/>
    <n v="2974"/>
    <n v="3187"/>
    <n v="14559"/>
    <n v="13100"/>
    <n v="30983"/>
    <n v="1032.7666666666667"/>
    <n v="30327"/>
    <n v="1010.9"/>
    <n v="11145"/>
    <n v="11008"/>
    <n v="30983"/>
    <n v="30327"/>
    <m/>
    <m/>
    <n v="98836"/>
    <n v="76361"/>
    <n v="65875"/>
    <n v="31315"/>
    <n v="95865"/>
    <n v="62347"/>
    <n v="260576"/>
    <n v="289.5288888888889"/>
    <n v="170023"/>
    <n v="188.91444444444446"/>
    <m/>
    <m/>
    <n v="0"/>
    <n v="0"/>
    <m/>
    <m/>
    <m/>
    <m/>
    <m/>
    <m/>
    <m/>
    <m/>
    <n v="0"/>
    <n v="0"/>
    <n v="0"/>
    <n v="0"/>
    <n v="1322.2955555555554"/>
    <n v="1199.8144444444445"/>
  </r>
  <r>
    <x v="9"/>
    <s v="Bladen Community College"/>
    <m/>
    <n v="198011"/>
    <x v="8"/>
    <s v="sem"/>
    <m/>
    <m/>
    <m/>
    <n v="10947"/>
    <n v="11007"/>
    <n v="3487"/>
    <n v="3049"/>
    <n v="13181"/>
    <n v="11122"/>
    <n v="27615"/>
    <n v="920.5"/>
    <n v="25178"/>
    <n v="839.26666666666665"/>
    <n v="7348"/>
    <n v="7121"/>
    <n v="27615"/>
    <n v="25178"/>
    <m/>
    <m/>
    <n v="68047"/>
    <n v="46628"/>
    <n v="29827"/>
    <n v="26715"/>
    <n v="51214"/>
    <n v="46528"/>
    <n v="149088"/>
    <n v="165.65333333333334"/>
    <n v="119871"/>
    <n v="133.19"/>
    <m/>
    <m/>
    <n v="0"/>
    <n v="0"/>
    <m/>
    <m/>
    <m/>
    <m/>
    <m/>
    <m/>
    <m/>
    <m/>
    <n v="0"/>
    <n v="0"/>
    <n v="0"/>
    <n v="0"/>
    <n v="1086.1533333333334"/>
    <n v="972.45666666666671"/>
  </r>
  <r>
    <x v="9"/>
    <s v="Blue Ridge Community College"/>
    <m/>
    <n v="198039"/>
    <x v="8"/>
    <s v="sem"/>
    <m/>
    <m/>
    <m/>
    <n v="17518"/>
    <n v="19551"/>
    <n v="4467"/>
    <n v="5563"/>
    <n v="20352"/>
    <n v="20823"/>
    <n v="42337"/>
    <n v="1411.2333333333333"/>
    <n v="45937"/>
    <n v="1531.2333333333333"/>
    <n v="8750"/>
    <n v="9859"/>
    <n v="42337"/>
    <n v="45937"/>
    <m/>
    <m/>
    <n v="130669"/>
    <n v="104786"/>
    <n v="97604"/>
    <n v="72045"/>
    <n v="169076"/>
    <n v="112368"/>
    <n v="397349"/>
    <n v="441.49888888888887"/>
    <n v="289199"/>
    <n v="321.33222222222224"/>
    <m/>
    <m/>
    <n v="0"/>
    <n v="0"/>
    <m/>
    <m/>
    <m/>
    <m/>
    <m/>
    <m/>
    <m/>
    <m/>
    <n v="0"/>
    <n v="0"/>
    <n v="0"/>
    <n v="0"/>
    <n v="1852.7322222222222"/>
    <n v="1852.5655555555556"/>
  </r>
  <r>
    <x v="9"/>
    <s v="Brunswick Community College"/>
    <m/>
    <n v="198084"/>
    <x v="8"/>
    <s v="sem"/>
    <m/>
    <m/>
    <m/>
    <n v="13710"/>
    <n v="14458"/>
    <n v="2932"/>
    <n v="3010"/>
    <n v="15937"/>
    <n v="15746"/>
    <n v="32579"/>
    <n v="1085.9666666666667"/>
    <n v="33214"/>
    <n v="1107.1333333333334"/>
    <n v="8052"/>
    <n v="8923"/>
    <n v="32579"/>
    <n v="33214"/>
    <m/>
    <m/>
    <n v="135062"/>
    <n v="112726"/>
    <n v="74404"/>
    <n v="29097"/>
    <n v="137533"/>
    <n v="87635"/>
    <n v="346999"/>
    <n v="385.55444444444447"/>
    <n v="229458"/>
    <n v="254.95333333333335"/>
    <m/>
    <m/>
    <n v="0"/>
    <n v="0"/>
    <m/>
    <m/>
    <m/>
    <m/>
    <m/>
    <m/>
    <m/>
    <m/>
    <n v="0"/>
    <n v="0"/>
    <n v="0"/>
    <n v="0"/>
    <n v="1471.5211111111112"/>
    <n v="1362.0866666666668"/>
  </r>
  <r>
    <x v="9"/>
    <s v="Carteret Community College"/>
    <m/>
    <n v="198206"/>
    <x v="8"/>
    <s v="sem"/>
    <m/>
    <m/>
    <m/>
    <n v="14081"/>
    <n v="13274.5"/>
    <n v="3268"/>
    <n v="3030"/>
    <n v="14339"/>
    <n v="13024"/>
    <n v="31688"/>
    <n v="1056.2666666666667"/>
    <n v="29328.5"/>
    <n v="977.61666666666667"/>
    <n v="4940"/>
    <n v="4951"/>
    <n v="31688"/>
    <n v="29328.5"/>
    <m/>
    <m/>
    <n v="102684"/>
    <n v="86927"/>
    <n v="51691"/>
    <n v="27585"/>
    <n v="113582"/>
    <n v="77078"/>
    <n v="267957"/>
    <n v="297.73"/>
    <n v="191590"/>
    <n v="212.87777777777777"/>
    <m/>
    <m/>
    <n v="0"/>
    <n v="0"/>
    <m/>
    <m/>
    <m/>
    <m/>
    <m/>
    <m/>
    <m/>
    <m/>
    <n v="0"/>
    <n v="0"/>
    <n v="0"/>
    <n v="0"/>
    <n v="1353.9966666666667"/>
    <n v="1190.4944444444445"/>
  </r>
  <r>
    <x v="9"/>
    <s v="College of The Albemarle"/>
    <s v="Met the criteria for Two-Year 2 in 2019-20."/>
    <n v="197814"/>
    <x v="8"/>
    <s v="sem"/>
    <m/>
    <m/>
    <m/>
    <n v="22451"/>
    <n v="23073"/>
    <n v="5668"/>
    <n v="5724"/>
    <n v="25236"/>
    <n v="23783"/>
    <n v="53355"/>
    <n v="1778.5"/>
    <n v="52580"/>
    <n v="1752.6666666666667"/>
    <n v="370"/>
    <n v="20454"/>
    <n v="53355"/>
    <n v="52580"/>
    <m/>
    <m/>
    <n v="87138"/>
    <n v="47353"/>
    <n v="80347"/>
    <n v="75707"/>
    <n v="117365"/>
    <n v="79283"/>
    <n v="284850"/>
    <n v="316.5"/>
    <n v="202343"/>
    <n v="224.82555555555555"/>
    <m/>
    <m/>
    <n v="0"/>
    <n v="0"/>
    <m/>
    <m/>
    <m/>
    <m/>
    <m/>
    <m/>
    <m/>
    <m/>
    <n v="0"/>
    <n v="0"/>
    <n v="0"/>
    <n v="0"/>
    <n v="2095"/>
    <n v="1977.4922222222224"/>
  </r>
  <r>
    <x v="9"/>
    <s v="Edgecombe Community College"/>
    <m/>
    <n v="198491"/>
    <x v="8"/>
    <s v="sem"/>
    <m/>
    <m/>
    <m/>
    <n v="17360"/>
    <n v="16049"/>
    <n v="5594"/>
    <n v="4869"/>
    <n v="17476"/>
    <n v="13587"/>
    <n v="40430"/>
    <n v="1347.6666666666667"/>
    <n v="34505"/>
    <n v="1150.1666666666667"/>
    <n v="5804"/>
    <n v="5640"/>
    <n v="40430"/>
    <n v="34505"/>
    <m/>
    <m/>
    <n v="88887"/>
    <n v="62483"/>
    <n v="49548"/>
    <n v="46493"/>
    <n v="114821"/>
    <n v="72317"/>
    <n v="253256"/>
    <n v="281.39555555555557"/>
    <n v="181293"/>
    <n v="201.43666666666667"/>
    <m/>
    <m/>
    <n v="0"/>
    <n v="0"/>
    <m/>
    <m/>
    <m/>
    <m/>
    <m/>
    <m/>
    <m/>
    <m/>
    <n v="0"/>
    <n v="0"/>
    <n v="0"/>
    <n v="0"/>
    <n v="1629.0622222222223"/>
    <n v="1351.6033333333335"/>
  </r>
  <r>
    <x v="9"/>
    <s v="Halifax Community College "/>
    <m/>
    <n v="198640"/>
    <x v="8"/>
    <s v="sem"/>
    <m/>
    <m/>
    <m/>
    <n v="8809"/>
    <n v="9578"/>
    <n v="2022"/>
    <n v="1785"/>
    <n v="9890"/>
    <n v="8088"/>
    <n v="20721"/>
    <n v="690.7"/>
    <n v="19451"/>
    <n v="648.36666666666667"/>
    <n v="6644"/>
    <n v="7253"/>
    <n v="20721"/>
    <n v="19451"/>
    <m/>
    <m/>
    <n v="89360"/>
    <n v="60942"/>
    <n v="35940"/>
    <n v="16440"/>
    <n v="90181"/>
    <n v="46401"/>
    <n v="215481"/>
    <n v="239.42333333333335"/>
    <n v="123783"/>
    <n v="137.53666666666666"/>
    <m/>
    <m/>
    <n v="0"/>
    <n v="0"/>
    <m/>
    <m/>
    <m/>
    <m/>
    <m/>
    <m/>
    <m/>
    <m/>
    <n v="0"/>
    <n v="0"/>
    <n v="0"/>
    <n v="0"/>
    <n v="930.12333333333345"/>
    <n v="785.90333333333331"/>
  </r>
  <r>
    <x v="9"/>
    <s v="Haywood Community College"/>
    <m/>
    <n v="198668"/>
    <x v="8"/>
    <s v="sem"/>
    <m/>
    <m/>
    <m/>
    <n v="13637"/>
    <n v="13779"/>
    <n v="3073"/>
    <n v="3087"/>
    <n v="15363"/>
    <n v="13908"/>
    <n v="32073"/>
    <n v="1069.0999999999999"/>
    <n v="30774"/>
    <n v="1025.8"/>
    <n v="6550"/>
    <n v="6380"/>
    <n v="32073"/>
    <n v="30774"/>
    <m/>
    <m/>
    <n v="74561"/>
    <n v="54841"/>
    <n v="36455"/>
    <n v="38593"/>
    <n v="71796"/>
    <n v="61555"/>
    <n v="182812"/>
    <n v="203.12444444444444"/>
    <n v="154989"/>
    <n v="172.21"/>
    <m/>
    <m/>
    <n v="0"/>
    <n v="0"/>
    <m/>
    <m/>
    <m/>
    <m/>
    <m/>
    <m/>
    <m/>
    <m/>
    <n v="0"/>
    <n v="0"/>
    <n v="0"/>
    <n v="0"/>
    <n v="1272.2244444444443"/>
    <n v="1198.01"/>
  </r>
  <r>
    <x v="9"/>
    <s v="Isothermal Community College "/>
    <m/>
    <n v="198710"/>
    <x v="8"/>
    <s v="sem"/>
    <m/>
    <m/>
    <m/>
    <n v="17832"/>
    <n v="19862"/>
    <n v="5883"/>
    <n v="5672"/>
    <n v="19920"/>
    <n v="20169"/>
    <n v="43635"/>
    <n v="1454.5"/>
    <n v="45703"/>
    <n v="1523.4333333333334"/>
    <n v="13343"/>
    <n v="13992"/>
    <n v="43635"/>
    <n v="45703"/>
    <m/>
    <m/>
    <n v="71947"/>
    <n v="54050"/>
    <n v="38187"/>
    <n v="27141"/>
    <n v="64682"/>
    <n v="50967"/>
    <n v="174816"/>
    <n v="194.24"/>
    <n v="132158"/>
    <n v="146.84222222222223"/>
    <m/>
    <m/>
    <n v="0"/>
    <n v="0"/>
    <m/>
    <m/>
    <m/>
    <m/>
    <m/>
    <m/>
    <m/>
    <m/>
    <n v="0"/>
    <n v="0"/>
    <n v="0"/>
    <n v="0"/>
    <n v="1648.74"/>
    <n v="1670.2755555555557"/>
  </r>
  <r>
    <x v="9"/>
    <s v="James Sprunt Community College"/>
    <m/>
    <n v="198729"/>
    <x v="8"/>
    <s v="sem"/>
    <m/>
    <m/>
    <m/>
    <n v="10442"/>
    <n v="11187"/>
    <n v="3403"/>
    <n v="3558"/>
    <n v="11671"/>
    <n v="10933"/>
    <n v="25516"/>
    <n v="850.5333333333333"/>
    <n v="25678"/>
    <n v="855.93333333333328"/>
    <n v="7506"/>
    <n v="7655"/>
    <n v="25516"/>
    <n v="25678"/>
    <m/>
    <m/>
    <n v="41421"/>
    <n v="85460"/>
    <n v="39164"/>
    <n v="46374"/>
    <n v="62795"/>
    <n v="89255"/>
    <n v="143380"/>
    <n v="159.3111111111111"/>
    <n v="221089"/>
    <n v="245.65444444444444"/>
    <m/>
    <m/>
    <n v="0"/>
    <n v="0"/>
    <m/>
    <m/>
    <m/>
    <m/>
    <m/>
    <m/>
    <m/>
    <m/>
    <n v="0"/>
    <n v="0"/>
    <n v="0"/>
    <n v="0"/>
    <n v="1009.8444444444444"/>
    <n v="1101.5877777777778"/>
  </r>
  <r>
    <x v="9"/>
    <s v="Martin Community College "/>
    <m/>
    <n v="198905"/>
    <x v="8"/>
    <s v="sem"/>
    <m/>
    <m/>
    <m/>
    <n v="6437"/>
    <n v="7961"/>
    <n v="1381"/>
    <n v="1646"/>
    <n v="7864"/>
    <n v="8062"/>
    <n v="15682"/>
    <n v="522.73333333333335"/>
    <n v="17669"/>
    <n v="588.9666666666667"/>
    <n v="8637"/>
    <n v="9788"/>
    <n v="15682"/>
    <n v="17669"/>
    <m/>
    <m/>
    <n v="50245"/>
    <n v="43282"/>
    <n v="14794"/>
    <n v="8406"/>
    <n v="45630"/>
    <n v="31625"/>
    <n v="110669"/>
    <n v="122.96555555555555"/>
    <n v="83313"/>
    <n v="92.57"/>
    <m/>
    <m/>
    <n v="0"/>
    <n v="0"/>
    <m/>
    <m/>
    <m/>
    <m/>
    <m/>
    <m/>
    <m/>
    <m/>
    <n v="0"/>
    <n v="0"/>
    <n v="0"/>
    <n v="0"/>
    <n v="645.69888888888886"/>
    <n v="681.53666666666663"/>
  </r>
  <r>
    <x v="9"/>
    <s v="Mayland Community College"/>
    <m/>
    <n v="198914"/>
    <x v="8"/>
    <s v="sem"/>
    <m/>
    <m/>
    <m/>
    <n v="8903"/>
    <n v="8257"/>
    <n v="1261"/>
    <n v="1338"/>
    <n v="9077"/>
    <n v="8309"/>
    <n v="19241"/>
    <n v="641.36666666666667"/>
    <n v="17904"/>
    <n v="596.79999999999995"/>
    <n v="7964"/>
    <n v="7003"/>
    <n v="19241"/>
    <n v="17904"/>
    <m/>
    <m/>
    <n v="141236"/>
    <n v="104456"/>
    <n v="96025"/>
    <n v="17529"/>
    <n v="148269"/>
    <n v="45222"/>
    <n v="385530"/>
    <n v="428.36666666666667"/>
    <n v="167207"/>
    <n v="185.78555555555556"/>
    <m/>
    <m/>
    <n v="0"/>
    <n v="0"/>
    <m/>
    <m/>
    <m/>
    <m/>
    <m/>
    <m/>
    <m/>
    <m/>
    <n v="0"/>
    <n v="0"/>
    <n v="0"/>
    <n v="0"/>
    <n v="1069.7333333333333"/>
    <n v="782.58555555555552"/>
  </r>
  <r>
    <x v="9"/>
    <s v="McDowell Technical Community College"/>
    <m/>
    <n v="198923"/>
    <x v="8"/>
    <s v="sem"/>
    <m/>
    <m/>
    <m/>
    <n v="8237"/>
    <n v="8875"/>
    <n v="2528"/>
    <n v="2503"/>
    <n v="10208"/>
    <n v="9287"/>
    <n v="20973"/>
    <n v="699.1"/>
    <n v="20665"/>
    <n v="688.83333333333337"/>
    <n v="8208"/>
    <n v="8251"/>
    <n v="20973"/>
    <n v="20665"/>
    <m/>
    <m/>
    <n v="78787"/>
    <n v="34558"/>
    <n v="55161"/>
    <n v="22287"/>
    <n v="60480"/>
    <n v="34915"/>
    <n v="194428"/>
    <n v="216.0311111111111"/>
    <n v="91760"/>
    <n v="101.95555555555555"/>
    <m/>
    <m/>
    <n v="0"/>
    <n v="0"/>
    <m/>
    <m/>
    <m/>
    <m/>
    <m/>
    <m/>
    <m/>
    <m/>
    <n v="0"/>
    <n v="0"/>
    <n v="0"/>
    <n v="0"/>
    <n v="915.13111111111107"/>
    <n v="790.78888888888889"/>
  </r>
  <r>
    <x v="9"/>
    <s v="Montgomery Community College"/>
    <m/>
    <n v="199023"/>
    <x v="8"/>
    <s v="sem"/>
    <m/>
    <m/>
    <m/>
    <n v="7125"/>
    <n v="8348.5"/>
    <n v="1412"/>
    <n v="1322"/>
    <n v="9553"/>
    <n v="7721.5"/>
    <n v="18090"/>
    <n v="603"/>
    <n v="17392"/>
    <n v="579.73333333333335"/>
    <n v="5998"/>
    <n v="5766"/>
    <n v="18090"/>
    <n v="17392"/>
    <m/>
    <m/>
    <n v="49962"/>
    <n v="47705"/>
    <n v="26048"/>
    <n v="20038"/>
    <n v="48729"/>
    <n v="53986"/>
    <n v="124739"/>
    <n v="138.59888888888889"/>
    <n v="121729"/>
    <n v="135.25444444444443"/>
    <m/>
    <m/>
    <n v="0"/>
    <n v="0"/>
    <m/>
    <m/>
    <m/>
    <m/>
    <m/>
    <m/>
    <m/>
    <m/>
    <n v="0"/>
    <n v="0"/>
    <n v="0"/>
    <n v="0"/>
    <n v="741.59888888888895"/>
    <n v="714.98777777777775"/>
  </r>
  <r>
    <x v="9"/>
    <s v="Pamlico Community College"/>
    <m/>
    <n v="199263"/>
    <x v="8"/>
    <s v="sem"/>
    <m/>
    <m/>
    <m/>
    <n v="3609"/>
    <n v="5565"/>
    <n v="1982"/>
    <n v="1853"/>
    <n v="5045"/>
    <n v="3637"/>
    <n v="10636"/>
    <n v="354.53333333333336"/>
    <n v="11055"/>
    <n v="368.5"/>
    <n v="1864"/>
    <n v="1817"/>
    <n v="10636"/>
    <n v="11055"/>
    <m/>
    <m/>
    <n v="23452"/>
    <n v="27143"/>
    <n v="19331"/>
    <n v="17117"/>
    <n v="28806"/>
    <n v="34509"/>
    <n v="71589"/>
    <n v="79.543333333333337"/>
    <n v="78769"/>
    <n v="87.521111111111111"/>
    <m/>
    <m/>
    <n v="0"/>
    <n v="0"/>
    <m/>
    <m/>
    <m/>
    <m/>
    <m/>
    <m/>
    <m/>
    <m/>
    <n v="0"/>
    <n v="0"/>
    <n v="0"/>
    <n v="0"/>
    <n v="434.07666666666671"/>
    <n v="456.02111111111111"/>
  </r>
  <r>
    <x v="9"/>
    <s v="Piedmont Community College"/>
    <m/>
    <n v="199324"/>
    <x v="8"/>
    <s v="sem"/>
    <m/>
    <m/>
    <m/>
    <n v="9488.5"/>
    <n v="11116.5"/>
    <n v="1949"/>
    <n v="1927.5"/>
    <n v="12298.5"/>
    <n v="11416.5"/>
    <n v="23736"/>
    <n v="791.2"/>
    <n v="24460.5"/>
    <n v="815.35"/>
    <n v="6194"/>
    <n v="7899.5"/>
    <n v="23736"/>
    <n v="24460.5"/>
    <m/>
    <m/>
    <n v="141940"/>
    <n v="103711"/>
    <n v="74694"/>
    <n v="29473"/>
    <n v="129261"/>
    <n v="56753"/>
    <n v="345895"/>
    <n v="384.32777777777778"/>
    <n v="189937"/>
    <n v="211.04111111111112"/>
    <m/>
    <m/>
    <n v="0"/>
    <n v="0"/>
    <m/>
    <m/>
    <m/>
    <m/>
    <m/>
    <m/>
    <m/>
    <m/>
    <n v="0"/>
    <n v="0"/>
    <n v="0"/>
    <n v="0"/>
    <n v="1175.5277777777778"/>
    <n v="1026.3911111111111"/>
  </r>
  <r>
    <x v="9"/>
    <s v="Roanoke-Chowan Community College"/>
    <m/>
    <n v="199467"/>
    <x v="8"/>
    <s v="sem"/>
    <m/>
    <m/>
    <m/>
    <n v="5831"/>
    <n v="4848"/>
    <n v="851"/>
    <n v="1106"/>
    <n v="5901"/>
    <n v="4398"/>
    <n v="12583"/>
    <n v="419.43333333333334"/>
    <n v="10352"/>
    <n v="345.06666666666666"/>
    <n v="4747"/>
    <n v="4751"/>
    <n v="12583"/>
    <n v="10352"/>
    <m/>
    <m/>
    <n v="56374"/>
    <n v="27585"/>
    <n v="38707"/>
    <n v="14430"/>
    <n v="40985"/>
    <n v="23466"/>
    <n v="136066"/>
    <n v="151.18444444444444"/>
    <n v="65481"/>
    <n v="72.756666666666661"/>
    <m/>
    <m/>
    <n v="0"/>
    <n v="0"/>
    <m/>
    <m/>
    <m/>
    <m/>
    <m/>
    <m/>
    <m/>
    <m/>
    <n v="0"/>
    <n v="0"/>
    <n v="0"/>
    <n v="0"/>
    <n v="570.61777777777775"/>
    <n v="417.82333333333332"/>
  </r>
  <r>
    <x v="9"/>
    <s v="Robeson Community College"/>
    <s v="Met the criteria for Two-Year 2 in 2020-21."/>
    <n v="199476"/>
    <x v="8"/>
    <s v="sem"/>
    <m/>
    <m/>
    <m/>
    <n v="15113"/>
    <n v="17552"/>
    <n v="4020"/>
    <n v="4955"/>
    <n v="18785"/>
    <n v="18778"/>
    <n v="37918"/>
    <n v="1263.9333333333334"/>
    <n v="41285"/>
    <n v="1376.1666666666667"/>
    <n v="7579"/>
    <n v="8337"/>
    <n v="37918"/>
    <n v="41285"/>
    <m/>
    <m/>
    <n v="198412"/>
    <n v="238790"/>
    <n v="155409"/>
    <n v="124766"/>
    <n v="306481"/>
    <n v="211115"/>
    <n v="660302"/>
    <n v="733.66888888888889"/>
    <n v="574671"/>
    <n v="638.52333333333331"/>
    <m/>
    <m/>
    <n v="0"/>
    <n v="0"/>
    <m/>
    <m/>
    <m/>
    <m/>
    <m/>
    <m/>
    <m/>
    <m/>
    <n v="0"/>
    <n v="0"/>
    <n v="0"/>
    <n v="0"/>
    <n v="1997.6022222222223"/>
    <n v="2014.69"/>
  </r>
  <r>
    <x v="9"/>
    <s v="Rockingham Community College "/>
    <m/>
    <n v="199485"/>
    <x v="8"/>
    <s v="sem"/>
    <m/>
    <m/>
    <m/>
    <n v="14219"/>
    <n v="15679"/>
    <n v="3748"/>
    <n v="4532"/>
    <n v="18163"/>
    <n v="16697"/>
    <n v="36130"/>
    <n v="1204.3333333333333"/>
    <n v="36908"/>
    <n v="1230.2666666666667"/>
    <n v="7625"/>
    <n v="8885"/>
    <n v="36130"/>
    <n v="36908"/>
    <m/>
    <m/>
    <n v="81892"/>
    <n v="59555"/>
    <n v="45586"/>
    <n v="27044"/>
    <n v="75754"/>
    <n v="68711"/>
    <n v="203232"/>
    <n v="225.81333333333333"/>
    <n v="155310"/>
    <n v="172.56666666666666"/>
    <m/>
    <m/>
    <n v="0"/>
    <n v="0"/>
    <m/>
    <m/>
    <m/>
    <m/>
    <m/>
    <m/>
    <m/>
    <m/>
    <n v="0"/>
    <n v="0"/>
    <n v="0"/>
    <n v="0"/>
    <n v="1430.1466666666665"/>
    <n v="1402.8333333333333"/>
  </r>
  <r>
    <x v="9"/>
    <s v="Sampson Community College"/>
    <m/>
    <n v="199625"/>
    <x v="8"/>
    <s v="sem"/>
    <m/>
    <m/>
    <m/>
    <n v="15052"/>
    <n v="15637"/>
    <n v="4467"/>
    <n v="5483"/>
    <n v="16850"/>
    <n v="16424"/>
    <n v="36369"/>
    <n v="1212.3"/>
    <n v="37544"/>
    <n v="1251.4666666666667"/>
    <n v="13371"/>
    <n v="14222"/>
    <n v="36369"/>
    <n v="37544"/>
    <m/>
    <m/>
    <n v="145114"/>
    <n v="99937"/>
    <n v="82577"/>
    <n v="37012"/>
    <n v="166374"/>
    <n v="111220"/>
    <n v="394065"/>
    <n v="437.85"/>
    <n v="248169"/>
    <n v="275.74333333333334"/>
    <m/>
    <m/>
    <n v="0"/>
    <n v="0"/>
    <m/>
    <m/>
    <m/>
    <m/>
    <m/>
    <m/>
    <m/>
    <m/>
    <n v="0"/>
    <n v="0"/>
    <n v="0"/>
    <n v="0"/>
    <n v="1650.15"/>
    <n v="1527.21"/>
  </r>
  <r>
    <x v="9"/>
    <s v="Southeastern Community College "/>
    <m/>
    <n v="199722"/>
    <x v="8"/>
    <s v="sem"/>
    <m/>
    <m/>
    <m/>
    <n v="13618"/>
    <n v="13388"/>
    <n v="3762"/>
    <n v="4072"/>
    <n v="14168"/>
    <n v="12428"/>
    <n v="31548"/>
    <n v="1051.5999999999999"/>
    <n v="29888"/>
    <n v="996.26666666666665"/>
    <n v="9354"/>
    <n v="7715"/>
    <n v="31548"/>
    <n v="29888"/>
    <m/>
    <m/>
    <n v="208840"/>
    <n v="134653"/>
    <n v="102158"/>
    <n v="34896"/>
    <n v="192709"/>
    <n v="69726"/>
    <n v="503707"/>
    <n v="559.67444444444448"/>
    <n v="239275"/>
    <n v="265.86111111111109"/>
    <m/>
    <m/>
    <n v="0"/>
    <n v="0"/>
    <m/>
    <m/>
    <m/>
    <m/>
    <m/>
    <m/>
    <m/>
    <m/>
    <n v="0"/>
    <n v="0"/>
    <n v="0"/>
    <n v="0"/>
    <n v="1611.2744444444443"/>
    <n v="1262.1277777777777"/>
  </r>
  <r>
    <x v="9"/>
    <s v="Southwestern Community College "/>
    <m/>
    <n v="199731"/>
    <x v="8"/>
    <s v="sem"/>
    <m/>
    <m/>
    <m/>
    <n v="20956"/>
    <n v="20636"/>
    <n v="4049"/>
    <n v="4199"/>
    <n v="21372"/>
    <n v="19833"/>
    <n v="46377"/>
    <n v="1545.9"/>
    <n v="44668"/>
    <n v="1488.9333333333334"/>
    <n v="11390"/>
    <n v="11505"/>
    <n v="46377"/>
    <n v="44668"/>
    <m/>
    <m/>
    <n v="120126"/>
    <n v="92216"/>
    <n v="89973"/>
    <n v="65790"/>
    <n v="132301"/>
    <n v="94109"/>
    <n v="342400"/>
    <n v="380.44444444444446"/>
    <n v="252115"/>
    <n v="280.12777777777779"/>
    <m/>
    <m/>
    <n v="0"/>
    <n v="0"/>
    <m/>
    <m/>
    <m/>
    <m/>
    <m/>
    <m/>
    <m/>
    <m/>
    <n v="0"/>
    <n v="0"/>
    <n v="0"/>
    <n v="0"/>
    <n v="1926.3444444444444"/>
    <n v="1769.0611111111111"/>
  </r>
  <r>
    <x v="9"/>
    <s v="Tri-County Community College "/>
    <m/>
    <n v="199795"/>
    <x v="8"/>
    <s v="sem"/>
    <m/>
    <m/>
    <m/>
    <n v="9495"/>
    <n v="10574"/>
    <n v="2622"/>
    <n v="2683"/>
    <n v="10973"/>
    <n v="10300"/>
    <n v="23090"/>
    <n v="769.66666666666663"/>
    <n v="23557"/>
    <n v="785.23333333333335"/>
    <n v="9323"/>
    <n v="10035"/>
    <n v="23090"/>
    <n v="23557"/>
    <m/>
    <m/>
    <n v="59344"/>
    <n v="43679"/>
    <n v="40675"/>
    <n v="19456"/>
    <n v="67908"/>
    <n v="42858"/>
    <n v="167927"/>
    <n v="186.58555555555554"/>
    <n v="105993"/>
    <n v="117.77"/>
    <m/>
    <m/>
    <n v="0"/>
    <n v="0"/>
    <m/>
    <m/>
    <m/>
    <m/>
    <m/>
    <m/>
    <m/>
    <m/>
    <n v="0"/>
    <n v="0"/>
    <n v="0"/>
    <n v="0"/>
    <n v="956.25222222222214"/>
    <n v="903.00333333333333"/>
  </r>
  <r>
    <x v="9"/>
    <s v="Western Piedmont Community College "/>
    <m/>
    <n v="199908"/>
    <x v="8"/>
    <s v="sem"/>
    <m/>
    <m/>
    <m/>
    <n v="16817"/>
    <n v="18183"/>
    <n v="4105"/>
    <n v="4681"/>
    <n v="19798"/>
    <n v="18012"/>
    <n v="40720"/>
    <n v="1357.3333333333333"/>
    <n v="40876"/>
    <n v="1362.5333333333333"/>
    <n v="10567"/>
    <n v="11187"/>
    <n v="40720"/>
    <n v="40876"/>
    <m/>
    <m/>
    <n v="115420"/>
    <n v="51003"/>
    <n v="46010"/>
    <n v="17918"/>
    <n v="84010"/>
    <n v="45077"/>
    <n v="245440"/>
    <n v="272.71111111111111"/>
    <n v="113998"/>
    <n v="126.66444444444444"/>
    <m/>
    <m/>
    <n v="0"/>
    <n v="0"/>
    <m/>
    <m/>
    <m/>
    <m/>
    <m/>
    <m/>
    <m/>
    <m/>
    <n v="0"/>
    <n v="0"/>
    <n v="0"/>
    <n v="0"/>
    <n v="1630.0444444444443"/>
    <n v="1489.1977777777777"/>
  </r>
  <r>
    <x v="9"/>
    <s v="Wilson Community College"/>
    <m/>
    <n v="199953"/>
    <x v="8"/>
    <s v="sem"/>
    <m/>
    <m/>
    <m/>
    <n v="14104"/>
    <n v="14556.5"/>
    <n v="5251"/>
    <n v="5246"/>
    <n v="15703.5"/>
    <n v="16177"/>
    <n v="35058.5"/>
    <n v="1168.6166666666666"/>
    <n v="35979.5"/>
    <n v="1199.3166666666666"/>
    <n v="9785.5"/>
    <n v="10837.5"/>
    <n v="35058.5"/>
    <n v="35979.5"/>
    <m/>
    <m/>
    <n v="102294"/>
    <n v="66889"/>
    <n v="55422"/>
    <n v="24323"/>
    <n v="92042"/>
    <n v="61238"/>
    <n v="249758"/>
    <n v="277.50888888888886"/>
    <n v="152450"/>
    <n v="169.38888888888889"/>
    <m/>
    <m/>
    <n v="0"/>
    <n v="0"/>
    <m/>
    <m/>
    <m/>
    <m/>
    <m/>
    <m/>
    <m/>
    <m/>
    <n v="0"/>
    <n v="0"/>
    <n v="0"/>
    <n v="0"/>
    <n v="1446.1255555555554"/>
    <n v="1368.7055555555555"/>
  </r>
  <r>
    <x v="10"/>
    <m/>
    <m/>
    <m/>
    <x v="13"/>
    <m/>
    <m/>
    <m/>
    <m/>
    <m/>
    <m/>
    <m/>
    <m/>
    <m/>
    <m/>
    <n v="0"/>
    <n v="0"/>
    <n v="0"/>
    <n v="0"/>
    <m/>
    <m/>
    <n v="0"/>
    <n v="0"/>
    <m/>
    <m/>
    <m/>
    <m/>
    <m/>
    <m/>
    <m/>
    <m/>
    <n v="0"/>
    <n v="0"/>
    <n v="0"/>
    <n v="0"/>
    <m/>
    <m/>
    <n v="0"/>
    <n v="0"/>
    <m/>
    <m/>
    <m/>
    <m/>
    <m/>
    <m/>
    <m/>
    <m/>
    <n v="0"/>
    <n v="0"/>
    <n v="0"/>
    <n v="0"/>
    <n v="0"/>
    <n v="0"/>
  </r>
  <r>
    <x v="10"/>
    <s v="Canadian Valley Technology Center                 "/>
    <m/>
    <n v="365374"/>
    <x v="9"/>
    <m/>
    <m/>
    <m/>
    <m/>
    <m/>
    <m/>
    <m/>
    <m/>
    <m/>
    <m/>
    <n v="0"/>
    <n v="0"/>
    <n v="0"/>
    <n v="0"/>
    <m/>
    <m/>
    <n v="0"/>
    <n v="0"/>
    <m/>
    <m/>
    <m/>
    <m/>
    <m/>
    <m/>
    <n v="1013178.47"/>
    <n v="970575"/>
    <n v="1013178.47"/>
    <n v="1125.7538555555554"/>
    <n v="970575"/>
    <n v="1078.4166666666667"/>
    <m/>
    <m/>
    <n v="0"/>
    <n v="0"/>
    <m/>
    <m/>
    <m/>
    <m/>
    <m/>
    <m/>
    <m/>
    <m/>
    <n v="0"/>
    <n v="0"/>
    <n v="0"/>
    <n v="0"/>
    <n v="1125.7538555555554"/>
    <n v="1078.4166666666667"/>
  </r>
  <r>
    <x v="10"/>
    <s v="Francis Tuttle Technology Center                  "/>
    <m/>
    <n v="245999"/>
    <x v="9"/>
    <m/>
    <m/>
    <m/>
    <m/>
    <m/>
    <m/>
    <m/>
    <m/>
    <m/>
    <m/>
    <n v="0"/>
    <n v="0"/>
    <n v="0"/>
    <n v="0"/>
    <m/>
    <m/>
    <n v="0"/>
    <n v="0"/>
    <m/>
    <m/>
    <m/>
    <m/>
    <m/>
    <m/>
    <n v="1578505.76"/>
    <n v="1514425.9"/>
    <n v="1578505.76"/>
    <n v="1753.8952888888889"/>
    <n v="1514425.9"/>
    <n v="1682.6954444444443"/>
    <m/>
    <m/>
    <n v="0"/>
    <n v="0"/>
    <m/>
    <m/>
    <m/>
    <m/>
    <m/>
    <m/>
    <m/>
    <m/>
    <n v="0"/>
    <n v="0"/>
    <n v="0"/>
    <n v="0"/>
    <n v="1753.8952888888889"/>
    <n v="1682.6954444444443"/>
  </r>
  <r>
    <x v="10"/>
    <s v="Tulsa Technology Center-Lemley Campus             "/>
    <s v="Met the criteria for Technical Institute or College 2 in 2019-20."/>
    <n v="261375"/>
    <x v="9"/>
    <m/>
    <m/>
    <m/>
    <m/>
    <m/>
    <m/>
    <m/>
    <m/>
    <m/>
    <m/>
    <n v="0"/>
    <n v="0"/>
    <n v="0"/>
    <n v="0"/>
    <m/>
    <m/>
    <n v="0"/>
    <n v="0"/>
    <m/>
    <m/>
    <m/>
    <m/>
    <m/>
    <m/>
    <n v="751564.71"/>
    <n v="1309950"/>
    <n v="751564.71"/>
    <n v="835.07189999999991"/>
    <n v="1309950"/>
    <n v="1455.5"/>
    <m/>
    <m/>
    <n v="0"/>
    <n v="0"/>
    <m/>
    <m/>
    <m/>
    <m/>
    <m/>
    <m/>
    <m/>
    <m/>
    <n v="0"/>
    <n v="0"/>
    <n v="0"/>
    <n v="0"/>
    <n v="835.07189999999991"/>
    <n v="1455.5"/>
  </r>
  <r>
    <x v="10"/>
    <s v="Autry Technology Center                           "/>
    <m/>
    <n v="365213"/>
    <x v="10"/>
    <m/>
    <m/>
    <m/>
    <m/>
    <m/>
    <m/>
    <m/>
    <m/>
    <m/>
    <m/>
    <n v="0"/>
    <n v="0"/>
    <n v="0"/>
    <n v="0"/>
    <m/>
    <m/>
    <n v="0"/>
    <n v="0"/>
    <m/>
    <m/>
    <m/>
    <m/>
    <m/>
    <m/>
    <n v="368359.08"/>
    <n v="465419.4"/>
    <n v="368359.08"/>
    <n v="409.28786666666667"/>
    <n v="465419.4"/>
    <n v="517.13266666666664"/>
    <m/>
    <m/>
    <n v="0"/>
    <n v="0"/>
    <m/>
    <m/>
    <m/>
    <m/>
    <m/>
    <m/>
    <m/>
    <m/>
    <n v="0"/>
    <n v="0"/>
    <n v="0"/>
    <n v="0"/>
    <n v="409.28786666666667"/>
    <n v="517.13266666666664"/>
  </r>
  <r>
    <x v="10"/>
    <s v="Caddo Kiowa Technology Center                     "/>
    <m/>
    <n v="364946"/>
    <x v="10"/>
    <m/>
    <m/>
    <m/>
    <m/>
    <m/>
    <m/>
    <m/>
    <m/>
    <m/>
    <m/>
    <n v="0"/>
    <n v="0"/>
    <n v="0"/>
    <n v="0"/>
    <m/>
    <m/>
    <n v="0"/>
    <n v="0"/>
    <m/>
    <m/>
    <m/>
    <m/>
    <m/>
    <m/>
    <n v="290951.09999999998"/>
    <n v="256418.1"/>
    <n v="290951.09999999998"/>
    <n v="323.279"/>
    <n v="256418.1"/>
    <n v="284.90899999999999"/>
    <m/>
    <m/>
    <n v="0"/>
    <n v="0"/>
    <m/>
    <m/>
    <m/>
    <m/>
    <m/>
    <m/>
    <m/>
    <m/>
    <n v="0"/>
    <n v="0"/>
    <n v="0"/>
    <n v="0"/>
    <n v="323.279"/>
    <n v="284.90899999999999"/>
  </r>
  <r>
    <x v="10"/>
    <s v="Central Technology Center                         "/>
    <m/>
    <n v="246017"/>
    <x v="10"/>
    <m/>
    <m/>
    <m/>
    <m/>
    <m/>
    <m/>
    <m/>
    <m/>
    <m/>
    <m/>
    <n v="0"/>
    <n v="0"/>
    <n v="0"/>
    <n v="0"/>
    <m/>
    <m/>
    <n v="0"/>
    <n v="0"/>
    <m/>
    <m/>
    <m/>
    <m/>
    <m/>
    <m/>
    <n v="852056.76"/>
    <n v="677725.7"/>
    <n v="852056.76"/>
    <n v="946.72973333333334"/>
    <n v="677725.7"/>
    <n v="753.0285555555555"/>
    <m/>
    <m/>
    <n v="0"/>
    <n v="0"/>
    <m/>
    <m/>
    <m/>
    <m/>
    <m/>
    <m/>
    <m/>
    <m/>
    <n v="0"/>
    <n v="0"/>
    <n v="0"/>
    <n v="0"/>
    <n v="946.72973333333334"/>
    <n v="753.0285555555555"/>
  </r>
  <r>
    <x v="10"/>
    <s v="Chisholm Trail Technology Center                  "/>
    <m/>
    <n v="375656"/>
    <x v="10"/>
    <m/>
    <m/>
    <m/>
    <m/>
    <m/>
    <m/>
    <m/>
    <m/>
    <m/>
    <m/>
    <n v="0"/>
    <n v="0"/>
    <n v="0"/>
    <n v="0"/>
    <m/>
    <m/>
    <n v="0"/>
    <n v="0"/>
    <m/>
    <m/>
    <m/>
    <m/>
    <m/>
    <m/>
    <n v="145383.78"/>
    <n v="126730.5"/>
    <n v="145383.78"/>
    <n v="161.53753333333333"/>
    <n v="126730.5"/>
    <n v="140.81166666666667"/>
    <m/>
    <m/>
    <n v="0"/>
    <n v="0"/>
    <m/>
    <m/>
    <m/>
    <m/>
    <m/>
    <m/>
    <m/>
    <m/>
    <n v="0"/>
    <n v="0"/>
    <n v="0"/>
    <n v="0"/>
    <n v="161.53753333333333"/>
    <n v="140.81166666666667"/>
  </r>
  <r>
    <x v="10"/>
    <s v="Eastern Oklahoma County Technology Center         "/>
    <m/>
    <n v="418348"/>
    <x v="10"/>
    <m/>
    <m/>
    <m/>
    <m/>
    <m/>
    <m/>
    <m/>
    <m/>
    <m/>
    <m/>
    <n v="0"/>
    <n v="0"/>
    <n v="0"/>
    <n v="0"/>
    <m/>
    <m/>
    <n v="0"/>
    <n v="0"/>
    <m/>
    <m/>
    <m/>
    <m/>
    <m/>
    <m/>
    <n v="366625.33"/>
    <n v="487232.9"/>
    <n v="366625.33"/>
    <n v="407.36147777777779"/>
    <n v="487232.9"/>
    <n v="541.36988888888891"/>
    <m/>
    <m/>
    <n v="0"/>
    <n v="0"/>
    <m/>
    <m/>
    <m/>
    <m/>
    <m/>
    <m/>
    <m/>
    <m/>
    <n v="0"/>
    <n v="0"/>
    <n v="0"/>
    <n v="0"/>
    <n v="407.36147777777779"/>
    <n v="541.36988888888891"/>
  </r>
  <r>
    <x v="10"/>
    <s v="Gordon Cooper Technology Center                   "/>
    <s v=" Met the criteria for Technical Institute or College 1 in 2020-21"/>
    <n v="375683"/>
    <x v="10"/>
    <m/>
    <m/>
    <m/>
    <m/>
    <m/>
    <m/>
    <m/>
    <m/>
    <m/>
    <m/>
    <n v="0"/>
    <n v="0"/>
    <n v="0"/>
    <n v="0"/>
    <m/>
    <m/>
    <n v="0"/>
    <n v="0"/>
    <m/>
    <m/>
    <m/>
    <m/>
    <m/>
    <m/>
    <n v="593311.30000000005"/>
    <n v="1009352.8"/>
    <n v="593311.30000000005"/>
    <n v="659.23477777777782"/>
    <n v="1009352.8"/>
    <n v="1121.5031111111111"/>
    <m/>
    <m/>
    <n v="0"/>
    <n v="0"/>
    <m/>
    <m/>
    <m/>
    <m/>
    <m/>
    <m/>
    <m/>
    <m/>
    <n v="0"/>
    <n v="0"/>
    <n v="0"/>
    <n v="0"/>
    <n v="659.23477777777782"/>
    <n v="1121.5031111111111"/>
  </r>
  <r>
    <x v="10"/>
    <s v="Great Plains Technology Center                    "/>
    <m/>
    <n v="364548"/>
    <x v="10"/>
    <m/>
    <m/>
    <m/>
    <m/>
    <m/>
    <m/>
    <m/>
    <m/>
    <m/>
    <m/>
    <n v="0"/>
    <n v="0"/>
    <n v="0"/>
    <n v="0"/>
    <m/>
    <m/>
    <n v="0"/>
    <n v="0"/>
    <m/>
    <m/>
    <m/>
    <m/>
    <m/>
    <m/>
    <n v="766348.03"/>
    <n v="683487"/>
    <n v="766348.03"/>
    <n v="851.4978111111111"/>
    <n v="683487"/>
    <n v="759.43"/>
    <m/>
    <m/>
    <n v="0"/>
    <n v="0"/>
    <m/>
    <m/>
    <m/>
    <m/>
    <m/>
    <m/>
    <m/>
    <m/>
    <n v="0"/>
    <n v="0"/>
    <n v="0"/>
    <n v="0"/>
    <n v="851.4978111111111"/>
    <n v="759.43"/>
  </r>
  <r>
    <x v="10"/>
    <s v="Green Country Technology Center                   "/>
    <m/>
    <n v="428019"/>
    <x v="10"/>
    <m/>
    <m/>
    <m/>
    <m/>
    <m/>
    <m/>
    <m/>
    <m/>
    <m/>
    <m/>
    <n v="0"/>
    <n v="0"/>
    <n v="0"/>
    <n v="0"/>
    <m/>
    <m/>
    <n v="0"/>
    <n v="0"/>
    <m/>
    <m/>
    <m/>
    <m/>
    <m/>
    <m/>
    <n v="186012.7"/>
    <n v="233309"/>
    <n v="186012.7"/>
    <n v="206.68077777777779"/>
    <n v="233309"/>
    <n v="259.23222222222222"/>
    <m/>
    <m/>
    <n v="0"/>
    <n v="0"/>
    <m/>
    <m/>
    <m/>
    <m/>
    <m/>
    <m/>
    <m/>
    <m/>
    <n v="0"/>
    <n v="0"/>
    <n v="0"/>
    <n v="0"/>
    <n v="206.68077777777779"/>
    <n v="259.23222222222222"/>
  </r>
  <r>
    <x v="10"/>
    <s v="High Plains Technology Center                     "/>
    <m/>
    <n v="208053"/>
    <x v="10"/>
    <m/>
    <m/>
    <m/>
    <m/>
    <m/>
    <m/>
    <m/>
    <m/>
    <m/>
    <m/>
    <n v="0"/>
    <n v="0"/>
    <n v="0"/>
    <n v="0"/>
    <m/>
    <m/>
    <n v="0"/>
    <n v="0"/>
    <m/>
    <m/>
    <m/>
    <m/>
    <m/>
    <m/>
    <n v="203650.91"/>
    <n v="204946.9"/>
    <n v="203650.91"/>
    <n v="226.2787888888889"/>
    <n v="204946.9"/>
    <n v="227.71877777777777"/>
    <m/>
    <m/>
    <n v="0"/>
    <n v="0"/>
    <m/>
    <m/>
    <m/>
    <m/>
    <m/>
    <m/>
    <m/>
    <m/>
    <n v="0"/>
    <n v="0"/>
    <n v="0"/>
    <n v="0"/>
    <n v="226.2787888888889"/>
    <n v="227.71877777777777"/>
  </r>
  <r>
    <x v="10"/>
    <s v="Indian Capital Technology Center-Muskogee         "/>
    <m/>
    <n v="418296"/>
    <x v="10"/>
    <m/>
    <m/>
    <m/>
    <m/>
    <m/>
    <m/>
    <m/>
    <m/>
    <m/>
    <m/>
    <n v="0"/>
    <n v="0"/>
    <n v="0"/>
    <n v="0"/>
    <m/>
    <m/>
    <n v="0"/>
    <n v="0"/>
    <m/>
    <m/>
    <m/>
    <m/>
    <m/>
    <m/>
    <n v="452639.67"/>
    <n v="517115.4"/>
    <n v="452639.67"/>
    <n v="502.93296666666663"/>
    <n v="517115.4"/>
    <n v="574.57266666666669"/>
    <m/>
    <m/>
    <n v="0"/>
    <n v="0"/>
    <m/>
    <m/>
    <m/>
    <m/>
    <m/>
    <m/>
    <m/>
    <m/>
    <n v="0"/>
    <n v="0"/>
    <n v="0"/>
    <n v="0"/>
    <n v="502.93296666666663"/>
    <n v="574.57266666666669"/>
  </r>
  <r>
    <x v="10"/>
    <s v="Indian Capital Technology Center-Sallisaw         "/>
    <m/>
    <n v="421540"/>
    <x v="10"/>
    <m/>
    <m/>
    <m/>
    <m/>
    <m/>
    <m/>
    <m/>
    <m/>
    <m/>
    <m/>
    <n v="0"/>
    <n v="0"/>
    <n v="0"/>
    <n v="0"/>
    <m/>
    <m/>
    <n v="0"/>
    <n v="0"/>
    <m/>
    <m/>
    <m/>
    <m/>
    <m/>
    <m/>
    <n v="120424.69"/>
    <n v="99576.7"/>
    <n v="120424.69"/>
    <n v="133.80521111111111"/>
    <n v="99576.7"/>
    <n v="110.64077777777777"/>
    <m/>
    <m/>
    <n v="0"/>
    <n v="0"/>
    <m/>
    <m/>
    <m/>
    <m/>
    <m/>
    <m/>
    <m/>
    <m/>
    <n v="0"/>
    <n v="0"/>
    <n v="0"/>
    <n v="0"/>
    <n v="133.80521111111111"/>
    <n v="110.64077777777777"/>
  </r>
  <r>
    <x v="10"/>
    <s v="Indian Capital Technology Center-Stilwell         "/>
    <m/>
    <n v="421559"/>
    <x v="10"/>
    <m/>
    <m/>
    <m/>
    <m/>
    <m/>
    <m/>
    <m/>
    <m/>
    <m/>
    <m/>
    <n v="0"/>
    <n v="0"/>
    <n v="0"/>
    <n v="0"/>
    <m/>
    <m/>
    <n v="0"/>
    <n v="0"/>
    <m/>
    <m/>
    <m/>
    <m/>
    <m/>
    <m/>
    <n v="96298.68"/>
    <n v="114030"/>
    <n v="96298.68"/>
    <n v="106.99853333333333"/>
    <n v="114030"/>
    <n v="126.7"/>
    <m/>
    <m/>
    <n v="0"/>
    <n v="0"/>
    <m/>
    <m/>
    <m/>
    <m/>
    <m/>
    <m/>
    <m/>
    <m/>
    <n v="0"/>
    <n v="0"/>
    <n v="0"/>
    <n v="0"/>
    <n v="106.99853333333333"/>
    <n v="126.7"/>
  </r>
  <r>
    <x v="10"/>
    <s v="Indian Capital Technology Center-Tahlequah        "/>
    <m/>
    <n v="208026"/>
    <x v="10"/>
    <m/>
    <m/>
    <m/>
    <m/>
    <m/>
    <m/>
    <m/>
    <m/>
    <m/>
    <m/>
    <n v="0"/>
    <n v="0"/>
    <n v="0"/>
    <n v="0"/>
    <m/>
    <m/>
    <n v="0"/>
    <n v="0"/>
    <m/>
    <m/>
    <m/>
    <m/>
    <m/>
    <m/>
    <n v="196529.22"/>
    <n v="228733.2"/>
    <n v="196529.22"/>
    <n v="218.36580000000001"/>
    <n v="228733.2"/>
    <n v="254.14800000000002"/>
    <m/>
    <m/>
    <n v="0"/>
    <n v="0"/>
    <m/>
    <m/>
    <m/>
    <m/>
    <m/>
    <m/>
    <m/>
    <m/>
    <n v="0"/>
    <n v="0"/>
    <n v="0"/>
    <n v="0"/>
    <n v="218.36580000000001"/>
    <n v="254.14800000000002"/>
  </r>
  <r>
    <x v="10"/>
    <s v="Kiamichi Technology Center-Atoka                  "/>
    <m/>
    <n v="375692"/>
    <x v="10"/>
    <m/>
    <m/>
    <m/>
    <m/>
    <m/>
    <m/>
    <m/>
    <m/>
    <m/>
    <m/>
    <n v="0"/>
    <n v="0"/>
    <n v="0"/>
    <n v="0"/>
    <m/>
    <m/>
    <n v="0"/>
    <n v="0"/>
    <m/>
    <m/>
    <m/>
    <m/>
    <m/>
    <m/>
    <n v="121865.98"/>
    <n v="203282"/>
    <n v="121865.98"/>
    <n v="135.40664444444445"/>
    <n v="203282"/>
    <n v="225.86888888888888"/>
    <m/>
    <m/>
    <n v="0"/>
    <n v="0"/>
    <m/>
    <m/>
    <m/>
    <m/>
    <m/>
    <m/>
    <m/>
    <m/>
    <n v="0"/>
    <n v="0"/>
    <n v="0"/>
    <n v="0"/>
    <n v="135.40664444444445"/>
    <n v="225.86888888888888"/>
  </r>
  <r>
    <x v="10"/>
    <s v="Kiamichi Technology Center-Durant                 "/>
    <m/>
    <n v="375708"/>
    <x v="10"/>
    <m/>
    <m/>
    <m/>
    <m/>
    <m/>
    <m/>
    <m/>
    <m/>
    <m/>
    <m/>
    <n v="0"/>
    <n v="0"/>
    <n v="0"/>
    <n v="0"/>
    <m/>
    <m/>
    <n v="0"/>
    <n v="0"/>
    <m/>
    <m/>
    <m/>
    <m/>
    <m/>
    <m/>
    <n v="173694.75"/>
    <n v="151019.5"/>
    <n v="173694.75"/>
    <n v="192.99416666666667"/>
    <n v="151019.5"/>
    <n v="167.79944444444445"/>
    <m/>
    <m/>
    <n v="0"/>
    <n v="0"/>
    <m/>
    <m/>
    <m/>
    <m/>
    <m/>
    <m/>
    <m/>
    <m/>
    <n v="0"/>
    <n v="0"/>
    <n v="0"/>
    <n v="0"/>
    <n v="192.99416666666667"/>
    <n v="167.79944444444445"/>
  </r>
  <r>
    <x v="10"/>
    <s v="Kiamichi Technology Center-Hugo                   "/>
    <m/>
    <n v="375717"/>
    <x v="10"/>
    <m/>
    <m/>
    <m/>
    <m/>
    <m/>
    <m/>
    <m/>
    <m/>
    <m/>
    <m/>
    <n v="0"/>
    <n v="0"/>
    <n v="0"/>
    <n v="0"/>
    <m/>
    <m/>
    <n v="0"/>
    <n v="0"/>
    <m/>
    <m/>
    <m/>
    <m/>
    <m/>
    <m/>
    <n v="94510.59"/>
    <n v="71652"/>
    <n v="94510.59"/>
    <n v="105.01176666666666"/>
    <n v="71652"/>
    <n v="79.61333333333333"/>
    <m/>
    <m/>
    <n v="0"/>
    <n v="0"/>
    <m/>
    <m/>
    <m/>
    <m/>
    <m/>
    <m/>
    <m/>
    <m/>
    <n v="0"/>
    <n v="0"/>
    <n v="0"/>
    <n v="0"/>
    <n v="105.01176666666666"/>
    <n v="79.61333333333333"/>
  </r>
  <r>
    <x v="10"/>
    <s v="Kiamichi Technology Center-Idabel                 "/>
    <m/>
    <n v="375735"/>
    <x v="10"/>
    <m/>
    <m/>
    <m/>
    <m/>
    <m/>
    <m/>
    <m/>
    <m/>
    <m/>
    <m/>
    <n v="0"/>
    <n v="0"/>
    <n v="0"/>
    <n v="0"/>
    <m/>
    <m/>
    <n v="0"/>
    <n v="0"/>
    <m/>
    <m/>
    <m/>
    <m/>
    <m/>
    <m/>
    <n v="168725.32"/>
    <n v="164047"/>
    <n v="168725.32"/>
    <n v="187.47257777777779"/>
    <n v="164047"/>
    <n v="182.27444444444444"/>
    <m/>
    <m/>
    <n v="0"/>
    <n v="0"/>
    <m/>
    <m/>
    <m/>
    <m/>
    <m/>
    <m/>
    <m/>
    <m/>
    <n v="0"/>
    <n v="0"/>
    <n v="0"/>
    <n v="0"/>
    <n v="187.47257777777779"/>
    <n v="182.27444444444444"/>
  </r>
  <r>
    <x v="10"/>
    <s v="Kiamichi Technology Center-McAlester              "/>
    <m/>
    <n v="375726"/>
    <x v="10"/>
    <m/>
    <m/>
    <m/>
    <m/>
    <m/>
    <m/>
    <m/>
    <m/>
    <m/>
    <m/>
    <n v="0"/>
    <n v="0"/>
    <n v="0"/>
    <n v="0"/>
    <m/>
    <m/>
    <n v="0"/>
    <n v="0"/>
    <m/>
    <m/>
    <m/>
    <m/>
    <m/>
    <m/>
    <n v="283838.7"/>
    <n v="241451"/>
    <n v="283838.7"/>
    <n v="315.37633333333332"/>
    <n v="241451"/>
    <n v="268.2788888888889"/>
    <m/>
    <m/>
    <n v="0"/>
    <n v="0"/>
    <m/>
    <m/>
    <m/>
    <m/>
    <m/>
    <m/>
    <m/>
    <m/>
    <n v="0"/>
    <n v="0"/>
    <n v="0"/>
    <n v="0"/>
    <n v="315.37633333333332"/>
    <n v="268.2788888888889"/>
  </r>
  <r>
    <x v="10"/>
    <s v="Kiamichi Technology Center-Poteau                 "/>
    <m/>
    <n v="375744"/>
    <x v="10"/>
    <m/>
    <m/>
    <m/>
    <m/>
    <m/>
    <m/>
    <m/>
    <m/>
    <m/>
    <m/>
    <n v="0"/>
    <n v="0"/>
    <n v="0"/>
    <n v="0"/>
    <m/>
    <m/>
    <n v="0"/>
    <n v="0"/>
    <m/>
    <m/>
    <m/>
    <m/>
    <m/>
    <m/>
    <n v="229024.9"/>
    <n v="203094"/>
    <n v="229024.9"/>
    <n v="254.4721111111111"/>
    <n v="203094"/>
    <n v="225.66"/>
    <m/>
    <m/>
    <n v="0"/>
    <n v="0"/>
    <m/>
    <m/>
    <m/>
    <m/>
    <m/>
    <m/>
    <m/>
    <m/>
    <n v="0"/>
    <n v="0"/>
    <n v="0"/>
    <n v="0"/>
    <n v="254.4721111111111"/>
    <n v="225.66"/>
  </r>
  <r>
    <x v="10"/>
    <s v="Kiamichi Technology Center-Spiro                  "/>
    <m/>
    <n v="375753"/>
    <x v="10"/>
    <m/>
    <m/>
    <m/>
    <m/>
    <m/>
    <m/>
    <m/>
    <m/>
    <m/>
    <m/>
    <n v="0"/>
    <n v="0"/>
    <n v="0"/>
    <n v="0"/>
    <m/>
    <m/>
    <n v="0"/>
    <n v="0"/>
    <m/>
    <m/>
    <m/>
    <m/>
    <m/>
    <m/>
    <n v="16925"/>
    <n v="15054"/>
    <n v="16925"/>
    <n v="18.805555555555557"/>
    <n v="15054"/>
    <n v="16.726666666666667"/>
    <m/>
    <m/>
    <n v="0"/>
    <n v="0"/>
    <m/>
    <m/>
    <m/>
    <m/>
    <m/>
    <m/>
    <m/>
    <m/>
    <n v="0"/>
    <n v="0"/>
    <n v="0"/>
    <n v="0"/>
    <n v="18.805555555555557"/>
    <n v="16.726666666666667"/>
  </r>
  <r>
    <x v="10"/>
    <s v="Kiamichi Technology Center-Stigler                "/>
    <m/>
    <n v="405748"/>
    <x v="10"/>
    <m/>
    <m/>
    <m/>
    <m/>
    <m/>
    <m/>
    <m/>
    <m/>
    <m/>
    <m/>
    <n v="0"/>
    <n v="0"/>
    <n v="0"/>
    <n v="0"/>
    <m/>
    <m/>
    <n v="0"/>
    <n v="0"/>
    <m/>
    <m/>
    <m/>
    <m/>
    <m/>
    <m/>
    <n v="81216.78"/>
    <n v="79776"/>
    <n v="81216.78"/>
    <n v="90.240866666666662"/>
    <n v="79776"/>
    <n v="88.64"/>
    <m/>
    <m/>
    <n v="0"/>
    <n v="0"/>
    <m/>
    <m/>
    <m/>
    <m/>
    <m/>
    <m/>
    <m/>
    <m/>
    <n v="0"/>
    <n v="0"/>
    <n v="0"/>
    <n v="0"/>
    <n v="90.240866666666662"/>
    <n v="88.64"/>
  </r>
  <r>
    <x v="10"/>
    <s v="Kiamichi Technology Center-Talihina               "/>
    <m/>
    <n v="375762"/>
    <x v="10"/>
    <m/>
    <m/>
    <m/>
    <m/>
    <m/>
    <m/>
    <m/>
    <m/>
    <m/>
    <m/>
    <n v="0"/>
    <n v="0"/>
    <n v="0"/>
    <n v="0"/>
    <m/>
    <m/>
    <n v="0"/>
    <n v="0"/>
    <m/>
    <m/>
    <m/>
    <m/>
    <m/>
    <m/>
    <n v="65027.33"/>
    <n v="57855"/>
    <n v="65027.33"/>
    <n v="72.252588888888894"/>
    <n v="57855"/>
    <n v="64.283333333333331"/>
    <m/>
    <m/>
    <n v="0"/>
    <n v="0"/>
    <m/>
    <m/>
    <m/>
    <m/>
    <m/>
    <m/>
    <m/>
    <m/>
    <n v="0"/>
    <n v="0"/>
    <n v="0"/>
    <n v="0"/>
    <n v="72.252588888888894"/>
    <n v="64.283333333333331"/>
  </r>
  <r>
    <x v="10"/>
    <s v="Meridian Technology Center                        "/>
    <m/>
    <n v="365480"/>
    <x v="10"/>
    <m/>
    <m/>
    <m/>
    <m/>
    <m/>
    <m/>
    <m/>
    <m/>
    <m/>
    <m/>
    <n v="0"/>
    <n v="0"/>
    <n v="0"/>
    <n v="0"/>
    <m/>
    <m/>
    <n v="0"/>
    <n v="0"/>
    <m/>
    <m/>
    <m/>
    <m/>
    <m/>
    <m/>
    <n v="509245.37"/>
    <n v="546093.80000000005"/>
    <n v="509245.37"/>
    <n v="565.82818888888892"/>
    <n v="546093.80000000005"/>
    <n v="606.77088888888898"/>
    <m/>
    <m/>
    <n v="0"/>
    <n v="0"/>
    <m/>
    <m/>
    <m/>
    <m/>
    <m/>
    <m/>
    <m/>
    <m/>
    <n v="0"/>
    <n v="0"/>
    <n v="0"/>
    <n v="0"/>
    <n v="565.82818888888892"/>
    <n v="606.77088888888898"/>
  </r>
  <r>
    <x v="10"/>
    <s v="Metro Technology Centers                          "/>
    <m/>
    <n v="363165"/>
    <x v="10"/>
    <m/>
    <m/>
    <m/>
    <m/>
    <m/>
    <m/>
    <m/>
    <m/>
    <m/>
    <m/>
    <n v="0"/>
    <n v="0"/>
    <n v="0"/>
    <n v="0"/>
    <m/>
    <m/>
    <n v="0"/>
    <n v="0"/>
    <m/>
    <m/>
    <m/>
    <m/>
    <m/>
    <m/>
    <n v="712439.32"/>
    <n v="694158.8"/>
    <n v="712439.32"/>
    <n v="791.59924444444437"/>
    <n v="694158.8"/>
    <n v="771.28755555555563"/>
    <m/>
    <m/>
    <n v="0"/>
    <n v="0"/>
    <m/>
    <m/>
    <m/>
    <m/>
    <m/>
    <m/>
    <m/>
    <m/>
    <n v="0"/>
    <n v="0"/>
    <n v="0"/>
    <n v="0"/>
    <n v="791.59924444444437"/>
    <n v="771.28755555555563"/>
  </r>
  <r>
    <x v="10"/>
    <s v="Mid-America Technology Center                     "/>
    <s v=" Met the criteria for Technical Institute or College 1 in 2020-21"/>
    <n v="418320"/>
    <x v="10"/>
    <m/>
    <m/>
    <m/>
    <m/>
    <m/>
    <m/>
    <m/>
    <m/>
    <m/>
    <m/>
    <n v="0"/>
    <n v="0"/>
    <n v="0"/>
    <n v="0"/>
    <m/>
    <m/>
    <n v="0"/>
    <n v="0"/>
    <m/>
    <m/>
    <m/>
    <m/>
    <m/>
    <m/>
    <n v="489818.93"/>
    <n v="924678"/>
    <n v="489818.93"/>
    <n v="544.24325555555549"/>
    <n v="924678"/>
    <n v="1027.42"/>
    <m/>
    <m/>
    <n v="0"/>
    <n v="0"/>
    <m/>
    <m/>
    <m/>
    <m/>
    <m/>
    <m/>
    <m/>
    <m/>
    <n v="0"/>
    <n v="0"/>
    <n v="0"/>
    <n v="0"/>
    <n v="544.24325555555549"/>
    <n v="1027.42"/>
  </r>
  <r>
    <x v="10"/>
    <s v="Mid-Del Technology Center                         "/>
    <m/>
    <n v="431017"/>
    <x v="10"/>
    <m/>
    <m/>
    <m/>
    <m/>
    <m/>
    <m/>
    <m/>
    <m/>
    <m/>
    <m/>
    <n v="0"/>
    <n v="0"/>
    <n v="0"/>
    <n v="0"/>
    <m/>
    <m/>
    <n v="0"/>
    <n v="0"/>
    <m/>
    <m/>
    <m/>
    <m/>
    <m/>
    <m/>
    <n v="340899.65"/>
    <n v="564600"/>
    <n v="340899.65"/>
    <n v="378.77738888888894"/>
    <n v="564600"/>
    <n v="627.33333333333337"/>
    <m/>
    <m/>
    <n v="0"/>
    <n v="0"/>
    <m/>
    <m/>
    <m/>
    <m/>
    <m/>
    <m/>
    <m/>
    <m/>
    <n v="0"/>
    <n v="0"/>
    <n v="0"/>
    <n v="0"/>
    <n v="378.77738888888894"/>
    <n v="627.33333333333337"/>
  </r>
  <r>
    <x v="10"/>
    <s v="Moore Norman Technology Center                    "/>
    <s v="Met the criteria for Technical Institute or College 1 in 2019-20, and 2020-21"/>
    <n v="248606"/>
    <x v="10"/>
    <m/>
    <m/>
    <m/>
    <m/>
    <m/>
    <m/>
    <m/>
    <m/>
    <m/>
    <m/>
    <n v="0"/>
    <n v="0"/>
    <n v="0"/>
    <n v="0"/>
    <m/>
    <m/>
    <n v="0"/>
    <n v="0"/>
    <m/>
    <m/>
    <m/>
    <m/>
    <m/>
    <m/>
    <n v="965709"/>
    <n v="1970282.5"/>
    <n v="965709"/>
    <n v="1073.01"/>
    <n v="1970282.5"/>
    <n v="2189.2027777777776"/>
    <m/>
    <m/>
    <n v="0"/>
    <n v="0"/>
    <m/>
    <m/>
    <m/>
    <m/>
    <m/>
    <m/>
    <m/>
    <m/>
    <n v="0"/>
    <n v="0"/>
    <n v="0"/>
    <n v="0"/>
    <n v="1073.01"/>
    <n v="2189.2027777777776"/>
  </r>
  <r>
    <x v="10"/>
    <s v="Northeast Technology Center-Afton                 "/>
    <m/>
    <n v="420459"/>
    <x v="10"/>
    <m/>
    <m/>
    <m/>
    <m/>
    <m/>
    <m/>
    <m/>
    <m/>
    <m/>
    <m/>
    <n v="0"/>
    <n v="0"/>
    <n v="0"/>
    <n v="0"/>
    <m/>
    <m/>
    <n v="0"/>
    <n v="0"/>
    <m/>
    <m/>
    <m/>
    <m/>
    <m/>
    <m/>
    <n v="278844.75"/>
    <n v="268268"/>
    <n v="278844.75"/>
    <n v="309.82749999999999"/>
    <n v="268268"/>
    <n v="298.07555555555558"/>
    <m/>
    <m/>
    <n v="0"/>
    <n v="0"/>
    <m/>
    <m/>
    <m/>
    <m/>
    <m/>
    <m/>
    <m/>
    <m/>
    <n v="0"/>
    <n v="0"/>
    <n v="0"/>
    <n v="0"/>
    <n v="309.82749999999999"/>
    <n v="298.07555555555558"/>
  </r>
  <r>
    <x v="10"/>
    <s v="Northeast Technology Center-Claremore"/>
    <m/>
    <n v="456560"/>
    <x v="10"/>
    <m/>
    <m/>
    <m/>
    <m/>
    <m/>
    <m/>
    <m/>
    <m/>
    <m/>
    <m/>
    <n v="0"/>
    <n v="0"/>
    <n v="0"/>
    <n v="0"/>
    <m/>
    <m/>
    <n v="0"/>
    <n v="0"/>
    <m/>
    <m/>
    <m/>
    <m/>
    <m/>
    <m/>
    <n v="238524.75"/>
    <n v="188328"/>
    <n v="238524.75"/>
    <n v="265.02749999999997"/>
    <n v="188328"/>
    <n v="209.25333333333333"/>
    <m/>
    <m/>
    <n v="0"/>
    <n v="0"/>
    <m/>
    <m/>
    <m/>
    <m/>
    <m/>
    <m/>
    <m/>
    <m/>
    <n v="0"/>
    <n v="0"/>
    <n v="0"/>
    <n v="0"/>
    <n v="265.02749999999997"/>
    <n v="209.25333333333333"/>
  </r>
  <r>
    <x v="10"/>
    <s v="Northeast Technology Center-Kansas                "/>
    <m/>
    <n v="432074"/>
    <x v="10"/>
    <m/>
    <m/>
    <m/>
    <m/>
    <m/>
    <m/>
    <m/>
    <m/>
    <m/>
    <m/>
    <n v="0"/>
    <n v="0"/>
    <n v="0"/>
    <n v="0"/>
    <m/>
    <m/>
    <n v="0"/>
    <n v="0"/>
    <m/>
    <m/>
    <m/>
    <m/>
    <m/>
    <m/>
    <n v="136506.5"/>
    <n v="144608"/>
    <n v="136506.5"/>
    <n v="151.67388888888888"/>
    <n v="144608"/>
    <n v="160.67555555555555"/>
    <m/>
    <m/>
    <n v="0"/>
    <n v="0"/>
    <m/>
    <m/>
    <m/>
    <m/>
    <m/>
    <m/>
    <m/>
    <m/>
    <n v="0"/>
    <n v="0"/>
    <n v="0"/>
    <n v="0"/>
    <n v="151.67388888888888"/>
    <n v="160.67555555555555"/>
  </r>
  <r>
    <x v="10"/>
    <s v="Northeast Technology Center-Pryor                 "/>
    <m/>
    <n v="418339"/>
    <x v="10"/>
    <m/>
    <m/>
    <m/>
    <m/>
    <m/>
    <m/>
    <m/>
    <m/>
    <m/>
    <m/>
    <n v="0"/>
    <n v="0"/>
    <n v="0"/>
    <n v="0"/>
    <m/>
    <m/>
    <n v="0"/>
    <n v="0"/>
    <m/>
    <m/>
    <m/>
    <m/>
    <m/>
    <m/>
    <n v="292105.96999999997"/>
    <n v="291293.5"/>
    <n v="292105.96999999997"/>
    <n v="324.56218888888884"/>
    <n v="291293.5"/>
    <n v="323.65944444444443"/>
    <m/>
    <m/>
    <n v="0"/>
    <n v="0"/>
    <m/>
    <m/>
    <m/>
    <m/>
    <m/>
    <m/>
    <m/>
    <m/>
    <n v="0"/>
    <n v="0"/>
    <n v="0"/>
    <n v="0"/>
    <n v="324.56218888888884"/>
    <n v="323.65944444444443"/>
  </r>
  <r>
    <x v="10"/>
    <s v="Northwest Technology Center-Alva                  "/>
    <m/>
    <n v="366623"/>
    <x v="10"/>
    <m/>
    <m/>
    <m/>
    <m/>
    <m/>
    <m/>
    <m/>
    <m/>
    <m/>
    <m/>
    <n v="0"/>
    <n v="0"/>
    <n v="0"/>
    <n v="0"/>
    <m/>
    <m/>
    <n v="0"/>
    <n v="0"/>
    <m/>
    <m/>
    <m/>
    <m/>
    <m/>
    <m/>
    <n v="102168"/>
    <n v="90094.5"/>
    <n v="102168"/>
    <n v="113.52"/>
    <n v="90094.5"/>
    <n v="100.105"/>
    <m/>
    <m/>
    <n v="0"/>
    <n v="0"/>
    <m/>
    <m/>
    <m/>
    <m/>
    <m/>
    <m/>
    <m/>
    <m/>
    <n v="0"/>
    <n v="0"/>
    <n v="0"/>
    <n v="0"/>
    <n v="113.52"/>
    <n v="100.105"/>
  </r>
  <r>
    <x v="10"/>
    <s v="Northwest Technology Center-Fairview              "/>
    <m/>
    <n v="407601"/>
    <x v="10"/>
    <m/>
    <m/>
    <m/>
    <m/>
    <m/>
    <m/>
    <m/>
    <m/>
    <m/>
    <m/>
    <n v="0"/>
    <n v="0"/>
    <n v="0"/>
    <n v="0"/>
    <m/>
    <m/>
    <n v="0"/>
    <n v="0"/>
    <m/>
    <m/>
    <m/>
    <m/>
    <m/>
    <m/>
    <n v="75018.62"/>
    <n v="59402"/>
    <n v="75018.62"/>
    <n v="83.354022222222213"/>
    <n v="59402"/>
    <n v="66.002222222222215"/>
    <m/>
    <m/>
    <n v="0"/>
    <n v="0"/>
    <m/>
    <m/>
    <m/>
    <m/>
    <m/>
    <m/>
    <m/>
    <m/>
    <n v="0"/>
    <n v="0"/>
    <n v="0"/>
    <n v="0"/>
    <n v="83.354022222222213"/>
    <n v="66.002222222222215"/>
  </r>
  <r>
    <x v="10"/>
    <s v="Pioneer Technology Center                         "/>
    <m/>
    <n v="364627"/>
    <x v="10"/>
    <m/>
    <m/>
    <m/>
    <m/>
    <m/>
    <m/>
    <m/>
    <m/>
    <m/>
    <m/>
    <n v="0"/>
    <n v="0"/>
    <n v="0"/>
    <n v="0"/>
    <m/>
    <m/>
    <n v="0"/>
    <n v="0"/>
    <m/>
    <m/>
    <m/>
    <m/>
    <m/>
    <m/>
    <n v="329025.89"/>
    <n v="289198"/>
    <n v="329025.89"/>
    <n v="365.58432222222223"/>
    <n v="289198"/>
    <n v="321.33111111111111"/>
    <m/>
    <m/>
    <n v="0"/>
    <n v="0"/>
    <m/>
    <m/>
    <m/>
    <m/>
    <m/>
    <m/>
    <m/>
    <m/>
    <n v="0"/>
    <n v="0"/>
    <n v="0"/>
    <n v="0"/>
    <n v="365.58432222222223"/>
    <n v="321.33111111111111"/>
  </r>
  <r>
    <x v="10"/>
    <s v="Pontotoc Technology Center                        "/>
    <m/>
    <n v="206905"/>
    <x v="10"/>
    <m/>
    <m/>
    <m/>
    <m/>
    <m/>
    <m/>
    <m/>
    <m/>
    <m/>
    <m/>
    <n v="0"/>
    <n v="0"/>
    <n v="0"/>
    <n v="0"/>
    <m/>
    <m/>
    <n v="0"/>
    <n v="0"/>
    <m/>
    <m/>
    <m/>
    <m/>
    <m/>
    <m/>
    <n v="178204.59"/>
    <n v="182868.6"/>
    <n v="178204.59"/>
    <n v="198.0051"/>
    <n v="182868.6"/>
    <n v="203.18733333333333"/>
    <m/>
    <m/>
    <n v="0"/>
    <n v="0"/>
    <m/>
    <m/>
    <m/>
    <m/>
    <m/>
    <m/>
    <m/>
    <m/>
    <n v="0"/>
    <n v="0"/>
    <n v="0"/>
    <n v="0"/>
    <n v="198.0051"/>
    <n v="203.18733333333333"/>
  </r>
  <r>
    <x v="10"/>
    <s v="Red River Technology Center                       "/>
    <m/>
    <n v="250993"/>
    <x v="10"/>
    <m/>
    <m/>
    <m/>
    <m/>
    <m/>
    <m/>
    <m/>
    <m/>
    <m/>
    <m/>
    <n v="0"/>
    <n v="0"/>
    <n v="0"/>
    <n v="0"/>
    <m/>
    <m/>
    <n v="0"/>
    <n v="0"/>
    <m/>
    <m/>
    <m/>
    <m/>
    <m/>
    <m/>
    <n v="237938.52"/>
    <n v="456748.1"/>
    <n v="237938.52"/>
    <n v="264.37613333333331"/>
    <n v="456748.1"/>
    <n v="507.49788888888884"/>
    <m/>
    <m/>
    <n v="0"/>
    <n v="0"/>
    <m/>
    <m/>
    <m/>
    <m/>
    <m/>
    <m/>
    <m/>
    <m/>
    <n v="0"/>
    <n v="0"/>
    <n v="0"/>
    <n v="0"/>
    <n v="264.37613333333331"/>
    <n v="507.49788888888884"/>
  </r>
  <r>
    <x v="10"/>
    <s v="Southern Oklahoma Technology Center               "/>
    <m/>
    <n v="365198"/>
    <x v="10"/>
    <m/>
    <m/>
    <m/>
    <m/>
    <m/>
    <m/>
    <m/>
    <m/>
    <m/>
    <m/>
    <n v="0"/>
    <n v="0"/>
    <n v="0"/>
    <n v="0"/>
    <m/>
    <m/>
    <n v="0"/>
    <n v="0"/>
    <m/>
    <m/>
    <m/>
    <m/>
    <m/>
    <m/>
    <n v="406473.71"/>
    <n v="785593.7"/>
    <n v="406473.71"/>
    <n v="451.63745555555556"/>
    <n v="785593.7"/>
    <n v="872.88188888888885"/>
    <m/>
    <m/>
    <n v="0"/>
    <n v="0"/>
    <m/>
    <m/>
    <m/>
    <m/>
    <m/>
    <m/>
    <m/>
    <m/>
    <n v="0"/>
    <n v="0"/>
    <n v="0"/>
    <n v="0"/>
    <n v="451.63745555555556"/>
    <n v="872.88188888888885"/>
  </r>
  <r>
    <x v="10"/>
    <s v="Southwest Technology Center                       "/>
    <m/>
    <n v="368364"/>
    <x v="10"/>
    <m/>
    <m/>
    <m/>
    <m/>
    <m/>
    <m/>
    <m/>
    <m/>
    <m/>
    <m/>
    <n v="0"/>
    <n v="0"/>
    <n v="0"/>
    <n v="0"/>
    <m/>
    <m/>
    <n v="0"/>
    <n v="0"/>
    <m/>
    <m/>
    <m/>
    <m/>
    <m/>
    <m/>
    <n v="179521.29"/>
    <n v="198633.5"/>
    <n v="179521.29"/>
    <n v="199.46810000000002"/>
    <n v="198633.5"/>
    <n v="220.70388888888888"/>
    <m/>
    <m/>
    <n v="0"/>
    <n v="0"/>
    <m/>
    <m/>
    <m/>
    <m/>
    <m/>
    <m/>
    <m/>
    <m/>
    <n v="0"/>
    <n v="0"/>
    <n v="0"/>
    <n v="0"/>
    <n v="199.46810000000002"/>
    <n v="220.70388888888888"/>
  </r>
  <r>
    <x v="10"/>
    <s v="Tri County Technology Center                      "/>
    <m/>
    <n v="418287"/>
    <x v="10"/>
    <m/>
    <m/>
    <m/>
    <m/>
    <m/>
    <m/>
    <m/>
    <m/>
    <m/>
    <m/>
    <n v="0"/>
    <n v="0"/>
    <n v="0"/>
    <n v="0"/>
    <m/>
    <m/>
    <n v="0"/>
    <n v="0"/>
    <m/>
    <m/>
    <m/>
    <m/>
    <m/>
    <m/>
    <n v="362212.89"/>
    <n v="309395"/>
    <n v="362212.89"/>
    <n v="402.45876666666669"/>
    <n v="309395"/>
    <n v="343.77222222222224"/>
    <m/>
    <m/>
    <n v="0"/>
    <n v="0"/>
    <m/>
    <m/>
    <m/>
    <m/>
    <m/>
    <m/>
    <m/>
    <m/>
    <n v="0"/>
    <n v="0"/>
    <n v="0"/>
    <n v="0"/>
    <n v="402.45876666666669"/>
    <n v="343.77222222222224"/>
  </r>
  <r>
    <x v="10"/>
    <s v="Tulsa County Area Voc Tech School Dist 18-Peoria  "/>
    <m/>
    <n v="207607"/>
    <x v="10"/>
    <m/>
    <m/>
    <m/>
    <m/>
    <m/>
    <m/>
    <m/>
    <m/>
    <m/>
    <m/>
    <n v="0"/>
    <n v="0"/>
    <n v="0"/>
    <n v="0"/>
    <m/>
    <m/>
    <n v="0"/>
    <n v="0"/>
    <m/>
    <m/>
    <m/>
    <m/>
    <m/>
    <m/>
    <n v="372974.93"/>
    <n v="333342"/>
    <n v="372974.93"/>
    <n v="414.4165888888889"/>
    <n v="333342"/>
    <n v="370.38"/>
    <m/>
    <m/>
    <n v="0"/>
    <n v="0"/>
    <m/>
    <m/>
    <m/>
    <m/>
    <m/>
    <m/>
    <m/>
    <m/>
    <n v="0"/>
    <n v="0"/>
    <n v="0"/>
    <n v="0"/>
    <n v="414.4165888888889"/>
    <n v="370.38"/>
  </r>
  <r>
    <x v="10"/>
    <s v="Tulsa Technology Center-Broken Arrow Campus       "/>
    <m/>
    <n v="261393"/>
    <x v="10"/>
    <m/>
    <m/>
    <m/>
    <m/>
    <m/>
    <m/>
    <m/>
    <m/>
    <m/>
    <m/>
    <n v="0"/>
    <n v="0"/>
    <n v="0"/>
    <n v="0"/>
    <m/>
    <m/>
    <n v="0"/>
    <n v="0"/>
    <m/>
    <m/>
    <m/>
    <m/>
    <m/>
    <m/>
    <n v="445145.86"/>
    <n v="424787.5"/>
    <n v="445145.86"/>
    <n v="494.6065111111111"/>
    <n v="424787.5"/>
    <n v="471.98611111111109"/>
    <m/>
    <m/>
    <n v="0"/>
    <n v="0"/>
    <m/>
    <m/>
    <m/>
    <m/>
    <m/>
    <m/>
    <m/>
    <m/>
    <n v="0"/>
    <n v="0"/>
    <n v="0"/>
    <n v="0"/>
    <n v="494.6065111111111"/>
    <n v="471.98611111111109"/>
  </r>
  <r>
    <x v="10"/>
    <s v="Tulsa Technology Center-Owasso"/>
    <m/>
    <n v="482264"/>
    <x v="10"/>
    <m/>
    <m/>
    <m/>
    <m/>
    <m/>
    <m/>
    <m/>
    <m/>
    <m/>
    <m/>
    <n v="0"/>
    <n v="0"/>
    <n v="0"/>
    <n v="0"/>
    <m/>
    <m/>
    <n v="0"/>
    <n v="0"/>
    <m/>
    <m/>
    <m/>
    <m/>
    <m/>
    <m/>
    <n v="273866.96999999997"/>
    <n v="251858"/>
    <n v="273866.96999999997"/>
    <n v="304.29663333333332"/>
    <n v="251858"/>
    <n v="279.84222222222223"/>
    <m/>
    <m/>
    <n v="0"/>
    <n v="0"/>
    <m/>
    <m/>
    <m/>
    <m/>
    <m/>
    <m/>
    <m/>
    <m/>
    <n v="0"/>
    <n v="0"/>
    <n v="0"/>
    <n v="0"/>
    <n v="304.29663333333332"/>
    <n v="279.84222222222223"/>
  </r>
  <r>
    <x v="10"/>
    <s v="Tulsa Technology Center-Riverside Campus          "/>
    <m/>
    <n v="261384"/>
    <x v="10"/>
    <m/>
    <m/>
    <m/>
    <m/>
    <m/>
    <m/>
    <m/>
    <m/>
    <m/>
    <m/>
    <n v="0"/>
    <n v="0"/>
    <n v="0"/>
    <n v="0"/>
    <m/>
    <m/>
    <n v="0"/>
    <n v="0"/>
    <m/>
    <m/>
    <m/>
    <m/>
    <m/>
    <m/>
    <n v="441856.48"/>
    <n v="433976"/>
    <n v="441856.48"/>
    <n v="490.95164444444441"/>
    <n v="433976"/>
    <n v="482.19555555555553"/>
    <m/>
    <m/>
    <n v="0"/>
    <n v="0"/>
    <m/>
    <m/>
    <m/>
    <m/>
    <m/>
    <m/>
    <m/>
    <m/>
    <n v="0"/>
    <n v="0"/>
    <n v="0"/>
    <n v="0"/>
    <n v="490.95164444444441"/>
    <n v="482.19555555555553"/>
  </r>
  <r>
    <x v="10"/>
    <s v="Tulsa Technology Center-Sand Springs"/>
    <m/>
    <n v="482273"/>
    <x v="10"/>
    <m/>
    <m/>
    <m/>
    <m/>
    <m/>
    <m/>
    <m/>
    <m/>
    <m/>
    <m/>
    <n v="0"/>
    <n v="0"/>
    <n v="0"/>
    <n v="0"/>
    <m/>
    <m/>
    <n v="0"/>
    <n v="0"/>
    <m/>
    <m/>
    <m/>
    <m/>
    <m/>
    <m/>
    <n v="141856.54"/>
    <n v="126993"/>
    <n v="141856.54"/>
    <n v="157.61837777777779"/>
    <n v="126993"/>
    <n v="141.10333333333332"/>
    <m/>
    <m/>
    <n v="0"/>
    <n v="0"/>
    <m/>
    <m/>
    <m/>
    <m/>
    <m/>
    <m/>
    <m/>
    <m/>
    <n v="0"/>
    <n v="0"/>
    <n v="0"/>
    <n v="0"/>
    <n v="157.61837777777779"/>
    <n v="141.10333333333332"/>
  </r>
  <r>
    <x v="10"/>
    <s v="Wes Watkins Technology Center                     "/>
    <m/>
    <n v="418357"/>
    <x v="10"/>
    <m/>
    <m/>
    <m/>
    <m/>
    <m/>
    <m/>
    <m/>
    <m/>
    <m/>
    <m/>
    <n v="0"/>
    <n v="0"/>
    <n v="0"/>
    <n v="0"/>
    <m/>
    <m/>
    <n v="0"/>
    <n v="0"/>
    <m/>
    <m/>
    <m/>
    <m/>
    <m/>
    <m/>
    <n v="130496.63"/>
    <n v="131116.70000000001"/>
    <n v="130496.63"/>
    <n v="144.99625555555556"/>
    <n v="131116.70000000001"/>
    <n v="145.68522222222222"/>
    <m/>
    <m/>
    <n v="0"/>
    <n v="0"/>
    <m/>
    <m/>
    <m/>
    <m/>
    <m/>
    <m/>
    <m/>
    <m/>
    <n v="0"/>
    <n v="0"/>
    <n v="0"/>
    <n v="0"/>
    <n v="144.99625555555556"/>
    <n v="145.68522222222222"/>
  </r>
  <r>
    <x v="10"/>
    <s v="Western Technology Center                         "/>
    <m/>
    <n v="418302"/>
    <x v="10"/>
    <m/>
    <m/>
    <m/>
    <m/>
    <m/>
    <m/>
    <m/>
    <m/>
    <m/>
    <m/>
    <n v="0"/>
    <n v="0"/>
    <n v="0"/>
    <n v="0"/>
    <m/>
    <m/>
    <n v="0"/>
    <n v="0"/>
    <m/>
    <m/>
    <m/>
    <m/>
    <m/>
    <m/>
    <n v="288010.40999999997"/>
    <n v="344865.8"/>
    <n v="288010.40999999997"/>
    <n v="320.01156666666662"/>
    <n v="344865.8"/>
    <n v="383.18422222222222"/>
    <m/>
    <m/>
    <n v="0"/>
    <n v="0"/>
    <m/>
    <m/>
    <m/>
    <m/>
    <m/>
    <m/>
    <m/>
    <m/>
    <n v="0"/>
    <n v="0"/>
    <n v="0"/>
    <n v="0"/>
    <n v="320.01156666666662"/>
    <n v="383.18422222222222"/>
  </r>
  <r>
    <x v="11"/>
    <s v="Clemson University"/>
    <m/>
    <n v="217882"/>
    <x v="0"/>
    <s v="sem"/>
    <m/>
    <m/>
    <m/>
    <n v="272130"/>
    <n v="278087"/>
    <n v="36670"/>
    <n v="37821"/>
    <n v="303943"/>
    <n v="313062"/>
    <n v="612743"/>
    <n v="20424.766666666666"/>
    <n v="628970"/>
    <n v="20965.666666666668"/>
    <n v="217"/>
    <n v="193"/>
    <n v="612743"/>
    <n v="628970"/>
    <m/>
    <m/>
    <m/>
    <m/>
    <m/>
    <m/>
    <m/>
    <m/>
    <n v="0"/>
    <n v="0"/>
    <n v="0"/>
    <n v="0"/>
    <m/>
    <m/>
    <n v="0"/>
    <n v="0"/>
    <m/>
    <m/>
    <n v="39239"/>
    <n v="41544"/>
    <n v="17690"/>
    <n v="18335"/>
    <n v="44605"/>
    <n v="43439"/>
    <n v="101534"/>
    <n v="4230.583333333333"/>
    <n v="103318"/>
    <n v="4304.916666666667"/>
    <n v="24655.35"/>
    <n v="25270.583333333336"/>
  </r>
  <r>
    <x v="11"/>
    <s v="University of South Carolina-Columbia"/>
    <m/>
    <n v="218663"/>
    <x v="0"/>
    <s v="sem"/>
    <m/>
    <m/>
    <m/>
    <n v="363381"/>
    <n v="380399"/>
    <n v="46434"/>
    <n v="49747"/>
    <n v="409689"/>
    <n v="407477"/>
    <n v="819504"/>
    <n v="27316.799999999999"/>
    <n v="837623"/>
    <n v="27920.766666666666"/>
    <n v="45"/>
    <n v="31"/>
    <n v="819504"/>
    <n v="837623"/>
    <m/>
    <m/>
    <m/>
    <m/>
    <m/>
    <m/>
    <m/>
    <m/>
    <n v="0"/>
    <n v="0"/>
    <n v="0"/>
    <n v="0"/>
    <m/>
    <m/>
    <n v="0"/>
    <n v="0"/>
    <m/>
    <m/>
    <n v="73988"/>
    <n v="73935"/>
    <n v="23418"/>
    <n v="24450"/>
    <n v="77796"/>
    <n v="80396"/>
    <n v="175202"/>
    <n v="7300.083333333333"/>
    <n v="178781"/>
    <n v="7449.208333333333"/>
    <n v="34616.883333333331"/>
    <n v="35369.974999999999"/>
  </r>
  <r>
    <x v="11"/>
    <s v="College of Charleston"/>
    <m/>
    <n v="217819"/>
    <x v="2"/>
    <s v="sem"/>
    <m/>
    <m/>
    <m/>
    <n v="134199"/>
    <n v="130713"/>
    <n v="15077"/>
    <n v="15498"/>
    <n v="137451"/>
    <n v="133970"/>
    <n v="286727"/>
    <n v="9557.5666666666675"/>
    <n v="280181"/>
    <n v="9339.3666666666668"/>
    <n v="769"/>
    <n v="777"/>
    <n v="286727"/>
    <n v="280181"/>
    <m/>
    <m/>
    <m/>
    <m/>
    <m/>
    <m/>
    <m/>
    <m/>
    <n v="0"/>
    <n v="0"/>
    <n v="0"/>
    <n v="0"/>
    <m/>
    <m/>
    <n v="0"/>
    <n v="0"/>
    <m/>
    <m/>
    <n v="5496"/>
    <n v="6457"/>
    <n v="3231"/>
    <n v="4291"/>
    <n v="4943"/>
    <n v="5644"/>
    <n v="13670"/>
    <n v="569.58333333333337"/>
    <n v="16392"/>
    <n v="683"/>
    <n v="10127.150000000001"/>
    <n v="10022.366666666667"/>
  </r>
  <r>
    <x v="11"/>
    <s v="The Citadel, the Military College of South Carolina "/>
    <m/>
    <n v="217864"/>
    <x v="2"/>
    <s v="sem"/>
    <m/>
    <m/>
    <m/>
    <n v="46323"/>
    <n v="46280"/>
    <n v="6577"/>
    <n v="5770"/>
    <n v="47998"/>
    <n v="46368"/>
    <n v="100898"/>
    <n v="3363.2666666666669"/>
    <n v="98418"/>
    <n v="3280.6"/>
    <n v="45"/>
    <n v="3"/>
    <n v="100898"/>
    <n v="98418"/>
    <m/>
    <m/>
    <m/>
    <m/>
    <m/>
    <m/>
    <m/>
    <m/>
    <n v="0"/>
    <n v="0"/>
    <n v="0"/>
    <n v="0"/>
    <m/>
    <m/>
    <n v="0"/>
    <n v="0"/>
    <m/>
    <m/>
    <n v="5286"/>
    <n v="5035"/>
    <n v="4330"/>
    <n v="4062"/>
    <n v="5344"/>
    <n v="5574"/>
    <n v="14960"/>
    <n v="623.33333333333337"/>
    <n v="14671"/>
    <n v="611.29166666666663"/>
    <n v="3986.6000000000004"/>
    <n v="3891.8916666666664"/>
  </r>
  <r>
    <x v="11"/>
    <s v="Winthrop University "/>
    <m/>
    <n v="218964"/>
    <x v="2"/>
    <s v="sem"/>
    <m/>
    <m/>
    <m/>
    <n v="62708"/>
    <n v="62726.5"/>
    <n v="5253"/>
    <n v="5725.5"/>
    <n v="67863"/>
    <n v="63850.5"/>
    <n v="135824"/>
    <n v="4527.4666666666662"/>
    <n v="132302.5"/>
    <n v="4410.083333333333"/>
    <n v="1476"/>
    <n v="1110"/>
    <n v="135824"/>
    <n v="132302.5"/>
    <m/>
    <m/>
    <m/>
    <m/>
    <m/>
    <m/>
    <m/>
    <m/>
    <n v="0"/>
    <n v="0"/>
    <n v="0"/>
    <n v="0"/>
    <m/>
    <m/>
    <n v="0"/>
    <n v="0"/>
    <m/>
    <m/>
    <n v="6037"/>
    <n v="6734"/>
    <n v="3503"/>
    <n v="4773"/>
    <n v="6683"/>
    <n v="7860"/>
    <n v="16223"/>
    <n v="675.95833333333337"/>
    <n v="19367"/>
    <n v="806.95833333333337"/>
    <n v="5203.4249999999993"/>
    <n v="5217.0416666666661"/>
  </r>
  <r>
    <x v="11"/>
    <s v="Coastal Carolina University"/>
    <m/>
    <n v="218724"/>
    <x v="3"/>
    <s v="sem"/>
    <m/>
    <m/>
    <m/>
    <n v="130819"/>
    <n v="128539"/>
    <n v="17312"/>
    <n v="17440"/>
    <n v="142967"/>
    <n v="137780"/>
    <n v="291098"/>
    <n v="9703.2666666666664"/>
    <n v="283759"/>
    <n v="9458.6333333333332"/>
    <n v="2674"/>
    <n v="2560"/>
    <n v="291098"/>
    <n v="283759"/>
    <m/>
    <m/>
    <m/>
    <m/>
    <m/>
    <m/>
    <m/>
    <m/>
    <n v="0"/>
    <n v="0"/>
    <n v="0"/>
    <n v="0"/>
    <m/>
    <m/>
    <n v="0"/>
    <n v="0"/>
    <m/>
    <m/>
    <n v="4186"/>
    <n v="4166"/>
    <n v="3901"/>
    <n v="4125"/>
    <n v="4589"/>
    <n v="4100"/>
    <n v="12676"/>
    <n v="528.16666666666663"/>
    <n v="12391"/>
    <n v="516.29166666666663"/>
    <n v="10231.433333333332"/>
    <n v="9974.9249999999993"/>
  </r>
  <r>
    <x v="11"/>
    <s v="Francis Marion University "/>
    <m/>
    <n v="218061"/>
    <x v="4"/>
    <s v="sem"/>
    <m/>
    <m/>
    <m/>
    <n v="33667"/>
    <n v="42314"/>
    <n v="2921"/>
    <n v="3092"/>
    <n v="46709"/>
    <n v="46182"/>
    <n v="83297"/>
    <n v="2776.5666666666666"/>
    <n v="91588"/>
    <n v="3052.9333333333334"/>
    <n v="3015"/>
    <n v="4814"/>
    <n v="83297"/>
    <n v="91588"/>
    <m/>
    <m/>
    <m/>
    <m/>
    <m/>
    <m/>
    <m/>
    <m/>
    <n v="0"/>
    <n v="0"/>
    <n v="0"/>
    <n v="0"/>
    <m/>
    <m/>
    <n v="0"/>
    <n v="0"/>
    <m/>
    <m/>
    <n v="7856"/>
    <n v="3164"/>
    <n v="2742"/>
    <n v="3259"/>
    <n v="3667"/>
    <n v="4420"/>
    <n v="14265"/>
    <n v="594.375"/>
    <n v="10843"/>
    <n v="451.79166666666669"/>
    <n v="3370.9416666666666"/>
    <n v="3504.7249999999999"/>
  </r>
  <r>
    <x v="11"/>
    <s v="South Carolina State University "/>
    <m/>
    <n v="218733"/>
    <x v="4"/>
    <s v="sem"/>
    <m/>
    <m/>
    <m/>
    <n v="30751"/>
    <n v="28262"/>
    <n v="1896"/>
    <n v="2270"/>
    <n v="31188"/>
    <n v="28376"/>
    <n v="63835"/>
    <n v="2127.8333333333335"/>
    <n v="58908"/>
    <n v="1963.6"/>
    <m/>
    <n v="138"/>
    <n v="0"/>
    <n v="58908"/>
    <m/>
    <m/>
    <m/>
    <m/>
    <m/>
    <m/>
    <m/>
    <m/>
    <n v="0"/>
    <n v="0"/>
    <n v="0"/>
    <n v="0"/>
    <m/>
    <m/>
    <n v="0"/>
    <n v="0"/>
    <m/>
    <m/>
    <n v="2732"/>
    <n v="2158"/>
    <n v="917"/>
    <n v="956"/>
    <n v="2464"/>
    <n v="2447"/>
    <n v="6113"/>
    <n v="254.70833333333334"/>
    <n v="5561"/>
    <n v="231.70833333333334"/>
    <n v="2382.541666666667"/>
    <n v="2195.3083333333334"/>
  </r>
  <r>
    <x v="11"/>
    <s v="Lander University"/>
    <s v="Met the criteria for Four-Year 5 in 2019-20."/>
    <n v="218229"/>
    <x v="5"/>
    <s v="sem"/>
    <m/>
    <m/>
    <m/>
    <n v="38379.5"/>
    <n v="41599.5"/>
    <n v="3709.5"/>
    <n v="3449.5"/>
    <n v="45775.5"/>
    <n v="49907"/>
    <n v="87864.5"/>
    <n v="2928.8166666666666"/>
    <n v="94956"/>
    <n v="3165.2"/>
    <n v="351"/>
    <n v="663"/>
    <n v="87864.5"/>
    <n v="94956"/>
    <m/>
    <m/>
    <m/>
    <m/>
    <m/>
    <m/>
    <m/>
    <m/>
    <n v="0"/>
    <n v="0"/>
    <n v="0"/>
    <n v="0"/>
    <m/>
    <m/>
    <n v="0"/>
    <n v="0"/>
    <m/>
    <m/>
    <n v="491"/>
    <n v="608"/>
    <n v="529"/>
    <n v="665"/>
    <n v="533"/>
    <n v="886"/>
    <n v="1553"/>
    <n v="64.708333333333329"/>
    <n v="2159"/>
    <n v="89.958333333333329"/>
    <n v="2993.5250000000001"/>
    <n v="3255.1583333333333"/>
  </r>
  <r>
    <x v="11"/>
    <s v="University of South Carolina-Aiken"/>
    <s v="Met the criteria for Four-Year 5 in 2019-20 and 2020-21."/>
    <n v="218645"/>
    <x v="5"/>
    <s v="sem"/>
    <m/>
    <m/>
    <m/>
    <n v="38990"/>
    <n v="37525"/>
    <n v="5239"/>
    <n v="5890"/>
    <n v="41962"/>
    <n v="42006"/>
    <n v="86191"/>
    <n v="2873.0333333333333"/>
    <n v="85421"/>
    <n v="2847.3666666666668"/>
    <n v="1623"/>
    <n v="2063"/>
    <n v="86191"/>
    <n v="85421"/>
    <m/>
    <m/>
    <m/>
    <m/>
    <m/>
    <m/>
    <m/>
    <m/>
    <n v="0"/>
    <n v="0"/>
    <n v="0"/>
    <n v="0"/>
    <m/>
    <m/>
    <n v="0"/>
    <n v="0"/>
    <m/>
    <m/>
    <n v="2156"/>
    <n v="2517"/>
    <n v="1959"/>
    <n v="1833"/>
    <n v="2197"/>
    <n v="3712"/>
    <n v="6312"/>
    <n v="263"/>
    <n v="8062"/>
    <n v="335.91666666666669"/>
    <n v="3136.0333333333333"/>
    <n v="3183.2833333333333"/>
  </r>
  <r>
    <x v="11"/>
    <s v="University of South Carolina-Beaufort"/>
    <m/>
    <n v="218654"/>
    <x v="5"/>
    <s v="sem"/>
    <m/>
    <m/>
    <m/>
    <n v="27004"/>
    <n v="26682"/>
    <n v="3526"/>
    <n v="4024"/>
    <n v="28932"/>
    <n v="27074"/>
    <n v="59462"/>
    <n v="1982.0666666666666"/>
    <n v="57780"/>
    <n v="1926"/>
    <n v="940"/>
    <n v="1274"/>
    <n v="59462"/>
    <n v="57780"/>
    <m/>
    <m/>
    <m/>
    <m/>
    <m/>
    <m/>
    <m/>
    <m/>
    <n v="0"/>
    <n v="0"/>
    <n v="0"/>
    <n v="0"/>
    <m/>
    <m/>
    <n v="0"/>
    <n v="0"/>
    <m/>
    <m/>
    <m/>
    <n v="48"/>
    <m/>
    <m/>
    <n v="39"/>
    <n v="48"/>
    <n v="39"/>
    <n v="1.625"/>
    <n v="96"/>
    <n v="4"/>
    <n v="1983.6916666666666"/>
    <n v="1930"/>
  </r>
  <r>
    <x v="11"/>
    <s v="University of South Carolina-Upstate"/>
    <m/>
    <n v="218742"/>
    <x v="5"/>
    <s v="sem"/>
    <m/>
    <m/>
    <m/>
    <n v="69951"/>
    <n v="67923"/>
    <n v="10702"/>
    <n v="10120"/>
    <n v="75607"/>
    <n v="71420"/>
    <n v="156260"/>
    <n v="5208.666666666667"/>
    <n v="149463"/>
    <n v="4982.1000000000004"/>
    <n v="5197"/>
    <n v="4463"/>
    <n v="156260"/>
    <n v="149463"/>
    <m/>
    <m/>
    <m/>
    <m/>
    <m/>
    <m/>
    <m/>
    <m/>
    <n v="0"/>
    <n v="0"/>
    <n v="0"/>
    <n v="0"/>
    <m/>
    <m/>
    <n v="0"/>
    <n v="0"/>
    <m/>
    <m/>
    <n v="1461"/>
    <n v="2335"/>
    <n v="1464"/>
    <n v="2010"/>
    <n v="2324"/>
    <n v="2706"/>
    <n v="5249"/>
    <n v="218.70833333333334"/>
    <n v="7051"/>
    <n v="293.79166666666669"/>
    <n v="5427.375"/>
    <n v="5275.8916666666673"/>
  </r>
  <r>
    <x v="11"/>
    <s v="Greenville Technical College "/>
    <m/>
    <n v="218113"/>
    <x v="6"/>
    <s v="sem"/>
    <m/>
    <m/>
    <m/>
    <n v="90583"/>
    <n v="90725"/>
    <n v="33118"/>
    <n v="32803"/>
    <n v="104339"/>
    <n v="100387"/>
    <n v="228040"/>
    <n v="7601.333333333333"/>
    <n v="223915"/>
    <n v="7463.833333333333"/>
    <n v="15952"/>
    <n v="18654"/>
    <n v="228040"/>
    <n v="223915"/>
    <m/>
    <m/>
    <m/>
    <m/>
    <m/>
    <m/>
    <m/>
    <m/>
    <n v="0"/>
    <n v="0"/>
    <n v="0"/>
    <n v="0"/>
    <m/>
    <m/>
    <n v="0"/>
    <n v="0"/>
    <m/>
    <m/>
    <m/>
    <m/>
    <m/>
    <m/>
    <m/>
    <m/>
    <n v="0"/>
    <n v="0"/>
    <n v="0"/>
    <n v="0"/>
    <n v="7601.333333333333"/>
    <n v="7463.833333333333"/>
  </r>
  <r>
    <x v="11"/>
    <s v="Horry-Georgetown Technical College "/>
    <s v="Met the criteria for Two-Year 2 in 2020-21."/>
    <n v="218140"/>
    <x v="6"/>
    <s v="sem"/>
    <m/>
    <m/>
    <m/>
    <n v="63855"/>
    <n v="62140"/>
    <n v="22104"/>
    <n v="21329"/>
    <n v="68248"/>
    <n v="65184"/>
    <n v="154207"/>
    <n v="5140.2333333333336"/>
    <n v="148653"/>
    <n v="4955.1000000000004"/>
    <n v="4776"/>
    <n v="10087"/>
    <n v="154207"/>
    <n v="148653"/>
    <m/>
    <m/>
    <m/>
    <m/>
    <m/>
    <m/>
    <m/>
    <m/>
    <n v="0"/>
    <n v="0"/>
    <n v="0"/>
    <n v="0"/>
    <m/>
    <m/>
    <n v="0"/>
    <n v="0"/>
    <m/>
    <m/>
    <m/>
    <m/>
    <m/>
    <m/>
    <m/>
    <m/>
    <n v="0"/>
    <n v="0"/>
    <n v="0"/>
    <n v="0"/>
    <n v="5140.2333333333336"/>
    <n v="4955.1000000000004"/>
  </r>
  <r>
    <x v="11"/>
    <s v="Midlands Technical College "/>
    <m/>
    <n v="218353"/>
    <x v="6"/>
    <s v="sem"/>
    <m/>
    <m/>
    <m/>
    <n v="83297"/>
    <n v="82915"/>
    <n v="28839"/>
    <n v="28199"/>
    <n v="91135"/>
    <n v="86052"/>
    <n v="203271"/>
    <n v="6775.7"/>
    <n v="197166"/>
    <n v="6572.2"/>
    <n v="7359"/>
    <n v="8502"/>
    <n v="203271"/>
    <n v="197166"/>
    <m/>
    <m/>
    <m/>
    <m/>
    <m/>
    <m/>
    <m/>
    <m/>
    <n v="0"/>
    <n v="0"/>
    <n v="0"/>
    <n v="0"/>
    <m/>
    <m/>
    <n v="0"/>
    <n v="0"/>
    <m/>
    <m/>
    <m/>
    <m/>
    <m/>
    <m/>
    <m/>
    <m/>
    <n v="0"/>
    <n v="0"/>
    <n v="0"/>
    <n v="0"/>
    <n v="6775.7"/>
    <n v="6572.2"/>
  </r>
  <r>
    <x v="11"/>
    <s v="Trident Technical College "/>
    <m/>
    <n v="218894"/>
    <x v="6"/>
    <s v="sem"/>
    <m/>
    <m/>
    <m/>
    <n v="98790"/>
    <n v="98156"/>
    <n v="41544"/>
    <n v="43408"/>
    <n v="111506"/>
    <n v="105011"/>
    <n v="251840"/>
    <n v="8394.6666666666661"/>
    <n v="246575"/>
    <n v="8219.1666666666661"/>
    <n v="31190"/>
    <n v="34175"/>
    <n v="251840"/>
    <n v="246575"/>
    <m/>
    <m/>
    <m/>
    <m/>
    <m/>
    <m/>
    <m/>
    <m/>
    <n v="0"/>
    <n v="0"/>
    <n v="0"/>
    <n v="0"/>
    <m/>
    <m/>
    <n v="0"/>
    <n v="0"/>
    <m/>
    <m/>
    <m/>
    <m/>
    <m/>
    <m/>
    <m/>
    <m/>
    <n v="0"/>
    <n v="0"/>
    <n v="0"/>
    <n v="0"/>
    <n v="8394.6666666666661"/>
    <n v="8219.1666666666661"/>
  </r>
  <r>
    <x v="11"/>
    <s v="Central Carolina Technical College "/>
    <m/>
    <n v="218858"/>
    <x v="7"/>
    <s v="sem"/>
    <m/>
    <m/>
    <m/>
    <n v="29606"/>
    <n v="28097"/>
    <n v="13310"/>
    <n v="11741"/>
    <n v="30261"/>
    <n v="25823"/>
    <n v="73177"/>
    <n v="2439.2333333333331"/>
    <n v="65661"/>
    <n v="2188.6999999999998"/>
    <n v="9762"/>
    <n v="10470"/>
    <n v="73177"/>
    <n v="65661"/>
    <m/>
    <m/>
    <m/>
    <m/>
    <m/>
    <m/>
    <m/>
    <m/>
    <n v="0"/>
    <n v="0"/>
    <n v="0"/>
    <n v="0"/>
    <m/>
    <m/>
    <n v="0"/>
    <n v="0"/>
    <m/>
    <m/>
    <m/>
    <m/>
    <m/>
    <m/>
    <m/>
    <m/>
    <n v="0"/>
    <n v="0"/>
    <n v="0"/>
    <n v="0"/>
    <n v="2439.2333333333331"/>
    <n v="2188.6999999999998"/>
  </r>
  <r>
    <x v="11"/>
    <s v="Florence-Darlington Technical College "/>
    <m/>
    <n v="218025"/>
    <x v="7"/>
    <s v="sem"/>
    <m/>
    <m/>
    <m/>
    <n v="32862"/>
    <n v="29923"/>
    <n v="11566"/>
    <n v="10333"/>
    <n v="34102"/>
    <n v="30826"/>
    <n v="78530"/>
    <n v="2617.6666666666665"/>
    <n v="71082"/>
    <n v="2369.4"/>
    <n v="5696"/>
    <n v="6508"/>
    <n v="78530"/>
    <n v="71082"/>
    <m/>
    <m/>
    <m/>
    <m/>
    <m/>
    <m/>
    <m/>
    <m/>
    <n v="0"/>
    <n v="0"/>
    <n v="0"/>
    <n v="0"/>
    <m/>
    <m/>
    <n v="0"/>
    <n v="0"/>
    <m/>
    <m/>
    <m/>
    <m/>
    <m/>
    <m/>
    <m/>
    <m/>
    <n v="0"/>
    <n v="0"/>
    <n v="0"/>
    <n v="0"/>
    <n v="2617.6666666666665"/>
    <n v="2369.4"/>
  </r>
  <r>
    <x v="11"/>
    <s v="Piedmont Technical College "/>
    <m/>
    <n v="218520"/>
    <x v="7"/>
    <s v="sem"/>
    <m/>
    <m/>
    <m/>
    <n v="39982"/>
    <n v="42756"/>
    <n v="17581"/>
    <n v="18949"/>
    <n v="46262"/>
    <n v="44444"/>
    <n v="103825"/>
    <n v="3460.8333333333335"/>
    <n v="106149"/>
    <n v="3538.3"/>
    <n v="9599"/>
    <n v="13670"/>
    <n v="103825"/>
    <n v="106149"/>
    <m/>
    <m/>
    <m/>
    <m/>
    <m/>
    <m/>
    <m/>
    <m/>
    <n v="0"/>
    <n v="0"/>
    <n v="0"/>
    <n v="0"/>
    <m/>
    <m/>
    <n v="0"/>
    <n v="0"/>
    <m/>
    <m/>
    <m/>
    <m/>
    <m/>
    <m/>
    <m/>
    <m/>
    <n v="0"/>
    <n v="0"/>
    <n v="0"/>
    <n v="0"/>
    <n v="3460.8333333333335"/>
    <n v="3538.3"/>
  </r>
  <r>
    <x v="11"/>
    <s v="Spartanburg Community College "/>
    <m/>
    <n v="218830"/>
    <x v="7"/>
    <s v="sem"/>
    <m/>
    <m/>
    <m/>
    <n v="39143"/>
    <n v="40908"/>
    <n v="13116"/>
    <n v="12364"/>
    <n v="44864"/>
    <n v="39650"/>
    <n v="97123"/>
    <n v="3237.4333333333334"/>
    <n v="92922"/>
    <n v="3097.4"/>
    <n v="10291"/>
    <n v="10694"/>
    <n v="97123"/>
    <n v="92922"/>
    <m/>
    <m/>
    <m/>
    <m/>
    <m/>
    <m/>
    <m/>
    <m/>
    <n v="0"/>
    <n v="0"/>
    <n v="0"/>
    <n v="0"/>
    <m/>
    <m/>
    <n v="0"/>
    <n v="0"/>
    <m/>
    <m/>
    <m/>
    <m/>
    <m/>
    <m/>
    <m/>
    <m/>
    <n v="0"/>
    <n v="0"/>
    <n v="0"/>
    <n v="0"/>
    <n v="3237.4333333333334"/>
    <n v="3097.4"/>
  </r>
  <r>
    <x v="11"/>
    <s v="Tri-County Technical College "/>
    <m/>
    <n v="218885"/>
    <x v="7"/>
    <s v="sem"/>
    <m/>
    <m/>
    <m/>
    <n v="58698"/>
    <n v="59374"/>
    <n v="18963"/>
    <n v="19731"/>
    <n v="68215"/>
    <n v="62102"/>
    <n v="145876"/>
    <n v="4862.5333333333338"/>
    <n v="141207"/>
    <n v="4706.8999999999996"/>
    <n v="8439"/>
    <n v="7782"/>
    <n v="145876"/>
    <n v="141207"/>
    <m/>
    <m/>
    <m/>
    <m/>
    <m/>
    <m/>
    <m/>
    <m/>
    <n v="0"/>
    <n v="0"/>
    <n v="0"/>
    <n v="0"/>
    <m/>
    <m/>
    <n v="0"/>
    <n v="0"/>
    <m/>
    <m/>
    <m/>
    <m/>
    <m/>
    <m/>
    <m/>
    <m/>
    <n v="0"/>
    <n v="0"/>
    <n v="0"/>
    <n v="0"/>
    <n v="4862.5333333333338"/>
    <n v="4706.8999999999996"/>
  </r>
  <r>
    <x v="11"/>
    <s v="York Technical College "/>
    <m/>
    <n v="218991"/>
    <x v="7"/>
    <s v="sem"/>
    <m/>
    <m/>
    <m/>
    <n v="39180"/>
    <n v="40559"/>
    <n v="12714"/>
    <n v="12895"/>
    <n v="47329"/>
    <n v="43493"/>
    <n v="99223"/>
    <n v="3307.4333333333334"/>
    <n v="96947"/>
    <n v="3231.5666666666666"/>
    <n v="6463"/>
    <n v="7688"/>
    <n v="99223"/>
    <n v="96947"/>
    <m/>
    <m/>
    <m/>
    <m/>
    <m/>
    <m/>
    <m/>
    <m/>
    <n v="0"/>
    <n v="0"/>
    <n v="0"/>
    <n v="0"/>
    <m/>
    <m/>
    <n v="0"/>
    <n v="0"/>
    <m/>
    <m/>
    <m/>
    <m/>
    <m/>
    <m/>
    <m/>
    <m/>
    <n v="0"/>
    <n v="0"/>
    <n v="0"/>
    <n v="0"/>
    <n v="3307.4333333333334"/>
    <n v="3231.5666666666666"/>
  </r>
  <r>
    <x v="11"/>
    <s v="Aiken Technical College "/>
    <m/>
    <n v="217615"/>
    <x v="8"/>
    <s v="sem"/>
    <m/>
    <m/>
    <m/>
    <n v="18768"/>
    <n v="17459"/>
    <n v="7531"/>
    <n v="7354"/>
    <n v="20335"/>
    <n v="17502"/>
    <n v="46634"/>
    <n v="1554.4666666666667"/>
    <n v="42315"/>
    <n v="1410.5"/>
    <n v="2154"/>
    <n v="2401"/>
    <n v="46634"/>
    <n v="42315"/>
    <m/>
    <m/>
    <m/>
    <m/>
    <m/>
    <m/>
    <m/>
    <m/>
    <n v="0"/>
    <n v="0"/>
    <n v="0"/>
    <n v="0"/>
    <m/>
    <m/>
    <n v="0"/>
    <n v="0"/>
    <m/>
    <m/>
    <m/>
    <m/>
    <m/>
    <m/>
    <m/>
    <m/>
    <n v="0"/>
    <n v="0"/>
    <n v="0"/>
    <n v="0"/>
    <n v="1554.4666666666667"/>
    <n v="1410.5"/>
  </r>
  <r>
    <x v="11"/>
    <s v="Denmark Technical College "/>
    <m/>
    <n v="217989"/>
    <x v="8"/>
    <s v="sem"/>
    <m/>
    <m/>
    <m/>
    <n v="4721"/>
    <n v="5292"/>
    <n v="2196"/>
    <n v="2498"/>
    <n v="4984"/>
    <n v="4864"/>
    <n v="11901"/>
    <n v="396.7"/>
    <n v="12654"/>
    <n v="421.8"/>
    <n v="2030"/>
    <n v="3232"/>
    <n v="11901"/>
    <n v="12654"/>
    <m/>
    <m/>
    <m/>
    <m/>
    <m/>
    <m/>
    <m/>
    <m/>
    <n v="0"/>
    <n v="0"/>
    <n v="0"/>
    <n v="0"/>
    <m/>
    <m/>
    <n v="0"/>
    <n v="0"/>
    <m/>
    <m/>
    <m/>
    <m/>
    <m/>
    <m/>
    <m/>
    <m/>
    <n v="0"/>
    <n v="0"/>
    <n v="0"/>
    <n v="0"/>
    <n v="396.7"/>
    <n v="421.8"/>
  </r>
  <r>
    <x v="11"/>
    <s v="Northeastern Technical College "/>
    <m/>
    <n v="217837"/>
    <x v="8"/>
    <s v="sem"/>
    <m/>
    <m/>
    <m/>
    <n v="10672"/>
    <n v="11735"/>
    <n v="4766"/>
    <n v="5252"/>
    <n v="11853"/>
    <n v="11705"/>
    <n v="27291"/>
    <n v="909.7"/>
    <n v="28692"/>
    <n v="956.4"/>
    <n v="6133"/>
    <n v="6757"/>
    <n v="27291"/>
    <n v="28692"/>
    <m/>
    <m/>
    <m/>
    <m/>
    <m/>
    <m/>
    <m/>
    <m/>
    <n v="0"/>
    <n v="0"/>
    <n v="0"/>
    <n v="0"/>
    <m/>
    <m/>
    <n v="0"/>
    <n v="0"/>
    <m/>
    <m/>
    <m/>
    <m/>
    <m/>
    <m/>
    <m/>
    <m/>
    <n v="0"/>
    <n v="0"/>
    <n v="0"/>
    <n v="0"/>
    <n v="909.7"/>
    <n v="956.4"/>
  </r>
  <r>
    <x v="11"/>
    <s v="Orangeburg-Calhoun Technical College "/>
    <m/>
    <n v="218487"/>
    <x v="8"/>
    <s v="sem"/>
    <m/>
    <m/>
    <m/>
    <n v="20426"/>
    <n v="20317"/>
    <n v="8961"/>
    <n v="8554"/>
    <n v="21181"/>
    <n v="19487"/>
    <n v="50568"/>
    <n v="1685.6"/>
    <n v="48358"/>
    <n v="1611.9333333333334"/>
    <n v="7664"/>
    <n v="8319"/>
    <n v="50568"/>
    <n v="48358"/>
    <m/>
    <m/>
    <m/>
    <m/>
    <m/>
    <m/>
    <m/>
    <m/>
    <n v="0"/>
    <n v="0"/>
    <n v="0"/>
    <n v="0"/>
    <m/>
    <m/>
    <n v="0"/>
    <n v="0"/>
    <m/>
    <m/>
    <m/>
    <m/>
    <m/>
    <m/>
    <m/>
    <m/>
    <n v="0"/>
    <n v="0"/>
    <n v="0"/>
    <n v="0"/>
    <n v="1685.6"/>
    <n v="1611.9333333333334"/>
  </r>
  <r>
    <x v="11"/>
    <s v="Technical College of the Lowcountry"/>
    <m/>
    <n v="217712"/>
    <x v="8"/>
    <s v="sem"/>
    <m/>
    <m/>
    <m/>
    <n v="18050"/>
    <n v="17906"/>
    <n v="6968"/>
    <n v="7258"/>
    <n v="19187"/>
    <n v="17633"/>
    <n v="44205"/>
    <n v="1473.5"/>
    <n v="42797"/>
    <n v="1426.5666666666666"/>
    <n v="6051"/>
    <n v="5341"/>
    <n v="44205"/>
    <n v="42797"/>
    <m/>
    <m/>
    <m/>
    <m/>
    <m/>
    <m/>
    <m/>
    <m/>
    <n v="0"/>
    <n v="0"/>
    <n v="0"/>
    <n v="0"/>
    <m/>
    <m/>
    <n v="0"/>
    <n v="0"/>
    <m/>
    <m/>
    <m/>
    <m/>
    <m/>
    <m/>
    <m/>
    <m/>
    <n v="0"/>
    <n v="0"/>
    <n v="0"/>
    <n v="0"/>
    <n v="1473.5"/>
    <n v="1426.5666666666666"/>
  </r>
  <r>
    <x v="11"/>
    <s v="University of South Carolina-Lancaster"/>
    <m/>
    <n v="218672"/>
    <x v="8"/>
    <s v="sem"/>
    <m/>
    <m/>
    <m/>
    <n v="13781"/>
    <n v="14692"/>
    <n v="2983"/>
    <n v="3448"/>
    <n v="16679"/>
    <n v="17416"/>
    <n v="33443"/>
    <n v="1114.7666666666667"/>
    <n v="35556"/>
    <n v="1185.2"/>
    <n v="10579"/>
    <n v="13210"/>
    <n v="33443"/>
    <n v="35556"/>
    <m/>
    <m/>
    <m/>
    <m/>
    <m/>
    <m/>
    <m/>
    <m/>
    <n v="0"/>
    <n v="0"/>
    <n v="0"/>
    <n v="0"/>
    <m/>
    <m/>
    <n v="0"/>
    <n v="0"/>
    <m/>
    <m/>
    <m/>
    <m/>
    <m/>
    <m/>
    <m/>
    <m/>
    <n v="0"/>
    <n v="0"/>
    <n v="0"/>
    <n v="0"/>
    <n v="1114.7666666666667"/>
    <n v="1185.2"/>
  </r>
  <r>
    <x v="11"/>
    <s v="University of South Carolina-Salkehatchie"/>
    <m/>
    <n v="218681"/>
    <x v="8"/>
    <s v="sem"/>
    <m/>
    <m/>
    <m/>
    <n v="8939"/>
    <n v="8338"/>
    <n v="703"/>
    <n v="1108"/>
    <n v="9571"/>
    <n v="9621"/>
    <n v="19213"/>
    <n v="640.43333333333328"/>
    <n v="19067"/>
    <n v="635.56666666666672"/>
    <n v="4959"/>
    <n v="5828"/>
    <n v="19213"/>
    <n v="19067"/>
    <m/>
    <m/>
    <m/>
    <m/>
    <m/>
    <m/>
    <m/>
    <m/>
    <n v="0"/>
    <n v="0"/>
    <n v="0"/>
    <n v="0"/>
    <m/>
    <m/>
    <n v="0"/>
    <n v="0"/>
    <m/>
    <m/>
    <m/>
    <m/>
    <m/>
    <m/>
    <m/>
    <m/>
    <n v="0"/>
    <n v="0"/>
    <n v="0"/>
    <n v="0"/>
    <n v="640.43333333333328"/>
    <n v="635.56666666666672"/>
  </r>
  <r>
    <x v="11"/>
    <s v="University of South Carolina-Sumter"/>
    <m/>
    <n v="218690"/>
    <x v="8"/>
    <s v="sem"/>
    <m/>
    <m/>
    <m/>
    <n v="9566"/>
    <n v="10821"/>
    <n v="2161"/>
    <n v="1831"/>
    <n v="12817"/>
    <n v="12496"/>
    <n v="24544"/>
    <n v="818.13333333333333"/>
    <n v="25148"/>
    <n v="838.26666666666665"/>
    <n v="6970"/>
    <n v="9035"/>
    <n v="24544"/>
    <n v="25148"/>
    <m/>
    <m/>
    <m/>
    <m/>
    <m/>
    <m/>
    <m/>
    <m/>
    <n v="0"/>
    <n v="0"/>
    <n v="0"/>
    <n v="0"/>
    <m/>
    <m/>
    <n v="0"/>
    <n v="0"/>
    <m/>
    <m/>
    <m/>
    <m/>
    <m/>
    <m/>
    <m/>
    <m/>
    <n v="0"/>
    <n v="0"/>
    <n v="0"/>
    <n v="0"/>
    <n v="818.13333333333333"/>
    <n v="838.26666666666665"/>
  </r>
  <r>
    <x v="11"/>
    <s v="University of South Carolina-Union"/>
    <m/>
    <n v="218706"/>
    <x v="8"/>
    <s v="sem"/>
    <m/>
    <m/>
    <m/>
    <n v="9256"/>
    <n v="10067"/>
    <n v="453"/>
    <n v="835"/>
    <n v="10335"/>
    <n v="9495"/>
    <n v="20044"/>
    <n v="668.13333333333333"/>
    <n v="20397"/>
    <n v="679.9"/>
    <n v="11133"/>
    <n v="11620"/>
    <n v="20044"/>
    <n v="20397"/>
    <m/>
    <m/>
    <m/>
    <m/>
    <m/>
    <m/>
    <m/>
    <m/>
    <n v="0"/>
    <n v="0"/>
    <n v="0"/>
    <n v="0"/>
    <m/>
    <m/>
    <n v="0"/>
    <n v="0"/>
    <m/>
    <m/>
    <m/>
    <m/>
    <m/>
    <m/>
    <m/>
    <m/>
    <n v="0"/>
    <n v="0"/>
    <n v="0"/>
    <n v="0"/>
    <n v="668.13333333333333"/>
    <n v="679.9"/>
  </r>
  <r>
    <x v="11"/>
    <s v="Williamsburg Technical College "/>
    <m/>
    <n v="218955"/>
    <x v="8"/>
    <s v="sem"/>
    <m/>
    <m/>
    <m/>
    <n v="5963"/>
    <n v="5983"/>
    <n v="3185"/>
    <n v="2595"/>
    <n v="6699"/>
    <n v="5268"/>
    <n v="15847"/>
    <n v="528.23333333333335"/>
    <n v="13846"/>
    <n v="461.53333333333336"/>
    <n v="5408"/>
    <n v="4189"/>
    <n v="15847"/>
    <n v="13846"/>
    <m/>
    <m/>
    <m/>
    <m/>
    <m/>
    <m/>
    <m/>
    <m/>
    <n v="0"/>
    <n v="0"/>
    <n v="0"/>
    <n v="0"/>
    <m/>
    <m/>
    <n v="0"/>
    <n v="0"/>
    <m/>
    <m/>
    <m/>
    <m/>
    <m/>
    <m/>
    <m/>
    <m/>
    <n v="0"/>
    <n v="0"/>
    <n v="0"/>
    <n v="0"/>
    <n v="528.23333333333335"/>
    <n v="461.53333333333336"/>
  </r>
  <r>
    <x v="12"/>
    <s v="University of Memphis"/>
    <m/>
    <n v="220862"/>
    <x v="0"/>
    <m/>
    <m/>
    <m/>
    <m/>
    <n v="183589"/>
    <n v="187171"/>
    <n v="27039"/>
    <n v="33100"/>
    <n v="206982"/>
    <n v="206590"/>
    <n v="417610"/>
    <n v="13920.333333333334"/>
    <n v="426861"/>
    <n v="14228.7"/>
    <n v="12601"/>
    <n v="14172"/>
    <n v="417610"/>
    <n v="426861"/>
    <m/>
    <m/>
    <m/>
    <m/>
    <m/>
    <m/>
    <m/>
    <m/>
    <n v="0"/>
    <n v="0"/>
    <n v="0"/>
    <n v="0"/>
    <m/>
    <m/>
    <n v="0"/>
    <n v="0"/>
    <m/>
    <m/>
    <n v="30022"/>
    <n v="31141"/>
    <n v="8328"/>
    <n v="8491"/>
    <n v="32164"/>
    <n v="35435"/>
    <n v="70514"/>
    <n v="2938.0833333333335"/>
    <n v="75067"/>
    <n v="3127.7916666666665"/>
    <n v="16858.416666666668"/>
    <n v="17356.491666666669"/>
  </r>
  <r>
    <x v="12"/>
    <s v="University of Tennessee, Knoxville"/>
    <m/>
    <n v="221759"/>
    <x v="0"/>
    <m/>
    <m/>
    <m/>
    <m/>
    <n v="293363"/>
    <n v="303943.5"/>
    <n v="34095"/>
    <n v="38517"/>
    <n v="322611"/>
    <n v="335338"/>
    <n v="650069"/>
    <n v="21668.966666666667"/>
    <n v="677798.5"/>
    <n v="22593.283333333333"/>
    <n v="86"/>
    <n v="131"/>
    <n v="650069"/>
    <n v="677798.5"/>
    <m/>
    <m/>
    <m/>
    <m/>
    <m/>
    <m/>
    <m/>
    <m/>
    <n v="0"/>
    <n v="0"/>
    <n v="0"/>
    <n v="0"/>
    <m/>
    <m/>
    <n v="0"/>
    <n v="0"/>
    <m/>
    <m/>
    <n v="46696"/>
    <n v="47721.5"/>
    <n v="17010"/>
    <n v="17200"/>
    <n v="52054"/>
    <n v="52854.5"/>
    <n v="115760"/>
    <n v="4823.333333333333"/>
    <n v="117776"/>
    <n v="4907.333333333333"/>
    <n v="26492.3"/>
    <n v="27500.616666666665"/>
  </r>
  <r>
    <x v="12"/>
    <s v="East Tennessee State University "/>
    <m/>
    <n v="220075"/>
    <x v="1"/>
    <m/>
    <m/>
    <m/>
    <m/>
    <n v="142844"/>
    <n v="138142"/>
    <n v="21091"/>
    <n v="23686"/>
    <n v="153145"/>
    <n v="147230"/>
    <n v="317080"/>
    <n v="10569.333333333334"/>
    <n v="309058"/>
    <n v="10301.933333333332"/>
    <n v="4393"/>
    <n v="4023"/>
    <n v="317080"/>
    <n v="309058"/>
    <m/>
    <m/>
    <m/>
    <m/>
    <m/>
    <m/>
    <m/>
    <m/>
    <n v="0"/>
    <n v="0"/>
    <n v="0"/>
    <n v="0"/>
    <m/>
    <m/>
    <n v="0"/>
    <n v="0"/>
    <m/>
    <m/>
    <n v="20196"/>
    <n v="19798.5"/>
    <n v="9768"/>
    <n v="9036"/>
    <n v="20577"/>
    <n v="20529.5"/>
    <n v="50541"/>
    <n v="2105.875"/>
    <n v="49364"/>
    <n v="2056.8333333333335"/>
    <n v="12675.208333333334"/>
    <n v="12358.766666666666"/>
  </r>
  <r>
    <x v="12"/>
    <s v="Middle Tennessee State University "/>
    <m/>
    <n v="220978"/>
    <x v="1"/>
    <m/>
    <m/>
    <m/>
    <m/>
    <n v="220500"/>
    <n v="222766"/>
    <n v="35169"/>
    <n v="37417"/>
    <n v="248673"/>
    <n v="245294"/>
    <n v="504342"/>
    <n v="16811.400000000001"/>
    <n v="505477"/>
    <n v="16849.233333333334"/>
    <n v="10247"/>
    <n v="10218"/>
    <n v="504342"/>
    <n v="505477"/>
    <m/>
    <m/>
    <m/>
    <m/>
    <m/>
    <m/>
    <m/>
    <m/>
    <n v="0"/>
    <n v="0"/>
    <n v="0"/>
    <n v="0"/>
    <m/>
    <m/>
    <n v="0"/>
    <n v="0"/>
    <m/>
    <m/>
    <n v="14583"/>
    <n v="14448"/>
    <n v="7600"/>
    <n v="8055"/>
    <n v="14866"/>
    <n v="19209"/>
    <n v="37049"/>
    <n v="1543.7083333333333"/>
    <n v="41712"/>
    <n v="1738"/>
    <n v="18355.108333333334"/>
    <n v="18587.233333333334"/>
  </r>
  <r>
    <x v="12"/>
    <s v="Tennessee State University "/>
    <m/>
    <n v="221838"/>
    <x v="1"/>
    <m/>
    <m/>
    <m/>
    <m/>
    <n v="69393"/>
    <n v="66138"/>
    <n v="10137"/>
    <n v="9647"/>
    <n v="79834"/>
    <n v="79644"/>
    <n v="159364"/>
    <n v="5312.1333333333332"/>
    <n v="155429"/>
    <n v="5180.9666666666662"/>
    <n v="599"/>
    <n v="798"/>
    <n v="159364"/>
    <n v="155429"/>
    <m/>
    <m/>
    <m/>
    <m/>
    <m/>
    <m/>
    <m/>
    <m/>
    <n v="0"/>
    <n v="0"/>
    <n v="0"/>
    <n v="0"/>
    <m/>
    <m/>
    <n v="0"/>
    <n v="0"/>
    <m/>
    <m/>
    <n v="10873"/>
    <n v="9654"/>
    <n v="5047"/>
    <n v="5334"/>
    <n v="13138"/>
    <n v="11751"/>
    <n v="29058"/>
    <n v="1210.75"/>
    <n v="26739"/>
    <n v="1114.125"/>
    <n v="6522.8833333333332"/>
    <n v="6295.0916666666662"/>
  </r>
  <r>
    <x v="12"/>
    <s v="Austin Peay State University "/>
    <m/>
    <n v="219602"/>
    <x v="2"/>
    <m/>
    <m/>
    <m/>
    <m/>
    <n v="111943"/>
    <n v="109134"/>
    <n v="16738"/>
    <n v="18369"/>
    <n v="119454"/>
    <n v="110707"/>
    <n v="248135"/>
    <n v="8271.1666666666661"/>
    <n v="238210"/>
    <n v="7940.333333333333"/>
    <n v="9545"/>
    <n v="10283"/>
    <n v="248135"/>
    <n v="238210"/>
    <m/>
    <m/>
    <m/>
    <m/>
    <m/>
    <m/>
    <m/>
    <m/>
    <n v="0"/>
    <n v="0"/>
    <n v="0"/>
    <n v="0"/>
    <m/>
    <m/>
    <n v="0"/>
    <n v="0"/>
    <m/>
    <m/>
    <n v="7927"/>
    <n v="7396"/>
    <n v="3685"/>
    <n v="3848"/>
    <n v="7878"/>
    <n v="9243"/>
    <n v="19490"/>
    <n v="812.08333333333337"/>
    <n v="20487"/>
    <n v="853.625"/>
    <n v="9083.25"/>
    <n v="8793.9583333333321"/>
  </r>
  <r>
    <x v="12"/>
    <s v="Tennessee Technological University "/>
    <m/>
    <n v="221847"/>
    <x v="2"/>
    <m/>
    <m/>
    <m/>
    <m/>
    <n v="112413"/>
    <n v="110310"/>
    <n v="12080"/>
    <n v="13842"/>
    <n v="123457"/>
    <n v="121291"/>
    <n v="247950"/>
    <n v="8265"/>
    <n v="245443"/>
    <n v="8181.4333333333334"/>
    <n v="1208"/>
    <n v="1390"/>
    <n v="247950"/>
    <n v="245443"/>
    <m/>
    <m/>
    <m/>
    <m/>
    <m/>
    <m/>
    <m/>
    <m/>
    <n v="0"/>
    <n v="0"/>
    <n v="0"/>
    <n v="0"/>
    <m/>
    <m/>
    <n v="0"/>
    <n v="0"/>
    <m/>
    <m/>
    <n v="7117"/>
    <n v="7337"/>
    <n v="3476"/>
    <n v="3780"/>
    <n v="7329"/>
    <n v="8954"/>
    <n v="17922"/>
    <n v="746.75"/>
    <n v="20071"/>
    <n v="836.29166666666663"/>
    <n v="9011.75"/>
    <n v="9017.7250000000004"/>
  </r>
  <r>
    <x v="12"/>
    <s v="University of Tennessee at Chattanooga"/>
    <m/>
    <n v="221740"/>
    <x v="2"/>
    <m/>
    <m/>
    <m/>
    <m/>
    <n v="124159"/>
    <n v="126556"/>
    <n v="16152"/>
    <n v="18128"/>
    <n v="143031"/>
    <n v="143408"/>
    <n v="283342"/>
    <n v="9444.7333333333336"/>
    <n v="288092"/>
    <n v="9603.0666666666675"/>
    <n v="124"/>
    <n v="120"/>
    <n v="283342"/>
    <n v="288092"/>
    <m/>
    <m/>
    <m/>
    <m/>
    <m/>
    <m/>
    <m/>
    <m/>
    <n v="0"/>
    <n v="0"/>
    <n v="0"/>
    <n v="0"/>
    <m/>
    <m/>
    <n v="0"/>
    <n v="0"/>
    <m/>
    <m/>
    <n v="11212"/>
    <n v="11178"/>
    <n v="5410"/>
    <n v="5860"/>
    <n v="11748"/>
    <n v="11918"/>
    <n v="28370"/>
    <n v="1182.0833333333333"/>
    <n v="28956"/>
    <n v="1206.5"/>
    <n v="10626.816666666668"/>
    <n v="10809.566666666668"/>
  </r>
  <r>
    <x v="12"/>
    <s v="University of Tennessee at Martin"/>
    <s v="Reclassified: Met the criteria for Four-Year 4 in 2018-19, 2019-20, and 2020-21."/>
    <n v="221768"/>
    <x v="3"/>
    <m/>
    <m/>
    <m/>
    <m/>
    <n v="73457"/>
    <n v="73147"/>
    <n v="9514"/>
    <n v="10292"/>
    <n v="80328"/>
    <n v="78090"/>
    <n v="163299"/>
    <n v="5443.3"/>
    <n v="161529"/>
    <n v="5384.3"/>
    <n v="10044"/>
    <n v="9560"/>
    <n v="163299"/>
    <n v="161529"/>
    <m/>
    <m/>
    <m/>
    <m/>
    <m/>
    <m/>
    <m/>
    <m/>
    <n v="0"/>
    <n v="0"/>
    <n v="0"/>
    <n v="0"/>
    <m/>
    <m/>
    <n v="0"/>
    <n v="0"/>
    <m/>
    <m/>
    <n v="2050"/>
    <n v="4137"/>
    <n v="1334"/>
    <n v="2703"/>
    <n v="3498"/>
    <n v="4963"/>
    <n v="6882"/>
    <n v="286.75"/>
    <n v="11803"/>
    <n v="491.79166666666669"/>
    <n v="5730.05"/>
    <n v="5876.0916666666672"/>
  </r>
  <r>
    <x v="12"/>
    <s v="Chattanooga State Technical Community College "/>
    <m/>
    <n v="219824"/>
    <x v="6"/>
    <m/>
    <m/>
    <m/>
    <m/>
    <n v="69438"/>
    <n v="68065"/>
    <n v="13746"/>
    <n v="13928"/>
    <n v="80751"/>
    <n v="74880"/>
    <n v="163935"/>
    <n v="5464.5"/>
    <n v="156873"/>
    <n v="5229.1000000000004"/>
    <n v="13493"/>
    <n v="14596"/>
    <n v="163935"/>
    <n v="156873"/>
    <m/>
    <m/>
    <m/>
    <m/>
    <m/>
    <m/>
    <m/>
    <m/>
    <n v="0"/>
    <n v="0"/>
    <n v="0"/>
    <n v="0"/>
    <m/>
    <m/>
    <n v="0"/>
    <n v="0"/>
    <m/>
    <m/>
    <m/>
    <m/>
    <m/>
    <m/>
    <m/>
    <m/>
    <n v="0"/>
    <n v="0"/>
    <n v="0"/>
    <n v="0"/>
    <n v="5464.5"/>
    <n v="5229.1000000000004"/>
  </r>
  <r>
    <x v="12"/>
    <s v="Nashville State Technical Community College"/>
    <m/>
    <n v="221184"/>
    <x v="6"/>
    <m/>
    <m/>
    <m/>
    <m/>
    <n v="67812"/>
    <n v="66128"/>
    <n v="14219"/>
    <n v="14852"/>
    <n v="74753"/>
    <n v="66315.5"/>
    <n v="156784"/>
    <n v="5226.1333333333332"/>
    <n v="147295.5"/>
    <n v="4909.8500000000004"/>
    <n v="8569"/>
    <n v="8232"/>
    <n v="156784"/>
    <n v="147295.5"/>
    <m/>
    <m/>
    <m/>
    <m/>
    <m/>
    <m/>
    <m/>
    <m/>
    <n v="0"/>
    <n v="0"/>
    <n v="0"/>
    <n v="0"/>
    <m/>
    <m/>
    <n v="0"/>
    <n v="0"/>
    <m/>
    <m/>
    <m/>
    <m/>
    <m/>
    <m/>
    <m/>
    <m/>
    <n v="0"/>
    <n v="0"/>
    <n v="0"/>
    <n v="0"/>
    <n v="5226.1333333333332"/>
    <n v="4909.8500000000004"/>
  </r>
  <r>
    <x v="12"/>
    <s v="Pellissippi State Technical Community College"/>
    <m/>
    <n v="221643"/>
    <x v="6"/>
    <m/>
    <m/>
    <m/>
    <m/>
    <n v="90800"/>
    <n v="86752"/>
    <n v="19102"/>
    <n v="20056"/>
    <n v="104584"/>
    <n v="91649"/>
    <n v="214486"/>
    <n v="7149.5333333333338"/>
    <n v="198457"/>
    <n v="6615.2333333333336"/>
    <n v="11325"/>
    <n v="10753"/>
    <n v="214486"/>
    <n v="198457"/>
    <m/>
    <m/>
    <m/>
    <m/>
    <m/>
    <m/>
    <m/>
    <m/>
    <n v="0"/>
    <n v="0"/>
    <n v="0"/>
    <n v="0"/>
    <m/>
    <m/>
    <n v="0"/>
    <n v="0"/>
    <m/>
    <m/>
    <m/>
    <m/>
    <m/>
    <m/>
    <m/>
    <m/>
    <n v="0"/>
    <n v="0"/>
    <n v="0"/>
    <n v="0"/>
    <n v="7149.5333333333338"/>
    <n v="6615.2333333333336"/>
  </r>
  <r>
    <x v="12"/>
    <s v="Southwest Tennessee Community College"/>
    <m/>
    <n v="221485"/>
    <x v="6"/>
    <m/>
    <m/>
    <m/>
    <m/>
    <n v="76993"/>
    <n v="75486"/>
    <n v="19798"/>
    <n v="21370"/>
    <n v="90732"/>
    <n v="72975"/>
    <n v="187523"/>
    <n v="6250.7666666666664"/>
    <n v="169831"/>
    <n v="5661.0333333333338"/>
    <n v="5807"/>
    <n v="5196"/>
    <n v="187523"/>
    <n v="169831"/>
    <m/>
    <m/>
    <m/>
    <m/>
    <m/>
    <m/>
    <m/>
    <m/>
    <n v="0"/>
    <n v="0"/>
    <n v="0"/>
    <n v="0"/>
    <m/>
    <m/>
    <n v="0"/>
    <n v="0"/>
    <m/>
    <m/>
    <m/>
    <m/>
    <m/>
    <m/>
    <m/>
    <m/>
    <n v="0"/>
    <n v="0"/>
    <n v="0"/>
    <n v="0"/>
    <n v="6250.7666666666664"/>
    <n v="5661.0333333333338"/>
  </r>
  <r>
    <x v="12"/>
    <s v="Volunteer State Community College "/>
    <m/>
    <n v="222053"/>
    <x v="6"/>
    <m/>
    <m/>
    <m/>
    <m/>
    <n v="76607"/>
    <n v="75735"/>
    <n v="16562"/>
    <n v="17087"/>
    <n v="92214"/>
    <n v="87017"/>
    <n v="185383"/>
    <n v="6179.4333333333334"/>
    <n v="179839"/>
    <n v="5994.6333333333332"/>
    <n v="17302"/>
    <n v="17262.5"/>
    <n v="185383"/>
    <n v="179839"/>
    <m/>
    <m/>
    <m/>
    <m/>
    <m/>
    <m/>
    <m/>
    <m/>
    <n v="0"/>
    <n v="0"/>
    <n v="0"/>
    <n v="0"/>
    <m/>
    <m/>
    <n v="0"/>
    <n v="0"/>
    <m/>
    <m/>
    <m/>
    <m/>
    <m/>
    <m/>
    <m/>
    <m/>
    <n v="0"/>
    <n v="0"/>
    <n v="0"/>
    <n v="0"/>
    <n v="6179.4333333333334"/>
    <n v="5994.6333333333332"/>
  </r>
  <r>
    <x v="12"/>
    <s v="Cleveland State Community College "/>
    <m/>
    <n v="219879"/>
    <x v="7"/>
    <m/>
    <m/>
    <m/>
    <m/>
    <n v="27350"/>
    <n v="28661"/>
    <n v="4996"/>
    <n v="5006"/>
    <n v="35121"/>
    <n v="32319"/>
    <n v="67467"/>
    <n v="2248.9"/>
    <n v="65986"/>
    <n v="2199.5333333333333"/>
    <n v="9627"/>
    <n v="8637"/>
    <n v="67467"/>
    <n v="65986"/>
    <m/>
    <m/>
    <m/>
    <m/>
    <m/>
    <m/>
    <m/>
    <m/>
    <n v="0"/>
    <n v="0"/>
    <n v="0"/>
    <n v="0"/>
    <m/>
    <m/>
    <n v="0"/>
    <n v="0"/>
    <m/>
    <m/>
    <m/>
    <m/>
    <m/>
    <m/>
    <m/>
    <m/>
    <n v="0"/>
    <n v="0"/>
    <n v="0"/>
    <n v="0"/>
    <n v="2248.9"/>
    <n v="2199.5333333333333"/>
  </r>
  <r>
    <x v="12"/>
    <s v="Columbia State Community College "/>
    <m/>
    <n v="219888"/>
    <x v="7"/>
    <m/>
    <m/>
    <m/>
    <m/>
    <n v="54455"/>
    <n v="56195"/>
    <n v="11593"/>
    <n v="13161"/>
    <n v="66974"/>
    <n v="63016"/>
    <n v="133022"/>
    <n v="4434.0666666666666"/>
    <n v="132372"/>
    <n v="4412.3999999999996"/>
    <n v="9327"/>
    <n v="9368"/>
    <n v="133022"/>
    <n v="132372"/>
    <m/>
    <m/>
    <m/>
    <m/>
    <m/>
    <m/>
    <m/>
    <m/>
    <n v="0"/>
    <n v="0"/>
    <n v="0"/>
    <n v="0"/>
    <m/>
    <m/>
    <n v="0"/>
    <n v="0"/>
    <m/>
    <m/>
    <m/>
    <m/>
    <m/>
    <m/>
    <m/>
    <m/>
    <n v="0"/>
    <n v="0"/>
    <n v="0"/>
    <n v="0"/>
    <n v="4434.0666666666666"/>
    <n v="4412.3999999999996"/>
  </r>
  <r>
    <x v="12"/>
    <s v="Jackson State Community College "/>
    <m/>
    <n v="220400"/>
    <x v="7"/>
    <m/>
    <m/>
    <m/>
    <m/>
    <n v="37080"/>
    <n v="39614"/>
    <n v="7397"/>
    <n v="8294"/>
    <n v="47019"/>
    <n v="39819"/>
    <n v="91496"/>
    <n v="3049.8666666666668"/>
    <n v="87727"/>
    <n v="2924.2333333333331"/>
    <n v="12523"/>
    <n v="12319"/>
    <n v="91496"/>
    <n v="87727"/>
    <m/>
    <m/>
    <m/>
    <m/>
    <m/>
    <m/>
    <m/>
    <m/>
    <n v="0"/>
    <n v="0"/>
    <n v="0"/>
    <n v="0"/>
    <m/>
    <m/>
    <n v="0"/>
    <n v="0"/>
    <m/>
    <m/>
    <m/>
    <m/>
    <m/>
    <m/>
    <m/>
    <m/>
    <n v="0"/>
    <n v="0"/>
    <n v="0"/>
    <n v="0"/>
    <n v="3049.8666666666668"/>
    <n v="2924.2333333333331"/>
  </r>
  <r>
    <x v="12"/>
    <s v="Motlow State Community College "/>
    <m/>
    <n v="221096"/>
    <x v="7"/>
    <m/>
    <m/>
    <m/>
    <m/>
    <n v="57936"/>
    <n v="59335"/>
    <n v="12666"/>
    <n v="11507"/>
    <n v="68563"/>
    <n v="62334"/>
    <n v="139165"/>
    <n v="4638.833333333333"/>
    <n v="133176"/>
    <n v="4439.2"/>
    <n v="18577"/>
    <n v="19055"/>
    <n v="139165"/>
    <n v="133176"/>
    <m/>
    <m/>
    <m/>
    <m/>
    <m/>
    <m/>
    <m/>
    <m/>
    <n v="0"/>
    <n v="0"/>
    <n v="0"/>
    <n v="0"/>
    <m/>
    <m/>
    <n v="0"/>
    <n v="0"/>
    <m/>
    <m/>
    <m/>
    <m/>
    <m/>
    <m/>
    <m/>
    <m/>
    <n v="0"/>
    <n v="0"/>
    <n v="0"/>
    <n v="0"/>
    <n v="4638.833333333333"/>
    <n v="4439.2"/>
  </r>
  <r>
    <x v="12"/>
    <s v="Northeast State Technical Community College"/>
    <m/>
    <n v="221908"/>
    <x v="7"/>
    <m/>
    <m/>
    <m/>
    <m/>
    <n v="53136"/>
    <n v="52343"/>
    <n v="7764"/>
    <n v="8345"/>
    <n v="62645"/>
    <n v="55682"/>
    <n v="123545"/>
    <n v="4118.166666666667"/>
    <n v="116370"/>
    <n v="3879"/>
    <n v="8975"/>
    <n v="8529"/>
    <n v="123545"/>
    <n v="116370"/>
    <m/>
    <m/>
    <m/>
    <m/>
    <m/>
    <m/>
    <m/>
    <m/>
    <n v="0"/>
    <n v="0"/>
    <n v="0"/>
    <n v="0"/>
    <m/>
    <m/>
    <n v="0"/>
    <n v="0"/>
    <m/>
    <m/>
    <m/>
    <m/>
    <m/>
    <m/>
    <m/>
    <m/>
    <n v="0"/>
    <n v="0"/>
    <n v="0"/>
    <n v="0"/>
    <n v="4118.166666666667"/>
    <n v="3879"/>
  </r>
  <r>
    <x v="12"/>
    <s v="Roane State Community College "/>
    <m/>
    <n v="221397"/>
    <x v="7"/>
    <m/>
    <m/>
    <m/>
    <m/>
    <n v="52087"/>
    <n v="51276"/>
    <n v="7003"/>
    <n v="7706"/>
    <n v="59738"/>
    <n v="52972"/>
    <n v="118828"/>
    <n v="3960.9333333333334"/>
    <n v="111954"/>
    <n v="3731.8"/>
    <n v="14953"/>
    <n v="14910"/>
    <n v="118828"/>
    <n v="111954"/>
    <m/>
    <m/>
    <m/>
    <m/>
    <m/>
    <m/>
    <m/>
    <m/>
    <n v="0"/>
    <n v="0"/>
    <n v="0"/>
    <n v="0"/>
    <m/>
    <m/>
    <n v="0"/>
    <n v="0"/>
    <m/>
    <m/>
    <m/>
    <m/>
    <m/>
    <m/>
    <m/>
    <m/>
    <n v="0"/>
    <n v="0"/>
    <n v="0"/>
    <n v="0"/>
    <n v="3960.9333333333334"/>
    <n v="3731.8"/>
  </r>
  <r>
    <x v="12"/>
    <s v="Walters State Community College "/>
    <m/>
    <n v="222062"/>
    <x v="7"/>
    <m/>
    <m/>
    <m/>
    <m/>
    <n v="54184"/>
    <n v="51325"/>
    <n v="6119"/>
    <n v="8152"/>
    <n v="63882"/>
    <n v="57526"/>
    <n v="124185"/>
    <n v="4139.5"/>
    <n v="117003"/>
    <n v="3900.1"/>
    <n v="12800"/>
    <n v="12784"/>
    <n v="124185"/>
    <n v="117003"/>
    <m/>
    <m/>
    <m/>
    <m/>
    <m/>
    <m/>
    <m/>
    <m/>
    <n v="0"/>
    <n v="0"/>
    <n v="0"/>
    <n v="0"/>
    <m/>
    <m/>
    <n v="0"/>
    <n v="0"/>
    <m/>
    <m/>
    <m/>
    <m/>
    <m/>
    <m/>
    <m/>
    <m/>
    <n v="0"/>
    <n v="0"/>
    <n v="0"/>
    <n v="0"/>
    <n v="4139.5"/>
    <n v="3900.1"/>
  </r>
  <r>
    <x v="12"/>
    <s v="Dyersburg State Community College "/>
    <m/>
    <n v="220057"/>
    <x v="8"/>
    <m/>
    <m/>
    <m/>
    <m/>
    <n v="22580"/>
    <n v="22766"/>
    <n v="4394"/>
    <n v="4325"/>
    <n v="26134"/>
    <n v="24448"/>
    <n v="53108"/>
    <n v="1770.2666666666667"/>
    <n v="51539"/>
    <n v="1717.9666666666667"/>
    <n v="6012"/>
    <n v="5504"/>
    <n v="53108"/>
    <n v="51539"/>
    <m/>
    <m/>
    <m/>
    <m/>
    <m/>
    <m/>
    <m/>
    <m/>
    <n v="0"/>
    <n v="0"/>
    <n v="0"/>
    <n v="0"/>
    <m/>
    <m/>
    <n v="0"/>
    <n v="0"/>
    <m/>
    <m/>
    <m/>
    <m/>
    <m/>
    <m/>
    <m/>
    <m/>
    <n v="0"/>
    <n v="0"/>
    <n v="0"/>
    <n v="0"/>
    <n v="1770.2666666666667"/>
    <n v="1717.9666666666667"/>
  </r>
  <r>
    <x v="12"/>
    <s v="Tennessee College of Applied Technology at Athens"/>
    <m/>
    <n v="219596"/>
    <x v="10"/>
    <m/>
    <m/>
    <m/>
    <m/>
    <m/>
    <m/>
    <m/>
    <m/>
    <m/>
    <m/>
    <n v="0"/>
    <n v="0"/>
    <n v="0"/>
    <n v="0"/>
    <m/>
    <m/>
    <n v="0"/>
    <n v="0"/>
    <m/>
    <m/>
    <n v="98018"/>
    <n v="89100"/>
    <n v="75283"/>
    <n v="67936"/>
    <n v="105359"/>
    <n v="78454"/>
    <n v="278660"/>
    <n v="309.62222222222221"/>
    <n v="235490"/>
    <n v="261.65555555555557"/>
    <m/>
    <m/>
    <n v="0"/>
    <n v="0"/>
    <m/>
    <m/>
    <m/>
    <m/>
    <m/>
    <m/>
    <m/>
    <m/>
    <n v="0"/>
    <n v="0"/>
    <n v="0"/>
    <n v="0"/>
    <n v="309.62222222222221"/>
    <n v="261.65555555555557"/>
  </r>
  <r>
    <x v="12"/>
    <s v="Tennessee College of Applied Technology at Chattanooga"/>
    <m/>
    <s v="219824B"/>
    <x v="10"/>
    <m/>
    <m/>
    <m/>
    <m/>
    <m/>
    <m/>
    <m/>
    <m/>
    <m/>
    <m/>
    <n v="0"/>
    <n v="0"/>
    <n v="0"/>
    <n v="0"/>
    <m/>
    <m/>
    <n v="0"/>
    <n v="0"/>
    <m/>
    <m/>
    <n v="315795"/>
    <n v="332363"/>
    <n v="197287"/>
    <n v="187331"/>
    <n v="329869"/>
    <n v="295842"/>
    <n v="842951"/>
    <n v="936.61222222222227"/>
    <n v="815536"/>
    <n v="906.15111111111116"/>
    <m/>
    <m/>
    <n v="0"/>
    <n v="0"/>
    <m/>
    <m/>
    <m/>
    <m/>
    <m/>
    <m/>
    <m/>
    <m/>
    <n v="0"/>
    <n v="0"/>
    <n v="0"/>
    <n v="0"/>
    <n v="936.61222222222227"/>
    <n v="906.15111111111116"/>
  </r>
  <r>
    <x v="12"/>
    <s v="Tennessee College of Applied Technology at Covington"/>
    <m/>
    <n v="219921"/>
    <x v="10"/>
    <m/>
    <m/>
    <m/>
    <m/>
    <m/>
    <m/>
    <m/>
    <m/>
    <m/>
    <m/>
    <n v="0"/>
    <n v="0"/>
    <n v="0"/>
    <n v="0"/>
    <m/>
    <m/>
    <n v="0"/>
    <n v="0"/>
    <m/>
    <m/>
    <n v="72107"/>
    <n v="81592"/>
    <n v="55701"/>
    <n v="71588"/>
    <n v="94211"/>
    <n v="92879"/>
    <n v="222019"/>
    <n v="246.68777777777777"/>
    <n v="246059"/>
    <n v="273.39888888888891"/>
    <m/>
    <m/>
    <n v="0"/>
    <n v="0"/>
    <m/>
    <m/>
    <m/>
    <m/>
    <m/>
    <m/>
    <m/>
    <m/>
    <n v="0"/>
    <n v="0"/>
    <n v="0"/>
    <n v="0"/>
    <n v="246.68777777777777"/>
    <n v="273.39888888888891"/>
  </r>
  <r>
    <x v="12"/>
    <s v="Tennessee College of Applied Technology at Crossville"/>
    <m/>
    <n v="221591"/>
    <x v="10"/>
    <m/>
    <m/>
    <m/>
    <m/>
    <m/>
    <m/>
    <m/>
    <m/>
    <m/>
    <m/>
    <n v="0"/>
    <n v="0"/>
    <n v="0"/>
    <n v="0"/>
    <m/>
    <m/>
    <n v="0"/>
    <n v="0"/>
    <m/>
    <m/>
    <n v="133559"/>
    <n v="124158"/>
    <n v="119267"/>
    <n v="108760"/>
    <n v="140424"/>
    <n v="143991"/>
    <n v="393250"/>
    <n v="436.94444444444446"/>
    <n v="376909"/>
    <n v="418.78777777777776"/>
    <m/>
    <m/>
    <n v="0"/>
    <n v="0"/>
    <m/>
    <m/>
    <m/>
    <m/>
    <m/>
    <m/>
    <m/>
    <m/>
    <n v="0"/>
    <n v="0"/>
    <n v="0"/>
    <n v="0"/>
    <n v="436.94444444444446"/>
    <n v="418.78777777777776"/>
  </r>
  <r>
    <x v="12"/>
    <s v="Tennessee College of Applied Technology at Crump"/>
    <m/>
    <n v="221430"/>
    <x v="10"/>
    <m/>
    <m/>
    <m/>
    <m/>
    <m/>
    <m/>
    <m/>
    <m/>
    <m/>
    <m/>
    <n v="0"/>
    <n v="0"/>
    <n v="0"/>
    <n v="0"/>
    <m/>
    <m/>
    <n v="0"/>
    <n v="0"/>
    <m/>
    <m/>
    <n v="74482"/>
    <n v="125883"/>
    <n v="63255"/>
    <n v="74810"/>
    <n v="166896"/>
    <n v="158002"/>
    <n v="304633"/>
    <n v="338.48111111111109"/>
    <n v="358695"/>
    <n v="398.55"/>
    <m/>
    <m/>
    <n v="0"/>
    <n v="0"/>
    <m/>
    <m/>
    <m/>
    <m/>
    <m/>
    <m/>
    <m/>
    <m/>
    <n v="0"/>
    <n v="0"/>
    <n v="0"/>
    <n v="0"/>
    <n v="338.48111111111109"/>
    <n v="398.55"/>
  </r>
  <r>
    <x v="12"/>
    <s v="Tennessee College of Applied Technology at Dickson"/>
    <m/>
    <n v="219994"/>
    <x v="10"/>
    <m/>
    <m/>
    <m/>
    <m/>
    <m/>
    <m/>
    <m/>
    <m/>
    <m/>
    <m/>
    <n v="0"/>
    <n v="0"/>
    <n v="0"/>
    <n v="0"/>
    <m/>
    <m/>
    <n v="0"/>
    <n v="0"/>
    <m/>
    <m/>
    <n v="224737"/>
    <n v="247400"/>
    <n v="186292"/>
    <n v="202300"/>
    <n v="246426"/>
    <n v="252017"/>
    <n v="657455"/>
    <n v="730.50555555555559"/>
    <n v="701717"/>
    <n v="779.68555555555554"/>
    <m/>
    <m/>
    <n v="0"/>
    <n v="0"/>
    <m/>
    <m/>
    <m/>
    <m/>
    <m/>
    <m/>
    <m/>
    <m/>
    <n v="0"/>
    <n v="0"/>
    <n v="0"/>
    <n v="0"/>
    <n v="730.50555555555559"/>
    <n v="779.68555555555554"/>
  </r>
  <r>
    <x v="12"/>
    <s v="Tennessee College of Applied Technology at Elizabethton"/>
    <m/>
    <n v="220127"/>
    <x v="10"/>
    <m/>
    <m/>
    <m/>
    <m/>
    <m/>
    <m/>
    <m/>
    <m/>
    <m/>
    <m/>
    <n v="0"/>
    <n v="0"/>
    <n v="0"/>
    <n v="0"/>
    <m/>
    <m/>
    <n v="0"/>
    <n v="0"/>
    <m/>
    <m/>
    <n v="167231"/>
    <n v="182440"/>
    <n v="151964"/>
    <n v="168363"/>
    <n v="176613"/>
    <n v="176639"/>
    <n v="495808"/>
    <n v="550.89777777777783"/>
    <n v="527442"/>
    <n v="586.04666666666662"/>
    <m/>
    <m/>
    <n v="0"/>
    <n v="0"/>
    <m/>
    <m/>
    <m/>
    <m/>
    <m/>
    <m/>
    <m/>
    <m/>
    <n v="0"/>
    <n v="0"/>
    <n v="0"/>
    <n v="0"/>
    <n v="550.89777777777783"/>
    <n v="586.04666666666662"/>
  </r>
  <r>
    <x v="12"/>
    <s v="Tennessee College of Applied Technology at Harriman"/>
    <m/>
    <n v="220251"/>
    <x v="10"/>
    <m/>
    <m/>
    <m/>
    <m/>
    <m/>
    <m/>
    <m/>
    <m/>
    <m/>
    <m/>
    <n v="0"/>
    <n v="0"/>
    <n v="0"/>
    <n v="0"/>
    <m/>
    <m/>
    <n v="0"/>
    <n v="0"/>
    <m/>
    <m/>
    <n v="109518"/>
    <n v="71693"/>
    <n v="62355"/>
    <n v="67098"/>
    <n v="104485"/>
    <n v="99460"/>
    <n v="276358"/>
    <n v="307.06444444444446"/>
    <n v="238251"/>
    <n v="264.72333333333336"/>
    <m/>
    <m/>
    <n v="0"/>
    <n v="0"/>
    <m/>
    <m/>
    <m/>
    <m/>
    <m/>
    <m/>
    <m/>
    <m/>
    <n v="0"/>
    <n v="0"/>
    <n v="0"/>
    <n v="0"/>
    <n v="307.06444444444446"/>
    <n v="264.72333333333336"/>
  </r>
  <r>
    <x v="12"/>
    <s v="Tennessee College of Applied Technology at Hartsville"/>
    <m/>
    <n v="220279"/>
    <x v="10"/>
    <m/>
    <m/>
    <m/>
    <m/>
    <m/>
    <m/>
    <m/>
    <m/>
    <m/>
    <m/>
    <n v="0"/>
    <n v="0"/>
    <n v="0"/>
    <n v="0"/>
    <m/>
    <m/>
    <n v="0"/>
    <n v="0"/>
    <m/>
    <m/>
    <n v="120108"/>
    <n v="102119"/>
    <n v="71843"/>
    <n v="70094"/>
    <n v="136513"/>
    <n v="124442"/>
    <n v="328464"/>
    <n v="364.96"/>
    <n v="296655"/>
    <n v="329.61666666666667"/>
    <m/>
    <m/>
    <n v="0"/>
    <n v="0"/>
    <m/>
    <m/>
    <m/>
    <m/>
    <m/>
    <m/>
    <m/>
    <m/>
    <n v="0"/>
    <n v="0"/>
    <n v="0"/>
    <n v="0"/>
    <n v="364.96"/>
    <n v="329.61666666666667"/>
  </r>
  <r>
    <x v="12"/>
    <s v="Tennessee College of Applied Technology at Hohenwald"/>
    <m/>
    <n v="220321"/>
    <x v="10"/>
    <m/>
    <m/>
    <m/>
    <m/>
    <m/>
    <m/>
    <m/>
    <m/>
    <m/>
    <m/>
    <n v="0"/>
    <n v="0"/>
    <n v="0"/>
    <n v="0"/>
    <m/>
    <m/>
    <n v="0"/>
    <n v="0"/>
    <m/>
    <m/>
    <n v="135417"/>
    <n v="125147"/>
    <n v="100520"/>
    <n v="98161"/>
    <n v="143361"/>
    <n v="133516"/>
    <n v="379298"/>
    <n v="421.4422222222222"/>
    <n v="356824"/>
    <n v="396.4711111111111"/>
    <m/>
    <m/>
    <n v="0"/>
    <n v="0"/>
    <m/>
    <m/>
    <m/>
    <m/>
    <m/>
    <m/>
    <m/>
    <m/>
    <n v="0"/>
    <n v="0"/>
    <n v="0"/>
    <n v="0"/>
    <n v="421.4422222222222"/>
    <n v="396.4711111111111"/>
  </r>
  <r>
    <x v="12"/>
    <s v="Tennessee College of Applied Technology at Jacksboro"/>
    <m/>
    <n v="220394"/>
    <x v="10"/>
    <m/>
    <m/>
    <m/>
    <m/>
    <m/>
    <m/>
    <m/>
    <m/>
    <m/>
    <m/>
    <n v="0"/>
    <n v="0"/>
    <n v="0"/>
    <n v="0"/>
    <m/>
    <m/>
    <n v="0"/>
    <n v="0"/>
    <m/>
    <m/>
    <n v="61585"/>
    <n v="80310"/>
    <n v="65665"/>
    <n v="64620"/>
    <n v="90604"/>
    <n v="99359"/>
    <n v="217854"/>
    <n v="242.06"/>
    <n v="244289"/>
    <n v="271.43222222222221"/>
    <m/>
    <m/>
    <n v="0"/>
    <n v="0"/>
    <m/>
    <m/>
    <m/>
    <m/>
    <m/>
    <m/>
    <m/>
    <m/>
    <n v="0"/>
    <n v="0"/>
    <n v="0"/>
    <n v="0"/>
    <n v="242.06"/>
    <n v="271.43222222222221"/>
  </r>
  <r>
    <x v="12"/>
    <s v="Tennessee College of Applied Technology at Jackson"/>
    <m/>
    <n v="221616"/>
    <x v="10"/>
    <m/>
    <m/>
    <m/>
    <m/>
    <m/>
    <m/>
    <m/>
    <m/>
    <m/>
    <m/>
    <n v="0"/>
    <n v="0"/>
    <n v="0"/>
    <n v="0"/>
    <m/>
    <m/>
    <n v="0"/>
    <n v="0"/>
    <m/>
    <m/>
    <n v="176282"/>
    <n v="169953"/>
    <n v="134064"/>
    <n v="144499"/>
    <n v="165760"/>
    <n v="167689"/>
    <n v="476106"/>
    <n v="529.00666666666666"/>
    <n v="482141"/>
    <n v="535.71222222222218"/>
    <m/>
    <m/>
    <n v="0"/>
    <n v="0"/>
    <m/>
    <m/>
    <m/>
    <m/>
    <m/>
    <m/>
    <m/>
    <m/>
    <n v="0"/>
    <n v="0"/>
    <n v="0"/>
    <n v="0"/>
    <n v="529.00666666666666"/>
    <n v="535.71222222222218"/>
  </r>
  <r>
    <x v="12"/>
    <s v="Tennessee College of Applied Technology at Knoxville"/>
    <m/>
    <n v="221625"/>
    <x v="10"/>
    <m/>
    <m/>
    <m/>
    <m/>
    <m/>
    <m/>
    <m/>
    <m/>
    <m/>
    <m/>
    <n v="0"/>
    <n v="0"/>
    <n v="0"/>
    <n v="0"/>
    <m/>
    <m/>
    <n v="0"/>
    <n v="0"/>
    <m/>
    <m/>
    <n v="249520"/>
    <n v="264105"/>
    <n v="207078"/>
    <n v="207348"/>
    <n v="258262"/>
    <n v="301050"/>
    <n v="714860"/>
    <n v="794.28888888888889"/>
    <n v="772503"/>
    <n v="858.3366666666667"/>
    <m/>
    <m/>
    <n v="0"/>
    <n v="0"/>
    <m/>
    <m/>
    <m/>
    <m/>
    <m/>
    <m/>
    <m/>
    <m/>
    <n v="0"/>
    <n v="0"/>
    <n v="0"/>
    <n v="0"/>
    <n v="794.28888888888889"/>
    <n v="858.3366666666667"/>
  </r>
  <r>
    <x v="12"/>
    <s v="Tennessee College of Applied Technology at Livingston"/>
    <m/>
    <n v="220640"/>
    <x v="10"/>
    <m/>
    <m/>
    <m/>
    <m/>
    <m/>
    <m/>
    <m/>
    <m/>
    <m/>
    <m/>
    <n v="0"/>
    <n v="0"/>
    <n v="0"/>
    <n v="0"/>
    <m/>
    <m/>
    <n v="0"/>
    <n v="0"/>
    <m/>
    <m/>
    <n v="198583"/>
    <n v="170602"/>
    <n v="117067"/>
    <n v="75987"/>
    <n v="200835"/>
    <n v="165959"/>
    <n v="516485"/>
    <n v="573.87222222222226"/>
    <n v="412548"/>
    <n v="458.38666666666666"/>
    <m/>
    <m/>
    <n v="0"/>
    <n v="0"/>
    <m/>
    <m/>
    <m/>
    <m/>
    <m/>
    <m/>
    <m/>
    <m/>
    <n v="0"/>
    <n v="0"/>
    <n v="0"/>
    <n v="0"/>
    <n v="573.87222222222226"/>
    <n v="458.38666666666666"/>
  </r>
  <r>
    <x v="12"/>
    <s v="Tennessee College of Applied Technology at McKenzie"/>
    <m/>
    <n v="220756"/>
    <x v="10"/>
    <m/>
    <m/>
    <m/>
    <m/>
    <m/>
    <m/>
    <m/>
    <m/>
    <m/>
    <m/>
    <n v="0"/>
    <n v="0"/>
    <n v="0"/>
    <n v="0"/>
    <m/>
    <m/>
    <n v="0"/>
    <n v="0"/>
    <m/>
    <m/>
    <n v="54603"/>
    <n v="52013"/>
    <n v="47578"/>
    <n v="40200"/>
    <n v="56662"/>
    <n v="40514"/>
    <n v="158843"/>
    <n v="176.49222222222221"/>
    <n v="132727"/>
    <n v="147.47444444444446"/>
    <m/>
    <m/>
    <n v="0"/>
    <n v="0"/>
    <m/>
    <m/>
    <m/>
    <m/>
    <m/>
    <m/>
    <m/>
    <m/>
    <n v="0"/>
    <n v="0"/>
    <n v="0"/>
    <n v="0"/>
    <n v="176.49222222222221"/>
    <n v="147.47444444444446"/>
  </r>
  <r>
    <x v="12"/>
    <s v="Tennessee College of Applied Technology at McMinnville"/>
    <m/>
    <n v="221607"/>
    <x v="10"/>
    <m/>
    <m/>
    <m/>
    <m/>
    <m/>
    <m/>
    <m/>
    <m/>
    <m/>
    <m/>
    <n v="0"/>
    <n v="0"/>
    <n v="0"/>
    <n v="0"/>
    <m/>
    <m/>
    <n v="0"/>
    <n v="0"/>
    <m/>
    <m/>
    <n v="65483"/>
    <n v="78745"/>
    <n v="66391"/>
    <n v="70687"/>
    <n v="82284"/>
    <n v="88996"/>
    <n v="214158"/>
    <n v="237.95333333333335"/>
    <n v="238428"/>
    <n v="264.92"/>
    <m/>
    <m/>
    <n v="0"/>
    <n v="0"/>
    <m/>
    <m/>
    <m/>
    <m/>
    <m/>
    <m/>
    <m/>
    <m/>
    <n v="0"/>
    <n v="0"/>
    <n v="0"/>
    <n v="0"/>
    <n v="237.95333333333335"/>
    <n v="264.92"/>
  </r>
  <r>
    <x v="12"/>
    <s v="Tennessee College of Applied Technology at Memphis"/>
    <s v="Met the criteria for Technical Institute or College 1 in 2019-20 and 2020-21."/>
    <n v="220853"/>
    <x v="10"/>
    <m/>
    <m/>
    <m/>
    <m/>
    <m/>
    <m/>
    <m/>
    <m/>
    <m/>
    <m/>
    <n v="0"/>
    <n v="0"/>
    <n v="0"/>
    <n v="0"/>
    <m/>
    <m/>
    <n v="0"/>
    <n v="0"/>
    <m/>
    <m/>
    <n v="312423"/>
    <n v="335548"/>
    <n v="245759"/>
    <n v="282602"/>
    <n v="353147"/>
    <n v="358913"/>
    <n v="911329"/>
    <n v="1012.5877777777778"/>
    <n v="977063"/>
    <n v="1085.6255555555556"/>
    <m/>
    <m/>
    <n v="0"/>
    <n v="0"/>
    <m/>
    <m/>
    <m/>
    <m/>
    <m/>
    <m/>
    <m/>
    <m/>
    <n v="0"/>
    <n v="0"/>
    <n v="0"/>
    <n v="0"/>
    <n v="1012.5877777777778"/>
    <n v="1085.6255555555556"/>
  </r>
  <r>
    <x v="12"/>
    <s v="Tennessee College of Applied Technology at Morristown"/>
    <m/>
    <n v="221050"/>
    <x v="10"/>
    <m/>
    <m/>
    <m/>
    <m/>
    <m/>
    <m/>
    <m/>
    <m/>
    <m/>
    <m/>
    <n v="0"/>
    <n v="0"/>
    <n v="0"/>
    <n v="0"/>
    <m/>
    <m/>
    <n v="0"/>
    <n v="0"/>
    <m/>
    <m/>
    <n v="250859"/>
    <n v="214530"/>
    <n v="204057"/>
    <n v="162466"/>
    <n v="259793"/>
    <n v="217295"/>
    <n v="714709"/>
    <n v="794.12111111111108"/>
    <n v="594291"/>
    <n v="660.32333333333338"/>
    <m/>
    <m/>
    <n v="0"/>
    <n v="0"/>
    <m/>
    <m/>
    <m/>
    <m/>
    <m/>
    <m/>
    <m/>
    <m/>
    <n v="0"/>
    <n v="0"/>
    <n v="0"/>
    <n v="0"/>
    <n v="794.12111111111108"/>
    <n v="660.32333333333338"/>
  </r>
  <r>
    <x v="12"/>
    <s v="Tennessee College of Applied Technology at Murfreesboro"/>
    <m/>
    <n v="221102"/>
    <x v="10"/>
    <m/>
    <m/>
    <m/>
    <m/>
    <m/>
    <m/>
    <m/>
    <m/>
    <m/>
    <m/>
    <n v="0"/>
    <n v="0"/>
    <n v="0"/>
    <n v="0"/>
    <m/>
    <m/>
    <n v="0"/>
    <n v="0"/>
    <m/>
    <m/>
    <n v="243236"/>
    <n v="209345"/>
    <n v="221520"/>
    <n v="189316"/>
    <n v="224672"/>
    <n v="217383"/>
    <n v="689428"/>
    <n v="766.03111111111116"/>
    <n v="616044"/>
    <n v="684.49333333333334"/>
    <m/>
    <m/>
    <n v="0"/>
    <n v="0"/>
    <m/>
    <m/>
    <m/>
    <m/>
    <m/>
    <m/>
    <m/>
    <m/>
    <n v="0"/>
    <n v="0"/>
    <n v="0"/>
    <n v="0"/>
    <n v="766.03111111111116"/>
    <n v="684.49333333333334"/>
  </r>
  <r>
    <x v="12"/>
    <s v="Tennessee College of Applied Technology at Nashville"/>
    <m/>
    <n v="248925"/>
    <x v="10"/>
    <m/>
    <m/>
    <m/>
    <m/>
    <m/>
    <m/>
    <m/>
    <m/>
    <m/>
    <m/>
    <n v="0"/>
    <n v="0"/>
    <n v="0"/>
    <n v="0"/>
    <m/>
    <m/>
    <n v="0"/>
    <n v="0"/>
    <m/>
    <m/>
    <n v="308057"/>
    <n v="277727"/>
    <n v="236744"/>
    <n v="235696"/>
    <n v="305075"/>
    <n v="288403"/>
    <n v="849876"/>
    <n v="944.30666666666662"/>
    <n v="801826"/>
    <n v="890.91777777777781"/>
    <m/>
    <m/>
    <n v="0"/>
    <n v="0"/>
    <m/>
    <m/>
    <m/>
    <m/>
    <m/>
    <m/>
    <m/>
    <m/>
    <n v="0"/>
    <n v="0"/>
    <n v="0"/>
    <n v="0"/>
    <n v="944.30666666666662"/>
    <n v="890.91777777777781"/>
  </r>
  <r>
    <x v="12"/>
    <s v="Tennessee College of Applied Technology at Newbern"/>
    <m/>
    <n v="221236"/>
    <x v="10"/>
    <m/>
    <m/>
    <m/>
    <m/>
    <m/>
    <m/>
    <m/>
    <m/>
    <m/>
    <m/>
    <n v="0"/>
    <n v="0"/>
    <n v="0"/>
    <n v="0"/>
    <m/>
    <m/>
    <n v="0"/>
    <n v="0"/>
    <m/>
    <m/>
    <n v="120797"/>
    <n v="130305"/>
    <n v="89103"/>
    <n v="117939"/>
    <n v="127791"/>
    <n v="141733"/>
    <n v="337691"/>
    <n v="375.21222222222224"/>
    <n v="389977"/>
    <n v="433.3077777777778"/>
    <m/>
    <m/>
    <n v="0"/>
    <n v="0"/>
    <m/>
    <m/>
    <m/>
    <m/>
    <m/>
    <m/>
    <m/>
    <m/>
    <n v="0"/>
    <n v="0"/>
    <n v="0"/>
    <n v="0"/>
    <n v="375.21222222222224"/>
    <n v="433.3077777777778"/>
  </r>
  <r>
    <x v="12"/>
    <s v="Tennessee College of Applied Technology at Oneida"/>
    <m/>
    <n v="221582"/>
    <x v="10"/>
    <m/>
    <m/>
    <m/>
    <m/>
    <m/>
    <m/>
    <m/>
    <m/>
    <m/>
    <m/>
    <n v="0"/>
    <n v="0"/>
    <n v="0"/>
    <n v="0"/>
    <m/>
    <m/>
    <n v="0"/>
    <n v="0"/>
    <m/>
    <m/>
    <n v="60907"/>
    <n v="63031"/>
    <n v="31343"/>
    <n v="42308"/>
    <n v="73425"/>
    <n v="60630"/>
    <n v="165675"/>
    <n v="184.08333333333334"/>
    <n v="165969"/>
    <n v="184.41"/>
    <m/>
    <m/>
    <n v="0"/>
    <n v="0"/>
    <m/>
    <m/>
    <m/>
    <m/>
    <m/>
    <m/>
    <m/>
    <m/>
    <n v="0"/>
    <n v="0"/>
    <n v="0"/>
    <n v="0"/>
    <n v="184.08333333333334"/>
    <n v="184.41"/>
  </r>
  <r>
    <x v="12"/>
    <s v="Tennessee College of Applied Technology at Paris"/>
    <m/>
    <n v="221281"/>
    <x v="10"/>
    <m/>
    <m/>
    <m/>
    <m/>
    <m/>
    <m/>
    <m/>
    <m/>
    <m/>
    <m/>
    <n v="0"/>
    <n v="0"/>
    <n v="0"/>
    <n v="0"/>
    <m/>
    <m/>
    <n v="0"/>
    <n v="0"/>
    <m/>
    <m/>
    <n v="85967"/>
    <n v="85330"/>
    <n v="65506"/>
    <n v="68827"/>
    <n v="99586"/>
    <n v="76163"/>
    <n v="251059"/>
    <n v="278.95444444444445"/>
    <n v="230320"/>
    <n v="255.9111111111111"/>
    <m/>
    <m/>
    <n v="0"/>
    <n v="0"/>
    <m/>
    <m/>
    <m/>
    <m/>
    <m/>
    <m/>
    <m/>
    <m/>
    <n v="0"/>
    <n v="0"/>
    <n v="0"/>
    <n v="0"/>
    <n v="278.95444444444445"/>
    <n v="255.9111111111111"/>
  </r>
  <r>
    <x v="12"/>
    <s v="Tennessee College of Applied Technology at Pulaski"/>
    <m/>
    <n v="221333"/>
    <x v="10"/>
    <m/>
    <m/>
    <m/>
    <m/>
    <m/>
    <m/>
    <m/>
    <m/>
    <m/>
    <m/>
    <n v="0"/>
    <n v="0"/>
    <n v="0"/>
    <n v="0"/>
    <m/>
    <m/>
    <n v="0"/>
    <n v="0"/>
    <m/>
    <m/>
    <n v="143191"/>
    <n v="119455"/>
    <n v="73727"/>
    <n v="85250"/>
    <n v="146642"/>
    <n v="137369"/>
    <n v="363560"/>
    <n v="403.95555555555558"/>
    <n v="342074"/>
    <n v="380.08222222222224"/>
    <m/>
    <m/>
    <n v="0"/>
    <n v="0"/>
    <m/>
    <m/>
    <m/>
    <m/>
    <m/>
    <m/>
    <m/>
    <m/>
    <n v="0"/>
    <n v="0"/>
    <n v="0"/>
    <n v="0"/>
    <n v="403.95555555555558"/>
    <n v="380.08222222222224"/>
  </r>
  <r>
    <x v="12"/>
    <s v="Tennessee College of Applied Technology at Ripley"/>
    <m/>
    <n v="221388"/>
    <x v="10"/>
    <m/>
    <m/>
    <m/>
    <m/>
    <m/>
    <m/>
    <m/>
    <m/>
    <m/>
    <m/>
    <n v="0"/>
    <n v="0"/>
    <n v="0"/>
    <n v="0"/>
    <m/>
    <m/>
    <n v="0"/>
    <n v="0"/>
    <m/>
    <m/>
    <n v="68141"/>
    <n v="64572"/>
    <n v="45572"/>
    <n v="51038"/>
    <n v="62603"/>
    <n v="66660"/>
    <n v="176316"/>
    <n v="195.90666666666667"/>
    <n v="182270"/>
    <n v="202.52222222222221"/>
    <m/>
    <m/>
    <n v="0"/>
    <n v="0"/>
    <m/>
    <m/>
    <m/>
    <m/>
    <m/>
    <m/>
    <m/>
    <m/>
    <n v="0"/>
    <n v="0"/>
    <n v="0"/>
    <n v="0"/>
    <n v="195.90666666666667"/>
    <n v="202.52222222222221"/>
  </r>
  <r>
    <x v="12"/>
    <s v="Tennessee College of Applied Technology at Shelbyville"/>
    <m/>
    <n v="221494"/>
    <x v="10"/>
    <m/>
    <m/>
    <m/>
    <m/>
    <m/>
    <m/>
    <m/>
    <m/>
    <m/>
    <m/>
    <n v="0"/>
    <n v="0"/>
    <n v="0"/>
    <n v="0"/>
    <m/>
    <m/>
    <n v="0"/>
    <n v="0"/>
    <m/>
    <m/>
    <n v="152551"/>
    <n v="153962"/>
    <n v="143840"/>
    <n v="124412"/>
    <n v="166918"/>
    <n v="166188"/>
    <n v="463309"/>
    <n v="514.78777777777782"/>
    <n v="444562"/>
    <n v="493.95777777777778"/>
    <m/>
    <m/>
    <n v="0"/>
    <n v="0"/>
    <m/>
    <m/>
    <m/>
    <m/>
    <m/>
    <m/>
    <m/>
    <m/>
    <n v="0"/>
    <n v="0"/>
    <n v="0"/>
    <n v="0"/>
    <n v="514.78777777777782"/>
    <n v="493.95777777777778"/>
  </r>
  <r>
    <x v="12"/>
    <s v="Tennessee College of Applied Technology at Whiteville"/>
    <m/>
    <n v="221634"/>
    <x v="10"/>
    <m/>
    <m/>
    <m/>
    <m/>
    <m/>
    <m/>
    <m/>
    <m/>
    <m/>
    <m/>
    <n v="0"/>
    <n v="0"/>
    <n v="0"/>
    <n v="0"/>
    <m/>
    <m/>
    <n v="0"/>
    <n v="0"/>
    <m/>
    <m/>
    <n v="61744"/>
    <n v="69075"/>
    <n v="48823"/>
    <n v="49088"/>
    <n v="61602"/>
    <n v="69009"/>
    <n v="172169"/>
    <n v="191.29888888888888"/>
    <n v="187172"/>
    <n v="207.9688888888889"/>
    <m/>
    <m/>
    <n v="0"/>
    <n v="0"/>
    <m/>
    <m/>
    <m/>
    <m/>
    <m/>
    <m/>
    <m/>
    <m/>
    <n v="0"/>
    <n v="0"/>
    <n v="0"/>
    <n v="0"/>
    <n v="191.29888888888888"/>
    <n v="207.9688888888889"/>
  </r>
  <r>
    <x v="13"/>
    <s v="Texas A&amp;M University "/>
    <m/>
    <n v="228723"/>
    <x v="0"/>
    <m/>
    <m/>
    <n v="0"/>
    <n v="0"/>
    <n v="613953"/>
    <n v="618157"/>
    <n v="77421"/>
    <n v="106529"/>
    <n v="663528"/>
    <n v="687589"/>
    <n v="1354902"/>
    <n v="45163.4"/>
    <n v="1412275"/>
    <n v="47075.833333333336"/>
    <n v="0"/>
    <n v="0"/>
    <n v="1354902"/>
    <n v="1412275"/>
    <m/>
    <m/>
    <m/>
    <m/>
    <m/>
    <m/>
    <m/>
    <m/>
    <n v="0"/>
    <n v="0"/>
    <n v="0"/>
    <n v="0"/>
    <m/>
    <m/>
    <n v="0"/>
    <n v="0"/>
    <m/>
    <m/>
    <n v="94838"/>
    <n v="95499"/>
    <n v="32516"/>
    <n v="33538"/>
    <n v="103507"/>
    <n v="101223"/>
    <n v="230861"/>
    <n v="9619.2083333333339"/>
    <n v="230260"/>
    <n v="9594.1666666666661"/>
    <n v="54782.608333333337"/>
    <n v="56670"/>
  </r>
  <r>
    <x v="13"/>
    <s v="Texas Tech University "/>
    <m/>
    <n v="229115"/>
    <x v="0"/>
    <m/>
    <m/>
    <n v="0"/>
    <n v="0"/>
    <n v="366209"/>
    <n v="372727"/>
    <n v="74344"/>
    <n v="87314"/>
    <n v="411531"/>
    <n v="428759"/>
    <n v="852084"/>
    <n v="28402.799999999999"/>
    <n v="888800"/>
    <n v="29626.666666666668"/>
    <n v="4199"/>
    <n v="2275"/>
    <n v="852084"/>
    <n v="888800"/>
    <m/>
    <m/>
    <m/>
    <m/>
    <m/>
    <m/>
    <m/>
    <m/>
    <n v="0"/>
    <n v="0"/>
    <n v="0"/>
    <n v="0"/>
    <m/>
    <m/>
    <n v="0"/>
    <n v="0"/>
    <m/>
    <m/>
    <n v="46853"/>
    <n v="48111"/>
    <n v="23808"/>
    <n v="26376"/>
    <n v="50651"/>
    <n v="55054"/>
    <n v="121312"/>
    <n v="5054.666666666667"/>
    <n v="129541"/>
    <n v="5397.541666666667"/>
    <n v="33457.466666666667"/>
    <n v="35024.208333333336"/>
  </r>
  <r>
    <x v="13"/>
    <s v="University of Houston"/>
    <m/>
    <n v="225511"/>
    <x v="0"/>
    <m/>
    <m/>
    <n v="0"/>
    <n v="0"/>
    <n v="427518"/>
    <n v="426560"/>
    <n v="73620"/>
    <n v="100530"/>
    <n v="464662"/>
    <n v="474900"/>
    <n v="965800"/>
    <n v="32193.333333333332"/>
    <n v="1001990"/>
    <n v="33399.666666666664"/>
    <n v="0"/>
    <n v="0"/>
    <n v="965800"/>
    <n v="1001990"/>
    <m/>
    <m/>
    <m/>
    <m/>
    <m/>
    <m/>
    <m/>
    <m/>
    <n v="0"/>
    <n v="0"/>
    <n v="0"/>
    <n v="0"/>
    <m/>
    <m/>
    <n v="0"/>
    <n v="0"/>
    <m/>
    <m/>
    <n v="73523"/>
    <n v="70368"/>
    <n v="21519"/>
    <n v="27733"/>
    <n v="73754"/>
    <n v="75309"/>
    <n v="168796"/>
    <n v="7033.166666666667"/>
    <n v="173410"/>
    <n v="7225.416666666667"/>
    <n v="39226.5"/>
    <n v="40625.083333333328"/>
  </r>
  <r>
    <x v="13"/>
    <s v="University of North Texas"/>
    <m/>
    <n v="227216"/>
    <x v="0"/>
    <m/>
    <m/>
    <n v="0"/>
    <n v="0"/>
    <n v="356472"/>
    <n v="367716"/>
    <n v="73946"/>
    <n v="86916"/>
    <n v="400922"/>
    <n v="408907"/>
    <n v="831340"/>
    <n v="27711.333333333332"/>
    <n v="863539"/>
    <n v="28784.633333333335"/>
    <n v="0"/>
    <n v="0"/>
    <n v="831340"/>
    <n v="863539"/>
    <m/>
    <m/>
    <m/>
    <m/>
    <m/>
    <m/>
    <m/>
    <m/>
    <n v="0"/>
    <n v="0"/>
    <n v="0"/>
    <n v="0"/>
    <m/>
    <m/>
    <n v="0"/>
    <n v="0"/>
    <m/>
    <m/>
    <n v="44590"/>
    <n v="48675"/>
    <n v="20478"/>
    <n v="23495"/>
    <n v="45362"/>
    <n v="51195"/>
    <n v="110430"/>
    <n v="4601.25"/>
    <n v="123365"/>
    <n v="5140.208333333333"/>
    <n v="32312.583333333332"/>
    <n v="33924.841666666667"/>
  </r>
  <r>
    <x v="13"/>
    <s v="University of Texas at Arlington"/>
    <m/>
    <n v="228769"/>
    <x v="0"/>
    <m/>
    <m/>
    <n v="0"/>
    <n v="0"/>
    <n v="320709"/>
    <n v="328968"/>
    <n v="110325"/>
    <n v="125850"/>
    <n v="318412"/>
    <n v="324905"/>
    <n v="749446"/>
    <n v="24981.533333333333"/>
    <n v="779723"/>
    <n v="25990.766666666666"/>
    <n v="2023"/>
    <n v="1638"/>
    <n v="749446"/>
    <n v="779723"/>
    <m/>
    <m/>
    <m/>
    <m/>
    <m/>
    <m/>
    <m/>
    <m/>
    <n v="0"/>
    <n v="0"/>
    <n v="0"/>
    <n v="0"/>
    <m/>
    <m/>
    <n v="0"/>
    <n v="0"/>
    <m/>
    <m/>
    <n v="89706"/>
    <n v="87235"/>
    <n v="58861"/>
    <n v="61755"/>
    <n v="67888"/>
    <n v="63836"/>
    <n v="216455"/>
    <n v="9018.9583333333339"/>
    <n v="212826"/>
    <n v="8867.75"/>
    <n v="34000.491666666669"/>
    <n v="34858.516666666663"/>
  </r>
  <r>
    <x v="13"/>
    <s v="University of Texas at Austin"/>
    <m/>
    <n v="228778"/>
    <x v="0"/>
    <m/>
    <m/>
    <n v="0"/>
    <n v="0"/>
    <n v="514424"/>
    <n v="506449"/>
    <n v="40383"/>
    <n v="71982"/>
    <n v="539827"/>
    <n v="542029"/>
    <n v="1094634"/>
    <n v="36487.800000000003"/>
    <n v="1120460"/>
    <n v="37348.666666666664"/>
    <n v="0"/>
    <n v="0"/>
    <n v="1094634"/>
    <n v="1120460"/>
    <m/>
    <m/>
    <m/>
    <m/>
    <m/>
    <m/>
    <m/>
    <m/>
    <n v="0"/>
    <n v="0"/>
    <n v="0"/>
    <n v="0"/>
    <m/>
    <m/>
    <n v="0"/>
    <n v="0"/>
    <m/>
    <m/>
    <n v="106645"/>
    <n v="105938"/>
    <n v="18031"/>
    <n v="20163"/>
    <n v="111316"/>
    <n v="107077"/>
    <n v="235992"/>
    <n v="9833"/>
    <n v="233178"/>
    <n v="9715.75"/>
    <n v="46320.800000000003"/>
    <n v="47064.416666666664"/>
  </r>
  <r>
    <x v="13"/>
    <s v="University of Texas at Dallas"/>
    <m/>
    <n v="228787"/>
    <x v="0"/>
    <m/>
    <m/>
    <n v="0"/>
    <n v="0"/>
    <n v="240608"/>
    <n v="257129"/>
    <n v="29328"/>
    <n v="40418"/>
    <n v="277510"/>
    <n v="275329"/>
    <n v="547446"/>
    <n v="18248.2"/>
    <n v="572876"/>
    <n v="19095.866666666665"/>
    <n v="0"/>
    <n v="0"/>
    <n v="547446"/>
    <n v="572876"/>
    <m/>
    <m/>
    <m/>
    <m/>
    <m/>
    <m/>
    <m/>
    <m/>
    <n v="0"/>
    <n v="0"/>
    <n v="0"/>
    <n v="0"/>
    <m/>
    <m/>
    <n v="0"/>
    <n v="0"/>
    <m/>
    <m/>
    <n v="62635"/>
    <n v="61273"/>
    <n v="18644"/>
    <n v="20846"/>
    <n v="66078"/>
    <n v="53519"/>
    <n v="147357"/>
    <n v="6139.875"/>
    <n v="135638"/>
    <n v="5651.583333333333"/>
    <n v="24388.075000000001"/>
    <n v="24747.449999999997"/>
  </r>
  <r>
    <x v="13"/>
    <s v="University of Texas at San Antonio"/>
    <m/>
    <n v="229027"/>
    <x v="0"/>
    <m/>
    <m/>
    <n v="0"/>
    <n v="0"/>
    <n v="308648"/>
    <n v="310970"/>
    <n v="58852"/>
    <n v="75703"/>
    <n v="338349"/>
    <n v="355487"/>
    <n v="705849"/>
    <n v="23528.3"/>
    <n v="742160"/>
    <n v="24738.666666666668"/>
    <n v="1314"/>
    <n v="2394"/>
    <n v="705849"/>
    <n v="742160"/>
    <m/>
    <m/>
    <m/>
    <m/>
    <m/>
    <m/>
    <m/>
    <m/>
    <n v="0"/>
    <n v="0"/>
    <n v="0"/>
    <n v="0"/>
    <m/>
    <m/>
    <n v="0"/>
    <n v="0"/>
    <m/>
    <m/>
    <n v="28655"/>
    <n v="29157"/>
    <n v="11683"/>
    <n v="12351"/>
    <n v="30532"/>
    <n v="34050"/>
    <n v="70870"/>
    <n v="2952.9166666666665"/>
    <n v="75558"/>
    <n v="3148.25"/>
    <n v="26481.216666666667"/>
    <n v="27886.916666666668"/>
  </r>
  <r>
    <x v="13"/>
    <s v="Texas State University"/>
    <m/>
    <n v="228459"/>
    <x v="1"/>
    <m/>
    <m/>
    <n v="0"/>
    <n v="0"/>
    <n v="382846"/>
    <n v="378021"/>
    <n v="64051"/>
    <n v="71840"/>
    <n v="424964"/>
    <n v="410585"/>
    <n v="871861"/>
    <n v="29062.033333333333"/>
    <n v="860446"/>
    <n v="28681.533333333333"/>
    <n v="0"/>
    <n v="0"/>
    <n v="871861"/>
    <n v="860446"/>
    <m/>
    <m/>
    <m/>
    <m/>
    <m/>
    <m/>
    <m/>
    <m/>
    <n v="0"/>
    <n v="0"/>
    <n v="0"/>
    <n v="0"/>
    <m/>
    <m/>
    <n v="0"/>
    <n v="0"/>
    <m/>
    <m/>
    <n v="28724"/>
    <n v="28055"/>
    <n v="11160"/>
    <n v="11383"/>
    <n v="30367"/>
    <n v="33258"/>
    <n v="70251"/>
    <n v="2927.125"/>
    <n v="72696"/>
    <n v="3029"/>
    <n v="31989.158333333333"/>
    <n v="31710.533333333333"/>
  </r>
  <r>
    <x v="13"/>
    <s v="Texas Woman's University"/>
    <s v="Met the requirments for 4-year 1 in 2020-21"/>
    <n v="229179"/>
    <x v="1"/>
    <m/>
    <m/>
    <n v="0"/>
    <n v="0"/>
    <n v="108299"/>
    <n v="107964"/>
    <n v="22725"/>
    <n v="25526"/>
    <n v="117589"/>
    <n v="117950"/>
    <n v="248613"/>
    <n v="8287.1"/>
    <n v="251440"/>
    <n v="8381.3333333333339"/>
    <n v="10870"/>
    <n v="12311"/>
    <n v="248613"/>
    <n v="251440"/>
    <m/>
    <m/>
    <m/>
    <m/>
    <m/>
    <m/>
    <m/>
    <m/>
    <n v="0"/>
    <n v="0"/>
    <n v="0"/>
    <n v="0"/>
    <m/>
    <m/>
    <n v="0"/>
    <n v="0"/>
    <m/>
    <m/>
    <n v="35279"/>
    <n v="35776"/>
    <n v="23157"/>
    <n v="28556"/>
    <n v="35560"/>
    <n v="37266"/>
    <n v="93996"/>
    <n v="3916.5"/>
    <n v="101598"/>
    <n v="4233.25"/>
    <n v="12203.6"/>
    <n v="12614.583333333334"/>
  </r>
  <r>
    <x v="13"/>
    <s v="University of Texas at El Paso"/>
    <s v="Met the requirments for 4 Year 1 in 2020-21"/>
    <n v="228796"/>
    <x v="1"/>
    <m/>
    <m/>
    <n v="0"/>
    <n v="0"/>
    <n v="219907"/>
    <n v="216528"/>
    <n v="58384"/>
    <n v="68562"/>
    <n v="233247"/>
    <n v="234262"/>
    <n v="511538"/>
    <n v="17051.266666666666"/>
    <n v="519352"/>
    <n v="17311.733333333334"/>
    <n v="0"/>
    <n v="0"/>
    <n v="511538"/>
    <n v="519352"/>
    <m/>
    <m/>
    <m/>
    <m/>
    <m/>
    <m/>
    <m/>
    <m/>
    <n v="0"/>
    <n v="0"/>
    <n v="0"/>
    <n v="0"/>
    <m/>
    <m/>
    <n v="0"/>
    <n v="0"/>
    <m/>
    <m/>
    <n v="26348"/>
    <n v="26781"/>
    <n v="13659"/>
    <n v="14389"/>
    <n v="24223"/>
    <n v="24079"/>
    <n v="64230"/>
    <n v="2676.25"/>
    <n v="65249"/>
    <n v="2718.7083333333335"/>
    <n v="19727.516666666666"/>
    <n v="20030.441666666666"/>
  </r>
  <r>
    <x v="13"/>
    <s v="Angelo State University"/>
    <m/>
    <n v="222831"/>
    <x v="2"/>
    <m/>
    <m/>
    <n v="0"/>
    <n v="0"/>
    <n v="82432"/>
    <n v="84921"/>
    <n v="16829"/>
    <n v="18081"/>
    <n v="93546"/>
    <n v="90009"/>
    <n v="192807"/>
    <n v="6426.9"/>
    <n v="193011"/>
    <n v="6433.7"/>
    <n v="27695"/>
    <n v="32458"/>
    <n v="192807"/>
    <n v="193011"/>
    <m/>
    <m/>
    <m/>
    <m/>
    <m/>
    <m/>
    <m/>
    <m/>
    <n v="0"/>
    <n v="0"/>
    <n v="0"/>
    <n v="0"/>
    <m/>
    <m/>
    <n v="0"/>
    <n v="0"/>
    <m/>
    <m/>
    <n v="11745"/>
    <n v="11691"/>
    <n v="8525"/>
    <n v="7367"/>
    <n v="7630"/>
    <n v="8418"/>
    <n v="27900"/>
    <n v="1162.5"/>
    <n v="27476"/>
    <n v="1144.8333333333333"/>
    <n v="7589.4"/>
    <n v="7578.5333333333328"/>
  </r>
  <r>
    <x v="13"/>
    <s v="Lamar University"/>
    <m/>
    <n v="226091"/>
    <x v="2"/>
    <m/>
    <m/>
    <n v="0"/>
    <n v="0"/>
    <n v="95780"/>
    <n v="93735"/>
    <n v="30424"/>
    <n v="34210"/>
    <n v="92533"/>
    <n v="87986"/>
    <n v="218737"/>
    <n v="7291.2333333333336"/>
    <n v="215931"/>
    <n v="7197.7"/>
    <n v="3117"/>
    <n v="3691"/>
    <n v="218737"/>
    <n v="215931"/>
    <m/>
    <m/>
    <m/>
    <m/>
    <m/>
    <m/>
    <m/>
    <m/>
    <n v="0"/>
    <n v="0"/>
    <n v="0"/>
    <n v="0"/>
    <m/>
    <m/>
    <n v="0"/>
    <n v="0"/>
    <m/>
    <m/>
    <n v="41955"/>
    <n v="50476"/>
    <n v="40555"/>
    <n v="50209"/>
    <n v="33910"/>
    <n v="40460"/>
    <n v="116420"/>
    <n v="4850.833333333333"/>
    <n v="141145"/>
    <n v="5881.041666666667"/>
    <n v="12142.066666666666"/>
    <n v="13078.741666666667"/>
  </r>
  <r>
    <x v="13"/>
    <s v="Midwestern State University"/>
    <m/>
    <n v="226833"/>
    <x v="2"/>
    <m/>
    <m/>
    <n v="0"/>
    <n v="0"/>
    <n v="56170"/>
    <n v="54366"/>
    <n v="11207"/>
    <n v="12049"/>
    <n v="58981"/>
    <n v="55292"/>
    <n v="126358"/>
    <n v="4211.9333333333334"/>
    <n v="121707"/>
    <n v="4056.9"/>
    <n v="348"/>
    <n v="779"/>
    <n v="126358"/>
    <n v="121707"/>
    <m/>
    <m/>
    <m/>
    <m/>
    <m/>
    <m/>
    <m/>
    <m/>
    <n v="0"/>
    <n v="0"/>
    <n v="0"/>
    <n v="0"/>
    <m/>
    <m/>
    <n v="0"/>
    <n v="0"/>
    <m/>
    <m/>
    <n v="3866"/>
    <n v="3476"/>
    <n v="2118"/>
    <n v="2396"/>
    <n v="3836"/>
    <n v="3787"/>
    <n v="9820"/>
    <n v="409.16666666666669"/>
    <n v="9659"/>
    <n v="402.45833333333331"/>
    <n v="4621.1000000000004"/>
    <n v="4459.3583333333336"/>
  </r>
  <r>
    <x v="13"/>
    <s v="Prairie View A&amp;M University"/>
    <m/>
    <n v="227526"/>
    <x v="2"/>
    <m/>
    <m/>
    <n v="0"/>
    <n v="0"/>
    <n v="102339"/>
    <n v="100613"/>
    <n v="15020"/>
    <n v="16639"/>
    <n v="110493"/>
    <n v="108702"/>
    <n v="227852"/>
    <n v="7595.0666666666666"/>
    <n v="225954"/>
    <n v="7531.8"/>
    <n v="4"/>
    <n v="0"/>
    <n v="227852"/>
    <n v="225954"/>
    <m/>
    <m/>
    <m/>
    <m/>
    <m/>
    <m/>
    <m/>
    <m/>
    <n v="0"/>
    <n v="0"/>
    <n v="0"/>
    <n v="0"/>
    <m/>
    <m/>
    <n v="0"/>
    <n v="0"/>
    <m/>
    <m/>
    <n v="6497"/>
    <n v="5531"/>
    <n v="2495"/>
    <n v="1914"/>
    <n v="5613"/>
    <n v="5459"/>
    <n v="14605"/>
    <n v="608.54166666666663"/>
    <n v="12904"/>
    <n v="537.66666666666663"/>
    <n v="8203.6083333333336"/>
    <n v="8069.4666666666672"/>
  </r>
  <r>
    <x v="13"/>
    <s v="Sam Houston State University "/>
    <m/>
    <n v="227881"/>
    <x v="2"/>
    <m/>
    <m/>
    <n v="0"/>
    <n v="0"/>
    <n v="216441"/>
    <n v="210085"/>
    <n v="41153"/>
    <n v="43027"/>
    <n v="230210"/>
    <n v="225806"/>
    <n v="487804"/>
    <n v="16260.133333333333"/>
    <n v="478918"/>
    <n v="15963.933333333332"/>
    <n v="0"/>
    <n v="0"/>
    <n v="487804"/>
    <n v="478918"/>
    <m/>
    <m/>
    <m/>
    <m/>
    <m/>
    <m/>
    <m/>
    <m/>
    <n v="0"/>
    <n v="0"/>
    <n v="0"/>
    <n v="0"/>
    <m/>
    <m/>
    <n v="0"/>
    <n v="0"/>
    <m/>
    <m/>
    <n v="15200"/>
    <n v="15244"/>
    <n v="9720"/>
    <n v="10526"/>
    <n v="15960"/>
    <n v="17720"/>
    <n v="40880"/>
    <n v="1703.3333333333333"/>
    <n v="43490"/>
    <n v="1812.0833333333333"/>
    <n v="17963.466666666667"/>
    <n v="17776.016666666666"/>
  </r>
  <r>
    <x v="13"/>
    <s v="Stephen F. Austin State University"/>
    <m/>
    <n v="228431"/>
    <x v="2"/>
    <m/>
    <m/>
    <n v="0"/>
    <n v="0"/>
    <n v="126636"/>
    <n v="124979"/>
    <n v="22468"/>
    <n v="24648"/>
    <n v="137307"/>
    <n v="127857"/>
    <n v="286411"/>
    <n v="9547.0333333333328"/>
    <n v="277484"/>
    <n v="9249.4666666666672"/>
    <n v="9928"/>
    <n v="10361"/>
    <n v="286411"/>
    <n v="277484"/>
    <m/>
    <m/>
    <m/>
    <m/>
    <m/>
    <m/>
    <m/>
    <m/>
    <n v="0"/>
    <n v="0"/>
    <n v="0"/>
    <n v="0"/>
    <m/>
    <m/>
    <n v="0"/>
    <n v="0"/>
    <m/>
    <m/>
    <n v="10944"/>
    <n v="9432"/>
    <n v="6832"/>
    <n v="6666"/>
    <n v="9520"/>
    <n v="9091"/>
    <n v="27296"/>
    <n v="1137.3333333333333"/>
    <n v="25189"/>
    <n v="1049.5416666666667"/>
    <n v="10684.366666666667"/>
    <n v="10299.008333333333"/>
  </r>
  <r>
    <x v="13"/>
    <s v="Sul Ross State University "/>
    <m/>
    <n v="228501"/>
    <x v="2"/>
    <m/>
    <m/>
    <n v="0"/>
    <n v="0"/>
    <n v="14125"/>
    <n v="12644"/>
    <n v="2640"/>
    <n v="2439"/>
    <n v="14708"/>
    <n v="13095"/>
    <n v="31473"/>
    <n v="1049.0999999999999"/>
    <n v="28178"/>
    <n v="939.26666666666665"/>
    <n v="765"/>
    <n v="537"/>
    <n v="31473"/>
    <n v="28178"/>
    <m/>
    <m/>
    <m/>
    <m/>
    <m/>
    <m/>
    <m/>
    <m/>
    <n v="0"/>
    <n v="0"/>
    <n v="0"/>
    <n v="0"/>
    <m/>
    <m/>
    <n v="0"/>
    <n v="0"/>
    <m/>
    <m/>
    <n v="3070"/>
    <n v="2478"/>
    <n v="2211"/>
    <n v="1797"/>
    <n v="2481"/>
    <n v="2242"/>
    <n v="7762"/>
    <n v="323.41666666666669"/>
    <n v="6517"/>
    <n v="271.54166666666669"/>
    <n v="1372.5166666666667"/>
    <n v="1210.8083333333334"/>
  </r>
  <r>
    <x v="13"/>
    <s v="Tarleton State University"/>
    <m/>
    <n v="228529"/>
    <x v="2"/>
    <m/>
    <m/>
    <n v="0"/>
    <n v="0"/>
    <n v="124099"/>
    <n v="123752"/>
    <n v="30112"/>
    <n v="34154"/>
    <n v="131580"/>
    <n v="136860"/>
    <n v="285791"/>
    <n v="9526.3666666666668"/>
    <n v="294766"/>
    <n v="9825.5333333333328"/>
    <n v="0"/>
    <n v="0"/>
    <n v="285791"/>
    <n v="294766"/>
    <m/>
    <m/>
    <m/>
    <m/>
    <m/>
    <m/>
    <m/>
    <m/>
    <n v="0"/>
    <n v="0"/>
    <n v="0"/>
    <n v="0"/>
    <m/>
    <m/>
    <n v="0"/>
    <n v="0"/>
    <m/>
    <m/>
    <n v="11028"/>
    <n v="11778"/>
    <n v="8143"/>
    <n v="9599"/>
    <n v="10380"/>
    <n v="12203"/>
    <n v="29551"/>
    <n v="1231.2916666666667"/>
    <n v="33580"/>
    <n v="1399.1666666666667"/>
    <n v="10757.658333333333"/>
    <n v="11224.699999999999"/>
  </r>
  <r>
    <x v="13"/>
    <s v="Texas A&amp;M International University"/>
    <m/>
    <n v="226152"/>
    <x v="2"/>
    <m/>
    <m/>
    <n v="0"/>
    <n v="0"/>
    <n v="78872"/>
    <n v="73238"/>
    <n v="16802"/>
    <n v="23149"/>
    <n v="86691"/>
    <n v="84816"/>
    <n v="182365"/>
    <n v="6078.833333333333"/>
    <n v="181203"/>
    <n v="6040.1"/>
    <n v="8749"/>
    <n v="7920"/>
    <n v="182365"/>
    <n v="181203"/>
    <m/>
    <m/>
    <m/>
    <m/>
    <m/>
    <m/>
    <m/>
    <m/>
    <n v="0"/>
    <n v="0"/>
    <n v="0"/>
    <n v="0"/>
    <m/>
    <m/>
    <n v="0"/>
    <n v="0"/>
    <m/>
    <m/>
    <n v="6203"/>
    <n v="5654"/>
    <n v="6635"/>
    <n v="10819"/>
    <n v="5428"/>
    <n v="5678"/>
    <n v="18266"/>
    <n v="761.08333333333337"/>
    <n v="22151"/>
    <n v="922.95833333333337"/>
    <n v="6839.9166666666661"/>
    <n v="6963.0583333333334"/>
  </r>
  <r>
    <x v="13"/>
    <s v="Texas A&amp;M University-Commerce"/>
    <m/>
    <n v="224554"/>
    <x v="2"/>
    <m/>
    <m/>
    <n v="0"/>
    <n v="0"/>
    <n v="80022"/>
    <n v="86644"/>
    <n v="20401"/>
    <n v="26367"/>
    <n v="91681"/>
    <n v="91977"/>
    <n v="192104"/>
    <n v="6403.4666666666662"/>
    <n v="204988"/>
    <n v="6832.9333333333334"/>
    <n v="4755"/>
    <n v="5468"/>
    <n v="192104"/>
    <n v="204988"/>
    <m/>
    <m/>
    <m/>
    <m/>
    <m/>
    <m/>
    <m/>
    <m/>
    <n v="0"/>
    <n v="0"/>
    <n v="0"/>
    <n v="0"/>
    <m/>
    <m/>
    <n v="0"/>
    <n v="0"/>
    <m/>
    <m/>
    <n v="21128"/>
    <n v="5838"/>
    <n v="14866"/>
    <n v="32927"/>
    <n v="20357"/>
    <n v="23072"/>
    <n v="56351"/>
    <n v="2347.9583333333335"/>
    <n v="61837"/>
    <n v="2576.5416666666665"/>
    <n v="8751.4249999999993"/>
    <n v="9409.4750000000004"/>
  </r>
  <r>
    <x v="13"/>
    <s v="Texas A&amp;M University-Corpus Christi "/>
    <s v="Met the criteria for Four-Year 2 in 2019-20."/>
    <n v="224147"/>
    <x v="2"/>
    <m/>
    <m/>
    <n v="0"/>
    <n v="0"/>
    <n v="104996"/>
    <n v="99390"/>
    <n v="26034"/>
    <n v="27482"/>
    <n v="108024"/>
    <n v="97477"/>
    <n v="239054"/>
    <n v="7968.4666666666662"/>
    <n v="224349"/>
    <n v="7478.3"/>
    <n v="1705"/>
    <n v="1482"/>
    <n v="239054"/>
    <n v="224349"/>
    <m/>
    <m/>
    <m/>
    <m/>
    <m/>
    <m/>
    <m/>
    <m/>
    <n v="0"/>
    <n v="0"/>
    <n v="0"/>
    <n v="0"/>
    <m/>
    <m/>
    <n v="0"/>
    <n v="0"/>
    <m/>
    <m/>
    <n v="15205"/>
    <n v="15674"/>
    <n v="13232"/>
    <n v="14941"/>
    <n v="11518"/>
    <n v="11915"/>
    <n v="39955"/>
    <n v="1664.7916666666667"/>
    <n v="42530"/>
    <n v="1772.0833333333333"/>
    <n v="9633.2583333333332"/>
    <n v="9250.3833333333332"/>
  </r>
  <r>
    <x v="13"/>
    <s v="Texas A&amp;M University-Kingsville"/>
    <m/>
    <n v="228705"/>
    <x v="2"/>
    <m/>
    <m/>
    <n v="0"/>
    <n v="0"/>
    <n v="72436"/>
    <n v="63620"/>
    <n v="11297"/>
    <n v="11624"/>
    <n v="72881"/>
    <n v="67527"/>
    <n v="156614"/>
    <n v="5220.4666666666662"/>
    <n v="142771"/>
    <n v="4759.0333333333338"/>
    <n v="10516"/>
    <n v="6202"/>
    <n v="156614"/>
    <n v="142771"/>
    <m/>
    <m/>
    <m/>
    <m/>
    <m/>
    <m/>
    <m/>
    <m/>
    <n v="0"/>
    <n v="0"/>
    <n v="0"/>
    <n v="0"/>
    <m/>
    <m/>
    <n v="0"/>
    <n v="0"/>
    <m/>
    <m/>
    <n v="10742"/>
    <n v="9486"/>
    <n v="6011"/>
    <n v="5761"/>
    <n v="9605"/>
    <n v="8870"/>
    <n v="26358"/>
    <n v="1098.25"/>
    <n v="24117"/>
    <n v="1004.875"/>
    <n v="6318.7166666666662"/>
    <n v="5763.9083333333338"/>
  </r>
  <r>
    <x v="13"/>
    <s v="Texas Southern University "/>
    <m/>
    <n v="229063"/>
    <x v="2"/>
    <m/>
    <m/>
    <n v="0"/>
    <n v="0"/>
    <n v="87932"/>
    <n v="80828"/>
    <n v="11175"/>
    <n v="8548"/>
    <n v="93480"/>
    <n v="68291"/>
    <n v="192587"/>
    <n v="6419.5666666666666"/>
    <n v="157667"/>
    <n v="5255.5666666666666"/>
    <n v="3"/>
    <n v="0"/>
    <n v="192587"/>
    <n v="157667"/>
    <m/>
    <m/>
    <m/>
    <m/>
    <m/>
    <m/>
    <m/>
    <m/>
    <n v="0"/>
    <n v="0"/>
    <n v="0"/>
    <n v="0"/>
    <m/>
    <m/>
    <n v="0"/>
    <n v="0"/>
    <m/>
    <m/>
    <n v="21690"/>
    <n v="19551"/>
    <n v="4890"/>
    <n v="3715"/>
    <n v="20889"/>
    <n v="18669"/>
    <n v="47469"/>
    <n v="1977.875"/>
    <n v="41935"/>
    <n v="1747.2916666666667"/>
    <n v="8397.4416666666657"/>
    <n v="7002.8583333333336"/>
  </r>
  <r>
    <x v="13"/>
    <s v="University of Houston-Clear Lake "/>
    <m/>
    <n v="225414"/>
    <x v="2"/>
    <m/>
    <m/>
    <n v="0"/>
    <n v="0"/>
    <n v="60361"/>
    <n v="63458"/>
    <n v="17086"/>
    <n v="20677"/>
    <n v="65896"/>
    <n v="67145"/>
    <n v="143343"/>
    <n v="4778.1000000000004"/>
    <n v="151280"/>
    <n v="5042.666666666667"/>
    <n v="0"/>
    <n v="0"/>
    <n v="143343"/>
    <n v="151280"/>
    <m/>
    <m/>
    <m/>
    <m/>
    <m/>
    <m/>
    <m/>
    <m/>
    <n v="0"/>
    <n v="0"/>
    <n v="0"/>
    <n v="0"/>
    <m/>
    <m/>
    <n v="0"/>
    <n v="0"/>
    <m/>
    <m/>
    <n v="17867"/>
    <n v="17414"/>
    <n v="9951"/>
    <n v="10353"/>
    <n v="14299"/>
    <n v="13359"/>
    <n v="42117"/>
    <n v="1754.875"/>
    <n v="41126"/>
    <n v="1713.5833333333333"/>
    <n v="6532.9750000000004"/>
    <n v="6756.25"/>
  </r>
  <r>
    <x v="13"/>
    <s v="University of Texas at Tyler"/>
    <m/>
    <n v="228802"/>
    <x v="2"/>
    <m/>
    <m/>
    <n v="0"/>
    <n v="0"/>
    <n v="73082"/>
    <n v="74404"/>
    <n v="16088"/>
    <n v="24135"/>
    <n v="78733"/>
    <n v="81281"/>
    <n v="167903"/>
    <n v="5596.7666666666664"/>
    <n v="179820"/>
    <n v="5994"/>
    <n v="2153"/>
    <n v="2969"/>
    <n v="167903"/>
    <n v="179820"/>
    <m/>
    <m/>
    <m/>
    <m/>
    <m/>
    <m/>
    <m/>
    <m/>
    <n v="0"/>
    <n v="0"/>
    <n v="0"/>
    <n v="0"/>
    <m/>
    <m/>
    <n v="0"/>
    <n v="0"/>
    <m/>
    <m/>
    <n v="14828"/>
    <n v="14292"/>
    <n v="11028"/>
    <n v="10787"/>
    <n v="13511"/>
    <n v="13775"/>
    <n v="39367"/>
    <n v="1640.2916666666667"/>
    <n v="38854"/>
    <n v="1618.9166666666667"/>
    <n v="7237.0583333333334"/>
    <n v="7612.916666666667"/>
  </r>
  <r>
    <x v="13"/>
    <s v="University of Texas Permian Basin"/>
    <m/>
    <n v="229018"/>
    <x v="2"/>
    <m/>
    <m/>
    <n v="0"/>
    <n v="0"/>
    <n v="43516"/>
    <n v="41240"/>
    <n v="17358"/>
    <n v="18791"/>
    <n v="40050"/>
    <n v="42710"/>
    <n v="100924"/>
    <n v="3364.1333333333332"/>
    <n v="102741"/>
    <n v="3424.7"/>
    <n v="7108"/>
    <n v="7036"/>
    <n v="100924"/>
    <n v="102741"/>
    <m/>
    <m/>
    <m/>
    <m/>
    <m/>
    <m/>
    <m/>
    <m/>
    <n v="0"/>
    <n v="0"/>
    <n v="0"/>
    <n v="0"/>
    <m/>
    <m/>
    <n v="0"/>
    <n v="0"/>
    <m/>
    <m/>
    <n v="7251"/>
    <n v="5449"/>
    <n v="7710"/>
    <n v="6702"/>
    <n v="3402"/>
    <n v="3830"/>
    <n v="18363"/>
    <n v="765.125"/>
    <n v="15981"/>
    <n v="665.875"/>
    <n v="4129.2583333333332"/>
    <n v="4090.5749999999998"/>
  </r>
  <r>
    <x v="13"/>
    <s v="University of Texas-Rio Grande Valley"/>
    <m/>
    <n v="227368"/>
    <x v="2"/>
    <m/>
    <m/>
    <n v="0"/>
    <n v="0"/>
    <n v="281152"/>
    <n v="287507"/>
    <n v="72151"/>
    <n v="99548"/>
    <n v="311726"/>
    <n v="335363"/>
    <n v="665029"/>
    <n v="22167.633333333335"/>
    <n v="722418"/>
    <n v="24080.6"/>
    <n v="19152"/>
    <n v="21495"/>
    <n v="665029"/>
    <n v="722418"/>
    <m/>
    <m/>
    <m/>
    <m/>
    <m/>
    <m/>
    <m/>
    <m/>
    <n v="0"/>
    <n v="0"/>
    <n v="0"/>
    <n v="0"/>
    <m/>
    <m/>
    <n v="0"/>
    <n v="0"/>
    <m/>
    <m/>
    <n v="25988"/>
    <n v="27878"/>
    <n v="20477"/>
    <n v="27749"/>
    <n v="25682"/>
    <n v="33866"/>
    <n v="72147"/>
    <n v="3006.125"/>
    <n v="89493"/>
    <n v="3728.875"/>
    <n v="25173.758333333335"/>
    <n v="27809.474999999999"/>
  </r>
  <r>
    <x v="13"/>
    <s v="West Texas A&amp;M University"/>
    <m/>
    <n v="229814"/>
    <x v="2"/>
    <m/>
    <m/>
    <n v="0"/>
    <n v="0"/>
    <n v="81596"/>
    <n v="80960"/>
    <n v="15477"/>
    <n v="15613"/>
    <n v="91069"/>
    <n v="90517"/>
    <n v="188142"/>
    <n v="6271.4"/>
    <n v="187090"/>
    <n v="6236.333333333333"/>
    <n v="0"/>
    <n v="0"/>
    <n v="188142"/>
    <n v="187090"/>
    <m/>
    <m/>
    <m/>
    <m/>
    <m/>
    <m/>
    <m/>
    <m/>
    <n v="0"/>
    <n v="0"/>
    <n v="0"/>
    <n v="0"/>
    <m/>
    <m/>
    <n v="0"/>
    <n v="0"/>
    <m/>
    <m/>
    <n v="15504"/>
    <n v="14114"/>
    <n v="8553"/>
    <n v="8872"/>
    <n v="14836"/>
    <n v="15589"/>
    <n v="38893"/>
    <n v="1620.5416666666667"/>
    <n v="38575"/>
    <n v="1607.2916666666667"/>
    <n v="7891.9416666666666"/>
    <n v="7843.625"/>
  </r>
  <r>
    <x v="13"/>
    <s v="Texas A&amp;M -Texarkana"/>
    <m/>
    <n v="224545"/>
    <x v="3"/>
    <m/>
    <m/>
    <n v="0"/>
    <n v="0"/>
    <n v="18043"/>
    <n v="18651"/>
    <n v="4431"/>
    <n v="4916"/>
    <n v="19678"/>
    <n v="19946"/>
    <n v="42152"/>
    <n v="1405.0666666666666"/>
    <n v="43513"/>
    <n v="1450.4333333333334"/>
    <n v="0"/>
    <n v="0"/>
    <n v="42152"/>
    <n v="43513"/>
    <m/>
    <m/>
    <m/>
    <m/>
    <m/>
    <m/>
    <m/>
    <m/>
    <n v="0"/>
    <n v="0"/>
    <n v="0"/>
    <n v="0"/>
    <m/>
    <m/>
    <n v="0"/>
    <n v="0"/>
    <m/>
    <m/>
    <n v="1857"/>
    <n v="1829"/>
    <n v="1288"/>
    <n v="1490"/>
    <n v="1790"/>
    <n v="2209"/>
    <n v="4935"/>
    <n v="205.625"/>
    <n v="5528"/>
    <n v="230.33333333333334"/>
    <n v="1610.6916666666666"/>
    <n v="1680.7666666666667"/>
  </r>
  <r>
    <x v="13"/>
    <s v="Texas A&amp;M University-Central Texas"/>
    <s v="Reclassified: Met the criteria for Four-Year 3 in 2018-19 ,2019-20, and 2020-21"/>
    <n v="483036"/>
    <x v="2"/>
    <m/>
    <m/>
    <n v="0"/>
    <n v="0"/>
    <n v="16148"/>
    <n v="15868"/>
    <n v="7429"/>
    <n v="7476"/>
    <n v="16225"/>
    <n v="16096"/>
    <n v="39802"/>
    <n v="1326.7333333333333"/>
    <n v="39440"/>
    <n v="1314.6666666666667"/>
    <n v="0"/>
    <n v="0"/>
    <n v="39802"/>
    <n v="39440"/>
    <m/>
    <m/>
    <m/>
    <m/>
    <m/>
    <m/>
    <m/>
    <m/>
    <n v="0"/>
    <n v="0"/>
    <n v="0"/>
    <n v="0"/>
    <m/>
    <m/>
    <n v="0"/>
    <n v="0"/>
    <m/>
    <m/>
    <n v="3216"/>
    <n v="2739"/>
    <n v="1905"/>
    <n v="2039"/>
    <n v="2894"/>
    <n v="3113"/>
    <n v="8015"/>
    <n v="333.95833333333331"/>
    <n v="7891"/>
    <n v="328.79166666666669"/>
    <n v="1660.6916666666666"/>
    <n v="1643.4583333333335"/>
  </r>
  <r>
    <x v="13"/>
    <s v="University of Houston-Downtown"/>
    <m/>
    <n v="225432"/>
    <x v="3"/>
    <m/>
    <m/>
    <n v="0"/>
    <n v="0"/>
    <n v="108080"/>
    <n v="117046"/>
    <n v="29669"/>
    <n v="43063"/>
    <n v="126358"/>
    <n v="133433"/>
    <n v="264107"/>
    <n v="8803.5666666666675"/>
    <n v="293542"/>
    <n v="9784.7333333333336"/>
    <n v="3"/>
    <n v="0"/>
    <n v="264107"/>
    <n v="293542"/>
    <m/>
    <m/>
    <m/>
    <m/>
    <m/>
    <m/>
    <m/>
    <m/>
    <n v="0"/>
    <n v="0"/>
    <n v="0"/>
    <n v="0"/>
    <m/>
    <m/>
    <n v="0"/>
    <n v="0"/>
    <m/>
    <m/>
    <n v="11154"/>
    <n v="10531"/>
    <n v="10284"/>
    <n v="9875"/>
    <n v="6624"/>
    <n v="6930"/>
    <n v="28062"/>
    <n v="1169.25"/>
    <n v="27336"/>
    <n v="1139"/>
    <n v="9972.8166666666675"/>
    <n v="10923.733333333334"/>
  </r>
  <r>
    <x v="13"/>
    <s v="University of Houston-Victoria"/>
    <m/>
    <n v="225502"/>
    <x v="3"/>
    <m/>
    <m/>
    <n v="0"/>
    <n v="0"/>
    <n v="29444"/>
    <n v="29993"/>
    <n v="8975"/>
    <n v="10030"/>
    <n v="33068"/>
    <n v="35153"/>
    <n v="71487"/>
    <n v="2382.9"/>
    <n v="75176"/>
    <n v="2505.8666666666668"/>
    <n v="891"/>
    <n v="0"/>
    <n v="71487"/>
    <n v="75176"/>
    <m/>
    <m/>
    <m/>
    <m/>
    <m/>
    <m/>
    <m/>
    <m/>
    <n v="0"/>
    <n v="0"/>
    <n v="0"/>
    <n v="0"/>
    <m/>
    <m/>
    <n v="0"/>
    <n v="0"/>
    <m/>
    <m/>
    <n v="6891"/>
    <n v="8243"/>
    <n v="4524"/>
    <n v="6216"/>
    <n v="7490"/>
    <n v="10109"/>
    <n v="18905"/>
    <n v="787.70833333333337"/>
    <n v="24568"/>
    <n v="1023.6666666666666"/>
    <n v="3170.6083333333336"/>
    <n v="3529.5333333333333"/>
  </r>
  <r>
    <x v="13"/>
    <s v="Sul Ross State University-Rio Grande College"/>
    <m/>
    <s v="228501B"/>
    <x v="4"/>
    <m/>
    <m/>
    <n v="0"/>
    <n v="0"/>
    <n v="5467"/>
    <n v="5351"/>
    <n v="2736"/>
    <n v="2877"/>
    <n v="5411"/>
    <n v="6086"/>
    <n v="13614"/>
    <n v="453.8"/>
    <n v="14314"/>
    <n v="477.13333333333333"/>
    <n v="0"/>
    <n v="0"/>
    <n v="13614"/>
    <n v="14314"/>
    <m/>
    <m/>
    <m/>
    <m/>
    <m/>
    <m/>
    <m/>
    <m/>
    <n v="0"/>
    <n v="0"/>
    <n v="0"/>
    <n v="0"/>
    <m/>
    <m/>
    <n v="0"/>
    <n v="0"/>
    <m/>
    <m/>
    <n v="585"/>
    <n v="459"/>
    <n v="354"/>
    <n v="420"/>
    <n v="573"/>
    <n v="633"/>
    <n v="1512"/>
    <n v="63"/>
    <n v="1512"/>
    <n v="63"/>
    <n v="516.79999999999995"/>
    <n v="540.13333333333333"/>
  </r>
  <r>
    <x v="13"/>
    <s v="Texas A&amp;M University at Galveston"/>
    <m/>
    <n v="228714"/>
    <x v="4"/>
    <m/>
    <m/>
    <n v="0"/>
    <n v="0"/>
    <n v="24783"/>
    <n v="22463"/>
    <n v="3917"/>
    <n v="4074"/>
    <n v="25492"/>
    <n v="24046"/>
    <n v="54192"/>
    <n v="1806.4"/>
    <n v="50583"/>
    <n v="1686.1"/>
    <n v="0"/>
    <n v="0"/>
    <n v="54192"/>
    <n v="50583"/>
    <m/>
    <m/>
    <m/>
    <m/>
    <m/>
    <m/>
    <m/>
    <m/>
    <n v="0"/>
    <n v="0"/>
    <n v="0"/>
    <n v="0"/>
    <m/>
    <m/>
    <n v="0"/>
    <n v="0"/>
    <m/>
    <m/>
    <n v="1097"/>
    <n v="1123"/>
    <n v="268"/>
    <n v="510"/>
    <n v="1133"/>
    <n v="1316"/>
    <n v="2498"/>
    <n v="104.08333333333333"/>
    <n v="2949"/>
    <n v="122.875"/>
    <n v="1910.4833333333333"/>
    <n v="1808.9749999999999"/>
  </r>
  <r>
    <x v="13"/>
    <s v="Texas A&amp;M University-San Antonio"/>
    <s v="Reclassified: Met the criteria for Four-Year 4 in 2018-19 and 2019-20, and 2021"/>
    <n v="870501"/>
    <x v="3"/>
    <m/>
    <m/>
    <n v="0"/>
    <n v="0"/>
    <n v="56439"/>
    <n v="56503"/>
    <n v="13473"/>
    <n v="17076"/>
    <n v="61123"/>
    <n v="61404"/>
    <n v="131035"/>
    <n v="4367.833333333333"/>
    <n v="134983"/>
    <n v="4499.4333333333334"/>
    <n v="567"/>
    <n v="784"/>
    <n v="131035"/>
    <n v="134983"/>
    <m/>
    <m/>
    <m/>
    <m/>
    <m/>
    <m/>
    <m/>
    <m/>
    <n v="0"/>
    <n v="0"/>
    <n v="0"/>
    <n v="0"/>
    <m/>
    <m/>
    <n v="0"/>
    <n v="0"/>
    <m/>
    <m/>
    <n v="5211"/>
    <n v="4161"/>
    <n v="2574"/>
    <n v="2748"/>
    <n v="3888"/>
    <n v="3804"/>
    <n v="11673"/>
    <n v="486.375"/>
    <n v="10713"/>
    <n v="446.375"/>
    <n v="4854.208333333333"/>
    <n v="4945.8083333333334"/>
  </r>
  <r>
    <x v="13"/>
    <s v="Brazosport College "/>
    <s v="Met the criteria Two-Year 2 in 2020-21"/>
    <n v="223506"/>
    <x v="12"/>
    <m/>
    <m/>
    <n v="29043"/>
    <n v="27932"/>
    <n v="11286"/>
    <n v="9121"/>
    <n v="3169"/>
    <n v="2926"/>
    <n v="30298"/>
    <n v="26840"/>
    <n v="73796"/>
    <n v="2459.8666666666668"/>
    <n v="66819"/>
    <n v="2227.3000000000002"/>
    <n v="10466"/>
    <n v="10576"/>
    <n v="73796"/>
    <n v="66819"/>
    <n v="3958"/>
    <n v="4811"/>
    <n v="4688"/>
    <n v="2728"/>
    <n v="7316"/>
    <n v="2184"/>
    <n v="3476"/>
    <n v="3546"/>
    <n v="19438"/>
    <n v="21.597777777777779"/>
    <n v="13269"/>
    <n v="14.743333333333334"/>
    <m/>
    <m/>
    <n v="0"/>
    <n v="0"/>
    <m/>
    <m/>
    <m/>
    <m/>
    <m/>
    <m/>
    <m/>
    <m/>
    <n v="0"/>
    <n v="0"/>
    <n v="0"/>
    <n v="0"/>
    <n v="2481.4644444444448"/>
    <n v="2242.0433333333335"/>
  </r>
  <r>
    <x v="13"/>
    <s v="Midland College "/>
    <s v="Met the criteria Two-Year 2 in 2020-21"/>
    <n v="226806"/>
    <x v="12"/>
    <m/>
    <m/>
    <n v="40161"/>
    <n v="37771"/>
    <n v="14542"/>
    <n v="13772"/>
    <n v="0"/>
    <n v="0"/>
    <n v="39025"/>
    <n v="36179"/>
    <n v="93728"/>
    <n v="3124.2666666666669"/>
    <n v="87722"/>
    <n v="2924.0666666666666"/>
    <n v="19308"/>
    <n v="19854"/>
    <n v="93728"/>
    <n v="87722"/>
    <n v="30196"/>
    <n v="27908"/>
    <n v="31994"/>
    <n v="16060"/>
    <n v="26943"/>
    <n v="13895"/>
    <n v="35554"/>
    <n v="38088"/>
    <n v="124687"/>
    <n v="138.54111111111112"/>
    <n v="95951"/>
    <n v="106.61222222222223"/>
    <m/>
    <m/>
    <n v="0"/>
    <n v="0"/>
    <m/>
    <m/>
    <m/>
    <m/>
    <m/>
    <m/>
    <m/>
    <m/>
    <n v="0"/>
    <n v="0"/>
    <n v="0"/>
    <n v="0"/>
    <n v="3262.807777777778"/>
    <n v="3030.6788888888887"/>
  </r>
  <r>
    <x v="13"/>
    <s v="South Texas College"/>
    <s v="Met the critera for Two-Year 1 in 2020-21"/>
    <n v="409315"/>
    <x v="12"/>
    <m/>
    <m/>
    <n v="270182"/>
    <n v="270144"/>
    <n v="73142"/>
    <n v="70042"/>
    <n v="0"/>
    <n v="0"/>
    <n v="301381"/>
    <n v="251086"/>
    <n v="644705"/>
    <n v="21490.166666666668"/>
    <n v="591272"/>
    <n v="19709.066666666666"/>
    <n v="212363"/>
    <n v="210479"/>
    <n v="644705"/>
    <n v="591272"/>
    <n v="75779"/>
    <n v="52314"/>
    <n v="50543"/>
    <n v="41310"/>
    <n v="39508"/>
    <n v="27105"/>
    <n v="56458"/>
    <n v="43786"/>
    <n v="222288"/>
    <n v="246.98666666666668"/>
    <n v="164515"/>
    <n v="182.79444444444445"/>
    <m/>
    <m/>
    <n v="0"/>
    <n v="0"/>
    <m/>
    <m/>
    <m/>
    <m/>
    <m/>
    <m/>
    <m/>
    <m/>
    <n v="0"/>
    <n v="0"/>
    <n v="0"/>
    <n v="0"/>
    <n v="21737.153333333335"/>
    <n v="19891.861111111109"/>
  </r>
  <r>
    <x v="13"/>
    <s v="Amarillo College "/>
    <m/>
    <n v="222576"/>
    <x v="6"/>
    <m/>
    <m/>
    <n v="70858"/>
    <n v="72096"/>
    <n v="17868"/>
    <n v="17951"/>
    <n v="0"/>
    <n v="0"/>
    <n v="81490"/>
    <n v="76821"/>
    <n v="170216"/>
    <n v="5673.8666666666668"/>
    <n v="166868"/>
    <n v="5562.2666666666664"/>
    <n v="24019"/>
    <n v="23416"/>
    <n v="170216"/>
    <n v="166868"/>
    <n v="86561"/>
    <n v="81838"/>
    <n v="90675"/>
    <n v="27967"/>
    <n v="69167"/>
    <n v="35190"/>
    <n v="99203"/>
    <n v="45276"/>
    <n v="345606"/>
    <n v="384.00666666666666"/>
    <n v="190271"/>
    <n v="211.41222222222223"/>
    <m/>
    <m/>
    <n v="0"/>
    <n v="0"/>
    <m/>
    <m/>
    <m/>
    <m/>
    <m/>
    <m/>
    <m/>
    <m/>
    <n v="0"/>
    <n v="0"/>
    <n v="0"/>
    <n v="0"/>
    <n v="6057.873333333333"/>
    <n v="5773.6788888888887"/>
  </r>
  <r>
    <x v="13"/>
    <s v="Austin Community College "/>
    <s v="Met the criteria for Two-Year with Bachelor's in 2019-20."/>
    <n v="222992"/>
    <x v="6"/>
    <m/>
    <m/>
    <n v="287998"/>
    <n v="290435"/>
    <n v="150318"/>
    <n v="172353"/>
    <n v="0"/>
    <n v="0"/>
    <n v="273242"/>
    <n v="260152"/>
    <n v="711558"/>
    <n v="23718.6"/>
    <n v="722940"/>
    <n v="24098"/>
    <n v="98636"/>
    <n v="111260"/>
    <n v="711558"/>
    <n v="722940"/>
    <n v="141019"/>
    <n v="152220"/>
    <n v="102843"/>
    <n v="64190"/>
    <n v="155536"/>
    <n v="176016"/>
    <n v="122477"/>
    <n v="112469"/>
    <n v="521875"/>
    <n v="579.86111111111109"/>
    <n v="504895"/>
    <n v="560.99444444444441"/>
    <m/>
    <m/>
    <n v="0"/>
    <n v="0"/>
    <m/>
    <m/>
    <m/>
    <m/>
    <m/>
    <m/>
    <m/>
    <m/>
    <n v="0"/>
    <n v="0"/>
    <n v="0"/>
    <n v="0"/>
    <n v="24298.461111111108"/>
    <n v="24658.994444444445"/>
  </r>
  <r>
    <x v="13"/>
    <s v="Blinn College"/>
    <m/>
    <n v="223427"/>
    <x v="6"/>
    <m/>
    <m/>
    <n v="171160"/>
    <n v="175038"/>
    <n v="36734"/>
    <n v="38626"/>
    <n v="17054"/>
    <n v="17806"/>
    <n v="188122"/>
    <n v="176943"/>
    <n v="413070"/>
    <n v="13769"/>
    <n v="408413"/>
    <n v="13613.766666666666"/>
    <n v="18234"/>
    <n v="19375"/>
    <n v="413070"/>
    <n v="408413"/>
    <n v="26370"/>
    <n v="21290"/>
    <n v="16638"/>
    <n v="482"/>
    <n v="24853"/>
    <n v="8990"/>
    <n v="25527"/>
    <n v="22255"/>
    <n v="93388"/>
    <n v="103.76444444444445"/>
    <n v="53017"/>
    <n v="58.907777777777781"/>
    <m/>
    <m/>
    <n v="0"/>
    <n v="0"/>
    <m/>
    <m/>
    <m/>
    <m/>
    <m/>
    <m/>
    <m/>
    <m/>
    <n v="0"/>
    <n v="0"/>
    <n v="0"/>
    <n v="0"/>
    <n v="13872.764444444445"/>
    <n v="13672.674444444445"/>
  </r>
  <r>
    <x v="13"/>
    <s v="Brookhaven College (DCCCD)"/>
    <s v="Met the criteria Two-Year 2 in 2020-21"/>
    <n v="223524"/>
    <x v="6"/>
    <m/>
    <m/>
    <n v="76341"/>
    <n v="79755"/>
    <n v="57405"/>
    <n v="56213"/>
    <n v="0"/>
    <n v="0"/>
    <n v="68250"/>
    <n v="0"/>
    <n v="201996"/>
    <n v="6733.2"/>
    <n v="135968"/>
    <n v="4532.2666666666664"/>
    <n v="23583"/>
    <n v="13270"/>
    <n v="201996"/>
    <n v="135968"/>
    <n v="36152"/>
    <n v="32686"/>
    <n v="33625"/>
    <n v="14456"/>
    <n v="41218"/>
    <n v="14917"/>
    <n v="47340"/>
    <n v="0"/>
    <n v="158335"/>
    <n v="175.92777777777778"/>
    <n v="62059"/>
    <n v="68.954444444444448"/>
    <m/>
    <m/>
    <n v="0"/>
    <n v="0"/>
    <m/>
    <m/>
    <m/>
    <m/>
    <m/>
    <m/>
    <m/>
    <m/>
    <n v="0"/>
    <n v="0"/>
    <n v="0"/>
    <n v="0"/>
    <n v="6909.1277777777777"/>
    <n v="4601.221111111111"/>
  </r>
  <r>
    <x v="13"/>
    <s v="Central Texas College "/>
    <m/>
    <n v="223816"/>
    <x v="6"/>
    <m/>
    <m/>
    <n v="94173"/>
    <n v="89855"/>
    <n v="56277"/>
    <n v="46775"/>
    <n v="6032"/>
    <n v="6068"/>
    <n v="75952"/>
    <n v="58911"/>
    <n v="232434"/>
    <n v="7747.8"/>
    <n v="201609"/>
    <n v="6720.3"/>
    <n v="32773"/>
    <n v="34252"/>
    <n v="232434"/>
    <n v="201609"/>
    <n v="61325"/>
    <n v="70597"/>
    <n v="104884"/>
    <n v="52114"/>
    <n v="86144"/>
    <n v="69655"/>
    <n v="74243"/>
    <n v="75201"/>
    <n v="326596"/>
    <n v="362.88444444444445"/>
    <n v="267567"/>
    <n v="297.29666666666668"/>
    <m/>
    <m/>
    <n v="0"/>
    <n v="0"/>
    <m/>
    <m/>
    <m/>
    <m/>
    <m/>
    <m/>
    <m/>
    <m/>
    <n v="0"/>
    <n v="0"/>
    <n v="0"/>
    <n v="0"/>
    <n v="8110.684444444445"/>
    <n v="7017.5966666666673"/>
  </r>
  <r>
    <x v="13"/>
    <s v="Collin County Community College District"/>
    <m/>
    <n v="247834"/>
    <x v="6"/>
    <m/>
    <m/>
    <n v="262043"/>
    <n v="267116"/>
    <n v="67662"/>
    <n v="77238"/>
    <n v="0"/>
    <n v="0"/>
    <n v="295058"/>
    <n v="296253"/>
    <n v="624763"/>
    <n v="20825.433333333334"/>
    <n v="640607"/>
    <n v="21353.566666666666"/>
    <n v="83675"/>
    <n v="99603"/>
    <n v="624763"/>
    <n v="640607"/>
    <n v="147471"/>
    <n v="144151"/>
    <n v="144424"/>
    <n v="66374"/>
    <n v="113589"/>
    <n v="88991"/>
    <n v="222238"/>
    <n v="135009"/>
    <n v="627722"/>
    <n v="697.46888888888884"/>
    <n v="434525"/>
    <n v="482.80555555555554"/>
    <m/>
    <m/>
    <n v="0"/>
    <n v="0"/>
    <m/>
    <m/>
    <m/>
    <m/>
    <m/>
    <m/>
    <m/>
    <m/>
    <n v="0"/>
    <n v="0"/>
    <n v="0"/>
    <n v="0"/>
    <n v="21522.902222222223"/>
    <n v="21836.37222222222"/>
  </r>
  <r>
    <x v="13"/>
    <s v="Del Mar College "/>
    <m/>
    <n v="224350"/>
    <x v="6"/>
    <m/>
    <m/>
    <n v="84022"/>
    <n v="85205"/>
    <n v="15284"/>
    <n v="16694"/>
    <n v="16056"/>
    <n v="18313"/>
    <n v="91970"/>
    <n v="72840"/>
    <n v="207332"/>
    <n v="6911.0666666666666"/>
    <n v="193052"/>
    <n v="6435.0666666666666"/>
    <n v="32731"/>
    <n v="32179"/>
    <n v="207332"/>
    <n v="193052"/>
    <n v="185552"/>
    <n v="160894"/>
    <n v="92943"/>
    <n v="33572"/>
    <n v="97632"/>
    <n v="114067"/>
    <n v="212319"/>
    <n v="185493"/>
    <n v="588446"/>
    <n v="653.82888888888886"/>
    <n v="494026"/>
    <n v="548.91777777777781"/>
    <m/>
    <m/>
    <n v="0"/>
    <n v="0"/>
    <m/>
    <m/>
    <m/>
    <m/>
    <m/>
    <m/>
    <m/>
    <m/>
    <n v="0"/>
    <n v="0"/>
    <n v="0"/>
    <n v="0"/>
    <n v="7564.8955555555558"/>
    <n v="6983.9844444444443"/>
  </r>
  <r>
    <x v="13"/>
    <s v="Eastfield College (DCCCD)"/>
    <m/>
    <n v="224572"/>
    <x v="6"/>
    <m/>
    <m/>
    <n v="109621"/>
    <n v="112770"/>
    <n v="75260"/>
    <n v="80845"/>
    <n v="0"/>
    <n v="0"/>
    <n v="80052"/>
    <n v="0"/>
    <n v="264933"/>
    <n v="8831.1"/>
    <n v="193615"/>
    <n v="6453.833333333333"/>
    <n v="63812"/>
    <n v="36729"/>
    <n v="264933"/>
    <n v="193615"/>
    <n v="31308"/>
    <n v="27167"/>
    <n v="34626"/>
    <n v="14928"/>
    <n v="46440"/>
    <n v="18238"/>
    <n v="51570"/>
    <n v="0"/>
    <n v="163944"/>
    <n v="182.16"/>
    <n v="60333"/>
    <n v="67.036666666666662"/>
    <m/>
    <m/>
    <n v="0"/>
    <n v="0"/>
    <m/>
    <m/>
    <m/>
    <m/>
    <m/>
    <m/>
    <m/>
    <m/>
    <n v="0"/>
    <n v="0"/>
    <n v="0"/>
    <n v="0"/>
    <n v="9013.26"/>
    <n v="6520.87"/>
  </r>
  <r>
    <x v="13"/>
    <s v="El Centro College  (DCCCD)"/>
    <m/>
    <n v="224615"/>
    <x v="6"/>
    <m/>
    <m/>
    <n v="76431"/>
    <n v="68199"/>
    <n v="32522"/>
    <n v="39011"/>
    <n v="0"/>
    <n v="0"/>
    <n v="67189"/>
    <n v="0"/>
    <n v="176142"/>
    <n v="5871.4"/>
    <n v="107210"/>
    <n v="3573.6666666666665"/>
    <n v="39103"/>
    <n v="18254"/>
    <n v="176142"/>
    <n v="107210"/>
    <n v="87409"/>
    <n v="242746"/>
    <n v="104706"/>
    <n v="115022"/>
    <n v="134576"/>
    <n v="60844"/>
    <n v="153645"/>
    <n v="0"/>
    <n v="480336"/>
    <n v="533.70666666666671"/>
    <n v="418612"/>
    <n v="465.12444444444446"/>
    <m/>
    <m/>
    <n v="0"/>
    <n v="0"/>
    <m/>
    <m/>
    <m/>
    <m/>
    <m/>
    <m/>
    <m/>
    <m/>
    <n v="0"/>
    <n v="0"/>
    <n v="0"/>
    <n v="0"/>
    <n v="6405.1066666666666"/>
    <n v="4038.7911111111111"/>
  </r>
  <r>
    <x v="13"/>
    <s v="El Paso County Community College District"/>
    <m/>
    <n v="224642"/>
    <x v="6"/>
    <m/>
    <m/>
    <n v="213202"/>
    <n v="211599"/>
    <n v="53574"/>
    <n v="57973"/>
    <n v="0"/>
    <n v="0"/>
    <n v="238956"/>
    <n v="219969"/>
    <n v="505732"/>
    <n v="16857.733333333334"/>
    <n v="489541"/>
    <n v="16318.033333333333"/>
    <n v="111488"/>
    <n v="124321"/>
    <n v="505732"/>
    <n v="489541"/>
    <n v="87412"/>
    <n v="72307"/>
    <n v="69475"/>
    <n v="10852"/>
    <n v="67443"/>
    <n v="25009"/>
    <n v="85920"/>
    <n v="29514"/>
    <n v="310250"/>
    <n v="344.72222222222223"/>
    <n v="137682"/>
    <n v="152.97999999999999"/>
    <m/>
    <m/>
    <n v="0"/>
    <n v="0"/>
    <m/>
    <m/>
    <m/>
    <m/>
    <m/>
    <m/>
    <m/>
    <m/>
    <n v="0"/>
    <n v="0"/>
    <n v="0"/>
    <n v="0"/>
    <n v="17202.455555555556"/>
    <n v="16471.013333333332"/>
  </r>
  <r>
    <x v="13"/>
    <s v="Houston Community College"/>
    <m/>
    <n v="225423"/>
    <x v="6"/>
    <m/>
    <m/>
    <n v="450749"/>
    <n v="436694"/>
    <n v="232307"/>
    <n v="252453"/>
    <n v="0"/>
    <n v="0"/>
    <n v="336799"/>
    <n v="266027"/>
    <n v="1019855"/>
    <n v="33995.166666666664"/>
    <n v="955174"/>
    <n v="31839.133333333335"/>
    <n v="105757"/>
    <n v="103429"/>
    <n v="1019855"/>
    <n v="955174"/>
    <n v="427303"/>
    <n v="473804"/>
    <n v="394718"/>
    <n v="311931"/>
    <n v="424225"/>
    <n v="238983"/>
    <n v="690814"/>
    <n v="391025"/>
    <n v="1937060"/>
    <n v="2152.2888888888888"/>
    <n v="1415743"/>
    <n v="1573.0477777777778"/>
    <m/>
    <m/>
    <n v="0"/>
    <n v="0"/>
    <m/>
    <m/>
    <m/>
    <m/>
    <m/>
    <m/>
    <m/>
    <m/>
    <n v="0"/>
    <n v="0"/>
    <n v="0"/>
    <n v="0"/>
    <n v="36147.455555555556"/>
    <n v="33412.181111111116"/>
  </r>
  <r>
    <x v="13"/>
    <s v="Laredo College "/>
    <m/>
    <n v="226134"/>
    <x v="6"/>
    <m/>
    <m/>
    <n v="70039"/>
    <n v="79173"/>
    <n v="14231"/>
    <n v="12516"/>
    <n v="5129"/>
    <n v="6061"/>
    <n v="77784"/>
    <n v="47641"/>
    <n v="167183"/>
    <n v="5572.7666666666664"/>
    <n v="145391"/>
    <n v="4846.3666666666668"/>
    <n v="38522"/>
    <n v="29099"/>
    <n v="167183"/>
    <n v="145391"/>
    <n v="9907"/>
    <n v="16860"/>
    <n v="22170"/>
    <n v="8631"/>
    <n v="21958"/>
    <n v="19077"/>
    <n v="30804"/>
    <n v="41552"/>
    <n v="84839"/>
    <n v="94.265555555555551"/>
    <n v="86120"/>
    <n v="95.688888888888883"/>
    <m/>
    <m/>
    <n v="0"/>
    <n v="0"/>
    <m/>
    <m/>
    <m/>
    <m/>
    <m/>
    <m/>
    <m/>
    <m/>
    <n v="0"/>
    <n v="0"/>
    <n v="0"/>
    <n v="0"/>
    <n v="5667.0322222222221"/>
    <n v="4942.0555555555557"/>
  </r>
  <r>
    <x v="13"/>
    <s v="Lone Star College System District"/>
    <m/>
    <n v="227182"/>
    <x v="6"/>
    <m/>
    <m/>
    <n v="534215"/>
    <n v="539418"/>
    <n v="262061"/>
    <n v="256686"/>
    <n v="0"/>
    <n v="0"/>
    <n v="511797"/>
    <n v="440544"/>
    <n v="1308073"/>
    <n v="43602.433333333334"/>
    <n v="1236648"/>
    <n v="41221.599999999999"/>
    <n v="204193"/>
    <n v="207745"/>
    <n v="1308073"/>
    <n v="1236648"/>
    <n v="63864"/>
    <n v="67582"/>
    <n v="62551"/>
    <n v="10620"/>
    <n v="60010"/>
    <n v="53288"/>
    <n v="89923"/>
    <n v="84121"/>
    <n v="276348"/>
    <n v="307.05333333333334"/>
    <n v="215611"/>
    <n v="239.56777777777779"/>
    <m/>
    <m/>
    <n v="0"/>
    <n v="0"/>
    <m/>
    <m/>
    <m/>
    <m/>
    <m/>
    <m/>
    <m/>
    <m/>
    <n v="0"/>
    <n v="0"/>
    <n v="0"/>
    <n v="0"/>
    <n v="43909.486666666671"/>
    <n v="41461.167777777773"/>
  </r>
  <r>
    <x v="13"/>
    <s v="McLennan Community College "/>
    <m/>
    <n v="226578"/>
    <x v="6"/>
    <m/>
    <m/>
    <n v="74502"/>
    <n v="72494"/>
    <n v="18486"/>
    <n v="21619"/>
    <n v="11407"/>
    <n v="12119"/>
    <n v="72581"/>
    <n v="62084"/>
    <n v="176976"/>
    <n v="5899.2"/>
    <n v="168316"/>
    <n v="5610.5333333333338"/>
    <n v="22068"/>
    <n v="21894"/>
    <n v="176976"/>
    <n v="168316"/>
    <n v="37337"/>
    <n v="42310"/>
    <n v="29247"/>
    <n v="15686"/>
    <n v="44206"/>
    <n v="37933"/>
    <n v="45704"/>
    <n v="43200"/>
    <n v="156494"/>
    <n v="173.88222222222223"/>
    <n v="139129"/>
    <n v="154.58777777777777"/>
    <m/>
    <m/>
    <n v="0"/>
    <n v="0"/>
    <m/>
    <m/>
    <m/>
    <m/>
    <m/>
    <m/>
    <m/>
    <m/>
    <n v="0"/>
    <n v="0"/>
    <n v="0"/>
    <n v="0"/>
    <n v="6073.0822222222223"/>
    <n v="5765.1211111111115"/>
  </r>
  <r>
    <x v="13"/>
    <s v="Mountain View College  (DCCCD)"/>
    <m/>
    <n v="226930"/>
    <x v="6"/>
    <m/>
    <m/>
    <n v="72632"/>
    <n v="78668"/>
    <n v="34618"/>
    <n v="41033"/>
    <n v="0"/>
    <n v="0"/>
    <n v="76442"/>
    <n v="0"/>
    <n v="183692"/>
    <n v="6123.0666666666666"/>
    <n v="119701"/>
    <n v="3990.0333333333333"/>
    <n v="40358"/>
    <n v="26408"/>
    <n v="183692"/>
    <n v="119701"/>
    <n v="30112"/>
    <n v="31500"/>
    <n v="33519"/>
    <n v="13465"/>
    <n v="39364"/>
    <n v="13576"/>
    <n v="36545"/>
    <n v="0"/>
    <n v="139540"/>
    <n v="155.04444444444445"/>
    <n v="58541"/>
    <n v="65.045555555555552"/>
    <m/>
    <m/>
    <n v="0"/>
    <n v="0"/>
    <m/>
    <m/>
    <m/>
    <m/>
    <m/>
    <m/>
    <m/>
    <m/>
    <n v="0"/>
    <n v="0"/>
    <n v="0"/>
    <n v="0"/>
    <n v="6278.1111111111113"/>
    <n v="4055.0788888888887"/>
  </r>
  <r>
    <x v="13"/>
    <s v="Navarro College "/>
    <m/>
    <n v="227146"/>
    <x v="6"/>
    <m/>
    <m/>
    <n v="73051"/>
    <n v="66967"/>
    <n v="14379"/>
    <n v="11002"/>
    <n v="8637"/>
    <n v="8939"/>
    <n v="72821"/>
    <n v="64917"/>
    <n v="168888"/>
    <n v="5629.6"/>
    <n v="151825"/>
    <n v="5060.833333333333"/>
    <n v="40886"/>
    <n v="37729"/>
    <n v="168888"/>
    <n v="151825"/>
    <n v="53442"/>
    <n v="34060"/>
    <n v="32959"/>
    <n v="19285"/>
    <n v="53490"/>
    <n v="61176"/>
    <n v="25050"/>
    <n v="37226"/>
    <n v="164941"/>
    <n v="183.26777777777778"/>
    <n v="151747"/>
    <n v="168.60777777777778"/>
    <m/>
    <m/>
    <n v="0"/>
    <n v="0"/>
    <m/>
    <m/>
    <m/>
    <m/>
    <m/>
    <m/>
    <m/>
    <m/>
    <n v="0"/>
    <n v="0"/>
    <n v="0"/>
    <n v="0"/>
    <n v="5812.8677777777784"/>
    <n v="5229.4411111111112"/>
  </r>
  <r>
    <x v="13"/>
    <s v="North Central Texas Community College"/>
    <m/>
    <n v="224110"/>
    <x v="6"/>
    <m/>
    <m/>
    <n v="77584"/>
    <n v="75454"/>
    <n v="27589"/>
    <n v="31024"/>
    <n v="0"/>
    <n v="0"/>
    <n v="72325"/>
    <n v="62006"/>
    <n v="177498"/>
    <n v="5916.6"/>
    <n v="168484"/>
    <n v="5616.1333333333332"/>
    <n v="26804"/>
    <n v="26088"/>
    <n v="177498"/>
    <n v="168484"/>
    <n v="9470"/>
    <n v="8698"/>
    <n v="5522"/>
    <n v="3772"/>
    <n v="5261"/>
    <n v="3798"/>
    <n v="11899"/>
    <n v="6705"/>
    <n v="32152"/>
    <n v="35.724444444444444"/>
    <n v="22973"/>
    <n v="25.525555555555556"/>
    <m/>
    <m/>
    <n v="0"/>
    <n v="0"/>
    <m/>
    <m/>
    <m/>
    <m/>
    <m/>
    <m/>
    <m/>
    <m/>
    <n v="0"/>
    <n v="0"/>
    <n v="0"/>
    <n v="0"/>
    <n v="5952.3244444444445"/>
    <n v="5641.6588888888891"/>
  </r>
  <r>
    <x v="13"/>
    <s v="North Lake College (DCCCD)"/>
    <m/>
    <n v="227191"/>
    <x v="6"/>
    <m/>
    <m/>
    <n v="64458"/>
    <n v="71451"/>
    <n v="47453"/>
    <n v="52425"/>
    <n v="0"/>
    <n v="0"/>
    <n v="55015"/>
    <n v="0"/>
    <n v="166926"/>
    <n v="5564.2"/>
    <n v="123876"/>
    <n v="4129.2"/>
    <n v="20395"/>
    <n v="13178"/>
    <n v="166926"/>
    <n v="123876"/>
    <n v="176016"/>
    <n v="132919"/>
    <n v="91267"/>
    <n v="20000"/>
    <n v="93231"/>
    <n v="20698"/>
    <n v="189515"/>
    <n v="0"/>
    <n v="550029"/>
    <n v="611.14333333333332"/>
    <n v="173617"/>
    <n v="192.90777777777777"/>
    <m/>
    <m/>
    <n v="0"/>
    <n v="0"/>
    <m/>
    <m/>
    <m/>
    <m/>
    <m/>
    <m/>
    <m/>
    <m/>
    <n v="0"/>
    <n v="0"/>
    <n v="0"/>
    <n v="0"/>
    <n v="6175.3433333333332"/>
    <n v="4322.1077777777773"/>
  </r>
  <r>
    <x v="13"/>
    <s v="Northwest Vista College (ACCD)"/>
    <m/>
    <n v="420398"/>
    <x v="6"/>
    <m/>
    <m/>
    <n v="121783"/>
    <n v="118232"/>
    <n v="41892"/>
    <n v="37888"/>
    <n v="0"/>
    <n v="0"/>
    <n v="137401"/>
    <n v="130014"/>
    <n v="301076"/>
    <n v="10035.866666666667"/>
    <n v="286134"/>
    <n v="9537.7999999999993"/>
    <n v="39944"/>
    <n v="43397"/>
    <n v="301076"/>
    <n v="286134"/>
    <n v="12146"/>
    <n v="14264"/>
    <n v="15413"/>
    <n v="6390"/>
    <n v="15118"/>
    <n v="19056"/>
    <n v="19556"/>
    <n v="16556"/>
    <n v="62233"/>
    <n v="69.147777777777776"/>
    <n v="56266"/>
    <n v="62.517777777777781"/>
    <m/>
    <m/>
    <n v="0"/>
    <n v="0"/>
    <m/>
    <m/>
    <m/>
    <m/>
    <m/>
    <m/>
    <m/>
    <m/>
    <n v="0"/>
    <n v="0"/>
    <n v="0"/>
    <n v="0"/>
    <n v="10105.014444444445"/>
    <n v="9600.3177777777764"/>
  </r>
  <r>
    <x v="13"/>
    <s v="Palo Alto College (ACCD)"/>
    <m/>
    <n v="246354"/>
    <x v="6"/>
    <m/>
    <m/>
    <n v="68749"/>
    <n v="67722"/>
    <n v="23353"/>
    <n v="22327"/>
    <n v="0"/>
    <n v="0"/>
    <n v="75026"/>
    <n v="73085"/>
    <n v="167128"/>
    <n v="5570.9333333333334"/>
    <n v="163134"/>
    <n v="5437.8"/>
    <n v="35169"/>
    <n v="38070"/>
    <n v="167128"/>
    <n v="163134"/>
    <n v="14004"/>
    <n v="14826"/>
    <n v="19569"/>
    <n v="10919"/>
    <n v="8306"/>
    <n v="11456"/>
    <n v="18096"/>
    <n v="6427"/>
    <n v="59975"/>
    <n v="66.638888888888886"/>
    <n v="43628"/>
    <n v="48.475555555555559"/>
    <m/>
    <m/>
    <n v="0"/>
    <n v="0"/>
    <m/>
    <m/>
    <m/>
    <m/>
    <m/>
    <m/>
    <m/>
    <m/>
    <n v="0"/>
    <n v="0"/>
    <n v="0"/>
    <n v="0"/>
    <n v="5637.5722222222221"/>
    <n v="5486.2755555555559"/>
  </r>
  <r>
    <x v="13"/>
    <s v="Richland College (DCCCD)"/>
    <m/>
    <n v="227766"/>
    <x v="6"/>
    <m/>
    <m/>
    <n v="138811"/>
    <n v="141822"/>
    <n v="72761"/>
    <n v="78958"/>
    <n v="0"/>
    <n v="0"/>
    <n v="121369"/>
    <n v="0"/>
    <n v="332941"/>
    <n v="11098.033333333333"/>
    <n v="220780"/>
    <n v="7359.333333333333"/>
    <n v="58238"/>
    <n v="32442"/>
    <n v="332941"/>
    <n v="220780"/>
    <n v="72987"/>
    <n v="81457"/>
    <n v="83631"/>
    <n v="54372"/>
    <n v="89957"/>
    <n v="22428"/>
    <n v="127154"/>
    <n v="0"/>
    <n v="373729"/>
    <n v="415.25444444444446"/>
    <n v="158257"/>
    <n v="175.8411111111111"/>
    <m/>
    <m/>
    <n v="0"/>
    <n v="0"/>
    <m/>
    <m/>
    <m/>
    <m/>
    <m/>
    <m/>
    <m/>
    <m/>
    <n v="0"/>
    <n v="0"/>
    <n v="0"/>
    <n v="0"/>
    <n v="11513.287777777778"/>
    <n v="7535.1744444444439"/>
  </r>
  <r>
    <x v="13"/>
    <s v="San Antonio College (ACCD)"/>
    <m/>
    <n v="227924"/>
    <x v="6"/>
    <m/>
    <m/>
    <n v="130631"/>
    <n v="130371"/>
    <n v="53043"/>
    <n v="42730"/>
    <n v="0"/>
    <n v="0"/>
    <n v="139993"/>
    <n v="130351"/>
    <n v="323667"/>
    <n v="10788.9"/>
    <n v="303452"/>
    <n v="10115.066666666668"/>
    <n v="26563"/>
    <n v="24701"/>
    <n v="323667"/>
    <n v="303452"/>
    <n v="8547"/>
    <n v="7372"/>
    <n v="9036"/>
    <n v="6576"/>
    <n v="6552"/>
    <n v="6624"/>
    <n v="8522"/>
    <n v="5070"/>
    <n v="32657"/>
    <n v="36.285555555555554"/>
    <n v="25642"/>
    <n v="28.49111111111111"/>
    <m/>
    <m/>
    <n v="0"/>
    <n v="0"/>
    <m/>
    <m/>
    <m/>
    <m/>
    <m/>
    <m/>
    <m/>
    <m/>
    <n v="0"/>
    <n v="0"/>
    <n v="0"/>
    <n v="0"/>
    <n v="10825.185555555556"/>
    <n v="10143.557777777778"/>
  </r>
  <r>
    <x v="13"/>
    <s v="San Jacinto College"/>
    <m/>
    <n v="227979"/>
    <x v="6"/>
    <m/>
    <m/>
    <n v="258116"/>
    <n v="242491"/>
    <n v="87826"/>
    <n v="89936"/>
    <n v="0"/>
    <n v="0"/>
    <n v="267742"/>
    <n v="256587"/>
    <n v="613684"/>
    <n v="20456.133333333335"/>
    <n v="589014"/>
    <n v="19633.8"/>
    <n v="75879"/>
    <n v="90956"/>
    <n v="613684"/>
    <n v="589014"/>
    <n v="75581"/>
    <n v="61128"/>
    <n v="39885"/>
    <n v="8557"/>
    <n v="47935"/>
    <n v="16672"/>
    <n v="69555"/>
    <n v="31090"/>
    <n v="232956"/>
    <n v="258.83999999999997"/>
    <n v="117447"/>
    <n v="130.49666666666667"/>
    <m/>
    <m/>
    <n v="0"/>
    <n v="0"/>
    <m/>
    <m/>
    <m/>
    <m/>
    <m/>
    <m/>
    <m/>
    <m/>
    <n v="0"/>
    <n v="0"/>
    <n v="0"/>
    <n v="0"/>
    <n v="20714.973333333335"/>
    <n v="19764.296666666665"/>
  </r>
  <r>
    <x v="13"/>
    <s v="South Plains College "/>
    <m/>
    <n v="228158"/>
    <x v="6"/>
    <m/>
    <m/>
    <n v="79435"/>
    <n v="78310"/>
    <n v="18397"/>
    <n v="19209"/>
    <n v="0"/>
    <n v="0"/>
    <n v="85565"/>
    <n v="80920"/>
    <n v="183397"/>
    <n v="6113.2333333333336"/>
    <n v="178439"/>
    <n v="5947.9666666666662"/>
    <n v="23176"/>
    <n v="24701"/>
    <n v="183397"/>
    <n v="178439"/>
    <n v="13896"/>
    <n v="19232"/>
    <n v="12654"/>
    <n v="8255"/>
    <n v="14323"/>
    <n v="13180"/>
    <n v="15989"/>
    <n v="19631"/>
    <n v="56862"/>
    <n v="63.18"/>
    <n v="60298"/>
    <n v="66.997777777777785"/>
    <m/>
    <m/>
    <n v="0"/>
    <n v="0"/>
    <m/>
    <m/>
    <m/>
    <m/>
    <m/>
    <m/>
    <m/>
    <m/>
    <n v="0"/>
    <n v="0"/>
    <n v="0"/>
    <n v="0"/>
    <n v="6176.4133333333339"/>
    <n v="6014.9644444444439"/>
  </r>
  <r>
    <x v="13"/>
    <s v="St. Philip's College (ACCD)"/>
    <m/>
    <n v="227854"/>
    <x v="6"/>
    <m/>
    <m/>
    <n v="85933"/>
    <n v="82580"/>
    <n v="32095"/>
    <n v="24838"/>
    <n v="0"/>
    <n v="0"/>
    <n v="83369"/>
    <n v="76428"/>
    <n v="201397"/>
    <n v="6713.2333333333336"/>
    <n v="183846"/>
    <n v="6128.2"/>
    <n v="44470"/>
    <n v="41474"/>
    <n v="201397"/>
    <n v="183846"/>
    <n v="31830"/>
    <n v="30534"/>
    <n v="28785"/>
    <n v="9254"/>
    <n v="32729"/>
    <n v="8056"/>
    <n v="33033"/>
    <n v="8493"/>
    <n v="126377"/>
    <n v="140.41888888888889"/>
    <n v="56337"/>
    <n v="62.596666666666664"/>
    <m/>
    <m/>
    <n v="0"/>
    <n v="0"/>
    <m/>
    <m/>
    <m/>
    <m/>
    <m/>
    <m/>
    <m/>
    <m/>
    <n v="0"/>
    <n v="0"/>
    <n v="0"/>
    <n v="0"/>
    <n v="6853.6522222222229"/>
    <n v="6190.7966666666662"/>
  </r>
  <r>
    <x v="13"/>
    <s v="Tarrant County College"/>
    <m/>
    <n v="228547"/>
    <x v="6"/>
    <m/>
    <m/>
    <n v="359044"/>
    <n v="367816"/>
    <n v="189128"/>
    <n v="206272"/>
    <n v="0"/>
    <n v="0"/>
    <n v="346034"/>
    <n v="318185"/>
    <n v="894206"/>
    <n v="29806.866666666665"/>
    <n v="892273"/>
    <n v="29742.433333333334"/>
    <n v="115694"/>
    <n v="121026"/>
    <n v="894206"/>
    <n v="892273"/>
    <n v="165699"/>
    <n v="142215"/>
    <n v="172722"/>
    <n v="76805"/>
    <n v="130505"/>
    <n v="76082"/>
    <n v="145414"/>
    <n v="96718"/>
    <n v="614340"/>
    <n v="682.6"/>
    <n v="391820"/>
    <n v="435.35555555555555"/>
    <m/>
    <m/>
    <n v="0"/>
    <n v="0"/>
    <m/>
    <m/>
    <m/>
    <m/>
    <m/>
    <m/>
    <m/>
    <m/>
    <n v="0"/>
    <n v="0"/>
    <n v="0"/>
    <n v="0"/>
    <n v="30489.466666666664"/>
    <n v="30177.788888888888"/>
  </r>
  <r>
    <x v="13"/>
    <s v="Trinity Valley Community College"/>
    <m/>
    <n v="225308"/>
    <x v="6"/>
    <m/>
    <m/>
    <n v="54611"/>
    <n v="54084"/>
    <n v="12593"/>
    <n v="11319"/>
    <n v="8822"/>
    <n v="0"/>
    <n v="55249"/>
    <n v="54207"/>
    <n v="131275"/>
    <n v="4375.833333333333"/>
    <n v="119610"/>
    <n v="3987"/>
    <n v="32626"/>
    <n v="28008"/>
    <n v="131275"/>
    <n v="119610"/>
    <n v="154804"/>
    <n v="108186"/>
    <n v="171591"/>
    <n v="96114"/>
    <n v="110745"/>
    <n v="46116"/>
    <n v="202166"/>
    <n v="87630"/>
    <n v="639306"/>
    <n v="710.34"/>
    <n v="338046"/>
    <n v="375.60666666666668"/>
    <m/>
    <m/>
    <n v="0"/>
    <n v="0"/>
    <m/>
    <m/>
    <m/>
    <m/>
    <m/>
    <m/>
    <m/>
    <m/>
    <n v="0"/>
    <n v="0"/>
    <n v="0"/>
    <n v="0"/>
    <n v="5086.1733333333332"/>
    <n v="4362.6066666666666"/>
  </r>
  <r>
    <x v="13"/>
    <s v="Tyler Junior College "/>
    <s v="Met the criteria for Two-Year with Bachelor's in 2018-19 and 2019-20. "/>
    <n v="229355"/>
    <x v="6"/>
    <m/>
    <m/>
    <n v="111328"/>
    <n v="108603"/>
    <n v="30475"/>
    <n v="25210"/>
    <n v="7278"/>
    <n v="7522"/>
    <n v="113617"/>
    <n v="106585"/>
    <n v="262698"/>
    <n v="8756.6"/>
    <n v="247920"/>
    <n v="8264"/>
    <n v="42383"/>
    <n v="30619"/>
    <n v="262698"/>
    <n v="247920"/>
    <n v="21022"/>
    <n v="25303"/>
    <n v="35753"/>
    <n v="3538"/>
    <n v="20396"/>
    <n v="27128"/>
    <n v="29702"/>
    <n v="31938"/>
    <n v="106873"/>
    <n v="118.74777777777778"/>
    <n v="87907"/>
    <n v="97.674444444444447"/>
    <m/>
    <m/>
    <n v="0"/>
    <n v="0"/>
    <m/>
    <m/>
    <m/>
    <m/>
    <m/>
    <m/>
    <m/>
    <m/>
    <n v="0"/>
    <n v="0"/>
    <n v="0"/>
    <n v="0"/>
    <n v="8875.3477777777789"/>
    <n v="8361.6744444444448"/>
  </r>
  <r>
    <x v="13"/>
    <s v="Alvin Community College "/>
    <m/>
    <n v="222567"/>
    <x v="7"/>
    <m/>
    <m/>
    <n v="43188"/>
    <n v="42909"/>
    <n v="18579"/>
    <n v="17873"/>
    <n v="0"/>
    <n v="0"/>
    <n v="45108"/>
    <n v="40377"/>
    <n v="106875"/>
    <n v="3562.5"/>
    <n v="101159"/>
    <n v="3371.9666666666667"/>
    <n v="29151"/>
    <n v="31000"/>
    <n v="106875"/>
    <n v="101159"/>
    <n v="19831"/>
    <n v="22814"/>
    <n v="9045"/>
    <n v="4536"/>
    <n v="15828"/>
    <n v="9928"/>
    <n v="24814"/>
    <n v="17450"/>
    <n v="69518"/>
    <n v="77.242222222222225"/>
    <n v="54728"/>
    <n v="60.808888888888887"/>
    <m/>
    <m/>
    <n v="0"/>
    <n v="0"/>
    <m/>
    <m/>
    <m/>
    <m/>
    <m/>
    <m/>
    <m/>
    <m/>
    <n v="0"/>
    <n v="0"/>
    <n v="0"/>
    <n v="0"/>
    <n v="3639.7422222222222"/>
    <n v="3432.7755555555555"/>
  </r>
  <r>
    <x v="13"/>
    <s v="Angelina College "/>
    <m/>
    <n v="222822"/>
    <x v="7"/>
    <m/>
    <m/>
    <n v="35984"/>
    <n v="33392"/>
    <n v="6219"/>
    <n v="8127"/>
    <n v="0"/>
    <n v="0"/>
    <n v="40481"/>
    <n v="36131"/>
    <n v="82684"/>
    <n v="2756.1333333333332"/>
    <n v="77650"/>
    <n v="2588.3333333333335"/>
    <n v="16679"/>
    <n v="17817"/>
    <n v="82684"/>
    <n v="77650"/>
    <n v="67659"/>
    <n v="23143"/>
    <n v="15088"/>
    <n v="39697"/>
    <n v="47541"/>
    <n v="63699"/>
    <n v="30900"/>
    <n v="22529"/>
    <n v="161188"/>
    <n v="179.09777777777776"/>
    <n v="149068"/>
    <n v="165.63111111111112"/>
    <m/>
    <m/>
    <n v="0"/>
    <n v="0"/>
    <m/>
    <m/>
    <m/>
    <m/>
    <m/>
    <m/>
    <m/>
    <m/>
    <n v="0"/>
    <n v="0"/>
    <n v="0"/>
    <n v="0"/>
    <n v="2935.2311111111112"/>
    <n v="2753.9644444444448"/>
  </r>
  <r>
    <x v="13"/>
    <s v="Cedar Valley College (DCCCD)"/>
    <m/>
    <n v="223773"/>
    <x v="7"/>
    <m/>
    <m/>
    <n v="55167"/>
    <n v="60014"/>
    <n v="34177"/>
    <n v="35867"/>
    <n v="0"/>
    <n v="0"/>
    <n v="46970"/>
    <n v="0"/>
    <n v="136314"/>
    <n v="4543.8"/>
    <n v="95881"/>
    <n v="3196.0333333333333"/>
    <n v="25347"/>
    <n v="13858"/>
    <n v="136314"/>
    <n v="95881"/>
    <n v="38445"/>
    <n v="45895"/>
    <n v="35226"/>
    <n v="125379"/>
    <n v="79272"/>
    <n v="48404"/>
    <n v="28540"/>
    <n v="0"/>
    <n v="181483"/>
    <n v="201.64777777777778"/>
    <n v="219678"/>
    <n v="244.08666666666667"/>
    <m/>
    <m/>
    <n v="0"/>
    <n v="0"/>
    <m/>
    <m/>
    <m/>
    <m/>
    <m/>
    <m/>
    <m/>
    <m/>
    <n v="0"/>
    <n v="0"/>
    <n v="0"/>
    <n v="0"/>
    <n v="4745.4477777777784"/>
    <n v="3440.12"/>
  </r>
  <r>
    <x v="13"/>
    <s v="Cisco Junior College "/>
    <m/>
    <n v="223898"/>
    <x v="7"/>
    <m/>
    <m/>
    <n v="29132"/>
    <n v="28502"/>
    <n v="7205"/>
    <n v="6632"/>
    <n v="2759"/>
    <n v="2720"/>
    <n v="31306"/>
    <n v="28293"/>
    <n v="70402"/>
    <n v="2346.7333333333331"/>
    <n v="66147"/>
    <n v="2204.9"/>
    <n v="11425"/>
    <n v="12466"/>
    <n v="70402"/>
    <n v="66147"/>
    <n v="2440"/>
    <n v="4228"/>
    <n v="4100"/>
    <n v="1000"/>
    <n v="5644"/>
    <n v="3516"/>
    <n v="3576"/>
    <n v="3703"/>
    <n v="15760"/>
    <n v="17.511111111111113"/>
    <n v="12447"/>
    <n v="13.83"/>
    <m/>
    <m/>
    <n v="0"/>
    <n v="0"/>
    <m/>
    <m/>
    <m/>
    <m/>
    <m/>
    <m/>
    <m/>
    <m/>
    <n v="0"/>
    <n v="0"/>
    <n v="0"/>
    <n v="0"/>
    <n v="2364.2444444444441"/>
    <n v="2218.73"/>
  </r>
  <r>
    <x v="13"/>
    <s v="Coastal Bend College"/>
    <m/>
    <n v="223320"/>
    <x v="7"/>
    <m/>
    <m/>
    <n v="32249"/>
    <n v="35600"/>
    <n v="5501"/>
    <n v="6559"/>
    <n v="4472"/>
    <n v="3445"/>
    <n v="35495"/>
    <n v="30785"/>
    <n v="77717"/>
    <n v="2590.5666666666666"/>
    <n v="76389"/>
    <n v="2546.3000000000002"/>
    <n v="30911"/>
    <n v="28242"/>
    <n v="77717"/>
    <n v="76389"/>
    <n v="833"/>
    <n v="1678"/>
    <n v="4833"/>
    <n v="0"/>
    <n v="3316"/>
    <n v="6593"/>
    <n v="7985"/>
    <n v="49932"/>
    <n v="16967"/>
    <n v="18.852222222222224"/>
    <n v="58203"/>
    <n v="64.67"/>
    <m/>
    <m/>
    <n v="0"/>
    <n v="0"/>
    <m/>
    <m/>
    <m/>
    <m/>
    <m/>
    <m/>
    <m/>
    <m/>
    <n v="0"/>
    <n v="0"/>
    <n v="0"/>
    <n v="0"/>
    <n v="2609.4188888888889"/>
    <n v="2610.9700000000003"/>
  </r>
  <r>
    <x v="13"/>
    <s v="College of the Mainland"/>
    <m/>
    <n v="226408"/>
    <x v="7"/>
    <m/>
    <m/>
    <n v="34846"/>
    <n v="36237"/>
    <n v="9804"/>
    <n v="10632"/>
    <n v="0"/>
    <n v="0"/>
    <n v="35499"/>
    <n v="39016"/>
    <n v="80149"/>
    <n v="2671.6333333333332"/>
    <n v="85885"/>
    <n v="2862.8333333333335"/>
    <n v="20845"/>
    <n v="21807"/>
    <n v="80149"/>
    <n v="85885"/>
    <n v="62428"/>
    <n v="29949"/>
    <n v="18192"/>
    <n v="2382"/>
    <n v="21742"/>
    <n v="9690"/>
    <n v="12985"/>
    <n v="10069"/>
    <n v="115347"/>
    <n v="128.16333333333333"/>
    <n v="52090"/>
    <n v="57.87777777777778"/>
    <m/>
    <m/>
    <n v="0"/>
    <n v="0"/>
    <m/>
    <m/>
    <m/>
    <m/>
    <m/>
    <m/>
    <m/>
    <m/>
    <n v="0"/>
    <n v="0"/>
    <n v="0"/>
    <n v="0"/>
    <n v="2799.7966666666666"/>
    <n v="2920.7111111111112"/>
  </r>
  <r>
    <x v="13"/>
    <s v="Grayson County College "/>
    <m/>
    <n v="225070"/>
    <x v="7"/>
    <m/>
    <m/>
    <n v="32945"/>
    <n v="33036"/>
    <n v="9225"/>
    <n v="9891"/>
    <n v="0"/>
    <n v="0"/>
    <n v="39104"/>
    <n v="33893"/>
    <n v="81274"/>
    <n v="2709.1333333333332"/>
    <n v="76820"/>
    <n v="2560.6666666666665"/>
    <n v="12344"/>
    <n v="12370"/>
    <n v="81274"/>
    <n v="76820"/>
    <n v="19002"/>
    <n v="16399"/>
    <n v="12055"/>
    <n v="8230"/>
    <n v="16365"/>
    <n v="10718"/>
    <n v="17687"/>
    <n v="16229"/>
    <n v="65109"/>
    <n v="72.343333333333334"/>
    <n v="51576"/>
    <n v="57.306666666666665"/>
    <m/>
    <m/>
    <n v="0"/>
    <n v="0"/>
    <m/>
    <m/>
    <m/>
    <m/>
    <m/>
    <m/>
    <m/>
    <m/>
    <n v="0"/>
    <n v="0"/>
    <n v="0"/>
    <n v="0"/>
    <n v="2781.4766666666665"/>
    <n v="2617.9733333333334"/>
  </r>
  <r>
    <x v="13"/>
    <s v="Hill College"/>
    <m/>
    <n v="225371"/>
    <x v="7"/>
    <m/>
    <m/>
    <n v="36210"/>
    <n v="35967"/>
    <n v="10205"/>
    <n v="9619"/>
    <n v="3361"/>
    <n v="3450"/>
    <n v="36221"/>
    <n v="32839"/>
    <n v="85997"/>
    <n v="2866.5666666666666"/>
    <n v="81875"/>
    <n v="2729.1666666666665"/>
    <n v="17013"/>
    <n v="16219"/>
    <n v="85997"/>
    <n v="81875"/>
    <n v="20870"/>
    <n v="25286"/>
    <n v="22290"/>
    <n v="3046"/>
    <n v="18012"/>
    <n v="4342"/>
    <n v="16688"/>
    <n v="5068"/>
    <n v="77860"/>
    <n v="86.511111111111106"/>
    <n v="37742"/>
    <n v="41.935555555555553"/>
    <m/>
    <m/>
    <n v="0"/>
    <n v="0"/>
    <m/>
    <m/>
    <m/>
    <m/>
    <m/>
    <m/>
    <m/>
    <m/>
    <n v="0"/>
    <n v="0"/>
    <n v="0"/>
    <n v="0"/>
    <n v="2953.0777777777776"/>
    <n v="2771.1022222222223"/>
  </r>
  <r>
    <x v="13"/>
    <s v="Howard College (HCJCD)"/>
    <m/>
    <n v="225520"/>
    <x v="7"/>
    <m/>
    <m/>
    <n v="26824"/>
    <n v="25072"/>
    <n v="4527"/>
    <n v="4414"/>
    <n v="1948"/>
    <n v="2174"/>
    <n v="31481"/>
    <n v="28078"/>
    <n v="64780"/>
    <n v="2159.3333333333335"/>
    <n v="59738"/>
    <n v="1991.2666666666667"/>
    <n v="18252"/>
    <n v="15202"/>
    <n v="64780"/>
    <n v="59738"/>
    <n v="118680"/>
    <n v="112996"/>
    <n v="152630"/>
    <n v="14690"/>
    <n v="96293"/>
    <n v="31336"/>
    <n v="128831"/>
    <n v="40849"/>
    <n v="496434"/>
    <n v="551.59333333333336"/>
    <n v="199871"/>
    <n v="222.07888888888888"/>
    <m/>
    <m/>
    <n v="0"/>
    <n v="0"/>
    <m/>
    <m/>
    <m/>
    <m/>
    <m/>
    <m/>
    <m/>
    <m/>
    <n v="0"/>
    <n v="0"/>
    <n v="0"/>
    <n v="0"/>
    <n v="2710.9266666666667"/>
    <n v="2213.3455555555556"/>
  </r>
  <r>
    <x v="13"/>
    <s v="Kilgore College "/>
    <m/>
    <n v="226019"/>
    <x v="7"/>
    <m/>
    <m/>
    <n v="44820"/>
    <n v="62906"/>
    <n v="9178"/>
    <n v="7020"/>
    <n v="0"/>
    <n v="0"/>
    <n v="38156"/>
    <n v="50850"/>
    <n v="92154"/>
    <n v="3071.8"/>
    <n v="120776"/>
    <n v="4025.8666666666668"/>
    <n v="17721"/>
    <n v="18815"/>
    <n v="92154"/>
    <n v="120776"/>
    <n v="113697"/>
    <n v="94426"/>
    <n v="72643"/>
    <n v="32272"/>
    <n v="139192"/>
    <n v="119621"/>
    <n v="101775"/>
    <n v="116810"/>
    <n v="427307"/>
    <n v="474.78555555555556"/>
    <n v="363129"/>
    <n v="403.47666666666669"/>
    <m/>
    <m/>
    <n v="0"/>
    <n v="0"/>
    <m/>
    <m/>
    <m/>
    <m/>
    <m/>
    <m/>
    <m/>
    <m/>
    <n v="0"/>
    <n v="0"/>
    <n v="0"/>
    <n v="0"/>
    <n v="3546.5855555555559"/>
    <n v="4429.3433333333332"/>
  </r>
  <r>
    <x v="13"/>
    <s v="Lamar Institute of Technology"/>
    <m/>
    <n v="441760"/>
    <x v="7"/>
    <m/>
    <m/>
    <n v="26426"/>
    <n v="32004"/>
    <n v="4355"/>
    <n v="6842"/>
    <n v="0"/>
    <n v="0"/>
    <n v="36543"/>
    <n v="38512"/>
    <n v="67324"/>
    <n v="2244.1333333333332"/>
    <n v="77358"/>
    <n v="2578.6"/>
    <n v="8770"/>
    <n v="13239"/>
    <n v="67324"/>
    <n v="77358"/>
    <n v="73761"/>
    <n v="52880"/>
    <n v="63497"/>
    <n v="30582"/>
    <n v="82543"/>
    <n v="37281"/>
    <n v="68305"/>
    <n v="44733"/>
    <n v="288106"/>
    <n v="320.1177777777778"/>
    <n v="165476"/>
    <n v="183.86222222222221"/>
    <m/>
    <m/>
    <n v="0"/>
    <n v="0"/>
    <m/>
    <m/>
    <m/>
    <m/>
    <m/>
    <m/>
    <m/>
    <m/>
    <n v="0"/>
    <n v="0"/>
    <n v="0"/>
    <n v="0"/>
    <n v="2564.2511111111112"/>
    <n v="2762.462222222222"/>
  </r>
  <r>
    <x v="13"/>
    <s v="Lee College "/>
    <m/>
    <n v="226204"/>
    <x v="7"/>
    <m/>
    <m/>
    <n v="60295"/>
    <n v="60919"/>
    <n v="28308"/>
    <n v="31586"/>
    <n v="2929"/>
    <n v="0"/>
    <n v="56105"/>
    <n v="37710"/>
    <n v="147637"/>
    <n v="4921.2333333333336"/>
    <n v="130215"/>
    <n v="4340.5"/>
    <n v="25021"/>
    <n v="21062"/>
    <n v="147637"/>
    <n v="130215"/>
    <n v="12680"/>
    <n v="16100"/>
    <n v="8758"/>
    <n v="407"/>
    <n v="16125"/>
    <n v="8345"/>
    <n v="14706"/>
    <n v="5000"/>
    <n v="52269"/>
    <n v="58.076666666666668"/>
    <n v="29852"/>
    <n v="33.168888888888887"/>
    <m/>
    <m/>
    <n v="0"/>
    <n v="0"/>
    <m/>
    <m/>
    <m/>
    <m/>
    <m/>
    <m/>
    <m/>
    <m/>
    <n v="0"/>
    <n v="0"/>
    <n v="0"/>
    <n v="0"/>
    <n v="4979.3100000000004"/>
    <n v="4373.6688888888893"/>
  </r>
  <r>
    <x v="13"/>
    <s v="Northeast Texas Community College "/>
    <s v="Met the requirments for  Two-year 3 in 2020-21"/>
    <n v="227225"/>
    <x v="7"/>
    <m/>
    <m/>
    <n v="25735"/>
    <n v="25503"/>
    <n v="9279"/>
    <n v="8126"/>
    <n v="0"/>
    <n v="0"/>
    <n v="27985"/>
    <n v="24893"/>
    <n v="62999"/>
    <n v="2099.9666666666667"/>
    <n v="58522"/>
    <n v="1950.7333333333333"/>
    <n v="10764"/>
    <n v="10041"/>
    <n v="62999"/>
    <n v="58522"/>
    <n v="4935"/>
    <n v="6647"/>
    <n v="5567"/>
    <n v="2944"/>
    <n v="5127"/>
    <n v="2486"/>
    <n v="6596"/>
    <n v="3957"/>
    <n v="22225"/>
    <n v="24.694444444444443"/>
    <n v="16034"/>
    <n v="17.815555555555555"/>
    <m/>
    <m/>
    <n v="0"/>
    <n v="0"/>
    <m/>
    <m/>
    <m/>
    <m/>
    <m/>
    <m/>
    <m/>
    <m/>
    <n v="0"/>
    <n v="0"/>
    <n v="0"/>
    <n v="0"/>
    <n v="2124.661111111111"/>
    <n v="1968.548888888889"/>
  </r>
  <r>
    <x v="13"/>
    <s v="Odessa College "/>
    <m/>
    <n v="227304"/>
    <x v="7"/>
    <m/>
    <m/>
    <n v="51729"/>
    <n v="53441"/>
    <n v="6737"/>
    <n v="7288"/>
    <n v="7102"/>
    <n v="8169"/>
    <n v="57274"/>
    <n v="59196"/>
    <n v="122842"/>
    <n v="4094.7333333333331"/>
    <n v="128094"/>
    <n v="4269.8"/>
    <n v="32652"/>
    <n v="34370"/>
    <n v="122842"/>
    <n v="128094"/>
    <n v="45590"/>
    <n v="36101"/>
    <n v="50305"/>
    <n v="22501"/>
    <n v="55771"/>
    <n v="25765"/>
    <n v="55054"/>
    <n v="25079"/>
    <n v="206720"/>
    <n v="229.6888888888889"/>
    <n v="109446"/>
    <n v="121.60666666666667"/>
    <m/>
    <m/>
    <n v="0"/>
    <n v="0"/>
    <m/>
    <m/>
    <m/>
    <m/>
    <m/>
    <m/>
    <m/>
    <m/>
    <n v="0"/>
    <n v="0"/>
    <n v="0"/>
    <n v="0"/>
    <n v="4324.4222222222224"/>
    <n v="4391.4066666666668"/>
  </r>
  <r>
    <x v="13"/>
    <s v="Paris Junior College"/>
    <m/>
    <n v="227401"/>
    <x v="7"/>
    <m/>
    <m/>
    <n v="40023"/>
    <n v="37329"/>
    <n v="11005"/>
    <n v="9958"/>
    <n v="0"/>
    <n v="0"/>
    <n v="46976"/>
    <n v="41626"/>
    <n v="98004"/>
    <n v="3266.8"/>
    <n v="88913"/>
    <n v="2963.7666666666669"/>
    <n v="23465"/>
    <n v="23484"/>
    <n v="98004"/>
    <n v="88913"/>
    <n v="35342"/>
    <n v="6389"/>
    <n v="9765"/>
    <n v="5245"/>
    <n v="9049"/>
    <n v="13803"/>
    <n v="32400"/>
    <n v="8647"/>
    <n v="86556"/>
    <n v="96.173333333333332"/>
    <n v="34084"/>
    <n v="37.871111111111112"/>
    <m/>
    <m/>
    <n v="0"/>
    <n v="0"/>
    <m/>
    <m/>
    <m/>
    <m/>
    <m/>
    <m/>
    <m/>
    <m/>
    <n v="0"/>
    <n v="0"/>
    <n v="0"/>
    <n v="0"/>
    <n v="3362.9733333333334"/>
    <n v="3001.637777777778"/>
  </r>
  <r>
    <x v="13"/>
    <s v="Southwest Texas Junior College "/>
    <m/>
    <n v="228316"/>
    <x v="7"/>
    <m/>
    <m/>
    <n v="53171"/>
    <n v="54242"/>
    <n v="10327"/>
    <n v="11952"/>
    <n v="5017"/>
    <n v="5258"/>
    <n v="53079"/>
    <n v="50094"/>
    <n v="121594"/>
    <n v="4053.1333333333332"/>
    <n v="121546"/>
    <n v="4051.5333333333333"/>
    <n v="40441"/>
    <n v="42354"/>
    <n v="121594"/>
    <n v="121546"/>
    <n v="5653"/>
    <n v="15092"/>
    <n v="20614"/>
    <n v="4650"/>
    <n v="21750"/>
    <n v="8606"/>
    <n v="18918"/>
    <n v="12128"/>
    <n v="66935"/>
    <n v="74.37222222222222"/>
    <n v="40476"/>
    <n v="44.973333333333336"/>
    <m/>
    <m/>
    <n v="0"/>
    <n v="0"/>
    <m/>
    <m/>
    <m/>
    <m/>
    <m/>
    <m/>
    <m/>
    <m/>
    <n v="0"/>
    <n v="0"/>
    <n v="0"/>
    <n v="0"/>
    <n v="4127.5055555555555"/>
    <n v="4096.5066666666662"/>
  </r>
  <r>
    <x v="13"/>
    <s v="Temple College "/>
    <m/>
    <n v="228608"/>
    <x v="7"/>
    <m/>
    <m/>
    <n v="39943"/>
    <n v="38725"/>
    <n v="10751"/>
    <n v="11492"/>
    <n v="0"/>
    <n v="0"/>
    <n v="43358"/>
    <n v="34876"/>
    <n v="94052"/>
    <n v="3135.0666666666666"/>
    <n v="85093"/>
    <n v="2836.4333333333334"/>
    <n v="16212"/>
    <n v="15971"/>
    <n v="94052"/>
    <n v="85093"/>
    <n v="4792"/>
    <n v="3080"/>
    <n v="25696"/>
    <n v="10560"/>
    <n v="9753"/>
    <n v="4978"/>
    <n v="21508"/>
    <n v="17138"/>
    <n v="61749"/>
    <n v="68.61"/>
    <n v="35756"/>
    <n v="39.728888888888889"/>
    <m/>
    <m/>
    <n v="0"/>
    <n v="0"/>
    <m/>
    <m/>
    <m/>
    <m/>
    <m/>
    <m/>
    <m/>
    <m/>
    <n v="0"/>
    <n v="0"/>
    <n v="0"/>
    <n v="0"/>
    <n v="3203.6766666666667"/>
    <n v="2876.1622222222222"/>
  </r>
  <r>
    <x v="13"/>
    <s v="Texarkana College "/>
    <m/>
    <n v="228699"/>
    <x v="7"/>
    <m/>
    <m/>
    <n v="31833"/>
    <n v="30551"/>
    <n v="7643"/>
    <n v="6841"/>
    <n v="0"/>
    <n v="0"/>
    <n v="36211"/>
    <n v="34257"/>
    <n v="75687"/>
    <n v="2522.9"/>
    <n v="71649"/>
    <n v="2388.3000000000002"/>
    <n v="18185"/>
    <n v="18514"/>
    <n v="75687"/>
    <n v="71649"/>
    <n v="67434"/>
    <n v="84998"/>
    <n v="79616"/>
    <n v="4657"/>
    <n v="81877"/>
    <n v="10150"/>
    <n v="76663"/>
    <n v="15523"/>
    <n v="305590"/>
    <n v="339.54444444444442"/>
    <n v="115328"/>
    <n v="128.14222222222222"/>
    <m/>
    <m/>
    <n v="0"/>
    <n v="0"/>
    <m/>
    <m/>
    <m/>
    <m/>
    <m/>
    <m/>
    <m/>
    <m/>
    <n v="0"/>
    <n v="0"/>
    <n v="0"/>
    <n v="0"/>
    <n v="2862.4444444444443"/>
    <n v="2516.4422222222224"/>
  </r>
  <r>
    <x v="13"/>
    <s v="Texas Southmost College "/>
    <s v="Changed IPEDS # from 229072"/>
    <n v="227377"/>
    <x v="7"/>
    <m/>
    <m/>
    <n v="52338"/>
    <n v="64456"/>
    <n v="6854"/>
    <n v="10761"/>
    <n v="4357"/>
    <n v="8315"/>
    <n v="59826"/>
    <n v="61364"/>
    <n v="123375"/>
    <n v="4112.5"/>
    <n v="144896"/>
    <n v="4829.8666666666668"/>
    <n v="42299"/>
    <n v="52725"/>
    <n v="123375"/>
    <n v="144896"/>
    <n v="12996"/>
    <n v="16704"/>
    <n v="20040"/>
    <n v="19936"/>
    <n v="13752"/>
    <n v="10040"/>
    <n v="19600"/>
    <n v="13200"/>
    <n v="66388"/>
    <n v="73.76444444444445"/>
    <n v="59880"/>
    <n v="66.533333333333331"/>
    <m/>
    <m/>
    <n v="0"/>
    <n v="0"/>
    <m/>
    <m/>
    <m/>
    <m/>
    <m/>
    <m/>
    <m/>
    <m/>
    <n v="0"/>
    <n v="0"/>
    <n v="0"/>
    <n v="0"/>
    <n v="4186.2644444444441"/>
    <n v="4896.4000000000005"/>
  </r>
  <r>
    <x v="13"/>
    <s v="Texas State Technical College-Harlingen "/>
    <m/>
    <n v="229319"/>
    <x v="7"/>
    <m/>
    <m/>
    <n v="32358"/>
    <n v="30839"/>
    <n v="17073"/>
    <n v="4452"/>
    <n v="0"/>
    <n v="0"/>
    <n v="36768"/>
    <n v="45140"/>
    <n v="86199"/>
    <n v="2873.3"/>
    <n v="80431"/>
    <n v="2681.0333333333333"/>
    <n v="1524"/>
    <n v="1329"/>
    <n v="86199"/>
    <n v="80431"/>
    <n v="12508"/>
    <n v="8452"/>
    <n v="13042"/>
    <n v="2080"/>
    <n v="12096"/>
    <n v="5120"/>
    <n v="11488"/>
    <n v="10000"/>
    <n v="49134"/>
    <n v="54.593333333333334"/>
    <n v="25652"/>
    <n v="28.502222222222223"/>
    <m/>
    <m/>
    <n v="0"/>
    <n v="0"/>
    <m/>
    <m/>
    <m/>
    <m/>
    <m/>
    <m/>
    <m/>
    <m/>
    <n v="0"/>
    <n v="0"/>
    <n v="0"/>
    <n v="0"/>
    <n v="2927.8933333333334"/>
    <n v="2709.5355555555557"/>
  </r>
  <r>
    <x v="13"/>
    <s v="Texas State Technical College-Waco"/>
    <m/>
    <n v="228680"/>
    <x v="7"/>
    <m/>
    <m/>
    <n v="34558"/>
    <n v="35851"/>
    <n v="26126"/>
    <n v="1647"/>
    <n v="0"/>
    <n v="0"/>
    <n v="41390"/>
    <n v="51374"/>
    <n v="102074"/>
    <n v="3402.4666666666667"/>
    <n v="88872"/>
    <n v="2962.4"/>
    <n v="1920"/>
    <n v="1192"/>
    <n v="102074"/>
    <n v="88872"/>
    <n v="384"/>
    <n v="0"/>
    <n v="1920"/>
    <n v="0"/>
    <n v="1344"/>
    <n v="1400"/>
    <n v="0"/>
    <n v="0"/>
    <n v="3648"/>
    <n v="4.0533333333333337"/>
    <n v="1400"/>
    <n v="1.5555555555555556"/>
    <m/>
    <m/>
    <n v="0"/>
    <n v="0"/>
    <m/>
    <m/>
    <m/>
    <m/>
    <m/>
    <m/>
    <m/>
    <m/>
    <n v="0"/>
    <n v="0"/>
    <n v="0"/>
    <n v="0"/>
    <n v="3406.52"/>
    <n v="2963.9555555555557"/>
  </r>
  <r>
    <x v="13"/>
    <s v="Vernon College "/>
    <s v="Met the requirments for  Two-year 3 in 2020-21"/>
    <n v="229504"/>
    <x v="7"/>
    <m/>
    <m/>
    <n v="22882"/>
    <n v="23349"/>
    <n v="2567"/>
    <n v="2467"/>
    <n v="3613"/>
    <n v="3912"/>
    <n v="25219"/>
    <n v="23765"/>
    <n v="54281"/>
    <n v="1809.3666666666666"/>
    <n v="53493"/>
    <n v="1783.1"/>
    <n v="8235"/>
    <n v="8957"/>
    <n v="54281"/>
    <n v="53493"/>
    <n v="58227"/>
    <n v="55757"/>
    <n v="58552"/>
    <n v="32096"/>
    <n v="28434"/>
    <n v="15016"/>
    <n v="66305"/>
    <n v="65616"/>
    <n v="211518"/>
    <n v="235.02"/>
    <n v="168485"/>
    <n v="187.20555555555555"/>
    <m/>
    <m/>
    <n v="0"/>
    <n v="0"/>
    <m/>
    <m/>
    <m/>
    <m/>
    <m/>
    <m/>
    <m/>
    <m/>
    <n v="0"/>
    <n v="0"/>
    <n v="0"/>
    <n v="0"/>
    <n v="2044.3866666666665"/>
    <n v="1970.3055555555554"/>
  </r>
  <r>
    <x v="13"/>
    <s v="Victoria College "/>
    <m/>
    <n v="229540"/>
    <x v="7"/>
    <m/>
    <m/>
    <n v="26008"/>
    <n v="24997"/>
    <n v="7204"/>
    <n v="7545"/>
    <n v="0"/>
    <n v="0"/>
    <n v="28637"/>
    <n v="24574"/>
    <n v="61849"/>
    <n v="2061.6333333333332"/>
    <n v="57116"/>
    <n v="1903.8666666666666"/>
    <n v="6811"/>
    <n v="6033"/>
    <n v="61849"/>
    <n v="57116"/>
    <n v="35154"/>
    <n v="28270"/>
    <n v="18716"/>
    <n v="13718"/>
    <n v="21181"/>
    <n v="14695"/>
    <n v="31852"/>
    <n v="31559"/>
    <n v="106903"/>
    <n v="118.78111111111112"/>
    <n v="88242"/>
    <n v="98.046666666666667"/>
    <m/>
    <m/>
    <n v="0"/>
    <n v="0"/>
    <m/>
    <m/>
    <m/>
    <m/>
    <m/>
    <m/>
    <m/>
    <m/>
    <n v="0"/>
    <n v="0"/>
    <n v="0"/>
    <n v="0"/>
    <n v="2180.4144444444441"/>
    <n v="2001.9133333333332"/>
  </r>
  <r>
    <x v="13"/>
    <s v="Weatherford College "/>
    <m/>
    <n v="229799"/>
    <x v="7"/>
    <m/>
    <m/>
    <n v="47389"/>
    <n v="46080"/>
    <n v="7445"/>
    <n v="6740"/>
    <n v="5527"/>
    <n v="5813"/>
    <n v="48948"/>
    <n v="46253"/>
    <n v="109309"/>
    <n v="3643.6333333333332"/>
    <n v="104886"/>
    <n v="3496.2"/>
    <n v="18993"/>
    <n v="17064"/>
    <n v="109309"/>
    <n v="104886"/>
    <n v="31841"/>
    <n v="25023"/>
    <n v="36919"/>
    <n v="10408"/>
    <n v="22382"/>
    <n v="26999"/>
    <n v="29692"/>
    <n v="14092"/>
    <n v="120834"/>
    <n v="134.26"/>
    <n v="76522"/>
    <n v="85.024444444444441"/>
    <m/>
    <m/>
    <n v="0"/>
    <n v="0"/>
    <m/>
    <m/>
    <m/>
    <m/>
    <m/>
    <m/>
    <m/>
    <m/>
    <n v="0"/>
    <n v="0"/>
    <n v="0"/>
    <n v="0"/>
    <n v="3777.8933333333334"/>
    <n v="3581.2244444444441"/>
  </r>
  <r>
    <x v="13"/>
    <s v="Wharton County Junior College "/>
    <m/>
    <n v="229841"/>
    <x v="7"/>
    <m/>
    <m/>
    <n v="60208"/>
    <n v="59528"/>
    <n v="10674"/>
    <n v="10245"/>
    <n v="5552"/>
    <n v="5883"/>
    <n v="66772"/>
    <n v="57917"/>
    <n v="143206"/>
    <n v="4773.5333333333338"/>
    <n v="133573"/>
    <n v="4452.4333333333334"/>
    <n v="6588"/>
    <n v="6738"/>
    <n v="143206"/>
    <n v="133573"/>
    <n v="6457"/>
    <n v="7544"/>
    <n v="8028"/>
    <n v="2968"/>
    <n v="10972"/>
    <n v="8709"/>
    <n v="9537"/>
    <n v="7098"/>
    <n v="34994"/>
    <n v="38.882222222222225"/>
    <n v="26319"/>
    <n v="29.243333333333332"/>
    <m/>
    <m/>
    <n v="0"/>
    <n v="0"/>
    <m/>
    <m/>
    <m/>
    <m/>
    <m/>
    <m/>
    <m/>
    <m/>
    <n v="0"/>
    <n v="0"/>
    <n v="0"/>
    <n v="0"/>
    <n v="4812.4155555555562"/>
    <n v="4481.6766666666663"/>
  </r>
  <r>
    <x v="13"/>
    <s v="Clarendon College "/>
    <m/>
    <n v="223922"/>
    <x v="8"/>
    <m/>
    <m/>
    <n v="12969"/>
    <n v="13076"/>
    <n v="1053"/>
    <n v="844"/>
    <n v="2422"/>
    <n v="2476"/>
    <n v="13868"/>
    <n v="12614"/>
    <n v="30312"/>
    <n v="1010.4"/>
    <n v="29010"/>
    <n v="967"/>
    <n v="7976"/>
    <n v="7738"/>
    <n v="30312"/>
    <n v="29010"/>
    <n v="2020"/>
    <n v="1104"/>
    <n v="2760"/>
    <n v="0"/>
    <n v="1488"/>
    <n v="2376"/>
    <n v="992"/>
    <n v="2552"/>
    <n v="7260"/>
    <n v="8.0666666666666664"/>
    <n v="6032"/>
    <n v="6.7022222222222219"/>
    <m/>
    <m/>
    <n v="0"/>
    <n v="0"/>
    <m/>
    <m/>
    <m/>
    <m/>
    <m/>
    <m/>
    <m/>
    <m/>
    <n v="0"/>
    <n v="0"/>
    <n v="0"/>
    <n v="0"/>
    <n v="1018.4666666666667"/>
    <n v="973.70222222222219"/>
  </r>
  <r>
    <x v="13"/>
    <s v="Frank Phillips College "/>
    <m/>
    <n v="224891"/>
    <x v="8"/>
    <m/>
    <m/>
    <n v="12074"/>
    <n v="11863"/>
    <n v="1341"/>
    <n v="1787"/>
    <n v="824"/>
    <n v="1006"/>
    <n v="13283"/>
    <n v="13751"/>
    <n v="27522"/>
    <n v="917.4"/>
    <n v="28407"/>
    <n v="946.9"/>
    <n v="10288"/>
    <n v="10545"/>
    <n v="27522"/>
    <n v="28407"/>
    <n v="11400"/>
    <n v="17525"/>
    <n v="7239"/>
    <n v="7898"/>
    <n v="11281"/>
    <n v="11312"/>
    <n v="18152"/>
    <n v="18493"/>
    <n v="48072"/>
    <n v="53.413333333333334"/>
    <n v="55228"/>
    <n v="61.364444444444445"/>
    <m/>
    <m/>
    <n v="0"/>
    <n v="0"/>
    <m/>
    <m/>
    <m/>
    <m/>
    <m/>
    <m/>
    <m/>
    <m/>
    <n v="0"/>
    <n v="0"/>
    <n v="0"/>
    <n v="0"/>
    <n v="970.81333333333328"/>
    <n v="1008.2644444444444"/>
  </r>
  <r>
    <x v="13"/>
    <s v="Galveston College "/>
    <m/>
    <n v="224961"/>
    <x v="8"/>
    <m/>
    <m/>
    <n v="18693"/>
    <n v="18697"/>
    <n v="4078"/>
    <n v="3300"/>
    <n v="3643"/>
    <n v="4562"/>
    <n v="19847"/>
    <n v="18166"/>
    <n v="46261"/>
    <n v="1542.0333333333333"/>
    <n v="44725"/>
    <n v="1490.8333333333333"/>
    <n v="6212"/>
    <n v="6491"/>
    <n v="46261"/>
    <n v="44725"/>
    <n v="17406"/>
    <n v="24177"/>
    <n v="8028"/>
    <n v="432"/>
    <n v="8069"/>
    <n v="2028"/>
    <n v="27676"/>
    <n v="15463"/>
    <n v="61179"/>
    <n v="67.976666666666674"/>
    <n v="42100"/>
    <n v="46.777777777777779"/>
    <m/>
    <m/>
    <n v="0"/>
    <n v="0"/>
    <m/>
    <m/>
    <m/>
    <m/>
    <m/>
    <m/>
    <m/>
    <m/>
    <n v="0"/>
    <n v="0"/>
    <n v="0"/>
    <n v="0"/>
    <n v="1610.01"/>
    <n v="1537.6111111111111"/>
  </r>
  <r>
    <x v="13"/>
    <s v="Lamar State College-Orange"/>
    <m/>
    <n v="226107"/>
    <x v="8"/>
    <m/>
    <m/>
    <n v="17896"/>
    <n v="19031"/>
    <n v="4696"/>
    <n v="8765"/>
    <n v="0"/>
    <n v="0"/>
    <n v="21186"/>
    <n v="20531"/>
    <n v="43778"/>
    <n v="1459.2666666666667"/>
    <n v="48327"/>
    <n v="1610.9"/>
    <n v="5942"/>
    <n v="7072"/>
    <n v="43778"/>
    <n v="48327"/>
    <n v="2534"/>
    <n v="8783"/>
    <n v="2009"/>
    <n v="1768"/>
    <n v="13824"/>
    <n v="7206"/>
    <n v="3025"/>
    <n v="1931"/>
    <n v="21392"/>
    <n v="23.768888888888888"/>
    <n v="19688"/>
    <n v="21.875555555555554"/>
    <m/>
    <m/>
    <n v="0"/>
    <n v="0"/>
    <m/>
    <m/>
    <m/>
    <m/>
    <m/>
    <m/>
    <m/>
    <m/>
    <n v="0"/>
    <n v="0"/>
    <n v="0"/>
    <n v="0"/>
    <n v="1483.0355555555554"/>
    <n v="1632.7755555555557"/>
  </r>
  <r>
    <x v="13"/>
    <s v="Lamar State College-Port Arthur"/>
    <s v="Met the criteria for Two-Year 2 in 2019-20."/>
    <n v="226116"/>
    <x v="8"/>
    <m/>
    <m/>
    <n v="21746"/>
    <n v="22534"/>
    <n v="5965"/>
    <n v="8953"/>
    <n v="0"/>
    <n v="0"/>
    <n v="24476"/>
    <n v="22662"/>
    <n v="52187"/>
    <n v="1739.5666666666666"/>
    <n v="54149"/>
    <n v="1804.9666666666667"/>
    <n v="8297"/>
    <n v="10086"/>
    <n v="52187"/>
    <n v="54149"/>
    <n v="68131"/>
    <n v="36551"/>
    <n v="62540"/>
    <n v="3160"/>
    <n v="55664"/>
    <n v="7152"/>
    <n v="66608"/>
    <n v="24624"/>
    <n v="252943"/>
    <n v="281.04777777777775"/>
    <n v="71487"/>
    <n v="79.430000000000007"/>
    <m/>
    <m/>
    <n v="0"/>
    <n v="0"/>
    <m/>
    <m/>
    <m/>
    <m/>
    <m/>
    <m/>
    <m/>
    <m/>
    <n v="0"/>
    <n v="0"/>
    <n v="0"/>
    <n v="0"/>
    <n v="2020.6144444444444"/>
    <n v="1884.3966666666668"/>
  </r>
  <r>
    <x v="13"/>
    <s v="Northeast Lakeview College (ACCD)"/>
    <s v="Reclassifed Met the criteria for Two-Year 2 in 2018-19 and 2019-20 and 2020-21"/>
    <n v="488730"/>
    <x v="7"/>
    <m/>
    <m/>
    <n v="42436"/>
    <n v="47061"/>
    <n v="11929"/>
    <n v="10298"/>
    <n v="0"/>
    <n v="0"/>
    <n v="51705"/>
    <n v="44986"/>
    <n v="106070"/>
    <n v="3535.6666666666665"/>
    <n v="102345"/>
    <n v="3411.5"/>
    <n v="11300"/>
    <n v="13148"/>
    <n v="106070"/>
    <n v="102345"/>
    <n v="5504"/>
    <n v="5808"/>
    <n v="9140"/>
    <n v="3952"/>
    <n v="7072"/>
    <n v="2384"/>
    <n v="4168"/>
    <n v="3616"/>
    <n v="25884"/>
    <n v="28.76"/>
    <n v="15760"/>
    <n v="17.511111111111113"/>
    <m/>
    <m/>
    <n v="0"/>
    <n v="0"/>
    <m/>
    <m/>
    <m/>
    <m/>
    <m/>
    <m/>
    <m/>
    <m/>
    <n v="0"/>
    <n v="0"/>
    <n v="0"/>
    <n v="0"/>
    <n v="3564.4266666666667"/>
    <n v="3429.0111111111109"/>
  </r>
  <r>
    <x v="13"/>
    <s v="Panola College"/>
    <m/>
    <n v="227386"/>
    <x v="8"/>
    <m/>
    <m/>
    <n v="22498"/>
    <n v="20595"/>
    <n v="3321"/>
    <n v="3321"/>
    <n v="2457"/>
    <n v="1908"/>
    <n v="23667"/>
    <n v="22918"/>
    <n v="51943"/>
    <n v="1731.4333333333334"/>
    <n v="48742"/>
    <n v="1624.7333333333333"/>
    <n v="10417"/>
    <n v="11241"/>
    <n v="51943"/>
    <n v="48742"/>
    <n v="14463"/>
    <n v="8826"/>
    <n v="8466"/>
    <n v="6434"/>
    <n v="11658"/>
    <n v="13645"/>
    <n v="18428"/>
    <n v="13291"/>
    <n v="53015"/>
    <n v="58.905555555555559"/>
    <n v="42196"/>
    <n v="46.884444444444448"/>
    <m/>
    <m/>
    <n v="0"/>
    <n v="0"/>
    <m/>
    <m/>
    <m/>
    <m/>
    <m/>
    <m/>
    <m/>
    <m/>
    <n v="0"/>
    <n v="0"/>
    <n v="0"/>
    <n v="0"/>
    <n v="1790.338888888889"/>
    <n v="1671.6177777777777"/>
  </r>
  <r>
    <x v="13"/>
    <s v="Ranger College "/>
    <m/>
    <n v="227687"/>
    <x v="8"/>
    <m/>
    <m/>
    <n v="19787"/>
    <n v="19494"/>
    <n v="3306"/>
    <n v="3050"/>
    <n v="1189"/>
    <n v="931"/>
    <n v="21772"/>
    <n v="21363"/>
    <n v="46054"/>
    <n v="1535.1333333333334"/>
    <n v="44838"/>
    <n v="1494.6"/>
    <n v="13702"/>
    <n v="13286"/>
    <n v="46054"/>
    <n v="44838"/>
    <n v="21228"/>
    <n v="20456"/>
    <n v="8400"/>
    <n v="20262"/>
    <n v="15112"/>
    <n v="8062"/>
    <n v="6200"/>
    <n v="5528"/>
    <n v="50940"/>
    <n v="56.6"/>
    <n v="54308"/>
    <n v="60.342222222222219"/>
    <m/>
    <m/>
    <n v="0"/>
    <n v="0"/>
    <m/>
    <m/>
    <m/>
    <m/>
    <m/>
    <m/>
    <m/>
    <m/>
    <n v="0"/>
    <n v="0"/>
    <n v="0"/>
    <n v="0"/>
    <n v="1591.7333333333333"/>
    <n v="1554.9422222222222"/>
  </r>
  <r>
    <x v="13"/>
    <s v="Southwest Collegiate Institute for the Deaf (HCJCD)"/>
    <m/>
    <n v="382911"/>
    <x v="8"/>
    <m/>
    <m/>
    <n v="867"/>
    <n v="627"/>
    <n v="9"/>
    <n v="0"/>
    <n v="0"/>
    <n v="0"/>
    <n v="667"/>
    <n v="469"/>
    <n v="1543"/>
    <n v="51.43333333333333"/>
    <n v="1096"/>
    <n v="36.533333333333331"/>
    <n v="0"/>
    <n v="15"/>
    <n v="1543"/>
    <n v="1096"/>
    <m/>
    <n v="0"/>
    <m/>
    <n v="0"/>
    <m/>
    <n v="0"/>
    <m/>
    <n v="0"/>
    <n v="0"/>
    <n v="0"/>
    <n v="0"/>
    <n v="0"/>
    <m/>
    <m/>
    <n v="0"/>
    <n v="0"/>
    <m/>
    <m/>
    <m/>
    <m/>
    <m/>
    <m/>
    <m/>
    <m/>
    <n v="0"/>
    <n v="0"/>
    <n v="0"/>
    <n v="0"/>
    <n v="51.43333333333333"/>
    <n v="36.533333333333331"/>
  </r>
  <r>
    <x v="13"/>
    <s v="Texas State Technical College-Fort Bend"/>
    <m/>
    <s v="N/A"/>
    <x v="8"/>
    <m/>
    <m/>
    <n v="3766"/>
    <n v="4525"/>
    <n v="2494"/>
    <n v="24"/>
    <n v="0"/>
    <n v="0"/>
    <n v="5387"/>
    <n v="7933"/>
    <n v="11647"/>
    <n v="388.23333333333335"/>
    <n v="12482"/>
    <n v="416.06666666666666"/>
    <n v="187"/>
    <n v="247"/>
    <n v="11647"/>
    <n v="12482"/>
    <m/>
    <n v="0"/>
    <m/>
    <n v="0"/>
    <m/>
    <n v="460"/>
    <m/>
    <n v="0"/>
    <n v="0"/>
    <n v="0"/>
    <n v="460"/>
    <n v="0.51111111111111107"/>
    <m/>
    <m/>
    <n v="0"/>
    <n v="0"/>
    <m/>
    <m/>
    <m/>
    <m/>
    <m/>
    <m/>
    <m/>
    <m/>
    <n v="0"/>
    <n v="0"/>
    <n v="0"/>
    <n v="0"/>
    <n v="388.23333333333335"/>
    <n v="416.57777777777778"/>
  </r>
  <r>
    <x v="13"/>
    <s v="Texas State Technical College-Marshall"/>
    <m/>
    <n v="408394"/>
    <x v="8"/>
    <m/>
    <m/>
    <n v="4510"/>
    <n v="4788"/>
    <n v="2502"/>
    <n v="312"/>
    <n v="0"/>
    <n v="0"/>
    <n v="5769"/>
    <n v="8025"/>
    <n v="12781"/>
    <n v="426.03333333333336"/>
    <n v="13125"/>
    <n v="437.5"/>
    <n v="304"/>
    <n v="213"/>
    <n v="12781"/>
    <n v="13125"/>
    <m/>
    <n v="0"/>
    <m/>
    <n v="0"/>
    <m/>
    <n v="0"/>
    <m/>
    <n v="0"/>
    <n v="0"/>
    <n v="0"/>
    <n v="0"/>
    <n v="0"/>
    <m/>
    <m/>
    <n v="0"/>
    <n v="0"/>
    <m/>
    <m/>
    <m/>
    <m/>
    <m/>
    <m/>
    <m/>
    <m/>
    <n v="0"/>
    <n v="0"/>
    <n v="0"/>
    <n v="0"/>
    <n v="426.03333333333336"/>
    <n v="437.5"/>
  </r>
  <r>
    <x v="13"/>
    <s v="Texas State Technical College-North Texas"/>
    <m/>
    <s v="N/A"/>
    <x v="8"/>
    <m/>
    <m/>
    <n v="1980"/>
    <n v="1958"/>
    <n v="1135"/>
    <n v="0"/>
    <n v="0"/>
    <n v="0"/>
    <n v="2161"/>
    <n v="3898"/>
    <n v="5276"/>
    <n v="175.86666666666667"/>
    <n v="5856"/>
    <n v="195.2"/>
    <n v="240"/>
    <n v="235"/>
    <n v="5276"/>
    <n v="5856"/>
    <m/>
    <n v="0"/>
    <m/>
    <n v="0"/>
    <m/>
    <n v="0"/>
    <m/>
    <n v="0"/>
    <n v="0"/>
    <n v="0"/>
    <n v="0"/>
    <n v="0"/>
    <m/>
    <m/>
    <n v="0"/>
    <n v="0"/>
    <m/>
    <m/>
    <m/>
    <m/>
    <m/>
    <m/>
    <m/>
    <m/>
    <n v="0"/>
    <n v="0"/>
    <n v="0"/>
    <n v="0"/>
    <n v="175.86666666666667"/>
    <n v="195.2"/>
  </r>
  <r>
    <x v="13"/>
    <s v="Texas State Technical College-West Texas"/>
    <m/>
    <n v="229328"/>
    <x v="8"/>
    <m/>
    <m/>
    <n v="11349"/>
    <n v="12263"/>
    <n v="8379"/>
    <n v="4785"/>
    <n v="0"/>
    <n v="0"/>
    <n v="13630"/>
    <n v="15799"/>
    <n v="33358"/>
    <n v="1111.9333333333334"/>
    <n v="32847"/>
    <n v="1094.9000000000001"/>
    <m/>
    <n v="1489"/>
    <n v="0"/>
    <n v="32847"/>
    <n v="420"/>
    <n v="700"/>
    <n v="0"/>
    <n v="300"/>
    <n v="1060"/>
    <n v="800"/>
    <n v="1512"/>
    <n v="480"/>
    <n v="2992"/>
    <n v="3.3244444444444445"/>
    <n v="2280"/>
    <n v="2.5333333333333332"/>
    <m/>
    <m/>
    <n v="0"/>
    <n v="0"/>
    <m/>
    <m/>
    <m/>
    <m/>
    <m/>
    <m/>
    <m/>
    <m/>
    <n v="0"/>
    <n v="0"/>
    <n v="0"/>
    <n v="0"/>
    <n v="1115.2577777777778"/>
    <n v="1097.4333333333334"/>
  </r>
  <r>
    <x v="13"/>
    <s v="Western Texas College "/>
    <m/>
    <n v="229832"/>
    <x v="8"/>
    <m/>
    <m/>
    <n v="16308"/>
    <n v="15536"/>
    <n v="7242"/>
    <n v="4643"/>
    <n v="3672"/>
    <n v="3381"/>
    <n v="15574"/>
    <n v="11865"/>
    <n v="42796"/>
    <n v="1426.5333333333333"/>
    <n v="35425"/>
    <n v="1180.8333333333333"/>
    <m/>
    <n v="8616"/>
    <n v="0"/>
    <n v="35425"/>
    <n v="41850"/>
    <n v="29459"/>
    <n v="31427"/>
    <n v="23188"/>
    <n v="15782"/>
    <n v="20288"/>
    <n v="36778"/>
    <n v="10868"/>
    <n v="125837"/>
    <n v="139.81888888888889"/>
    <n v="83803"/>
    <n v="93.114444444444445"/>
    <m/>
    <m/>
    <n v="0"/>
    <n v="0"/>
    <m/>
    <m/>
    <m/>
    <m/>
    <m/>
    <m/>
    <m/>
    <m/>
    <n v="0"/>
    <n v="0"/>
    <n v="0"/>
    <n v="0"/>
    <n v="1566.3522222222223"/>
    <n v="1273.9477777777777"/>
  </r>
  <r>
    <x v="13"/>
    <s v="Alamo Community College District (ACCD)"/>
    <m/>
    <m/>
    <x v="14"/>
    <m/>
    <m/>
    <n v="294850"/>
    <n v="445966"/>
    <n v="106864"/>
    <n v="138081"/>
    <n v="0"/>
    <n v="0"/>
    <n v="329099"/>
    <n v="454864"/>
    <n v="730813"/>
    <n v="24360.433333333334"/>
    <n v="1038911"/>
    <n v="34630.366666666669"/>
    <n v="77807"/>
    <n v="160790"/>
    <n v="730813"/>
    <n v="1038911"/>
    <n v="26197"/>
    <n v="72804"/>
    <n v="33589"/>
    <n v="37091"/>
    <n v="28742"/>
    <n v="47576"/>
    <n v="32246"/>
    <n v="40162"/>
    <n v="120774"/>
    <n v="134.19333333333333"/>
    <n v="197633"/>
    <n v="219.59222222222223"/>
    <m/>
    <m/>
    <n v="0"/>
    <n v="0"/>
    <m/>
    <m/>
    <m/>
    <m/>
    <m/>
    <m/>
    <m/>
    <m/>
    <n v="0"/>
    <n v="0"/>
    <n v="0"/>
    <n v="0"/>
    <n v="24494.626666666667"/>
    <n v="34849.95888888889"/>
  </r>
  <r>
    <x v="13"/>
    <s v="Dallas County Community College District (DCCCD)"/>
    <m/>
    <m/>
    <x v="14"/>
    <m/>
    <m/>
    <n v="593461"/>
    <n v="612679"/>
    <n v="354196"/>
    <n v="384352"/>
    <n v="0"/>
    <n v="0"/>
    <n v="515287"/>
    <n v="0"/>
    <n v="1462944"/>
    <n v="48764.800000000003"/>
    <n v="997031"/>
    <n v="33234.366666666669"/>
    <n v="270836"/>
    <n v="154139"/>
    <n v="1462944"/>
    <n v="997031"/>
    <n v="472429"/>
    <n v="594370"/>
    <n v="416600"/>
    <n v="357622"/>
    <n v="524058"/>
    <n v="199105"/>
    <n v="634309"/>
    <m/>
    <n v="2047396"/>
    <n v="2274.8844444444444"/>
    <n v="1151097"/>
    <n v="1278.9966666666667"/>
    <m/>
    <m/>
    <n v="0"/>
    <n v="0"/>
    <m/>
    <m/>
    <m/>
    <m/>
    <m/>
    <m/>
    <m/>
    <m/>
    <n v="0"/>
    <n v="0"/>
    <n v="0"/>
    <n v="0"/>
    <n v="51039.68444444445"/>
    <n v="34513.363333333335"/>
  </r>
  <r>
    <x v="13"/>
    <s v="Howard County Community/Junior College District (HCJCD)"/>
    <m/>
    <m/>
    <x v="14"/>
    <m/>
    <m/>
    <n v="27691"/>
    <n v="25699"/>
    <n v="4536"/>
    <n v="4414"/>
    <n v="1948"/>
    <n v="2174"/>
    <n v="32148"/>
    <n v="28547"/>
    <n v="66323"/>
    <n v="2210.7666666666669"/>
    <n v="60834"/>
    <n v="2027.8"/>
    <n v="18252"/>
    <n v="15202"/>
    <n v="66323"/>
    <n v="60834"/>
    <n v="118680"/>
    <n v="112996"/>
    <n v="152630"/>
    <n v="14690"/>
    <n v="96293"/>
    <n v="31336"/>
    <n v="128831"/>
    <n v="40849"/>
    <n v="496434"/>
    <n v="551.59333333333336"/>
    <n v="199871"/>
    <n v="222.07888888888888"/>
    <m/>
    <m/>
    <n v="0"/>
    <n v="0"/>
    <m/>
    <m/>
    <m/>
    <m/>
    <m/>
    <m/>
    <m/>
    <m/>
    <n v="0"/>
    <n v="0"/>
    <n v="0"/>
    <n v="0"/>
    <n v="2762.36"/>
    <n v="2249.8788888888889"/>
  </r>
  <r>
    <x v="13"/>
    <s v="University of North Texas at Dallas"/>
    <s v="corrected sreb category "/>
    <n v="484905"/>
    <x v="3"/>
    <m/>
    <m/>
    <n v="0"/>
    <n v="0"/>
    <n v="30606"/>
    <n v="32598"/>
    <n v="7757"/>
    <n v="10503"/>
    <n v="35236"/>
    <n v="36674"/>
    <n v="73599"/>
    <n v="2453.3000000000002"/>
    <n v="79775"/>
    <n v="2659.1666666666665"/>
    <m/>
    <n v="0"/>
    <n v="0"/>
    <n v="79775"/>
    <m/>
    <m/>
    <m/>
    <m/>
    <m/>
    <m/>
    <m/>
    <m/>
    <n v="0"/>
    <n v="0"/>
    <n v="0"/>
    <n v="0"/>
    <m/>
    <m/>
    <n v="0"/>
    <n v="0"/>
    <m/>
    <m/>
    <n v="7021"/>
    <n v="7270"/>
    <n v="3016"/>
    <n v="2683"/>
    <n v="7243"/>
    <n v="7314"/>
    <n v="17280"/>
    <n v="720"/>
    <n v="17267"/>
    <n v="719.45833333333337"/>
    <n v="3173.3"/>
    <n v="3378.625"/>
  </r>
  <r>
    <x v="13"/>
    <s v="Alamo Community College District (ACCD)"/>
    <m/>
    <m/>
    <x v="15"/>
    <m/>
    <m/>
    <n v="252414"/>
    <n v="398905"/>
    <n v="94935"/>
    <n v="127783"/>
    <n v="0"/>
    <n v="0"/>
    <n v="277394"/>
    <n v="409878"/>
    <n v="624743"/>
    <n v="20824.766666666666"/>
    <n v="936566"/>
    <n v="31218.866666666665"/>
    <n v="66507"/>
    <n v="147642"/>
    <n v="624743"/>
    <n v="936566"/>
    <n v="20693"/>
    <n v="66996"/>
    <n v="24449"/>
    <n v="33139"/>
    <n v="21670"/>
    <n v="45192"/>
    <n v="28078"/>
    <n v="36546"/>
    <n v="94890"/>
    <n v="105.43333333333334"/>
    <n v="181873"/>
    <n v="202.08111111111111"/>
    <m/>
    <m/>
    <n v="0"/>
    <n v="0"/>
    <m/>
    <m/>
    <m/>
    <m/>
    <m/>
    <m/>
    <m/>
    <m/>
    <n v="0"/>
    <n v="0"/>
    <n v="0"/>
    <n v="0"/>
    <n v="20930.2"/>
    <n v="31420.947777777776"/>
  </r>
  <r>
    <x v="13"/>
    <s v="Dallas County Community College District (DCCCD)"/>
    <m/>
    <m/>
    <x v="15"/>
    <m/>
    <m/>
    <n v="538294"/>
    <n v="552665"/>
    <n v="320019"/>
    <n v="348485"/>
    <n v="0"/>
    <n v="0"/>
    <n v="468317"/>
    <m/>
    <n v="1326630"/>
    <n v="44221"/>
    <n v="901150"/>
    <n v="30038.333333333332"/>
    <n v="245489"/>
    <n v="140281"/>
    <n v="1326630"/>
    <n v="901150"/>
    <n v="433984"/>
    <n v="548475"/>
    <n v="381374"/>
    <n v="232243"/>
    <n v="444786"/>
    <n v="150701"/>
    <n v="605769"/>
    <m/>
    <n v="1865913"/>
    <n v="2073.2366666666667"/>
    <n v="931419"/>
    <n v="1034.9100000000001"/>
    <m/>
    <m/>
    <n v="0"/>
    <n v="0"/>
    <m/>
    <m/>
    <m/>
    <m/>
    <m/>
    <m/>
    <m/>
    <m/>
    <n v="0"/>
    <n v="0"/>
    <n v="0"/>
    <n v="0"/>
    <n v="46294.236666666664"/>
    <n v="31073.243333333332"/>
  </r>
  <r>
    <x v="13"/>
    <s v="Dallas County Community College District (DCCCD)"/>
    <m/>
    <m/>
    <x v="16"/>
    <m/>
    <m/>
    <n v="55167"/>
    <n v="60014"/>
    <n v="34177"/>
    <n v="35867"/>
    <n v="0"/>
    <n v="0"/>
    <n v="46970"/>
    <m/>
    <n v="136314"/>
    <n v="4543.8"/>
    <n v="95881"/>
    <n v="3196.0333333333333"/>
    <n v="25347"/>
    <n v="13858"/>
    <n v="136314"/>
    <n v="95881"/>
    <n v="38445"/>
    <n v="45895"/>
    <n v="35226"/>
    <n v="125379"/>
    <n v="79272"/>
    <n v="48404"/>
    <n v="28540"/>
    <m/>
    <n v="181483"/>
    <n v="201.64777777777778"/>
    <n v="219678"/>
    <n v="244.08666666666667"/>
    <m/>
    <m/>
    <n v="0"/>
    <n v="0"/>
    <m/>
    <m/>
    <m/>
    <m/>
    <m/>
    <m/>
    <m/>
    <m/>
    <n v="0"/>
    <n v="0"/>
    <n v="0"/>
    <n v="0"/>
    <n v="4745.4477777777784"/>
    <n v="3440.12"/>
  </r>
  <r>
    <x v="13"/>
    <s v="Howard County Community/Junior College District (HCJCD)"/>
    <m/>
    <m/>
    <x v="16"/>
    <m/>
    <m/>
    <n v="26824"/>
    <n v="25072"/>
    <n v="4527"/>
    <n v="4414"/>
    <n v="1948"/>
    <n v="2174"/>
    <n v="31481"/>
    <n v="28078"/>
    <n v="64780"/>
    <n v="2159.3333333333335"/>
    <n v="59738"/>
    <n v="1991.2666666666667"/>
    <n v="18252"/>
    <n v="15202"/>
    <n v="64780"/>
    <n v="59738"/>
    <n v="118680"/>
    <n v="112996"/>
    <n v="152630"/>
    <n v="14690"/>
    <n v="96293"/>
    <n v="31336"/>
    <n v="128831"/>
    <n v="40849"/>
    <n v="496434"/>
    <n v="551.59333333333336"/>
    <n v="199871"/>
    <n v="222.07888888888888"/>
    <m/>
    <m/>
    <n v="0"/>
    <n v="0"/>
    <m/>
    <m/>
    <m/>
    <m/>
    <m/>
    <m/>
    <m/>
    <m/>
    <n v="0"/>
    <n v="0"/>
    <n v="0"/>
    <n v="0"/>
    <n v="2710.9266666666667"/>
    <n v="2213.3455555555556"/>
  </r>
  <r>
    <x v="13"/>
    <s v="Alamo Community College District (ACCD)"/>
    <m/>
    <m/>
    <x v="17"/>
    <m/>
    <m/>
    <n v="42436"/>
    <n v="47061"/>
    <n v="11929"/>
    <n v="10298"/>
    <n v="0"/>
    <n v="0"/>
    <n v="51705"/>
    <n v="44986"/>
    <n v="106070"/>
    <n v="3535.6666666666665"/>
    <n v="102345"/>
    <n v="3411.5"/>
    <n v="11300"/>
    <n v="13148"/>
    <n v="106070"/>
    <n v="102345"/>
    <n v="5504"/>
    <n v="5808"/>
    <n v="9140"/>
    <n v="3952"/>
    <n v="7072"/>
    <n v="2384"/>
    <n v="4168"/>
    <n v="3616"/>
    <n v="25884"/>
    <n v="28.76"/>
    <n v="15760"/>
    <n v="17.511111111111113"/>
    <m/>
    <m/>
    <n v="0"/>
    <n v="0"/>
    <m/>
    <m/>
    <m/>
    <m/>
    <m/>
    <m/>
    <m/>
    <m/>
    <n v="0"/>
    <n v="0"/>
    <n v="0"/>
    <n v="0"/>
    <n v="3564.4266666666667"/>
    <n v="3429.0111111111109"/>
  </r>
  <r>
    <x v="13"/>
    <s v="Howard County Community/Junior College District (HCJCD)"/>
    <m/>
    <m/>
    <x v="17"/>
    <m/>
    <m/>
    <n v="867"/>
    <n v="627"/>
    <n v="9"/>
    <n v="0"/>
    <n v="0"/>
    <n v="0"/>
    <n v="667"/>
    <n v="469"/>
    <n v="1543"/>
    <n v="51.43333333333333"/>
    <n v="1096"/>
    <n v="36.533333333333331"/>
    <n v="0"/>
    <n v="0"/>
    <n v="1543"/>
    <n v="1096"/>
    <n v="0"/>
    <n v="0"/>
    <n v="0"/>
    <n v="0"/>
    <n v="0"/>
    <n v="0"/>
    <n v="0"/>
    <n v="0"/>
    <n v="0"/>
    <n v="0"/>
    <n v="0"/>
    <n v="0"/>
    <m/>
    <m/>
    <n v="0"/>
    <n v="0"/>
    <m/>
    <m/>
    <m/>
    <m/>
    <m/>
    <m/>
    <m/>
    <m/>
    <n v="0"/>
    <n v="0"/>
    <n v="0"/>
    <n v="0"/>
    <n v="51.43333333333333"/>
    <n v="36.533333333333331"/>
  </r>
  <r>
    <x v="13"/>
    <s v="Dallas County Community College District (DCCCD)"/>
    <s v="NEW"/>
    <n v="224615"/>
    <x v="8"/>
    <m/>
    <m/>
    <m/>
    <m/>
    <m/>
    <m/>
    <m/>
    <m/>
    <m/>
    <n v="380470"/>
    <n v="0"/>
    <n v="0"/>
    <n v="380470"/>
    <n v="12682.333333333334"/>
    <m/>
    <n v="58234"/>
    <n v="0"/>
    <n v="380470"/>
    <m/>
    <m/>
    <m/>
    <m/>
    <m/>
    <m/>
    <m/>
    <n v="274467"/>
    <n v="0"/>
    <n v="0"/>
    <n v="274467"/>
    <n v="304.96333333333331"/>
    <m/>
    <m/>
    <n v="0"/>
    <n v="0"/>
    <m/>
    <m/>
    <m/>
    <m/>
    <m/>
    <m/>
    <m/>
    <m/>
    <n v="0"/>
    <n v="0"/>
    <n v="0"/>
    <n v="0"/>
    <n v="0"/>
    <n v="12987.296666666667"/>
  </r>
  <r>
    <x v="14"/>
    <s v="George Mason University "/>
    <s v=" "/>
    <n v="232186"/>
    <x v="0"/>
    <m/>
    <m/>
    <m/>
    <m/>
    <n v="331742"/>
    <n v="338616"/>
    <n v="60579"/>
    <n v="61816"/>
    <n v="354280.5"/>
    <n v="358793.5"/>
    <n v="746601.5"/>
    <n v="24886.716666666667"/>
    <n v="759225.5"/>
    <n v="25307.516666666666"/>
    <n v="19071"/>
    <n v="14501"/>
    <n v="746601.5"/>
    <n v="759225.5"/>
    <m/>
    <m/>
    <m/>
    <m/>
    <m/>
    <m/>
    <m/>
    <m/>
    <n v="0"/>
    <n v="0"/>
    <n v="0"/>
    <n v="0"/>
    <m/>
    <m/>
    <n v="0"/>
    <n v="0"/>
    <m/>
    <m/>
    <n v="74542.5"/>
    <n v="73957.5"/>
    <n v="19111"/>
    <n v="20589"/>
    <n v="76641.5"/>
    <n v="78565"/>
    <n v="170295"/>
    <n v="7095.625"/>
    <n v="173111.5"/>
    <n v="7212.979166666667"/>
    <n v="31982.341666666667"/>
    <n v="32520.495833333334"/>
  </r>
  <r>
    <x v="14"/>
    <s v="Old Dominion University "/>
    <s v=" "/>
    <n v="232982"/>
    <x v="0"/>
    <m/>
    <m/>
    <m/>
    <m/>
    <n v="214868"/>
    <n v="213104"/>
    <n v="50618"/>
    <n v="58936"/>
    <n v="235382"/>
    <n v="238597"/>
    <n v="500868"/>
    <n v="16695.599999999999"/>
    <n v="510637"/>
    <n v="17021.233333333334"/>
    <n v="57"/>
    <n v="65"/>
    <n v="500868"/>
    <n v="510637"/>
    <m/>
    <m/>
    <m/>
    <m/>
    <m/>
    <m/>
    <m/>
    <m/>
    <n v="0"/>
    <n v="0"/>
    <n v="0"/>
    <n v="0"/>
    <m/>
    <m/>
    <n v="0"/>
    <n v="0"/>
    <m/>
    <m/>
    <n v="25832"/>
    <n v="25608"/>
    <n v="13674"/>
    <n v="14425"/>
    <n v="26891"/>
    <n v="28230"/>
    <n v="66397"/>
    <n v="2766.5416666666665"/>
    <n v="68263"/>
    <n v="2844.2916666666665"/>
    <n v="19462.141666666666"/>
    <n v="19865.525000000001"/>
  </r>
  <r>
    <x v="14"/>
    <s v="University of Virginia"/>
    <s v=" "/>
    <n v="234076"/>
    <x v="0"/>
    <m/>
    <m/>
    <m/>
    <m/>
    <n v="238170.5"/>
    <n v="238263.5"/>
    <n v="18999"/>
    <n v="21095.5"/>
    <n v="250197"/>
    <n v="243065"/>
    <n v="507366.5"/>
    <n v="16912.216666666667"/>
    <n v="502424"/>
    <n v="16747.466666666667"/>
    <n v="0"/>
    <n v="0"/>
    <n v="507366.5"/>
    <n v="502424"/>
    <m/>
    <m/>
    <m/>
    <m/>
    <m/>
    <m/>
    <m/>
    <m/>
    <n v="0"/>
    <n v="0"/>
    <n v="0"/>
    <n v="0"/>
    <m/>
    <m/>
    <n v="0"/>
    <n v="0"/>
    <m/>
    <m/>
    <n v="90742.5"/>
    <n v="91879.5"/>
    <n v="16369.5"/>
    <n v="18107"/>
    <n v="92840"/>
    <n v="90925"/>
    <n v="199952"/>
    <n v="8331.3333333333339"/>
    <n v="200911.5"/>
    <n v="8371.3125"/>
    <n v="25243.550000000003"/>
    <n v="25118.779166666667"/>
  </r>
  <r>
    <x v="14"/>
    <s v="Virginia Commonwealth University"/>
    <s v=" "/>
    <n v="234030"/>
    <x v="0"/>
    <m/>
    <m/>
    <m/>
    <m/>
    <n v="287895.5"/>
    <n v="282686.5"/>
    <n v="33632.5"/>
    <n v="43550"/>
    <n v="310358"/>
    <n v="296965"/>
    <n v="631886"/>
    <n v="21062.866666666665"/>
    <n v="623201.5"/>
    <n v="20773.383333333335"/>
    <n v="7937"/>
    <n v="3808"/>
    <n v="631886"/>
    <n v="623201.5"/>
    <m/>
    <m/>
    <m/>
    <m/>
    <m/>
    <m/>
    <m/>
    <m/>
    <n v="0"/>
    <n v="0"/>
    <n v="0"/>
    <n v="0"/>
    <m/>
    <m/>
    <n v="0"/>
    <n v="0"/>
    <m/>
    <m/>
    <n v="59799"/>
    <n v="57930.5"/>
    <n v="12727"/>
    <n v="14310"/>
    <n v="59779"/>
    <n v="61909.5"/>
    <n v="132305"/>
    <n v="5512.708333333333"/>
    <n v="134150"/>
    <n v="5589.583333333333"/>
    <n v="26575.574999999997"/>
    <n v="26362.966666666667"/>
  </r>
  <r>
    <x v="14"/>
    <s v="Virginia Tech "/>
    <s v=" "/>
    <n v="233921"/>
    <x v="0"/>
    <m/>
    <m/>
    <m/>
    <m/>
    <n v="411483"/>
    <n v="434732"/>
    <n v="28196"/>
    <n v="27925"/>
    <n v="448243"/>
    <n v="459631"/>
    <n v="887922"/>
    <n v="29597.4"/>
    <n v="922288"/>
    <n v="30742.933333333334"/>
    <n v="0"/>
    <n v="0"/>
    <n v="887922"/>
    <n v="922288"/>
    <m/>
    <m/>
    <m/>
    <m/>
    <m/>
    <m/>
    <m/>
    <m/>
    <n v="0"/>
    <n v="0"/>
    <n v="0"/>
    <n v="0"/>
    <m/>
    <m/>
    <n v="0"/>
    <n v="0"/>
    <m/>
    <m/>
    <n v="66086"/>
    <n v="68103"/>
    <n v="7015"/>
    <n v="6393"/>
    <n v="69569"/>
    <n v="69235"/>
    <n v="142670"/>
    <n v="5944.583333333333"/>
    <n v="143731"/>
    <n v="5988.791666666667"/>
    <n v="35541.983333333337"/>
    <n v="36731.724999999999"/>
  </r>
  <r>
    <x v="14"/>
    <s v="College of William &amp; Mary"/>
    <s v=" "/>
    <n v="231624"/>
    <x v="1"/>
    <m/>
    <m/>
    <m/>
    <m/>
    <n v="86129.5"/>
    <n v="85585.3"/>
    <n v="8416"/>
    <n v="7589"/>
    <n v="89598"/>
    <n v="89426"/>
    <n v="184143.5"/>
    <n v="6138.1166666666668"/>
    <n v="182600.3"/>
    <n v="6086.6766666666663"/>
    <n v="0"/>
    <n v="0"/>
    <n v="184143.5"/>
    <n v="182600.3"/>
    <m/>
    <m/>
    <m/>
    <m/>
    <m/>
    <m/>
    <m/>
    <m/>
    <n v="0"/>
    <n v="0"/>
    <n v="0"/>
    <n v="0"/>
    <m/>
    <m/>
    <n v="0"/>
    <n v="0"/>
    <m/>
    <m/>
    <n v="26382"/>
    <n v="27017"/>
    <n v="5930.5"/>
    <n v="5967"/>
    <n v="27570.5"/>
    <n v="29149.5"/>
    <n v="59883"/>
    <n v="2495.125"/>
    <n v="62133.5"/>
    <n v="2588.8958333333335"/>
    <n v="8633.2416666666668"/>
    <n v="8675.5725000000002"/>
  </r>
  <r>
    <x v="14"/>
    <s v="James Madison University"/>
    <s v=" "/>
    <n v="232423"/>
    <x v="2"/>
    <m/>
    <m/>
    <m/>
    <m/>
    <n v="270251"/>
    <n v="268849"/>
    <n v="31946"/>
    <n v="33098"/>
    <n v="289383"/>
    <n v="287318"/>
    <n v="591580"/>
    <n v="19719.333333333332"/>
    <n v="589265"/>
    <n v="19642.166666666668"/>
    <n v="4797"/>
    <n v="2642"/>
    <n v="591580"/>
    <n v="589265"/>
    <m/>
    <m/>
    <m/>
    <m/>
    <m/>
    <m/>
    <m/>
    <m/>
    <n v="0"/>
    <n v="0"/>
    <n v="0"/>
    <n v="0"/>
    <m/>
    <m/>
    <n v="0"/>
    <n v="0"/>
    <m/>
    <m/>
    <n v="13513"/>
    <n v="13087"/>
    <n v="7215"/>
    <n v="6886"/>
    <n v="14933"/>
    <n v="15588"/>
    <n v="35661"/>
    <n v="1485.875"/>
    <n v="35561"/>
    <n v="1481.7083333333333"/>
    <n v="21205.208333333332"/>
    <n v="21123.875"/>
  </r>
  <r>
    <x v="14"/>
    <s v="Longwood University "/>
    <s v="Reclassified: Met the criteria for Four-Year 5 in 2018-19, 2019-20, and 2020-21."/>
    <n v="232566"/>
    <x v="4"/>
    <m/>
    <m/>
    <m/>
    <m/>
    <n v="54426"/>
    <n v="50265"/>
    <n v="8436"/>
    <n v="7770"/>
    <n v="52396"/>
    <n v="51540"/>
    <n v="115258"/>
    <n v="3841.9333333333334"/>
    <n v="109575"/>
    <n v="3652.5"/>
    <n v="3692"/>
    <n v="3790"/>
    <n v="115258"/>
    <n v="109575"/>
    <m/>
    <m/>
    <m/>
    <m/>
    <m/>
    <m/>
    <m/>
    <m/>
    <n v="0"/>
    <n v="0"/>
    <n v="0"/>
    <n v="0"/>
    <m/>
    <m/>
    <n v="0"/>
    <n v="0"/>
    <m/>
    <m/>
    <n v="3590"/>
    <n v="4082"/>
    <n v="3466"/>
    <n v="4360"/>
    <n v="3938"/>
    <n v="6111"/>
    <n v="10994"/>
    <n v="458.08333333333331"/>
    <n v="14553"/>
    <n v="606.375"/>
    <n v="4300.0166666666664"/>
    <n v="4258.875"/>
  </r>
  <r>
    <x v="14"/>
    <s v="Norfolk State University "/>
    <s v="Reclassified: Met the criteria for Four-Year 4 in 2018-19, 2019-20, and 2020-21."/>
    <n v="232937"/>
    <x v="3"/>
    <m/>
    <m/>
    <m/>
    <m/>
    <n v="59619"/>
    <n v="64911"/>
    <n v="5296"/>
    <n v="4564"/>
    <n v="72583"/>
    <n v="67327"/>
    <n v="137498"/>
    <n v="4583.2666666666664"/>
    <n v="136802"/>
    <n v="4560.0666666666666"/>
    <n v="114"/>
    <n v="106"/>
    <n v="137498"/>
    <n v="136802"/>
    <m/>
    <m/>
    <m/>
    <m/>
    <m/>
    <m/>
    <m/>
    <m/>
    <n v="0"/>
    <n v="0"/>
    <n v="0"/>
    <n v="0"/>
    <m/>
    <m/>
    <n v="0"/>
    <n v="0"/>
    <m/>
    <m/>
    <n v="4590"/>
    <n v="4145"/>
    <n v="391"/>
    <n v="204"/>
    <n v="4563"/>
    <n v="4124"/>
    <n v="9544"/>
    <n v="397.66666666666669"/>
    <n v="8473"/>
    <n v="353.04166666666669"/>
    <n v="4980.9333333333334"/>
    <n v="4913.1083333333336"/>
  </r>
  <r>
    <x v="14"/>
    <s v="Radford University"/>
    <s v=" "/>
    <n v="233277"/>
    <x v="2"/>
    <m/>
    <m/>
    <m/>
    <m/>
    <n v="107405.7"/>
    <n v="105583"/>
    <n v="8244"/>
    <n v="9226"/>
    <n v="117039"/>
    <n v="104755"/>
    <n v="232688.7"/>
    <n v="7756.29"/>
    <n v="219564"/>
    <n v="7318.8"/>
    <n v="190"/>
    <n v="356"/>
    <n v="232688.7"/>
    <n v="219564"/>
    <m/>
    <m/>
    <m/>
    <m/>
    <m/>
    <m/>
    <m/>
    <m/>
    <n v="0"/>
    <n v="0"/>
    <n v="0"/>
    <n v="0"/>
    <m/>
    <m/>
    <n v="0"/>
    <n v="0"/>
    <m/>
    <m/>
    <n v="8939"/>
    <n v="14714"/>
    <n v="5838"/>
    <n v="9974"/>
    <n v="15400"/>
    <n v="16028"/>
    <n v="30177"/>
    <n v="1257.375"/>
    <n v="40716"/>
    <n v="1696.5"/>
    <n v="9013.6650000000009"/>
    <n v="9015.2999999999993"/>
  </r>
  <r>
    <x v="14"/>
    <s v="University of Mary Washington "/>
    <s v="Reclassified: Met the criteria for Four-Year 5 in 2018-19, 2019-20, and 2020-21."/>
    <n v="232681"/>
    <x v="4"/>
    <m/>
    <m/>
    <m/>
    <m/>
    <n v="55598"/>
    <n v="53521"/>
    <n v="4385.2"/>
    <n v="5827"/>
    <n v="57520"/>
    <n v="55814"/>
    <n v="117503.2"/>
    <n v="3916.7733333333331"/>
    <n v="115162"/>
    <n v="3838.7333333333331"/>
    <n v="41"/>
    <n v="25"/>
    <n v="117503.2"/>
    <n v="115162"/>
    <m/>
    <m/>
    <m/>
    <m/>
    <m/>
    <m/>
    <m/>
    <m/>
    <n v="0"/>
    <n v="0"/>
    <n v="0"/>
    <n v="0"/>
    <m/>
    <m/>
    <n v="0"/>
    <n v="0"/>
    <m/>
    <m/>
    <n v="1970"/>
    <n v="2060.6"/>
    <n v="775"/>
    <n v="735"/>
    <n v="2408"/>
    <n v="2375"/>
    <n v="5153"/>
    <n v="214.70833333333334"/>
    <n v="5170.6000000000004"/>
    <n v="215.44166666666669"/>
    <n v="4131.4816666666666"/>
    <n v="4054.1749999999997"/>
  </r>
  <r>
    <x v="14"/>
    <s v="Virginia State University "/>
    <s v=" "/>
    <n v="234155"/>
    <x v="2"/>
    <m/>
    <m/>
    <m/>
    <m/>
    <n v="55400"/>
    <n v="55669"/>
    <n v="3597"/>
    <n v="3038"/>
    <n v="61113"/>
    <n v="54988"/>
    <n v="120110"/>
    <n v="4003.6666666666665"/>
    <n v="113695"/>
    <n v="3789.8333333333335"/>
    <n v="0"/>
    <n v="0"/>
    <n v="120110"/>
    <n v="113695"/>
    <m/>
    <m/>
    <m/>
    <m/>
    <m/>
    <m/>
    <m/>
    <m/>
    <n v="0"/>
    <n v="0"/>
    <n v="0"/>
    <n v="0"/>
    <m/>
    <m/>
    <n v="0"/>
    <n v="0"/>
    <m/>
    <m/>
    <n v="2738"/>
    <n v="2608"/>
    <n v="300"/>
    <n v="270"/>
    <n v="2802"/>
    <n v="3138"/>
    <n v="5840"/>
    <n v="243.33333333333334"/>
    <n v="6016"/>
    <n v="250.66666666666666"/>
    <n v="4247"/>
    <n v="4040.5"/>
  </r>
  <r>
    <x v="14"/>
    <s v="Christopher Newport University"/>
    <s v=" "/>
    <n v="231712"/>
    <x v="4"/>
    <m/>
    <m/>
    <m/>
    <m/>
    <n v="67359"/>
    <n v="66741"/>
    <n v="1199"/>
    <n v="2278"/>
    <n v="71353"/>
    <n v="70308"/>
    <n v="139911"/>
    <n v="4663.7"/>
    <n v="139327"/>
    <n v="4644.2333333333336"/>
    <n v="69"/>
    <n v="129"/>
    <n v="139911"/>
    <n v="139327"/>
    <m/>
    <m/>
    <m/>
    <m/>
    <m/>
    <m/>
    <m/>
    <m/>
    <n v="0"/>
    <n v="0"/>
    <n v="0"/>
    <n v="0"/>
    <m/>
    <m/>
    <n v="0"/>
    <n v="0"/>
    <m/>
    <m/>
    <n v="1052"/>
    <n v="982"/>
    <n v="487"/>
    <n v="464"/>
    <n v="1052"/>
    <n v="1330"/>
    <n v="2591"/>
    <n v="107.95833333333333"/>
    <n v="2776"/>
    <n v="115.66666666666667"/>
    <n v="4771.6583333333328"/>
    <n v="4759.9000000000005"/>
  </r>
  <r>
    <x v="14"/>
    <s v="University of Virginia's College at Wise "/>
    <s v=" "/>
    <n v="233897"/>
    <x v="5"/>
    <m/>
    <m/>
    <m/>
    <m/>
    <n v="19984"/>
    <n v="19625"/>
    <n v="5739"/>
    <n v="6180"/>
    <n v="20107"/>
    <n v="20016"/>
    <n v="45830"/>
    <n v="1527.6666666666667"/>
    <n v="45821"/>
    <n v="1527.3666666666666"/>
    <n v="210"/>
    <n v="0"/>
    <n v="45830"/>
    <n v="45821"/>
    <m/>
    <m/>
    <m/>
    <m/>
    <m/>
    <m/>
    <m/>
    <m/>
    <n v="0"/>
    <n v="0"/>
    <n v="0"/>
    <n v="0"/>
    <m/>
    <m/>
    <n v="0"/>
    <n v="0"/>
    <m/>
    <m/>
    <m/>
    <m/>
    <m/>
    <m/>
    <m/>
    <m/>
    <n v="0"/>
    <n v="0"/>
    <n v="0"/>
    <n v="0"/>
    <n v="1527.6666666666667"/>
    <n v="1527.3666666666666"/>
  </r>
  <r>
    <x v="14"/>
    <s v="J.S. Reynolds Community College"/>
    <s v=" "/>
    <n v="232414"/>
    <x v="6"/>
    <m/>
    <m/>
    <m/>
    <m/>
    <n v="65842"/>
    <n v="67243"/>
    <n v="24828"/>
    <n v="23872"/>
    <n v="73376"/>
    <n v="66657"/>
    <n v="164046"/>
    <n v="5468.2"/>
    <n v="157772"/>
    <n v="5259.0666666666666"/>
    <n v="37438"/>
    <n v="39787"/>
    <n v="164046"/>
    <n v="157772"/>
    <m/>
    <m/>
    <m/>
    <m/>
    <m/>
    <m/>
    <m/>
    <m/>
    <n v="0"/>
    <n v="0"/>
    <n v="0"/>
    <n v="0"/>
    <m/>
    <m/>
    <n v="0"/>
    <n v="0"/>
    <m/>
    <m/>
    <m/>
    <m/>
    <m/>
    <m/>
    <m/>
    <m/>
    <n v="0"/>
    <n v="0"/>
    <n v="0"/>
    <n v="0"/>
    <n v="5468.2"/>
    <n v="5259.0666666666666"/>
  </r>
  <r>
    <x v="14"/>
    <s v="John Tyler Community College"/>
    <s v=" "/>
    <n v="232450"/>
    <x v="6"/>
    <m/>
    <m/>
    <m/>
    <m/>
    <n v="67858"/>
    <n v="70027"/>
    <n v="19524"/>
    <n v="17990"/>
    <n v="77954"/>
    <n v="70932"/>
    <n v="165336"/>
    <n v="5511.2"/>
    <n v="158949"/>
    <n v="5298.3"/>
    <n v="56531"/>
    <n v="59783"/>
    <n v="165336"/>
    <n v="158949"/>
    <m/>
    <m/>
    <m/>
    <m/>
    <m/>
    <m/>
    <m/>
    <m/>
    <n v="0"/>
    <n v="0"/>
    <n v="0"/>
    <n v="0"/>
    <m/>
    <m/>
    <n v="0"/>
    <n v="0"/>
    <m/>
    <m/>
    <m/>
    <m/>
    <m/>
    <m/>
    <m/>
    <m/>
    <n v="0"/>
    <n v="0"/>
    <n v="0"/>
    <n v="0"/>
    <n v="5511.2"/>
    <n v="5298.3"/>
  </r>
  <r>
    <x v="14"/>
    <s v="Northern Virginia Community College "/>
    <s v=" "/>
    <n v="232946"/>
    <x v="6"/>
    <m/>
    <m/>
    <m/>
    <m/>
    <n v="396630"/>
    <n v="374636"/>
    <n v="128474"/>
    <n v="122506"/>
    <n v="417201"/>
    <n v="426201"/>
    <n v="942305"/>
    <n v="31410.166666666668"/>
    <n v="923343"/>
    <n v="30778.1"/>
    <n v="169234"/>
    <n v="201989"/>
    <n v="942305"/>
    <n v="923343"/>
    <m/>
    <m/>
    <m/>
    <m/>
    <m/>
    <m/>
    <m/>
    <m/>
    <n v="0"/>
    <n v="0"/>
    <n v="0"/>
    <n v="0"/>
    <m/>
    <m/>
    <n v="0"/>
    <n v="0"/>
    <m/>
    <m/>
    <m/>
    <m/>
    <m/>
    <m/>
    <m/>
    <m/>
    <n v="0"/>
    <n v="0"/>
    <n v="0"/>
    <n v="0"/>
    <n v="31410.166666666668"/>
    <n v="30778.1"/>
  </r>
  <r>
    <x v="14"/>
    <s v="Thomas Nelson Community College "/>
    <s v="Met the criteria for Two-Year 2 in 2019-20 and 2020-21."/>
    <n v="233754"/>
    <x v="6"/>
    <m/>
    <m/>
    <m/>
    <m/>
    <n v="63001"/>
    <n v="60181"/>
    <n v="19816"/>
    <n v="18219"/>
    <n v="62124"/>
    <n v="53945"/>
    <n v="144941"/>
    <n v="4831.3666666666668"/>
    <n v="132345"/>
    <n v="4411.5"/>
    <n v="34797"/>
    <n v="36327"/>
    <n v="144941"/>
    <n v="132345"/>
    <m/>
    <m/>
    <m/>
    <m/>
    <m/>
    <m/>
    <m/>
    <m/>
    <n v="0"/>
    <n v="0"/>
    <n v="0"/>
    <n v="0"/>
    <m/>
    <m/>
    <n v="0"/>
    <n v="0"/>
    <m/>
    <m/>
    <m/>
    <m/>
    <m/>
    <m/>
    <m/>
    <m/>
    <n v="0"/>
    <n v="0"/>
    <n v="0"/>
    <n v="0"/>
    <n v="4831.3666666666668"/>
    <n v="4411.5"/>
  </r>
  <r>
    <x v="14"/>
    <s v="Tidewater Community College "/>
    <s v=" "/>
    <n v="233772"/>
    <x v="6"/>
    <m/>
    <m/>
    <m/>
    <m/>
    <n v="168901"/>
    <n v="152829"/>
    <n v="67336"/>
    <n v="57152"/>
    <n v="167084"/>
    <n v="149370"/>
    <n v="403321"/>
    <n v="13444.033333333333"/>
    <n v="359351"/>
    <n v="11978.366666666667"/>
    <n v="39929"/>
    <n v="43263"/>
    <n v="403321"/>
    <n v="359351"/>
    <m/>
    <m/>
    <m/>
    <m/>
    <m/>
    <m/>
    <m/>
    <m/>
    <n v="0"/>
    <n v="0"/>
    <n v="0"/>
    <n v="0"/>
    <m/>
    <m/>
    <n v="0"/>
    <n v="0"/>
    <m/>
    <m/>
    <m/>
    <m/>
    <m/>
    <m/>
    <m/>
    <m/>
    <n v="0"/>
    <n v="0"/>
    <n v="0"/>
    <n v="0"/>
    <n v="13444.033333333333"/>
    <n v="11978.366666666667"/>
  </r>
  <r>
    <x v="14"/>
    <s v="Blue Ridge Community College "/>
    <s v=" "/>
    <n v="231536"/>
    <x v="7"/>
    <m/>
    <m/>
    <m/>
    <m/>
    <n v="28432"/>
    <n v="27836"/>
    <n v="8066"/>
    <n v="7729"/>
    <n v="32435"/>
    <n v="29392"/>
    <n v="68933"/>
    <n v="2297.7666666666669"/>
    <n v="64957"/>
    <n v="2165.2333333333331"/>
    <n v="18672"/>
    <n v="16901"/>
    <n v="68933"/>
    <n v="64957"/>
    <m/>
    <m/>
    <m/>
    <m/>
    <m/>
    <m/>
    <m/>
    <m/>
    <n v="0"/>
    <n v="0"/>
    <n v="0"/>
    <n v="0"/>
    <m/>
    <m/>
    <n v="0"/>
    <n v="0"/>
    <m/>
    <m/>
    <m/>
    <m/>
    <m/>
    <m/>
    <m/>
    <m/>
    <n v="0"/>
    <n v="0"/>
    <n v="0"/>
    <n v="0"/>
    <n v="2297.7666666666669"/>
    <n v="2165.2333333333331"/>
  </r>
  <r>
    <x v="14"/>
    <s v="Central Virginia Community College "/>
    <s v=" "/>
    <n v="231697"/>
    <x v="7"/>
    <m/>
    <m/>
    <m/>
    <m/>
    <n v="29471"/>
    <n v="28531"/>
    <n v="7445"/>
    <n v="7022"/>
    <n v="32368"/>
    <n v="29219"/>
    <n v="69284"/>
    <n v="2309.4666666666667"/>
    <n v="64772"/>
    <n v="2159.0666666666666"/>
    <n v="41942"/>
    <n v="39776"/>
    <n v="69284"/>
    <n v="64772"/>
    <m/>
    <m/>
    <m/>
    <m/>
    <m/>
    <m/>
    <m/>
    <m/>
    <n v="0"/>
    <n v="0"/>
    <n v="0"/>
    <n v="0"/>
    <m/>
    <m/>
    <n v="0"/>
    <n v="0"/>
    <m/>
    <m/>
    <m/>
    <m/>
    <m/>
    <m/>
    <m/>
    <m/>
    <n v="0"/>
    <n v="0"/>
    <n v="0"/>
    <n v="0"/>
    <n v="2309.4666666666667"/>
    <n v="2159.0666666666666"/>
  </r>
  <r>
    <x v="14"/>
    <s v="Germanna Community College"/>
    <s v=" "/>
    <n v="232195"/>
    <x v="7"/>
    <m/>
    <m/>
    <m/>
    <m/>
    <n v="54169"/>
    <n v="56244"/>
    <n v="16690"/>
    <n v="16762"/>
    <n v="60281"/>
    <n v="62972"/>
    <n v="131140"/>
    <n v="4371.333333333333"/>
    <n v="135978"/>
    <n v="4532.6000000000004"/>
    <n v="30489"/>
    <n v="32196"/>
    <n v="131140"/>
    <n v="135978"/>
    <m/>
    <m/>
    <m/>
    <m/>
    <m/>
    <m/>
    <m/>
    <m/>
    <n v="0"/>
    <n v="0"/>
    <n v="0"/>
    <n v="0"/>
    <m/>
    <m/>
    <n v="0"/>
    <n v="0"/>
    <m/>
    <m/>
    <m/>
    <m/>
    <m/>
    <m/>
    <m/>
    <m/>
    <n v="0"/>
    <n v="0"/>
    <n v="0"/>
    <n v="0"/>
    <n v="4371.333333333333"/>
    <n v="4532.6000000000004"/>
  </r>
  <r>
    <x v="14"/>
    <s v="Lord Fairfax Community College"/>
    <s v=" "/>
    <n v="232575"/>
    <x v="7"/>
    <m/>
    <m/>
    <m/>
    <m/>
    <n v="49530"/>
    <n v="49731"/>
    <n v="11344"/>
    <n v="11116"/>
    <n v="57466"/>
    <n v="54685"/>
    <n v="118340"/>
    <n v="3944.6666666666665"/>
    <n v="115532"/>
    <n v="3851.0666666666666"/>
    <n v="72475"/>
    <n v="71645"/>
    <n v="118340"/>
    <n v="115532"/>
    <m/>
    <m/>
    <m/>
    <m/>
    <m/>
    <m/>
    <m/>
    <m/>
    <n v="0"/>
    <n v="0"/>
    <n v="0"/>
    <n v="0"/>
    <m/>
    <m/>
    <n v="0"/>
    <n v="0"/>
    <m/>
    <m/>
    <m/>
    <m/>
    <m/>
    <m/>
    <m/>
    <m/>
    <n v="0"/>
    <n v="0"/>
    <n v="0"/>
    <n v="0"/>
    <n v="3944.6666666666665"/>
    <n v="3851.0666666666666"/>
  </r>
  <r>
    <x v="14"/>
    <s v="New River Community College "/>
    <s v=" "/>
    <n v="232867"/>
    <x v="7"/>
    <m/>
    <m/>
    <m/>
    <m/>
    <n v="32807"/>
    <n v="33438"/>
    <n v="6985"/>
    <n v="6903"/>
    <n v="39084"/>
    <n v="38427"/>
    <n v="78876"/>
    <n v="2629.2"/>
    <n v="78768"/>
    <n v="2625.6"/>
    <n v="39008"/>
    <n v="41209"/>
    <n v="78876"/>
    <n v="78768"/>
    <m/>
    <m/>
    <m/>
    <m/>
    <m/>
    <m/>
    <m/>
    <m/>
    <n v="0"/>
    <n v="0"/>
    <n v="0"/>
    <n v="0"/>
    <m/>
    <m/>
    <n v="0"/>
    <n v="0"/>
    <m/>
    <m/>
    <m/>
    <m/>
    <m/>
    <m/>
    <m/>
    <m/>
    <n v="0"/>
    <n v="0"/>
    <n v="0"/>
    <n v="0"/>
    <n v="2629.2"/>
    <n v="2625.6"/>
  </r>
  <r>
    <x v="14"/>
    <s v="Piedmont Virginia Community College "/>
    <s v=" "/>
    <n v="233116"/>
    <x v="7"/>
    <m/>
    <m/>
    <m/>
    <m/>
    <n v="33778"/>
    <n v="34142"/>
    <n v="9201"/>
    <n v="8871"/>
    <n v="40488"/>
    <n v="39052"/>
    <n v="83467"/>
    <n v="2782.2333333333331"/>
    <n v="82065"/>
    <n v="2735.5"/>
    <n v="38908"/>
    <n v="38320"/>
    <n v="83467"/>
    <n v="82065"/>
    <m/>
    <m/>
    <m/>
    <m/>
    <m/>
    <m/>
    <m/>
    <m/>
    <n v="0"/>
    <n v="0"/>
    <n v="0"/>
    <n v="0"/>
    <m/>
    <m/>
    <n v="0"/>
    <n v="0"/>
    <m/>
    <m/>
    <m/>
    <m/>
    <m/>
    <m/>
    <m/>
    <m/>
    <n v="0"/>
    <n v="0"/>
    <n v="0"/>
    <n v="0"/>
    <n v="2782.2333333333331"/>
    <n v="2735.5"/>
  </r>
  <r>
    <x v="14"/>
    <s v="Southside Virginia Community College"/>
    <s v="Met the criteria for Two-Year 3 in 2019-20 and 2020-21."/>
    <n v="233639"/>
    <x v="7"/>
    <m/>
    <m/>
    <m/>
    <m/>
    <n v="25964"/>
    <n v="26537"/>
    <n v="4636"/>
    <n v="4747"/>
    <n v="28741"/>
    <n v="28458"/>
    <n v="59341"/>
    <n v="1978.0333333333333"/>
    <n v="59742"/>
    <n v="1991.4"/>
    <n v="52695"/>
    <n v="50331"/>
    <n v="59341"/>
    <n v="59742"/>
    <m/>
    <m/>
    <m/>
    <m/>
    <m/>
    <m/>
    <m/>
    <m/>
    <n v="0"/>
    <n v="0"/>
    <n v="0"/>
    <n v="0"/>
    <m/>
    <m/>
    <n v="0"/>
    <n v="0"/>
    <m/>
    <m/>
    <m/>
    <m/>
    <m/>
    <m/>
    <m/>
    <m/>
    <n v="0"/>
    <n v="0"/>
    <n v="0"/>
    <n v="0"/>
    <n v="1978.0333333333333"/>
    <n v="1991.4"/>
  </r>
  <r>
    <x v="14"/>
    <s v="Virginia Western Community College "/>
    <s v=" "/>
    <n v="233949"/>
    <x v="7"/>
    <m/>
    <m/>
    <m/>
    <m/>
    <n v="45483"/>
    <n v="44231"/>
    <n v="11786"/>
    <n v="10632"/>
    <n v="51394"/>
    <n v="48259"/>
    <n v="108663"/>
    <n v="3622.1"/>
    <n v="103122"/>
    <n v="3437.4"/>
    <n v="42365"/>
    <n v="39688"/>
    <n v="108663"/>
    <n v="103122"/>
    <m/>
    <m/>
    <m/>
    <m/>
    <m/>
    <m/>
    <m/>
    <m/>
    <n v="0"/>
    <n v="0"/>
    <n v="0"/>
    <n v="0"/>
    <m/>
    <m/>
    <n v="0"/>
    <n v="0"/>
    <m/>
    <m/>
    <m/>
    <m/>
    <m/>
    <m/>
    <m/>
    <m/>
    <n v="0"/>
    <n v="0"/>
    <n v="0"/>
    <n v="0"/>
    <n v="3622.1"/>
    <n v="3437.4"/>
  </r>
  <r>
    <x v="14"/>
    <s v="D.S. Lancaster Community College "/>
    <s v=" "/>
    <n v="231873"/>
    <x v="8"/>
    <m/>
    <m/>
    <m/>
    <m/>
    <n v="7634"/>
    <n v="7919"/>
    <n v="1364"/>
    <n v="1331"/>
    <n v="8844"/>
    <n v="9406"/>
    <n v="17842"/>
    <n v="594.73333333333335"/>
    <n v="18656"/>
    <n v="621.86666666666667"/>
    <n v="9159"/>
    <n v="10447"/>
    <n v="17842"/>
    <n v="18656"/>
    <m/>
    <m/>
    <m/>
    <m/>
    <m/>
    <m/>
    <m/>
    <m/>
    <n v="0"/>
    <n v="0"/>
    <n v="0"/>
    <n v="0"/>
    <m/>
    <m/>
    <n v="0"/>
    <n v="0"/>
    <m/>
    <m/>
    <m/>
    <m/>
    <m/>
    <m/>
    <m/>
    <m/>
    <n v="0"/>
    <n v="0"/>
    <n v="0"/>
    <n v="0"/>
    <n v="594.73333333333335"/>
    <n v="621.86666666666667"/>
  </r>
  <r>
    <x v="14"/>
    <s v="Danville Community College "/>
    <s v=" "/>
    <n v="231882"/>
    <x v="8"/>
    <m/>
    <m/>
    <m/>
    <m/>
    <n v="22528"/>
    <n v="21827"/>
    <n v="5711"/>
    <n v="5707"/>
    <n v="25680"/>
    <n v="21954"/>
    <n v="53919"/>
    <n v="1797.3"/>
    <n v="49488"/>
    <n v="1649.6"/>
    <n v="26334"/>
    <n v="25445"/>
    <n v="53919"/>
    <n v="49488"/>
    <m/>
    <m/>
    <m/>
    <m/>
    <m/>
    <m/>
    <m/>
    <m/>
    <n v="0"/>
    <n v="0"/>
    <n v="0"/>
    <n v="0"/>
    <m/>
    <m/>
    <n v="0"/>
    <n v="0"/>
    <m/>
    <m/>
    <m/>
    <m/>
    <m/>
    <m/>
    <m/>
    <m/>
    <n v="0"/>
    <n v="0"/>
    <n v="0"/>
    <n v="0"/>
    <n v="1797.3"/>
    <n v="1649.6"/>
  </r>
  <r>
    <x v="14"/>
    <s v="Eastern Shore Community College"/>
    <s v=" "/>
    <n v="232052"/>
    <x v="8"/>
    <m/>
    <m/>
    <m/>
    <m/>
    <n v="4613"/>
    <n v="5460"/>
    <n v="814"/>
    <n v="783"/>
    <n v="4972"/>
    <n v="5939"/>
    <n v="10399"/>
    <n v="346.63333333333333"/>
    <n v="12182"/>
    <n v="406.06666666666666"/>
    <n v="6051"/>
    <n v="6484"/>
    <n v="10399"/>
    <n v="12182"/>
    <m/>
    <m/>
    <m/>
    <m/>
    <m/>
    <m/>
    <m/>
    <m/>
    <n v="0"/>
    <n v="0"/>
    <n v="0"/>
    <n v="0"/>
    <m/>
    <m/>
    <n v="0"/>
    <n v="0"/>
    <m/>
    <m/>
    <m/>
    <m/>
    <m/>
    <m/>
    <m/>
    <m/>
    <n v="0"/>
    <n v="0"/>
    <n v="0"/>
    <n v="0"/>
    <n v="346.63333333333333"/>
    <n v="406.06666666666666"/>
  </r>
  <r>
    <x v="14"/>
    <s v="Mountain Empire Community College"/>
    <s v=" "/>
    <n v="232788"/>
    <x v="8"/>
    <m/>
    <m/>
    <m/>
    <m/>
    <n v="19771"/>
    <n v="18368"/>
    <n v="5223"/>
    <n v="5334"/>
    <n v="21954"/>
    <n v="21535"/>
    <n v="46948"/>
    <n v="1564.9333333333334"/>
    <n v="45237"/>
    <n v="1507.9"/>
    <n v="25482"/>
    <n v="24553"/>
    <n v="46948"/>
    <n v="45237"/>
    <m/>
    <m/>
    <m/>
    <m/>
    <m/>
    <m/>
    <m/>
    <m/>
    <n v="0"/>
    <n v="0"/>
    <n v="0"/>
    <n v="0"/>
    <m/>
    <m/>
    <n v="0"/>
    <n v="0"/>
    <m/>
    <m/>
    <m/>
    <m/>
    <m/>
    <m/>
    <m/>
    <m/>
    <n v="0"/>
    <n v="0"/>
    <n v="0"/>
    <n v="0"/>
    <n v="1564.9333333333334"/>
    <n v="1507.9"/>
  </r>
  <r>
    <x v="14"/>
    <s v="Patrick Henry Community College "/>
    <s v=" "/>
    <n v="233019"/>
    <x v="8"/>
    <m/>
    <m/>
    <m/>
    <m/>
    <n v="21431"/>
    <n v="19699"/>
    <n v="4562"/>
    <n v="4288"/>
    <n v="24493"/>
    <n v="22098"/>
    <n v="50486"/>
    <n v="1682.8666666666666"/>
    <n v="46085"/>
    <n v="1536.1666666666667"/>
    <n v="26448"/>
    <n v="22866"/>
    <n v="50486"/>
    <n v="46085"/>
    <m/>
    <m/>
    <m/>
    <m/>
    <m/>
    <m/>
    <m/>
    <m/>
    <n v="0"/>
    <n v="0"/>
    <n v="0"/>
    <n v="0"/>
    <m/>
    <m/>
    <n v="0"/>
    <n v="0"/>
    <m/>
    <m/>
    <m/>
    <m/>
    <m/>
    <m/>
    <m/>
    <m/>
    <n v="0"/>
    <n v="0"/>
    <n v="0"/>
    <n v="0"/>
    <n v="1682.8666666666666"/>
    <n v="1536.1666666666667"/>
  </r>
  <r>
    <x v="14"/>
    <s v="Paul D. Camp Community College"/>
    <s v=" "/>
    <n v="233037"/>
    <x v="8"/>
    <m/>
    <m/>
    <m/>
    <m/>
    <n v="9888"/>
    <n v="10120"/>
    <n v="3168"/>
    <n v="2808"/>
    <n v="10347"/>
    <n v="10008"/>
    <n v="23403"/>
    <n v="780.1"/>
    <n v="22936"/>
    <n v="764.5333333333333"/>
    <n v="15017"/>
    <n v="16213"/>
    <n v="23403"/>
    <n v="22936"/>
    <m/>
    <m/>
    <m/>
    <m/>
    <m/>
    <m/>
    <m/>
    <m/>
    <n v="0"/>
    <n v="0"/>
    <n v="0"/>
    <n v="0"/>
    <m/>
    <m/>
    <n v="0"/>
    <n v="0"/>
    <m/>
    <m/>
    <m/>
    <m/>
    <m/>
    <m/>
    <m/>
    <m/>
    <n v="0"/>
    <n v="0"/>
    <n v="0"/>
    <n v="0"/>
    <n v="780.1"/>
    <n v="764.5333333333333"/>
  </r>
  <r>
    <x v="14"/>
    <s v="Rappahannock Community College"/>
    <s v=" "/>
    <n v="233310"/>
    <x v="8"/>
    <m/>
    <m/>
    <m/>
    <m/>
    <n v="20918"/>
    <n v="20326"/>
    <n v="5806"/>
    <n v="5351"/>
    <n v="24082"/>
    <n v="22233"/>
    <n v="50806"/>
    <n v="1693.5333333333333"/>
    <n v="47910"/>
    <n v="1597"/>
    <n v="40765"/>
    <n v="39608"/>
    <n v="50806"/>
    <n v="47910"/>
    <m/>
    <m/>
    <m/>
    <m/>
    <m/>
    <m/>
    <m/>
    <m/>
    <n v="0"/>
    <n v="0"/>
    <n v="0"/>
    <n v="0"/>
    <m/>
    <m/>
    <n v="0"/>
    <n v="0"/>
    <m/>
    <m/>
    <m/>
    <m/>
    <m/>
    <m/>
    <m/>
    <m/>
    <n v="0"/>
    <n v="0"/>
    <n v="0"/>
    <n v="0"/>
    <n v="1693.5333333333333"/>
    <n v="1597"/>
  </r>
  <r>
    <x v="14"/>
    <s v="Richard Bland College "/>
    <s v=" "/>
    <n v="233338"/>
    <x v="8"/>
    <m/>
    <m/>
    <m/>
    <m/>
    <n v="16910"/>
    <n v="16391"/>
    <n v="1586"/>
    <n v="1221"/>
    <n v="19383"/>
    <n v="19236"/>
    <n v="37879"/>
    <n v="1262.6333333333334"/>
    <n v="36848"/>
    <n v="1228.2666666666667"/>
    <n v="27079"/>
    <n v="25605"/>
    <n v="37879"/>
    <n v="36848"/>
    <m/>
    <m/>
    <m/>
    <m/>
    <m/>
    <m/>
    <m/>
    <m/>
    <n v="0"/>
    <n v="0"/>
    <n v="0"/>
    <n v="0"/>
    <m/>
    <m/>
    <n v="0"/>
    <n v="0"/>
    <m/>
    <m/>
    <m/>
    <m/>
    <m/>
    <m/>
    <m/>
    <m/>
    <n v="0"/>
    <n v="0"/>
    <n v="0"/>
    <n v="0"/>
    <n v="1262.6333333333334"/>
    <n v="1228.2666666666667"/>
  </r>
  <r>
    <x v="14"/>
    <s v="Southwest Virginia Community College "/>
    <s v=" "/>
    <n v="233648"/>
    <x v="8"/>
    <m/>
    <m/>
    <m/>
    <m/>
    <n v="19005"/>
    <n v="20190"/>
    <n v="5520"/>
    <n v="6103"/>
    <n v="23028"/>
    <n v="22421"/>
    <n v="47553"/>
    <n v="1585.1"/>
    <n v="48714"/>
    <n v="1623.8"/>
    <n v="17717"/>
    <n v="17697"/>
    <n v="47553"/>
    <n v="48714"/>
    <m/>
    <m/>
    <m/>
    <m/>
    <m/>
    <m/>
    <m/>
    <m/>
    <n v="0"/>
    <n v="0"/>
    <n v="0"/>
    <n v="0"/>
    <m/>
    <m/>
    <n v="0"/>
    <n v="0"/>
    <m/>
    <m/>
    <m/>
    <m/>
    <m/>
    <m/>
    <m/>
    <m/>
    <n v="0"/>
    <n v="0"/>
    <n v="0"/>
    <n v="0"/>
    <n v="1585.1"/>
    <n v="1623.8"/>
  </r>
  <r>
    <x v="14"/>
    <s v="Virginia Highlands Community College "/>
    <s v=" "/>
    <n v="233903"/>
    <x v="8"/>
    <m/>
    <m/>
    <m/>
    <m/>
    <n v="18809"/>
    <n v="18506"/>
    <n v="3759"/>
    <n v="3777"/>
    <n v="21325"/>
    <n v="19702"/>
    <n v="43893"/>
    <n v="1463.1"/>
    <n v="41985"/>
    <n v="1399.5"/>
    <n v="20603"/>
    <n v="18509"/>
    <n v="43893"/>
    <n v="41985"/>
    <m/>
    <m/>
    <m/>
    <m/>
    <m/>
    <m/>
    <m/>
    <m/>
    <n v="0"/>
    <n v="0"/>
    <n v="0"/>
    <n v="0"/>
    <m/>
    <m/>
    <n v="0"/>
    <n v="0"/>
    <m/>
    <m/>
    <m/>
    <m/>
    <m/>
    <m/>
    <m/>
    <m/>
    <n v="0"/>
    <n v="0"/>
    <n v="0"/>
    <n v="0"/>
    <n v="1463.1"/>
    <n v="1399.5"/>
  </r>
  <r>
    <x v="14"/>
    <s v="Wytheville Community College "/>
    <s v=" "/>
    <n v="234377"/>
    <x v="8"/>
    <m/>
    <m/>
    <m/>
    <m/>
    <n v="20070"/>
    <n v="19675"/>
    <n v="4658"/>
    <n v="4281"/>
    <n v="21986"/>
    <n v="20131"/>
    <n v="46714"/>
    <n v="1557.1333333333334"/>
    <n v="44087"/>
    <n v="1469.5666666666666"/>
    <n v="27982"/>
    <n v="25010"/>
    <n v="46714"/>
    <n v="44087"/>
    <m/>
    <m/>
    <m/>
    <m/>
    <m/>
    <m/>
    <m/>
    <m/>
    <n v="0"/>
    <n v="0"/>
    <n v="0"/>
    <n v="0"/>
    <m/>
    <m/>
    <n v="0"/>
    <n v="0"/>
    <m/>
    <m/>
    <m/>
    <m/>
    <m/>
    <m/>
    <m/>
    <m/>
    <n v="0"/>
    <n v="0"/>
    <n v="0"/>
    <n v="0"/>
    <n v="1557.1333333333334"/>
    <n v="1469.5666666666666"/>
  </r>
  <r>
    <x v="14"/>
    <s v="All Community Colleges except R. Bland"/>
    <m/>
    <s v="All CC - Bland"/>
    <x v="14"/>
    <m/>
    <m/>
    <m/>
    <m/>
    <n v="1226533"/>
    <n v="1187696"/>
    <n v="376716"/>
    <n v="353284"/>
    <n v="1326707"/>
    <n v="1272996"/>
    <n v="2929956"/>
    <n v="97665.2"/>
    <n v="2813976"/>
    <n v="93799.2"/>
    <n v="890041"/>
    <n v="918047"/>
    <n v="2929956"/>
    <n v="2813976"/>
    <m/>
    <m/>
    <m/>
    <m/>
    <m/>
    <m/>
    <m/>
    <m/>
    <n v="0"/>
    <n v="0"/>
    <n v="0"/>
    <n v="0"/>
    <m/>
    <m/>
    <n v="0"/>
    <n v="0"/>
    <m/>
    <m/>
    <m/>
    <m/>
    <m/>
    <m/>
    <m/>
    <m/>
    <n v="0"/>
    <n v="0"/>
    <n v="0"/>
    <n v="0"/>
    <n v="97665.2"/>
    <n v="93799.2"/>
  </r>
  <r>
    <x v="14"/>
    <m/>
    <s v="all 8's"/>
    <m/>
    <x v="15"/>
    <m/>
    <m/>
    <m/>
    <m/>
    <n v="762232"/>
    <n v="724916"/>
    <n v="259978"/>
    <n v="239739"/>
    <n v="797739"/>
    <n v="767105"/>
    <n v="1819949"/>
    <n v="60664.966666666667"/>
    <n v="1731760"/>
    <n v="57725.333333333336"/>
    <n v="337929"/>
    <n v="381149"/>
    <n v="1819949"/>
    <n v="1731760"/>
    <m/>
    <m/>
    <m/>
    <m/>
    <m/>
    <m/>
    <m/>
    <m/>
    <n v="0"/>
    <n v="0"/>
    <n v="0"/>
    <n v="0"/>
    <m/>
    <m/>
    <n v="0"/>
    <n v="0"/>
    <m/>
    <m/>
    <m/>
    <m/>
    <m/>
    <m/>
    <m/>
    <m/>
    <n v="0"/>
    <n v="0"/>
    <n v="0"/>
    <n v="0"/>
    <n v="60664.966666666667"/>
    <n v="57725.333333333336"/>
  </r>
  <r>
    <x v="14"/>
    <m/>
    <s v="all 9's"/>
    <m/>
    <x v="16"/>
    <m/>
    <m/>
    <m/>
    <m/>
    <n v="299634"/>
    <n v="300690"/>
    <n v="76153"/>
    <n v="73782"/>
    <n v="342257"/>
    <n v="330464"/>
    <n v="718044"/>
    <n v="23934.799999999999"/>
    <n v="704936"/>
    <n v="23497.866666666665"/>
    <n v="336554"/>
    <n v="330066"/>
    <n v="718044"/>
    <n v="704936"/>
    <m/>
    <m/>
    <m/>
    <m/>
    <m/>
    <m/>
    <m/>
    <m/>
    <n v="0"/>
    <n v="0"/>
    <n v="0"/>
    <n v="0"/>
    <m/>
    <m/>
    <n v="0"/>
    <n v="0"/>
    <m/>
    <m/>
    <m/>
    <m/>
    <m/>
    <m/>
    <m/>
    <m/>
    <n v="0"/>
    <n v="0"/>
    <n v="0"/>
    <n v="0"/>
    <n v="23934.799999999999"/>
    <n v="23497.866666666665"/>
  </r>
  <r>
    <x v="14"/>
    <s v="Richard Bland College B"/>
    <m/>
    <s v="233338"/>
    <x v="17"/>
    <m/>
    <m/>
    <m/>
    <m/>
    <n v="16910"/>
    <n v="16391"/>
    <n v="1586"/>
    <n v="1221"/>
    <n v="19383"/>
    <n v="19236"/>
    <n v="37879"/>
    <n v="1262.6333333333334"/>
    <n v="36848"/>
    <n v="1228.2666666666667"/>
    <n v="27079"/>
    <n v="25605"/>
    <n v="37879"/>
    <n v="36848"/>
    <m/>
    <m/>
    <m/>
    <m/>
    <m/>
    <m/>
    <m/>
    <m/>
    <n v="0"/>
    <n v="0"/>
    <n v="0"/>
    <n v="0"/>
    <m/>
    <m/>
    <n v="0"/>
    <n v="0"/>
    <m/>
    <m/>
    <m/>
    <m/>
    <m/>
    <m/>
    <m/>
    <m/>
    <n v="0"/>
    <n v="0"/>
    <n v="0"/>
    <n v="0"/>
    <n v="1262.6333333333334"/>
    <n v="1228.2666666666667"/>
  </r>
  <r>
    <x v="14"/>
    <m/>
    <s v="All'10's except R.B."/>
    <m/>
    <x v="17"/>
    <m/>
    <m/>
    <m/>
    <m/>
    <n v="164667"/>
    <n v="162090"/>
    <n v="40585"/>
    <n v="39763"/>
    <n v="186711"/>
    <n v="175427"/>
    <n v="391963"/>
    <n v="13065.433333333332"/>
    <n v="377280"/>
    <n v="12576"/>
    <n v="215558"/>
    <n v="206832"/>
    <n v="391963"/>
    <n v="377280"/>
    <m/>
    <m/>
    <m/>
    <m/>
    <m/>
    <m/>
    <m/>
    <m/>
    <n v="0"/>
    <n v="0"/>
    <n v="0"/>
    <n v="0"/>
    <m/>
    <m/>
    <n v="0"/>
    <n v="0"/>
    <m/>
    <m/>
    <m/>
    <m/>
    <m/>
    <m/>
    <m/>
    <m/>
    <n v="0"/>
    <n v="0"/>
    <n v="0"/>
    <n v="0"/>
    <n v="13065.433333333332"/>
    <n v="12576"/>
  </r>
  <r>
    <x v="15"/>
    <s v="West Virginia University"/>
    <s v="Met the criteria for Four-Year 4 in 2019-20 and 2020-21."/>
    <n v="238032"/>
    <x v="0"/>
    <s v="sem"/>
    <s v="sem"/>
    <m/>
    <m/>
    <n v="272304"/>
    <n v="271478"/>
    <n v="39413"/>
    <n v="37080"/>
    <n v="295898.5"/>
    <n v="287589"/>
    <n v="607615.5"/>
    <n v="20253.849999999999"/>
    <n v="596147"/>
    <n v="19871.566666666666"/>
    <n v="5494"/>
    <n v="6214"/>
    <n v="607615.5"/>
    <n v="596147"/>
    <m/>
    <m/>
    <m/>
    <m/>
    <m/>
    <m/>
    <m/>
    <m/>
    <n v="0"/>
    <n v="0"/>
    <n v="0"/>
    <n v="0"/>
    <m/>
    <m/>
    <n v="0"/>
    <n v="0"/>
    <m/>
    <m/>
    <n v="38457"/>
    <n v="38737"/>
    <n v="10844"/>
    <n v="11941"/>
    <n v="39707"/>
    <n v="40479"/>
    <n v="89008"/>
    <n v="3708.6666666666665"/>
    <n v="91157"/>
    <n v="3798.2083333333335"/>
    <n v="23962.516666666666"/>
    <n v="23669.774999999998"/>
  </r>
  <r>
    <x v="15"/>
    <s v="Marshall University "/>
    <m/>
    <n v="237525"/>
    <x v="2"/>
    <s v="sem"/>
    <s v="sem"/>
    <m/>
    <m/>
    <n v="112777"/>
    <n v="108351"/>
    <n v="10949"/>
    <n v="11380"/>
    <n v="120831"/>
    <n v="116225"/>
    <n v="244557"/>
    <n v="8151.9"/>
    <n v="235956"/>
    <n v="7865.2"/>
    <n v="15505"/>
    <n v="12750"/>
    <n v="244557"/>
    <n v="235956"/>
    <m/>
    <m/>
    <m/>
    <m/>
    <m/>
    <m/>
    <m/>
    <m/>
    <n v="0"/>
    <n v="0"/>
    <n v="0"/>
    <n v="0"/>
    <m/>
    <m/>
    <n v="0"/>
    <n v="0"/>
    <m/>
    <m/>
    <n v="28006"/>
    <n v="26812"/>
    <n v="11733"/>
    <n v="11737"/>
    <n v="26699"/>
    <n v="25073"/>
    <n v="66438"/>
    <n v="2768.25"/>
    <n v="63622"/>
    <n v="2650.9166666666665"/>
    <n v="10920.15"/>
    <n v="10516.116666666667"/>
  </r>
  <r>
    <x v="15"/>
    <s v="Concord University "/>
    <m/>
    <n v="237330"/>
    <x v="4"/>
    <s v="sem"/>
    <s v="sem"/>
    <m/>
    <m/>
    <n v="21786"/>
    <n v="19692"/>
    <n v="1814"/>
    <n v="2052"/>
    <n v="22807"/>
    <n v="21668"/>
    <n v="46407"/>
    <n v="1546.9"/>
    <n v="43412"/>
    <n v="1447.0666666666666"/>
    <n v="419"/>
    <n v="244"/>
    <n v="46407"/>
    <n v="43412"/>
    <m/>
    <m/>
    <m/>
    <m/>
    <m/>
    <m/>
    <m/>
    <m/>
    <n v="0"/>
    <n v="0"/>
    <n v="0"/>
    <n v="0"/>
    <m/>
    <m/>
    <n v="0"/>
    <n v="0"/>
    <m/>
    <m/>
    <n v="2373"/>
    <n v="2183"/>
    <n v="2100"/>
    <n v="2181"/>
    <n v="2135"/>
    <n v="2203"/>
    <n v="6608"/>
    <n v="275.33333333333331"/>
    <n v="6567"/>
    <n v="273.625"/>
    <n v="1822.2333333333333"/>
    <n v="1720.6916666666666"/>
  </r>
  <r>
    <x v="15"/>
    <s v="Fairmont State University"/>
    <m/>
    <n v="237367"/>
    <x v="4"/>
    <s v="sem"/>
    <s v="sem"/>
    <m/>
    <m/>
    <n v="44948"/>
    <n v="42507"/>
    <n v="3862"/>
    <n v="3997"/>
    <n v="47863"/>
    <n v="48023"/>
    <n v="96673"/>
    <n v="3222.4333333333334"/>
    <n v="94527"/>
    <n v="3150.9"/>
    <n v="1138"/>
    <n v="1632"/>
    <n v="96673"/>
    <n v="94527"/>
    <m/>
    <m/>
    <m/>
    <m/>
    <m/>
    <m/>
    <m/>
    <m/>
    <n v="0"/>
    <n v="0"/>
    <n v="0"/>
    <n v="0"/>
    <m/>
    <m/>
    <n v="0"/>
    <n v="0"/>
    <m/>
    <m/>
    <n v="1436"/>
    <n v="1568"/>
    <n v="664"/>
    <n v="686"/>
    <n v="1664"/>
    <n v="1894"/>
    <n v="3764"/>
    <n v="156.83333333333334"/>
    <n v="4148"/>
    <n v="172.83333333333334"/>
    <n v="3379.2666666666669"/>
    <n v="3323.7333333333336"/>
  </r>
  <r>
    <x v="15"/>
    <s v="Shepherd University "/>
    <m/>
    <n v="237792"/>
    <x v="4"/>
    <s v="sem"/>
    <s v="sem"/>
    <m/>
    <m/>
    <n v="37523"/>
    <n v="35331.5"/>
    <n v="3764"/>
    <n v="3458"/>
    <n v="39624.5"/>
    <n v="36641.5"/>
    <n v="80911.5"/>
    <n v="2697.05"/>
    <n v="75431"/>
    <n v="2514.3666666666668"/>
    <n v="1256"/>
    <n v="1998"/>
    <n v="80911.5"/>
    <n v="75431"/>
    <m/>
    <m/>
    <m/>
    <m/>
    <m/>
    <m/>
    <m/>
    <m/>
    <n v="0"/>
    <n v="0"/>
    <n v="0"/>
    <n v="0"/>
    <m/>
    <m/>
    <n v="0"/>
    <n v="0"/>
    <m/>
    <m/>
    <n v="2188"/>
    <n v="3316"/>
    <n v="1829"/>
    <n v="4609"/>
    <n v="2707"/>
    <n v="3403"/>
    <n v="6724"/>
    <n v="280.16666666666669"/>
    <n v="11328"/>
    <n v="472"/>
    <n v="2977.2166666666667"/>
    <n v="2986.3666666666668"/>
  </r>
  <r>
    <x v="15"/>
    <s v="West Liberty University"/>
    <s v="Met the criteria for Four-Year 4 in 2019-20 and 2020-21."/>
    <n v="237932"/>
    <x v="4"/>
    <s v="sem"/>
    <s v="sem"/>
    <m/>
    <m/>
    <n v="28073"/>
    <n v="27859"/>
    <n v="1959"/>
    <n v="1976"/>
    <n v="31312"/>
    <n v="30114"/>
    <n v="61344"/>
    <n v="2044.8"/>
    <n v="59949"/>
    <n v="1998.3"/>
    <n v="1637"/>
    <n v="1822"/>
    <n v="61344"/>
    <n v="59949"/>
    <m/>
    <m/>
    <m/>
    <m/>
    <m/>
    <m/>
    <m/>
    <m/>
    <n v="0"/>
    <n v="0"/>
    <n v="0"/>
    <n v="0"/>
    <m/>
    <m/>
    <n v="0"/>
    <n v="0"/>
    <m/>
    <m/>
    <n v="2338"/>
    <n v="2750"/>
    <n v="1301"/>
    <n v="1784"/>
    <n v="2494"/>
    <n v="2820"/>
    <n v="6133"/>
    <n v="255.54166666666666"/>
    <n v="7354"/>
    <n v="306.41666666666669"/>
    <n v="2300.3416666666667"/>
    <n v="2304.7166666666667"/>
  </r>
  <r>
    <x v="15"/>
    <s v="Bluefield State College "/>
    <m/>
    <n v="237215"/>
    <x v="5"/>
    <s v="sem"/>
    <s v="sem"/>
    <m/>
    <m/>
    <n v="15388"/>
    <n v="14666"/>
    <n v="1266"/>
    <n v="1250"/>
    <n v="16030"/>
    <n v="15617"/>
    <n v="32684"/>
    <n v="1089.4666666666667"/>
    <n v="31533"/>
    <n v="1051.0999999999999"/>
    <n v="569"/>
    <n v="643"/>
    <n v="32684"/>
    <n v="31533"/>
    <m/>
    <m/>
    <m/>
    <m/>
    <m/>
    <m/>
    <m/>
    <m/>
    <n v="0"/>
    <n v="0"/>
    <n v="0"/>
    <n v="0"/>
    <m/>
    <m/>
    <n v="0"/>
    <n v="0"/>
    <m/>
    <m/>
    <m/>
    <m/>
    <m/>
    <m/>
    <m/>
    <m/>
    <n v="0"/>
    <n v="0"/>
    <n v="0"/>
    <n v="0"/>
    <n v="1089.4666666666667"/>
    <n v="1051.0999999999999"/>
  </r>
  <r>
    <x v="15"/>
    <s v="Glenville State College "/>
    <m/>
    <n v="237385"/>
    <x v="5"/>
    <s v="sem"/>
    <s v="sem"/>
    <m/>
    <m/>
    <n v="14895"/>
    <n v="16171"/>
    <n v="1887"/>
    <n v="1475"/>
    <n v="18286"/>
    <n v="19242"/>
    <n v="35068"/>
    <n v="1168.9333333333334"/>
    <n v="36888"/>
    <n v="1229.5999999999999"/>
    <n v="3467"/>
    <n v="4372"/>
    <n v="35068"/>
    <n v="36888"/>
    <m/>
    <m/>
    <m/>
    <m/>
    <m/>
    <m/>
    <m/>
    <m/>
    <n v="0"/>
    <n v="0"/>
    <n v="0"/>
    <n v="0"/>
    <m/>
    <m/>
    <n v="0"/>
    <n v="0"/>
    <m/>
    <m/>
    <m/>
    <m/>
    <m/>
    <m/>
    <m/>
    <m/>
    <n v="0"/>
    <n v="0"/>
    <n v="0"/>
    <n v="0"/>
    <n v="1168.9333333333334"/>
    <n v="1229.5999999999999"/>
  </r>
  <r>
    <x v="15"/>
    <s v="West Virginia State University "/>
    <s v="Met the criteria for Four-Year 4 in 2019-20."/>
    <n v="237899"/>
    <x v="5"/>
    <s v="sem"/>
    <s v="sem"/>
    <m/>
    <m/>
    <n v="30661"/>
    <n v="30502"/>
    <n v="1940"/>
    <n v="1690"/>
    <n v="36943"/>
    <n v="32825"/>
    <n v="69544"/>
    <n v="2318.1333333333332"/>
    <n v="65017"/>
    <n v="2167.2333333333331"/>
    <n v="18900"/>
    <n v="16722"/>
    <n v="69544"/>
    <n v="65017"/>
    <m/>
    <m/>
    <m/>
    <m/>
    <m/>
    <m/>
    <m/>
    <m/>
    <n v="0"/>
    <n v="0"/>
    <n v="0"/>
    <n v="0"/>
    <m/>
    <m/>
    <n v="0"/>
    <n v="0"/>
    <m/>
    <m/>
    <n v="1001"/>
    <n v="888"/>
    <n v="585"/>
    <n v="483"/>
    <n v="851"/>
    <n v="1004"/>
    <n v="2437"/>
    <n v="101.54166666666667"/>
    <n v="2375"/>
    <n v="98.958333333333329"/>
    <n v="2419.6749999999997"/>
    <n v="2266.1916666666666"/>
  </r>
  <r>
    <x v="15"/>
    <s v="West Virginia University Institute of Technology"/>
    <m/>
    <n v="237950"/>
    <x v="5"/>
    <s v="sem"/>
    <s v="sem"/>
    <m/>
    <m/>
    <n v="19102"/>
    <n v="18971"/>
    <n v="1112"/>
    <n v="1199"/>
    <n v="20198"/>
    <n v="19292"/>
    <n v="40412"/>
    <n v="1347.0666666666666"/>
    <n v="39462"/>
    <n v="1315.4"/>
    <n v="3842"/>
    <n v="4003"/>
    <n v="40412"/>
    <n v="39462"/>
    <m/>
    <m/>
    <m/>
    <m/>
    <m/>
    <m/>
    <m/>
    <m/>
    <n v="0"/>
    <n v="0"/>
    <n v="0"/>
    <n v="0"/>
    <m/>
    <m/>
    <n v="0"/>
    <n v="0"/>
    <m/>
    <m/>
    <m/>
    <m/>
    <m/>
    <m/>
    <m/>
    <m/>
    <n v="0"/>
    <n v="0"/>
    <n v="0"/>
    <n v="0"/>
    <n v="1347.0666666666666"/>
    <n v="1315.4"/>
  </r>
  <r>
    <x v="15"/>
    <s v="Potomac State College of West Virginia University"/>
    <m/>
    <n v="237701"/>
    <x v="12"/>
    <s v="sem"/>
    <s v="sem"/>
    <m/>
    <m/>
    <n v="15097"/>
    <n v="14896"/>
    <n v="955"/>
    <n v="1311"/>
    <n v="16496"/>
    <n v="15481"/>
    <n v="32548"/>
    <n v="1084.9333333333334"/>
    <n v="31688"/>
    <n v="1056.2666666666667"/>
    <n v="2437"/>
    <n v="2252"/>
    <n v="32548"/>
    <n v="31688"/>
    <m/>
    <m/>
    <m/>
    <m/>
    <m/>
    <m/>
    <m/>
    <m/>
    <n v="0"/>
    <n v="0"/>
    <n v="0"/>
    <n v="0"/>
    <m/>
    <m/>
    <n v="0"/>
    <n v="0"/>
    <m/>
    <m/>
    <m/>
    <m/>
    <m/>
    <m/>
    <m/>
    <m/>
    <n v="0"/>
    <n v="0"/>
    <n v="0"/>
    <n v="0"/>
    <n v="1084.9333333333334"/>
    <n v="1056.2666666666667"/>
  </r>
  <r>
    <x v="15"/>
    <s v="West Virginia University at Parkersburg"/>
    <s v="Met the criteria for Four-Year 6 in 2020-21."/>
    <n v="237686"/>
    <x v="12"/>
    <s v="sem"/>
    <s v="sem"/>
    <m/>
    <m/>
    <n v="23587"/>
    <n v="24231"/>
    <n v="3804"/>
    <n v="4213"/>
    <n v="26533"/>
    <n v="25609"/>
    <n v="53924"/>
    <n v="1797.4666666666667"/>
    <n v="54053"/>
    <n v="1801.7666666666667"/>
    <n v="7898"/>
    <n v="9737"/>
    <n v="53924"/>
    <n v="54053"/>
    <m/>
    <m/>
    <m/>
    <m/>
    <m/>
    <m/>
    <m/>
    <m/>
    <n v="0"/>
    <n v="0"/>
    <n v="0"/>
    <n v="0"/>
    <m/>
    <m/>
    <n v="0"/>
    <n v="0"/>
    <m/>
    <m/>
    <m/>
    <m/>
    <m/>
    <m/>
    <m/>
    <m/>
    <n v="0"/>
    <n v="0"/>
    <n v="0"/>
    <n v="0"/>
    <n v="1797.4666666666667"/>
    <n v="1801.7666666666667"/>
  </r>
  <r>
    <x v="15"/>
    <s v="Blue Ridge Community &amp; Technical College"/>
    <s v="Met the criteria for Two-Year 3 in 2020-21."/>
    <n v="446774"/>
    <x v="7"/>
    <s v="sem"/>
    <s v="sem"/>
    <m/>
    <m/>
    <n v="28981"/>
    <n v="27181.1"/>
    <n v="2760"/>
    <n v="3226"/>
    <n v="33613.699999999997"/>
    <n v="20445.3"/>
    <n v="65354.7"/>
    <n v="2178.4899999999998"/>
    <n v="50852.399999999994"/>
    <n v="1695.0799999999997"/>
    <n v="8314"/>
    <n v="7811.1"/>
    <n v="65354.7"/>
    <n v="50852.399999999994"/>
    <m/>
    <m/>
    <m/>
    <m/>
    <m/>
    <m/>
    <m/>
    <m/>
    <n v="0"/>
    <n v="0"/>
    <n v="0"/>
    <n v="0"/>
    <m/>
    <m/>
    <n v="0"/>
    <n v="0"/>
    <m/>
    <m/>
    <m/>
    <m/>
    <m/>
    <m/>
    <m/>
    <m/>
    <n v="0"/>
    <n v="0"/>
    <n v="0"/>
    <n v="0"/>
    <n v="2178.4899999999998"/>
    <n v="1695.0799999999997"/>
  </r>
  <r>
    <x v="15"/>
    <s v="BridgeValley Community &amp; Technical College"/>
    <m/>
    <n v="484932"/>
    <x v="8"/>
    <s v="sem"/>
    <s v="sem"/>
    <m/>
    <m/>
    <n v="16609"/>
    <n v="16917"/>
    <n v="1302"/>
    <n v="1199"/>
    <n v="19840"/>
    <n v="18667"/>
    <n v="37751"/>
    <n v="1258.3666666666666"/>
    <n v="36783"/>
    <n v="1226.0999999999999"/>
    <n v="58"/>
    <n v="39"/>
    <n v="37751"/>
    <n v="36783"/>
    <m/>
    <m/>
    <m/>
    <m/>
    <m/>
    <m/>
    <m/>
    <m/>
    <n v="0"/>
    <n v="0"/>
    <n v="0"/>
    <n v="0"/>
    <m/>
    <m/>
    <n v="0"/>
    <n v="0"/>
    <m/>
    <m/>
    <m/>
    <m/>
    <m/>
    <m/>
    <m/>
    <m/>
    <n v="0"/>
    <n v="0"/>
    <n v="0"/>
    <n v="0"/>
    <n v="1258.3666666666666"/>
    <n v="1226.0999999999999"/>
  </r>
  <r>
    <x v="15"/>
    <s v="Eastern West Virginia Community &amp; Technical College"/>
    <m/>
    <n v="438708"/>
    <x v="8"/>
    <s v="sem"/>
    <s v="sem"/>
    <m/>
    <m/>
    <n v="3217"/>
    <n v="3204"/>
    <n v="330"/>
    <n v="380"/>
    <n v="4060"/>
    <n v="3012"/>
    <n v="7607"/>
    <n v="253.56666666666666"/>
    <n v="6596"/>
    <n v="219.86666666666667"/>
    <n v="1478"/>
    <n v="1586"/>
    <n v="7607"/>
    <n v="6596"/>
    <m/>
    <m/>
    <m/>
    <m/>
    <m/>
    <m/>
    <m/>
    <m/>
    <n v="0"/>
    <n v="0"/>
    <n v="0"/>
    <n v="0"/>
    <m/>
    <m/>
    <n v="0"/>
    <n v="0"/>
    <m/>
    <m/>
    <m/>
    <m/>
    <m/>
    <m/>
    <m/>
    <m/>
    <n v="0"/>
    <n v="0"/>
    <n v="0"/>
    <n v="0"/>
    <n v="253.56666666666666"/>
    <n v="219.86666666666667"/>
  </r>
  <r>
    <x v="15"/>
    <s v="Mountwest Community &amp; Technical College"/>
    <m/>
    <n v="444954"/>
    <x v="8"/>
    <s v="sem"/>
    <s v="sem"/>
    <m/>
    <m/>
    <n v="17701"/>
    <n v="16851"/>
    <n v="4217"/>
    <n v="2201"/>
    <n v="19143"/>
    <n v="14657"/>
    <n v="41061"/>
    <n v="1368.7"/>
    <n v="33709"/>
    <n v="1123.6333333333334"/>
    <n v="3136"/>
    <n v="2330"/>
    <n v="41061"/>
    <n v="33709"/>
    <m/>
    <m/>
    <m/>
    <m/>
    <m/>
    <m/>
    <m/>
    <m/>
    <n v="0"/>
    <n v="0"/>
    <n v="0"/>
    <n v="0"/>
    <m/>
    <m/>
    <n v="0"/>
    <n v="0"/>
    <m/>
    <m/>
    <m/>
    <m/>
    <m/>
    <m/>
    <m/>
    <m/>
    <n v="0"/>
    <n v="0"/>
    <n v="0"/>
    <n v="0"/>
    <n v="1368.7"/>
    <n v="1123.6333333333334"/>
  </r>
  <r>
    <x v="15"/>
    <s v="New River Community &amp; Technical College"/>
    <m/>
    <n v="447582"/>
    <x v="8"/>
    <s v="sem"/>
    <s v="sem"/>
    <m/>
    <m/>
    <n v="10659"/>
    <n v="11625"/>
    <n v="2595"/>
    <n v="2523"/>
    <n v="12437"/>
    <n v="11263"/>
    <n v="25691"/>
    <n v="856.36666666666667"/>
    <n v="25411"/>
    <n v="847.0333333333333"/>
    <n v="2447"/>
    <n v="2141"/>
    <n v="25691"/>
    <n v="25411"/>
    <m/>
    <m/>
    <m/>
    <m/>
    <m/>
    <m/>
    <m/>
    <m/>
    <n v="0"/>
    <n v="0"/>
    <n v="0"/>
    <n v="0"/>
    <m/>
    <m/>
    <n v="0"/>
    <n v="0"/>
    <m/>
    <m/>
    <m/>
    <m/>
    <m/>
    <m/>
    <m/>
    <m/>
    <n v="0"/>
    <n v="0"/>
    <n v="0"/>
    <n v="0"/>
    <n v="856.36666666666667"/>
    <n v="847.0333333333333"/>
  </r>
  <r>
    <x v="15"/>
    <s v="Pierpont Community &amp; Technical College"/>
    <m/>
    <n v="443492"/>
    <x v="8"/>
    <s v="sem"/>
    <s v="sem"/>
    <m/>
    <m/>
    <n v="16003"/>
    <n v="16020"/>
    <n v="1807"/>
    <n v="1583"/>
    <n v="20230"/>
    <n v="17976"/>
    <n v="38040"/>
    <n v="1268"/>
    <n v="35579"/>
    <n v="1185.9666666666667"/>
    <n v="4262"/>
    <n v="4116"/>
    <n v="38040"/>
    <n v="35579"/>
    <m/>
    <m/>
    <m/>
    <m/>
    <m/>
    <m/>
    <m/>
    <m/>
    <n v="0"/>
    <n v="0"/>
    <n v="0"/>
    <n v="0"/>
    <m/>
    <m/>
    <n v="0"/>
    <n v="0"/>
    <m/>
    <m/>
    <m/>
    <m/>
    <m/>
    <m/>
    <m/>
    <m/>
    <n v="0"/>
    <n v="0"/>
    <n v="0"/>
    <n v="0"/>
    <n v="1268"/>
    <n v="1185.9666666666667"/>
  </r>
  <r>
    <x v="15"/>
    <s v="Southern West Virginia Community &amp; Technical College "/>
    <m/>
    <n v="237817"/>
    <x v="8"/>
    <s v="sem"/>
    <s v="sem"/>
    <m/>
    <m/>
    <n v="14689"/>
    <n v="14980"/>
    <n v="1047"/>
    <n v="801"/>
    <n v="16756"/>
    <n v="17626"/>
    <n v="32492"/>
    <n v="1083.0666666666666"/>
    <n v="33407"/>
    <n v="1113.5666666666666"/>
    <n v="1232"/>
    <n v="1419"/>
    <n v="32492"/>
    <n v="33407"/>
    <m/>
    <m/>
    <m/>
    <m/>
    <m/>
    <m/>
    <m/>
    <m/>
    <n v="0"/>
    <n v="0"/>
    <n v="0"/>
    <n v="0"/>
    <m/>
    <m/>
    <n v="0"/>
    <n v="0"/>
    <m/>
    <m/>
    <m/>
    <m/>
    <m/>
    <m/>
    <m/>
    <m/>
    <n v="0"/>
    <n v="0"/>
    <n v="0"/>
    <n v="0"/>
    <n v="1083.0666666666666"/>
    <n v="1113.5666666666666"/>
  </r>
  <r>
    <x v="15"/>
    <s v="West Virginia Northern Community College"/>
    <m/>
    <n v="238014"/>
    <x v="8"/>
    <s v="sem"/>
    <s v="sem"/>
    <m/>
    <m/>
    <n v="13346.4"/>
    <n v="12589"/>
    <n v="2648"/>
    <n v="2349"/>
    <n v="14318.2"/>
    <n v="12927"/>
    <n v="30312.6"/>
    <n v="1010.42"/>
    <n v="27865"/>
    <n v="928.83333333333337"/>
    <n v="4139"/>
    <n v="3684"/>
    <n v="30312.6"/>
    <n v="27865"/>
    <m/>
    <m/>
    <m/>
    <m/>
    <m/>
    <m/>
    <m/>
    <m/>
    <n v="0"/>
    <n v="0"/>
    <n v="0"/>
    <n v="0"/>
    <m/>
    <m/>
    <n v="0"/>
    <n v="0"/>
    <m/>
    <m/>
    <m/>
    <m/>
    <m/>
    <m/>
    <m/>
    <m/>
    <n v="0"/>
    <n v="0"/>
    <n v="0"/>
    <n v="0"/>
    <n v="1010.42"/>
    <n v="928.833333333333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0C1317E-A4A7-4D09-B95B-EF7BAF6F8284}" name="PivotTable3" cacheId="236" dataOnRows="1" applyNumberFormats="0" applyBorderFormats="0" applyFontFormats="0" applyPatternFormats="0" applyAlignmentFormats="0" applyWidthHeightFormats="1" dataCaption="Values" updatedVersion="8" minRefreshableVersion="3" useAutoFormatting="1" itemPrintTitles="1" createdVersion="6" indent="0" outline="1" outlineData="1">
  <location ref="A2:AD208" firstHeaderRow="1" firstDataRow="3" firstDataCol="2"/>
  <pivotFields count="58">
    <pivotField axis="axisRow" outline="0" subtotalTop="0" showAll="0">
      <items count="18">
        <item x="0"/>
        <item x="1"/>
        <item x="2"/>
        <item x="3"/>
        <item x="4"/>
        <item x="5"/>
        <item x="6"/>
        <item x="7"/>
        <item x="8"/>
        <item x="9"/>
        <item x="10"/>
        <item x="11"/>
        <item x="12"/>
        <item x="13"/>
        <item x="14"/>
        <item x="15"/>
        <item h="1" m="1" x="16"/>
        <item t="default"/>
      </items>
    </pivotField>
    <pivotField subtotalTop="0" showAll="0"/>
    <pivotField subtotalTop="0" showAll="0"/>
    <pivotField subtotalTop="0" showAll="0"/>
    <pivotField axis="axisCol" outline="0" subtotalTop="0" showAll="0" includeNewItemsInFilter="1">
      <items count="20">
        <item x="0"/>
        <item x="1"/>
        <item x="2"/>
        <item x="3"/>
        <item x="4"/>
        <item x="5"/>
        <item x="12"/>
        <item x="6"/>
        <item x="7"/>
        <item x="8"/>
        <item x="14"/>
        <item x="9"/>
        <item x="10"/>
        <item m="1" x="18"/>
        <item x="15"/>
        <item x="16"/>
        <item x="17"/>
        <item x="13"/>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11">
        <item n="Four-Year" x="5"/>
        <item n="Two-Year" x="6"/>
        <item x="0"/>
        <item n="Technical" x="7"/>
        <item x="1"/>
        <item x="2"/>
        <item x="3"/>
        <item x="4"/>
        <item x="8"/>
        <item x="9"/>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8">
    <i>
      <x/>
      <x/>
    </i>
    <i r="1">
      <x v="1"/>
    </i>
    <i r="1">
      <x v="2"/>
    </i>
    <i r="1">
      <x v="3"/>
    </i>
    <i r="1">
      <x v="4"/>
    </i>
    <i r="1">
      <x v="5"/>
    </i>
    <i t="default">
      <x/>
    </i>
    <i>
      <x v="1"/>
      <x v="6"/>
    </i>
    <i r="1">
      <x v="7"/>
    </i>
    <i r="1">
      <x v="8"/>
    </i>
    <i r="1">
      <x v="9"/>
    </i>
    <i t="default">
      <x v="1"/>
    </i>
    <i>
      <x v="2"/>
      <x v="10"/>
    </i>
    <i t="default">
      <x v="2"/>
    </i>
    <i>
      <x v="3"/>
      <x v="11"/>
    </i>
    <i r="1">
      <x v="12"/>
    </i>
    <i t="default">
      <x v="3"/>
    </i>
    <i>
      <x v="5"/>
      <x v="14"/>
    </i>
    <i t="default">
      <x v="5"/>
    </i>
    <i>
      <x v="6"/>
      <x v="15"/>
    </i>
    <i t="default">
      <x v="6"/>
    </i>
    <i>
      <x v="7"/>
      <x v="16"/>
    </i>
    <i t="default">
      <x v="7"/>
    </i>
    <i>
      <x v="8"/>
      <x v="17"/>
    </i>
    <i t="default">
      <x v="8"/>
    </i>
    <i>
      <x v="9"/>
      <x v="18"/>
    </i>
    <i t="default">
      <x v="9"/>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1008">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1007">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1006">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1005">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1004">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1003">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1002">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1001">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1000">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999">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998">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997">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996">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995">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EAECD30-2293-4944-BB97-480EC84B492C}" name="PivotTable3" cacheId="232" dataOnRows="1" applyNumberFormats="0" applyBorderFormats="0" applyFontFormats="0" applyPatternFormats="0" applyAlignmentFormats="0" applyWidthHeightFormats="1" dataCaption="Data" updatedVersion="8" minRefreshableVersion="3" asteriskTotals="1" showMemberPropertyTips="0" useAutoFormatting="1" colGrandTotals="0" itemPrintTitles="1" createdVersion="3" indent="0" compact="0" compactData="0" gridDropZones="1">
  <location ref="A3:AC124" firstHeaderRow="1" firstDataRow="3" firstDataCol="2"/>
  <pivotFields count="47">
    <pivotField axis="axisRow" compact="0" outline="0" subtotalTop="0" showAll="0" includeNewItemsInFilter="1" sortType="ascending">
      <items count="18">
        <item x="0"/>
        <item x="1"/>
        <item x="2"/>
        <item x="3"/>
        <item x="4"/>
        <item x="5"/>
        <item x="6"/>
        <item x="7"/>
        <item x="8"/>
        <item x="9"/>
        <item x="10"/>
        <item x="11"/>
        <item x="12"/>
        <item x="13"/>
        <item x="14"/>
        <item x="15"/>
        <item h="1"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1">
        <item x="0"/>
        <item x="1"/>
        <item x="2"/>
        <item x="3"/>
        <item x="4"/>
        <item x="5"/>
        <item x="12"/>
        <item x="6"/>
        <item x="7"/>
        <item x="8"/>
        <item x="14"/>
        <item x="9"/>
        <item x="10"/>
        <item m="1" x="18"/>
        <item x="11"/>
        <item m="1" x="19"/>
        <item x="15"/>
        <item x="16"/>
        <item x="17"/>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1">
        <item n="Four-Year" x="2"/>
        <item n="Two-Year" x="3"/>
        <item x="1"/>
        <item n="Technical" x="4"/>
        <item x="0"/>
        <item x="5"/>
        <item x="6"/>
        <item x="7"/>
        <item x="8"/>
        <item x="9"/>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7">
    <i>
      <x/>
      <x/>
    </i>
    <i r="1">
      <x v="1"/>
    </i>
    <i r="1">
      <x v="2"/>
    </i>
    <i r="1">
      <x v="3"/>
    </i>
    <i r="1">
      <x v="4"/>
    </i>
    <i r="1">
      <x v="5"/>
    </i>
    <i t="default">
      <x/>
    </i>
    <i>
      <x v="1"/>
      <x v="6"/>
    </i>
    <i r="1">
      <x v="7"/>
    </i>
    <i r="1">
      <x v="8"/>
    </i>
    <i r="1">
      <x v="9"/>
    </i>
    <i t="default">
      <x v="1"/>
    </i>
    <i>
      <x v="2"/>
      <x v="10"/>
    </i>
    <i t="default">
      <x v="2"/>
    </i>
    <i>
      <x v="3"/>
      <x v="11"/>
    </i>
    <i r="1">
      <x v="12"/>
    </i>
    <i t="default">
      <x v="3"/>
    </i>
    <i>
      <x v="4"/>
      <x v="14"/>
    </i>
    <i t="default">
      <x v="4"/>
    </i>
    <i>
      <x v="6"/>
      <x v="16"/>
    </i>
    <i t="default">
      <x v="6"/>
    </i>
    <i>
      <x v="7"/>
      <x v="17"/>
    </i>
    <i t="default">
      <x v="7"/>
    </i>
    <i>
      <x v="8"/>
      <x v="18"/>
    </i>
    <i t="default">
      <x v="8"/>
    </i>
    <i>
      <x v="9"/>
      <x v="19"/>
    </i>
    <i t="default">
      <x v="9"/>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994">
      <pivotArea dataOnly="0" labelOnly="1" outline="0" fieldPosition="0">
        <references count="1">
          <reference field="0" count="1">
            <x v="4"/>
          </reference>
        </references>
      </pivotArea>
    </format>
    <format dxfId="993">
      <pivotArea type="all" dataOnly="0" outline="0" fieldPosition="0"/>
    </format>
    <format dxfId="992">
      <pivotArea dataOnly="0" labelOnly="1" outline="0" fieldPosition="0">
        <references count="2">
          <reference field="4294967294" count="1">
            <x v="0"/>
          </reference>
          <reference field="0" count="1" selected="0">
            <x v="4"/>
          </reference>
        </references>
      </pivotArea>
    </format>
    <format dxfId="991">
      <pivotArea dataOnly="0" labelOnly="1" outline="0" fieldPosition="0">
        <references count="2">
          <reference field="4294967294" count="1">
            <x v="2"/>
          </reference>
          <reference field="0" count="1" selected="0">
            <x v="4"/>
          </reference>
        </references>
      </pivotArea>
    </format>
    <format dxfId="990">
      <pivotArea dataOnly="0" labelOnly="1" outline="0" fieldPosition="0">
        <references count="2">
          <reference field="4294967294" count="1">
            <x v="5"/>
          </reference>
          <reference field="0" count="1" selected="0">
            <x v="4"/>
          </reference>
        </references>
      </pivotArea>
    </format>
    <format dxfId="989">
      <pivotArea field="0" grandRow="1" outline="0" collapsedLevelsAreSubtotals="1" axis="axisRow" fieldPosition="0">
        <references count="1">
          <reference field="4294967294" count="1" selected="0">
            <x v="2"/>
          </reference>
        </references>
      </pivotArea>
    </format>
    <format dxfId="988">
      <pivotArea field="0" grandRow="1" outline="0" collapsedLevelsAreSubtotals="1" axis="axisRow" fieldPosition="0">
        <references count="1">
          <reference field="4294967294" count="1" selected="0">
            <x v="2"/>
          </reference>
        </references>
      </pivotArea>
    </format>
    <format dxfId="987">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986">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985">
      <pivotArea field="0" dataOnly="0" labelOnly="1" grandRow="1" outline="0" axis="axisRow" fieldPosition="0">
        <references count="1">
          <reference field="4294967294" count="1" selected="0">
            <x v="0"/>
          </reference>
        </references>
      </pivotArea>
    </format>
    <format dxfId="984">
      <pivotArea field="0" dataOnly="0" labelOnly="1" grandRow="1" outline="0" axis="axisRow" fieldPosition="0">
        <references count="1">
          <reference field="4294967294" count="1" selected="0">
            <x v="1"/>
          </reference>
        </references>
      </pivotArea>
    </format>
    <format dxfId="983">
      <pivotArea field="0" dataOnly="0" labelOnly="1" grandRow="1" outline="0" axis="axisRow" fieldPosition="0">
        <references count="1">
          <reference field="4294967294" count="1" selected="0">
            <x v="2"/>
          </reference>
        </references>
      </pivotArea>
    </format>
    <format dxfId="982">
      <pivotArea field="0" dataOnly="0" labelOnly="1" grandRow="1" outline="0" axis="axisRow" fieldPosition="0">
        <references count="1">
          <reference field="4294967294" count="1" selected="0">
            <x v="3"/>
          </reference>
        </references>
      </pivotArea>
    </format>
    <format dxfId="981">
      <pivotArea field="0" dataOnly="0" labelOnly="1" grandRow="1" outline="0" axis="axisRow" fieldPosition="0">
        <references count="1">
          <reference field="4294967294" count="1" selected="0">
            <x v="4"/>
          </reference>
        </references>
      </pivotArea>
    </format>
    <format dxfId="980">
      <pivotArea field="0" dataOnly="0" labelOnly="1" grandRow="1" outline="0" axis="axisRow" fieldPosition="0">
        <references count="1">
          <reference field="4294967294" count="1" selected="0">
            <x v="5"/>
          </reference>
        </references>
      </pivotArea>
    </format>
    <format dxfId="979">
      <pivotArea field="0" dataOnly="0" labelOnly="1" grandRow="1" outline="0" axis="axisRow" fieldPosition="0">
        <references count="1">
          <reference field="4294967294" count="1" selected="0">
            <x v="6"/>
          </reference>
        </references>
      </pivotArea>
    </format>
    <format dxfId="978">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977">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976">
      <pivotArea field="43" grandRow="1" outline="0" collapsedLevelsAreSubtotals="1" axis="axisCol" fieldPosition="0">
        <references count="2">
          <reference field="4294967294" count="1" selected="0">
            <x v="6"/>
          </reference>
          <reference field="43" count="1" selected="0" defaultSubtotal="1">
            <x v="0"/>
          </reference>
        </references>
      </pivotArea>
    </format>
    <format dxfId="975">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974">
      <pivotArea field="0" dataOnly="0" labelOnly="1" grandRow="1" outline="0" axis="axisRow" fieldPosition="0">
        <references count="1">
          <reference field="4294967294" count="1" selected="0">
            <x v="0"/>
          </reference>
        </references>
      </pivotArea>
    </format>
    <format dxfId="973">
      <pivotArea field="0" dataOnly="0" labelOnly="1" grandRow="1" outline="0" axis="axisRow" fieldPosition="0">
        <references count="1">
          <reference field="4294967294" count="1" selected="0">
            <x v="1"/>
          </reference>
        </references>
      </pivotArea>
    </format>
    <format dxfId="972">
      <pivotArea field="0" dataOnly="0" labelOnly="1" grandRow="1" outline="0" axis="axisRow" fieldPosition="0">
        <references count="1">
          <reference field="4294967294" count="1" selected="0">
            <x v="2"/>
          </reference>
        </references>
      </pivotArea>
    </format>
    <format dxfId="971">
      <pivotArea field="0" dataOnly="0" labelOnly="1" grandRow="1" outline="0" axis="axisRow" fieldPosition="0">
        <references count="1">
          <reference field="4294967294" count="1" selected="0">
            <x v="3"/>
          </reference>
        </references>
      </pivotArea>
    </format>
    <format dxfId="970">
      <pivotArea field="0" dataOnly="0" labelOnly="1" grandRow="1" outline="0" axis="axisRow" fieldPosition="0">
        <references count="1">
          <reference field="4294967294" count="1" selected="0">
            <x v="4"/>
          </reference>
        </references>
      </pivotArea>
    </format>
    <format dxfId="969">
      <pivotArea field="0" dataOnly="0" labelOnly="1" grandRow="1" outline="0" axis="axisRow" fieldPosition="0">
        <references count="1">
          <reference field="4294967294" count="1" selected="0">
            <x v="5"/>
          </reference>
        </references>
      </pivotArea>
    </format>
    <format dxfId="968">
      <pivotArea field="0" dataOnly="0" labelOnly="1" grandRow="1" outline="0" axis="axisRow" fieldPosition="0">
        <references count="1">
          <reference field="4294967294" count="1" selected="0">
            <x v="6"/>
          </reference>
        </references>
      </pivotArea>
    </format>
    <format dxfId="967">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966">
      <pivotArea field="43" grandRow="1" outline="0" collapsedLevelsAreSubtotals="1" axis="axisCol" fieldPosition="0">
        <references count="2">
          <reference field="4294967294" count="1" selected="0">
            <x v="6"/>
          </reference>
          <reference field="43" count="1" selected="0" defaultSubtotal="1">
            <x v="3"/>
          </reference>
        </references>
      </pivotArea>
    </format>
    <format dxfId="965">
      <pivotArea field="43" grandRow="1" outline="0" collapsedLevelsAreSubtotals="1" axis="axisCol" fieldPosition="0">
        <references count="2">
          <reference field="4294967294" count="1" selected="0">
            <x v="6"/>
          </reference>
          <reference field="43" count="1" selected="0" defaultSubtotal="1">
            <x v="4"/>
          </reference>
        </references>
      </pivotArea>
    </format>
    <format dxfId="964">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963">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962">
      <pivotArea outline="0" collapsedLevelsAreSubtotals="1" fieldPosition="0">
        <references count="1">
          <reference field="43" count="3" selected="0" defaultSubtotal="1">
            <x v="0"/>
            <x v="1"/>
            <x v="3"/>
          </reference>
        </references>
      </pivotArea>
    </format>
    <format dxfId="961">
      <pivotArea field="0" grandRow="1" outline="0" collapsedLevelsAreSubtotals="1" axis="axisRow" fieldPosition="0">
        <references count="1">
          <reference field="4294967294" count="1" selected="0">
            <x v="6"/>
          </reference>
        </references>
      </pivotArea>
    </format>
    <format dxfId="960">
      <pivotArea field="0" dataOnly="0" labelOnly="1" grandRow="1" outline="0" offset="IV256" axis="axisRow" fieldPosition="0">
        <references count="1">
          <reference field="4294967294" count="1" selected="0">
            <x v="0"/>
          </reference>
        </references>
      </pivotArea>
    </format>
    <format dxfId="959">
      <pivotArea field="0" dataOnly="0" labelOnly="1" grandRow="1" outline="0" offset="IV256" axis="axisRow" fieldPosition="0">
        <references count="1">
          <reference field="4294967294" count="1" selected="0">
            <x v="1"/>
          </reference>
        </references>
      </pivotArea>
    </format>
    <format dxfId="958">
      <pivotArea field="0" dataOnly="0" labelOnly="1" grandRow="1" outline="0" offset="IV256" axis="axisRow" fieldPosition="0">
        <references count="1">
          <reference field="4294967294" count="1" selected="0">
            <x v="2"/>
          </reference>
        </references>
      </pivotArea>
    </format>
    <format dxfId="957">
      <pivotArea field="0" dataOnly="0" labelOnly="1" grandRow="1" outline="0" offset="IV256" axis="axisRow" fieldPosition="0">
        <references count="1">
          <reference field="4294967294" count="1" selected="0">
            <x v="3"/>
          </reference>
        </references>
      </pivotArea>
    </format>
    <format dxfId="956">
      <pivotArea field="0" dataOnly="0" labelOnly="1" grandRow="1" outline="0" offset="IV256" axis="axisRow" fieldPosition="0">
        <references count="1">
          <reference field="4294967294" count="1" selected="0">
            <x v="4"/>
          </reference>
        </references>
      </pivotArea>
    </format>
    <format dxfId="955">
      <pivotArea field="0" dataOnly="0" labelOnly="1" grandRow="1" outline="0" offset="IV256" axis="axisRow" fieldPosition="0">
        <references count="1">
          <reference field="4294967294" count="1" selected="0">
            <x v="5"/>
          </reference>
        </references>
      </pivotArea>
    </format>
    <format dxfId="954">
      <pivotArea field="0" dataOnly="0" labelOnly="1" grandRow="1" outline="0" offset="IV256" axis="axisRow" fieldPosition="0">
        <references count="1">
          <reference field="4294967294" count="1" selected="0">
            <x v="6"/>
          </reference>
        </references>
      </pivotArea>
    </format>
    <format dxfId="953">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952">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951">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950">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949">
      <pivotArea outline="0" collapsedLevelsAreSubtotals="1" fieldPosition="0">
        <references count="2">
          <reference field="4" count="1" selected="0">
            <x v="12"/>
          </reference>
          <reference field="43" count="1" selected="0">
            <x v="3"/>
          </reference>
        </references>
      </pivotArea>
    </format>
    <format dxfId="948">
      <pivotArea outline="0" collapsedLevelsAreSubtotals="1" fieldPosition="0">
        <references count="1">
          <reference field="43" count="1" selected="0" defaultSubtotal="1">
            <x v="3"/>
          </reference>
        </references>
      </pivotArea>
    </format>
    <format dxfId="947">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946">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945">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944">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943">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942">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941">
      <pivotArea field="0" dataOnly="0" labelOnly="1" grandRow="1" outline="0" offset="A256" axis="axisRow" fieldPosition="0">
        <references count="1">
          <reference field="4294967294" count="1" selected="0">
            <x v="0"/>
          </reference>
        </references>
      </pivotArea>
    </format>
    <format dxfId="940">
      <pivotArea field="0" dataOnly="0" labelOnly="1" grandRow="1" outline="0" offset="A256" axis="axisRow" fieldPosition="0">
        <references count="1">
          <reference field="4294967294" count="1" selected="0">
            <x v="1"/>
          </reference>
        </references>
      </pivotArea>
    </format>
    <format dxfId="939">
      <pivotArea field="0" dataOnly="0" labelOnly="1" grandRow="1" outline="0" offset="A256" axis="axisRow" fieldPosition="0">
        <references count="1">
          <reference field="4294967294" count="1" selected="0">
            <x v="2"/>
          </reference>
        </references>
      </pivotArea>
    </format>
    <format dxfId="938">
      <pivotArea field="0" dataOnly="0" labelOnly="1" grandRow="1" outline="0" offset="A256" axis="axisRow" fieldPosition="0">
        <references count="1">
          <reference field="4294967294" count="1" selected="0">
            <x v="3"/>
          </reference>
        </references>
      </pivotArea>
    </format>
    <format dxfId="937">
      <pivotArea field="0" dataOnly="0" labelOnly="1" grandRow="1" outline="0" offset="A256" axis="axisRow" fieldPosition="0">
        <references count="1">
          <reference field="4294967294" count="1" selected="0">
            <x v="4"/>
          </reference>
        </references>
      </pivotArea>
    </format>
    <format dxfId="936">
      <pivotArea field="0" dataOnly="0" labelOnly="1" grandRow="1" outline="0" offset="A256" axis="axisRow" fieldPosition="0">
        <references count="1">
          <reference field="4294967294" count="1" selected="0">
            <x v="5"/>
          </reference>
        </references>
      </pivotArea>
    </format>
    <format dxfId="935">
      <pivotArea field="0" dataOnly="0" labelOnly="1" grandRow="1" outline="0" offset="A256" axis="axisRow" fieldPosition="0">
        <references count="1">
          <reference field="4294967294" count="1" selected="0">
            <x v="6"/>
          </reference>
        </references>
      </pivotArea>
    </format>
    <format dxfId="934">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933">
      <pivotArea field="0" dataOnly="0" labelOnly="1" grandRow="1" outline="0" axis="axisRow" fieldPosition="0">
        <references count="1">
          <reference field="4294967294" count="1" selected="0">
            <x v="0"/>
          </reference>
        </references>
      </pivotArea>
    </format>
    <format dxfId="932">
      <pivotArea field="0" dataOnly="0" labelOnly="1" grandRow="1" outline="0" axis="axisRow" fieldPosition="0">
        <references count="1">
          <reference field="4294967294" count="1" selected="0">
            <x v="1"/>
          </reference>
        </references>
      </pivotArea>
    </format>
    <format dxfId="931">
      <pivotArea field="0" dataOnly="0" labelOnly="1" grandRow="1" outline="0" axis="axisRow" fieldPosition="0">
        <references count="1">
          <reference field="4294967294" count="1" selected="0">
            <x v="2"/>
          </reference>
        </references>
      </pivotArea>
    </format>
    <format dxfId="930">
      <pivotArea field="0" dataOnly="0" labelOnly="1" grandRow="1" outline="0" axis="axisRow" fieldPosition="0">
        <references count="1">
          <reference field="4294967294" count="1" selected="0">
            <x v="3"/>
          </reference>
        </references>
      </pivotArea>
    </format>
    <format dxfId="929">
      <pivotArea field="0" dataOnly="0" labelOnly="1" grandRow="1" outline="0" axis="axisRow" fieldPosition="0">
        <references count="1">
          <reference field="4294967294" count="1" selected="0">
            <x v="4"/>
          </reference>
        </references>
      </pivotArea>
    </format>
    <format dxfId="928">
      <pivotArea field="0" dataOnly="0" labelOnly="1" grandRow="1" outline="0" axis="axisRow" fieldPosition="0">
        <references count="1">
          <reference field="4294967294" count="1" selected="0">
            <x v="5"/>
          </reference>
        </references>
      </pivotArea>
    </format>
    <format dxfId="927">
      <pivotArea field="0" dataOnly="0" labelOnly="1" grandRow="1" outline="0" axis="axisRow" fieldPosition="0">
        <references count="1">
          <reference field="4294967294" count="1" selected="0">
            <x v="6"/>
          </reference>
        </references>
      </pivotArea>
    </format>
    <format dxfId="926">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925">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924">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923">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922">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921">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920">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919">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918">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917">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916">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915">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914">
      <pivotArea field="43" type="button" dataOnly="0" labelOnly="1" outline="0" axis="axisCol" fieldPosition="0"/>
    </format>
    <format dxfId="913">
      <pivotArea field="4" type="button" dataOnly="0" labelOnly="1" outline="0" axis="axisCol" fieldPosition="1"/>
    </format>
    <format dxfId="912">
      <pivotArea type="topRight" dataOnly="0" labelOnly="1" outline="0" fieldPosition="0"/>
    </format>
    <format dxfId="911">
      <pivotArea dataOnly="0" labelOnly="1" outline="0" fieldPosition="0">
        <references count="1">
          <reference field="43" count="4">
            <x v="0"/>
            <x v="1"/>
            <x v="2"/>
            <x v="3"/>
          </reference>
        </references>
      </pivotArea>
    </format>
    <format dxfId="910">
      <pivotArea dataOnly="0" labelOnly="1" outline="0" fieldPosition="0">
        <references count="1">
          <reference field="43" count="4" defaultSubtotal="1">
            <x v="0"/>
            <x v="1"/>
            <x v="2"/>
            <x v="3"/>
          </reference>
        </references>
      </pivotArea>
    </format>
    <format dxfId="909">
      <pivotArea dataOnly="0" labelOnly="1" outline="0" fieldPosition="0">
        <references count="2">
          <reference field="4" count="6">
            <x v="0"/>
            <x v="1"/>
            <x v="2"/>
            <x v="3"/>
            <x v="4"/>
            <x v="5"/>
          </reference>
          <reference field="43" count="1" selected="0">
            <x v="0"/>
          </reference>
        </references>
      </pivotArea>
    </format>
    <format dxfId="908">
      <pivotArea dataOnly="0" labelOnly="1" outline="0" fieldPosition="0">
        <references count="2">
          <reference field="4" count="4">
            <x v="6"/>
            <x v="7"/>
            <x v="8"/>
            <x v="9"/>
          </reference>
          <reference field="43" count="1" selected="0">
            <x v="1"/>
          </reference>
        </references>
      </pivotArea>
    </format>
    <format dxfId="907">
      <pivotArea dataOnly="0" labelOnly="1" outline="0" fieldPosition="0">
        <references count="2">
          <reference field="4" count="1">
            <x v="10"/>
          </reference>
          <reference field="43" count="1" selected="0">
            <x v="2"/>
          </reference>
        </references>
      </pivotArea>
    </format>
    <format dxfId="906">
      <pivotArea dataOnly="0" labelOnly="1" outline="0" fieldPosition="0">
        <references count="2">
          <reference field="4" count="2">
            <x v="11"/>
            <x v="12"/>
          </reference>
          <reference field="43" count="1" selected="0">
            <x v="3"/>
          </reference>
        </references>
      </pivotArea>
    </format>
    <format dxfId="905">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904">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903">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902">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901">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900">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899">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898">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897">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896">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895">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894">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893">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892">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891">
      <pivotArea outline="0" collapsedLevelsAreSubtotals="1" fieldPosition="0">
        <references count="1">
          <reference field="43" count="4" selected="0" defaultSubtotal="1">
            <x v="0"/>
            <x v="1"/>
            <x v="2"/>
            <x v="3"/>
          </reference>
        </references>
      </pivotArea>
    </format>
    <format dxfId="890">
      <pivotArea type="origin" dataOnly="0" labelOnly="1" outline="0" fieldPosition="0"/>
    </format>
    <format dxfId="889">
      <pivotArea field="43" type="button" dataOnly="0" labelOnly="1" outline="0" axis="axisCol" fieldPosition="0"/>
    </format>
    <format dxfId="888">
      <pivotArea field="4" type="button" dataOnly="0" labelOnly="1" outline="0" axis="axisCol" fieldPosition="1"/>
    </format>
    <format dxfId="887">
      <pivotArea type="topRight" dataOnly="0" labelOnly="1" outline="0" offset="A1:O1" fieldPosition="0"/>
    </format>
    <format dxfId="886">
      <pivotArea field="0" type="button" dataOnly="0" labelOnly="1" outline="0" axis="axisRow" fieldPosition="0"/>
    </format>
    <format dxfId="885">
      <pivotArea field="-2" type="button" dataOnly="0" labelOnly="1" outline="0" axis="axisRow" fieldPosition="1"/>
    </format>
    <format dxfId="884">
      <pivotArea dataOnly="0" labelOnly="1" outline="0" fieldPosition="0">
        <references count="1">
          <reference field="0" count="0"/>
        </references>
      </pivotArea>
    </format>
    <format dxfId="883">
      <pivotArea field="0" dataOnly="0" labelOnly="1" grandRow="1" outline="0" axis="axisRow" fieldPosition="0">
        <references count="1">
          <reference field="4294967294" count="1" selected="0">
            <x v="0"/>
          </reference>
        </references>
      </pivotArea>
    </format>
    <format dxfId="882">
      <pivotArea field="0" dataOnly="0" labelOnly="1" grandRow="1" outline="0" axis="axisRow" fieldPosition="0">
        <references count="1">
          <reference field="4294967294" count="1" selected="0">
            <x v="1"/>
          </reference>
        </references>
      </pivotArea>
    </format>
    <format dxfId="881">
      <pivotArea field="0" dataOnly="0" labelOnly="1" grandRow="1" outline="0" axis="axisRow" fieldPosition="0">
        <references count="1">
          <reference field="4294967294" count="1" selected="0">
            <x v="2"/>
          </reference>
        </references>
      </pivotArea>
    </format>
    <format dxfId="880">
      <pivotArea field="0" dataOnly="0" labelOnly="1" grandRow="1" outline="0" axis="axisRow" fieldPosition="0">
        <references count="1">
          <reference field="4294967294" count="1" selected="0">
            <x v="3"/>
          </reference>
        </references>
      </pivotArea>
    </format>
    <format dxfId="879">
      <pivotArea field="0" dataOnly="0" labelOnly="1" grandRow="1" outline="0" axis="axisRow" fieldPosition="0">
        <references count="1">
          <reference field="4294967294" count="1" selected="0">
            <x v="4"/>
          </reference>
        </references>
      </pivotArea>
    </format>
    <format dxfId="878">
      <pivotArea field="0" dataOnly="0" labelOnly="1" grandRow="1" outline="0" axis="axisRow" fieldPosition="0">
        <references count="1">
          <reference field="4294967294" count="1" selected="0">
            <x v="5"/>
          </reference>
        </references>
      </pivotArea>
    </format>
    <format dxfId="877">
      <pivotArea field="0" dataOnly="0" labelOnly="1" grandRow="1" outline="0" axis="axisRow" fieldPosition="0">
        <references count="1">
          <reference field="4294967294" count="1" selected="0">
            <x v="6"/>
          </reference>
        </references>
      </pivotArea>
    </format>
    <format dxfId="876">
      <pivotArea field="0" dataOnly="0" labelOnly="1" grandRow="1" outline="0" axis="axisRow" fieldPosition="0">
        <references count="1">
          <reference field="4294967294" count="1" selected="0">
            <x v="0"/>
          </reference>
        </references>
      </pivotArea>
    </format>
    <format dxfId="875">
      <pivotArea field="0" dataOnly="0" labelOnly="1" grandRow="1" outline="0" axis="axisRow" fieldPosition="0">
        <references count="1">
          <reference field="4294967294" count="1" selected="0">
            <x v="1"/>
          </reference>
        </references>
      </pivotArea>
    </format>
    <format dxfId="874">
      <pivotArea field="0" dataOnly="0" labelOnly="1" grandRow="1" outline="0" axis="axisRow" fieldPosition="0">
        <references count="1">
          <reference field="4294967294" count="1" selected="0">
            <x v="2"/>
          </reference>
        </references>
      </pivotArea>
    </format>
    <format dxfId="873">
      <pivotArea field="0" dataOnly="0" labelOnly="1" grandRow="1" outline="0" axis="axisRow" fieldPosition="0">
        <references count="1">
          <reference field="4294967294" count="1" selected="0">
            <x v="3"/>
          </reference>
        </references>
      </pivotArea>
    </format>
    <format dxfId="872">
      <pivotArea field="0" dataOnly="0" labelOnly="1" grandRow="1" outline="0" axis="axisRow" fieldPosition="0">
        <references count="1">
          <reference field="4294967294" count="1" selected="0">
            <x v="4"/>
          </reference>
        </references>
      </pivotArea>
    </format>
    <format dxfId="871">
      <pivotArea field="0" dataOnly="0" labelOnly="1" grandRow="1" outline="0" axis="axisRow" fieldPosition="0">
        <references count="1">
          <reference field="4294967294" count="1" selected="0">
            <x v="5"/>
          </reference>
        </references>
      </pivotArea>
    </format>
    <format dxfId="870">
      <pivotArea field="0" dataOnly="0" labelOnly="1" grandRow="1" outline="0" axis="axisRow" fieldPosition="0">
        <references count="1">
          <reference field="4294967294" count="1" selected="0">
            <x v="6"/>
          </reference>
        </references>
      </pivotArea>
    </format>
    <format dxfId="869">
      <pivotArea field="0" dataOnly="0" labelOnly="1" grandRow="1" outline="0" axis="axisRow" fieldPosition="0">
        <references count="1">
          <reference field="4294967294" count="1" selected="0">
            <x v="0"/>
          </reference>
        </references>
      </pivotArea>
    </format>
    <format dxfId="868">
      <pivotArea field="0" dataOnly="0" labelOnly="1" grandRow="1" outline="0" axis="axisRow" fieldPosition="0">
        <references count="1">
          <reference field="4294967294" count="1" selected="0">
            <x v="1"/>
          </reference>
        </references>
      </pivotArea>
    </format>
    <format dxfId="867">
      <pivotArea field="0" dataOnly="0" labelOnly="1" grandRow="1" outline="0" axis="axisRow" fieldPosition="0">
        <references count="1">
          <reference field="4294967294" count="1" selected="0">
            <x v="2"/>
          </reference>
        </references>
      </pivotArea>
    </format>
    <format dxfId="866">
      <pivotArea field="0" dataOnly="0" labelOnly="1" grandRow="1" outline="0" axis="axisRow" fieldPosition="0">
        <references count="1">
          <reference field="4294967294" count="1" selected="0">
            <x v="3"/>
          </reference>
        </references>
      </pivotArea>
    </format>
    <format dxfId="865">
      <pivotArea field="0" dataOnly="0" labelOnly="1" grandRow="1" outline="0" axis="axisRow" fieldPosition="0">
        <references count="1">
          <reference field="4294967294" count="1" selected="0">
            <x v="4"/>
          </reference>
        </references>
      </pivotArea>
    </format>
    <format dxfId="864">
      <pivotArea field="0" dataOnly="0" labelOnly="1" grandRow="1" outline="0" axis="axisRow" fieldPosition="0">
        <references count="1">
          <reference field="4294967294" count="1" selected="0">
            <x v="5"/>
          </reference>
        </references>
      </pivotArea>
    </format>
    <format dxfId="863">
      <pivotArea field="0" dataOnly="0" labelOnly="1" grandRow="1" outline="0" axis="axisRow" fieldPosition="0">
        <references count="1">
          <reference field="4294967294" count="1" selected="0">
            <x v="6"/>
          </reference>
        </references>
      </pivotArea>
    </format>
    <format dxfId="862">
      <pivotArea field="0" dataOnly="0" labelOnly="1" grandRow="1" outline="0" axis="axisRow" fieldPosition="0">
        <references count="1">
          <reference field="4294967294" count="1" selected="0">
            <x v="0"/>
          </reference>
        </references>
      </pivotArea>
    </format>
    <format dxfId="861">
      <pivotArea field="0" dataOnly="0" labelOnly="1" grandRow="1" outline="0" axis="axisRow" fieldPosition="0">
        <references count="1">
          <reference field="4294967294" count="1" selected="0">
            <x v="1"/>
          </reference>
        </references>
      </pivotArea>
    </format>
    <format dxfId="860">
      <pivotArea field="0" dataOnly="0" labelOnly="1" grandRow="1" outline="0" axis="axisRow" fieldPosition="0">
        <references count="1">
          <reference field="4294967294" count="1" selected="0">
            <x v="2"/>
          </reference>
        </references>
      </pivotArea>
    </format>
    <format dxfId="859">
      <pivotArea field="0" dataOnly="0" labelOnly="1" grandRow="1" outline="0" axis="axisRow" fieldPosition="0">
        <references count="1">
          <reference field="4294967294" count="1" selected="0">
            <x v="3"/>
          </reference>
        </references>
      </pivotArea>
    </format>
    <format dxfId="858">
      <pivotArea field="0" dataOnly="0" labelOnly="1" grandRow="1" outline="0" axis="axisRow" fieldPosition="0">
        <references count="1">
          <reference field="4294967294" count="1" selected="0">
            <x v="4"/>
          </reference>
        </references>
      </pivotArea>
    </format>
    <format dxfId="857">
      <pivotArea field="0" dataOnly="0" labelOnly="1" grandRow="1" outline="0" axis="axisRow" fieldPosition="0">
        <references count="1">
          <reference field="4294967294" count="1" selected="0">
            <x v="5"/>
          </reference>
        </references>
      </pivotArea>
    </format>
    <format dxfId="856">
      <pivotArea field="0" dataOnly="0" labelOnly="1" grandRow="1" outline="0" axis="axisRow" fieldPosition="0">
        <references count="1">
          <reference field="4294967294" count="1" selected="0">
            <x v="6"/>
          </reference>
        </references>
      </pivotArea>
    </format>
    <format dxfId="855">
      <pivotArea field="0" dataOnly="0" labelOnly="1" grandRow="1" outline="0" axis="axisRow" fieldPosition="0">
        <references count="1">
          <reference field="4294967294" count="1" selected="0">
            <x v="0"/>
          </reference>
        </references>
      </pivotArea>
    </format>
    <format dxfId="854">
      <pivotArea field="0" dataOnly="0" labelOnly="1" grandRow="1" outline="0" axis="axisRow" fieldPosition="0">
        <references count="1">
          <reference field="4294967294" count="1" selected="0">
            <x v="1"/>
          </reference>
        </references>
      </pivotArea>
    </format>
    <format dxfId="853">
      <pivotArea field="0" dataOnly="0" labelOnly="1" grandRow="1" outline="0" axis="axisRow" fieldPosition="0">
        <references count="1">
          <reference field="4294967294" count="1" selected="0">
            <x v="2"/>
          </reference>
        </references>
      </pivotArea>
    </format>
    <format dxfId="852">
      <pivotArea field="0" dataOnly="0" labelOnly="1" grandRow="1" outline="0" axis="axisRow" fieldPosition="0">
        <references count="1">
          <reference field="4294967294" count="1" selected="0">
            <x v="3"/>
          </reference>
        </references>
      </pivotArea>
    </format>
    <format dxfId="851">
      <pivotArea field="0" dataOnly="0" labelOnly="1" grandRow="1" outline="0" axis="axisRow" fieldPosition="0">
        <references count="1">
          <reference field="4294967294" count="1" selected="0">
            <x v="4"/>
          </reference>
        </references>
      </pivotArea>
    </format>
    <format dxfId="850">
      <pivotArea field="0" dataOnly="0" labelOnly="1" grandRow="1" outline="0" axis="axisRow" fieldPosition="0">
        <references count="1">
          <reference field="4294967294" count="1" selected="0">
            <x v="5"/>
          </reference>
        </references>
      </pivotArea>
    </format>
    <format dxfId="849">
      <pivotArea field="0" dataOnly="0" labelOnly="1" grandRow="1" outline="0" axis="axisRow" fieldPosition="0">
        <references count="1">
          <reference field="4294967294" count="1" selected="0">
            <x v="6"/>
          </reference>
        </references>
      </pivotArea>
    </format>
    <format dxfId="848">
      <pivotArea field="0" dataOnly="0" labelOnly="1" grandRow="1" outline="0" axis="axisRow" fieldPosition="0">
        <references count="1">
          <reference field="4294967294" count="1" selected="0">
            <x v="0"/>
          </reference>
        </references>
      </pivotArea>
    </format>
    <format dxfId="847">
      <pivotArea field="0" dataOnly="0" labelOnly="1" grandRow="1" outline="0" axis="axisRow" fieldPosition="0">
        <references count="1">
          <reference field="4294967294" count="1" selected="0">
            <x v="1"/>
          </reference>
        </references>
      </pivotArea>
    </format>
    <format dxfId="846">
      <pivotArea field="0" dataOnly="0" labelOnly="1" grandRow="1" outline="0" axis="axisRow" fieldPosition="0">
        <references count="1">
          <reference field="4294967294" count="1" selected="0">
            <x v="2"/>
          </reference>
        </references>
      </pivotArea>
    </format>
    <format dxfId="845">
      <pivotArea field="0" dataOnly="0" labelOnly="1" grandRow="1" outline="0" axis="axisRow" fieldPosition="0">
        <references count="1">
          <reference field="4294967294" count="1" selected="0">
            <x v="3"/>
          </reference>
        </references>
      </pivotArea>
    </format>
    <format dxfId="844">
      <pivotArea field="0" dataOnly="0" labelOnly="1" grandRow="1" outline="0" axis="axisRow" fieldPosition="0">
        <references count="1">
          <reference field="4294967294" count="1" selected="0">
            <x v="4"/>
          </reference>
        </references>
      </pivotArea>
    </format>
    <format dxfId="843">
      <pivotArea field="0" dataOnly="0" labelOnly="1" grandRow="1" outline="0" axis="axisRow" fieldPosition="0">
        <references count="1">
          <reference field="4294967294" count="1" selected="0">
            <x v="5"/>
          </reference>
        </references>
      </pivotArea>
    </format>
    <format dxfId="842">
      <pivotArea field="0" dataOnly="0" labelOnly="1" grandRow="1" outline="0" axis="axisRow" fieldPosition="0">
        <references count="1">
          <reference field="4294967294" count="1" selected="0">
            <x v="6"/>
          </reference>
        </references>
      </pivotArea>
    </format>
    <format dxfId="841">
      <pivotArea field="0" dataOnly="0" labelOnly="1" grandRow="1" outline="0" axis="axisRow" fieldPosition="0">
        <references count="1">
          <reference field="4294967294" count="1" selected="0">
            <x v="0"/>
          </reference>
        </references>
      </pivotArea>
    </format>
    <format dxfId="840">
      <pivotArea field="0" dataOnly="0" labelOnly="1" grandRow="1" outline="0" axis="axisRow" fieldPosition="0">
        <references count="1">
          <reference field="4294967294" count="1" selected="0">
            <x v="1"/>
          </reference>
        </references>
      </pivotArea>
    </format>
    <format dxfId="839">
      <pivotArea field="0" dataOnly="0" labelOnly="1" grandRow="1" outline="0" axis="axisRow" fieldPosition="0">
        <references count="1">
          <reference field="4294967294" count="1" selected="0">
            <x v="2"/>
          </reference>
        </references>
      </pivotArea>
    </format>
    <format dxfId="838">
      <pivotArea field="0" dataOnly="0" labelOnly="1" grandRow="1" outline="0" axis="axisRow" fieldPosition="0">
        <references count="1">
          <reference field="4294967294" count="1" selected="0">
            <x v="3"/>
          </reference>
        </references>
      </pivotArea>
    </format>
    <format dxfId="837">
      <pivotArea field="0" dataOnly="0" labelOnly="1" grandRow="1" outline="0" axis="axisRow" fieldPosition="0">
        <references count="1">
          <reference field="4294967294" count="1" selected="0">
            <x v="4"/>
          </reference>
        </references>
      </pivotArea>
    </format>
    <format dxfId="836">
      <pivotArea field="0" dataOnly="0" labelOnly="1" grandRow="1" outline="0" axis="axisRow" fieldPosition="0">
        <references count="1">
          <reference field="4294967294" count="1" selected="0">
            <x v="5"/>
          </reference>
        </references>
      </pivotArea>
    </format>
    <format dxfId="835">
      <pivotArea field="0" dataOnly="0" labelOnly="1" grandRow="1" outline="0" axis="axisRow" fieldPosition="0">
        <references count="1">
          <reference field="4294967294" count="1" selected="0">
            <x v="6"/>
          </reference>
        </references>
      </pivotArea>
    </format>
    <format dxfId="834">
      <pivotArea dataOnly="0" labelOnly="1" outline="0" fieldPosition="0">
        <references count="2">
          <reference field="4294967294" count="7">
            <x v="0"/>
            <x v="1"/>
            <x v="2"/>
            <x v="3"/>
            <x v="4"/>
            <x v="5"/>
            <x v="6"/>
          </reference>
          <reference field="0" count="1" selected="0">
            <x v="0"/>
          </reference>
        </references>
      </pivotArea>
    </format>
    <format dxfId="833">
      <pivotArea dataOnly="0" labelOnly="1" outline="0" fieldPosition="0">
        <references count="2">
          <reference field="4294967294" count="7">
            <x v="0"/>
            <x v="1"/>
            <x v="2"/>
            <x v="3"/>
            <x v="4"/>
            <x v="5"/>
            <x v="6"/>
          </reference>
          <reference field="0" count="1" selected="0">
            <x v="1"/>
          </reference>
        </references>
      </pivotArea>
    </format>
    <format dxfId="832">
      <pivotArea dataOnly="0" labelOnly="1" outline="0" fieldPosition="0">
        <references count="2">
          <reference field="4294967294" count="7">
            <x v="0"/>
            <x v="1"/>
            <x v="2"/>
            <x v="3"/>
            <x v="4"/>
            <x v="5"/>
            <x v="6"/>
          </reference>
          <reference field="0" count="1" selected="0">
            <x v="2"/>
          </reference>
        </references>
      </pivotArea>
    </format>
    <format dxfId="831">
      <pivotArea dataOnly="0" labelOnly="1" outline="0" fieldPosition="0">
        <references count="2">
          <reference field="4294967294" count="7">
            <x v="0"/>
            <x v="1"/>
            <x v="2"/>
            <x v="3"/>
            <x v="4"/>
            <x v="5"/>
            <x v="6"/>
          </reference>
          <reference field="0" count="1" selected="0">
            <x v="3"/>
          </reference>
        </references>
      </pivotArea>
    </format>
    <format dxfId="830">
      <pivotArea dataOnly="0" labelOnly="1" outline="0" fieldPosition="0">
        <references count="2">
          <reference field="4294967294" count="7">
            <x v="0"/>
            <x v="1"/>
            <x v="2"/>
            <x v="3"/>
            <x v="4"/>
            <x v="5"/>
            <x v="6"/>
          </reference>
          <reference field="0" count="1" selected="0">
            <x v="4"/>
          </reference>
        </references>
      </pivotArea>
    </format>
    <format dxfId="829">
      <pivotArea dataOnly="0" labelOnly="1" outline="0" fieldPosition="0">
        <references count="2">
          <reference field="4294967294" count="7">
            <x v="0"/>
            <x v="1"/>
            <x v="2"/>
            <x v="3"/>
            <x v="4"/>
            <x v="5"/>
            <x v="6"/>
          </reference>
          <reference field="0" count="1" selected="0">
            <x v="5"/>
          </reference>
        </references>
      </pivotArea>
    </format>
    <format dxfId="828">
      <pivotArea dataOnly="0" labelOnly="1" outline="0" fieldPosition="0">
        <references count="2">
          <reference field="4294967294" count="7">
            <x v="0"/>
            <x v="1"/>
            <x v="2"/>
            <x v="3"/>
            <x v="4"/>
            <x v="5"/>
            <x v="6"/>
          </reference>
          <reference field="0" count="1" selected="0">
            <x v="6"/>
          </reference>
        </references>
      </pivotArea>
    </format>
    <format dxfId="827">
      <pivotArea dataOnly="0" labelOnly="1" outline="0" fieldPosition="0">
        <references count="2">
          <reference field="4294967294" count="7">
            <x v="0"/>
            <x v="1"/>
            <x v="2"/>
            <x v="3"/>
            <x v="4"/>
            <x v="5"/>
            <x v="6"/>
          </reference>
          <reference field="0" count="1" selected="0">
            <x v="7"/>
          </reference>
        </references>
      </pivotArea>
    </format>
    <format dxfId="826">
      <pivotArea dataOnly="0" labelOnly="1" outline="0" fieldPosition="0">
        <references count="2">
          <reference field="4294967294" count="7">
            <x v="0"/>
            <x v="1"/>
            <x v="2"/>
            <x v="3"/>
            <x v="4"/>
            <x v="5"/>
            <x v="6"/>
          </reference>
          <reference field="0" count="1" selected="0">
            <x v="8"/>
          </reference>
        </references>
      </pivotArea>
    </format>
    <format dxfId="825">
      <pivotArea dataOnly="0" labelOnly="1" outline="0" fieldPosition="0">
        <references count="2">
          <reference field="4294967294" count="7">
            <x v="0"/>
            <x v="1"/>
            <x v="2"/>
            <x v="3"/>
            <x v="4"/>
            <x v="5"/>
            <x v="6"/>
          </reference>
          <reference field="0" count="1" selected="0">
            <x v="9"/>
          </reference>
        </references>
      </pivotArea>
    </format>
    <format dxfId="824">
      <pivotArea dataOnly="0" labelOnly="1" outline="0" fieldPosition="0">
        <references count="2">
          <reference field="4294967294" count="7">
            <x v="0"/>
            <x v="1"/>
            <x v="2"/>
            <x v="3"/>
            <x v="4"/>
            <x v="5"/>
            <x v="6"/>
          </reference>
          <reference field="0" count="1" selected="0">
            <x v="10"/>
          </reference>
        </references>
      </pivotArea>
    </format>
    <format dxfId="823">
      <pivotArea dataOnly="0" labelOnly="1" outline="0" fieldPosition="0">
        <references count="2">
          <reference field="4294967294" count="7">
            <x v="0"/>
            <x v="1"/>
            <x v="2"/>
            <x v="3"/>
            <x v="4"/>
            <x v="5"/>
            <x v="6"/>
          </reference>
          <reference field="0" count="1" selected="0">
            <x v="11"/>
          </reference>
        </references>
      </pivotArea>
    </format>
    <format dxfId="822">
      <pivotArea dataOnly="0" labelOnly="1" outline="0" fieldPosition="0">
        <references count="2">
          <reference field="4294967294" count="7">
            <x v="0"/>
            <x v="1"/>
            <x v="2"/>
            <x v="3"/>
            <x v="4"/>
            <x v="5"/>
            <x v="6"/>
          </reference>
          <reference field="0" count="1" selected="0">
            <x v="12"/>
          </reference>
        </references>
      </pivotArea>
    </format>
    <format dxfId="821">
      <pivotArea dataOnly="0" labelOnly="1" outline="0" fieldPosition="0">
        <references count="2">
          <reference field="4294967294" count="7">
            <x v="0"/>
            <x v="1"/>
            <x v="2"/>
            <x v="3"/>
            <x v="4"/>
            <x v="5"/>
            <x v="6"/>
          </reference>
          <reference field="0" count="1" selected="0">
            <x v="13"/>
          </reference>
        </references>
      </pivotArea>
    </format>
    <format dxfId="820">
      <pivotArea dataOnly="0" labelOnly="1" outline="0" fieldPosition="0">
        <references count="2">
          <reference field="4294967294" count="7">
            <x v="0"/>
            <x v="1"/>
            <x v="2"/>
            <x v="3"/>
            <x v="4"/>
            <x v="5"/>
            <x v="6"/>
          </reference>
          <reference field="0" count="1" selected="0">
            <x v="14"/>
          </reference>
        </references>
      </pivotArea>
    </format>
    <format dxfId="819">
      <pivotArea dataOnly="0" labelOnly="1" outline="0" fieldPosition="0">
        <references count="2">
          <reference field="4294967294" count="7">
            <x v="0"/>
            <x v="1"/>
            <x v="2"/>
            <x v="3"/>
            <x v="4"/>
            <x v="5"/>
            <x v="6"/>
          </reference>
          <reference field="0" count="1" selected="0">
            <x v="15"/>
          </reference>
        </references>
      </pivotArea>
    </format>
    <format dxfId="818">
      <pivotArea dataOnly="0" labelOnly="1" outline="0" fieldPosition="0">
        <references count="1">
          <reference field="43" count="4">
            <x v="0"/>
            <x v="1"/>
            <x v="2"/>
            <x v="3"/>
          </reference>
        </references>
      </pivotArea>
    </format>
    <format dxfId="817">
      <pivotArea dataOnly="0" labelOnly="1" outline="0" fieldPosition="0">
        <references count="1">
          <reference field="43" count="4" defaultSubtotal="1">
            <x v="0"/>
            <x v="1"/>
            <x v="2"/>
            <x v="3"/>
          </reference>
        </references>
      </pivotArea>
    </format>
    <format dxfId="816">
      <pivotArea dataOnly="0" labelOnly="1" outline="0" fieldPosition="0">
        <references count="2">
          <reference field="4" count="6">
            <x v="0"/>
            <x v="1"/>
            <x v="2"/>
            <x v="3"/>
            <x v="4"/>
            <x v="5"/>
          </reference>
          <reference field="43" count="1" selected="0">
            <x v="0"/>
          </reference>
        </references>
      </pivotArea>
    </format>
    <format dxfId="815">
      <pivotArea dataOnly="0" labelOnly="1" outline="0" fieldPosition="0">
        <references count="2">
          <reference field="4" count="4">
            <x v="6"/>
            <x v="7"/>
            <x v="8"/>
            <x v="9"/>
          </reference>
          <reference field="43" count="1" selected="0">
            <x v="1"/>
          </reference>
        </references>
      </pivotArea>
    </format>
    <format dxfId="814">
      <pivotArea dataOnly="0" labelOnly="1" outline="0" fieldPosition="0">
        <references count="2">
          <reference field="4" count="1">
            <x v="10"/>
          </reference>
          <reference field="43" count="1" selected="0">
            <x v="2"/>
          </reference>
        </references>
      </pivotArea>
    </format>
    <format dxfId="813">
      <pivotArea dataOnly="0" labelOnly="1" outline="0" fieldPosition="0">
        <references count="2">
          <reference field="4" count="2">
            <x v="11"/>
            <x v="12"/>
          </reference>
          <reference field="43" count="1" selected="0">
            <x v="3"/>
          </reference>
        </references>
      </pivotArea>
    </format>
    <format dxfId="812">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811">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810">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809">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808">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807">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806">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805">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804">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803">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802">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801">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800">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799">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798">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797">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796">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795">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794">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793">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792">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791">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790">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789">
      <pivotArea outline="0" collapsedLevelsAreSubtotals="1" fieldPosition="0">
        <references count="1">
          <reference field="43" count="4" selected="0" defaultSubtotal="1">
            <x v="0"/>
            <x v="1"/>
            <x v="2"/>
            <x v="3"/>
          </reference>
        </references>
      </pivotArea>
    </format>
    <format dxfId="788">
      <pivotArea dataOnly="0" labelOnly="1" outline="0" offset="IV256" fieldPosition="0">
        <references count="1">
          <reference field="43" count="1" defaultSubtotal="1">
            <x v="0"/>
          </reference>
        </references>
      </pivotArea>
    </format>
    <format dxfId="787">
      <pivotArea dataOnly="0" labelOnly="1" outline="0" offset="IV256" fieldPosition="0">
        <references count="1">
          <reference field="43" count="1" defaultSubtotal="1">
            <x v="1"/>
          </reference>
        </references>
      </pivotArea>
    </format>
    <format dxfId="786">
      <pivotArea dataOnly="0" labelOnly="1" outline="0" offset="IV256" fieldPosition="0">
        <references count="1">
          <reference field="43" count="1" defaultSubtotal="1">
            <x v="2"/>
          </reference>
        </references>
      </pivotArea>
    </format>
    <format dxfId="785">
      <pivotArea dataOnly="0" labelOnly="1" outline="0" offset="IV256" fieldPosition="0">
        <references count="1">
          <reference field="43" count="1" defaultSubtotal="1">
            <x v="3"/>
          </reference>
        </references>
      </pivotArea>
    </format>
    <format dxfId="784">
      <pivotArea dataOnly="0" labelOnly="1" outline="0" fieldPosition="0">
        <references count="2">
          <reference field="4" count="6">
            <x v="0"/>
            <x v="1"/>
            <x v="2"/>
            <x v="3"/>
            <x v="4"/>
            <x v="5"/>
          </reference>
          <reference field="43" count="1" selected="0">
            <x v="0"/>
          </reference>
        </references>
      </pivotArea>
    </format>
    <format dxfId="783">
      <pivotArea dataOnly="0" labelOnly="1" outline="0" fieldPosition="0">
        <references count="2">
          <reference field="4" count="4">
            <x v="6"/>
            <x v="7"/>
            <x v="8"/>
            <x v="9"/>
          </reference>
          <reference field="43" count="1" selected="0">
            <x v="1"/>
          </reference>
        </references>
      </pivotArea>
    </format>
    <format dxfId="782">
      <pivotArea dataOnly="0" labelOnly="1" outline="0" fieldPosition="0">
        <references count="2">
          <reference field="4" count="1">
            <x v="10"/>
          </reference>
          <reference field="43" count="1" selected="0">
            <x v="2"/>
          </reference>
        </references>
      </pivotArea>
    </format>
    <format dxfId="781">
      <pivotArea dataOnly="0" labelOnly="1" outline="0" fieldPosition="0">
        <references count="2">
          <reference field="4" count="2">
            <x v="11"/>
            <x v="12"/>
          </reference>
          <reference field="43" count="1" selected="0">
            <x v="3"/>
          </reference>
        </references>
      </pivotArea>
    </format>
    <format dxfId="780">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779">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778">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777">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776">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775">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774">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773">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772">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771">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770">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769">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768">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767">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766">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765">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764">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763">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762">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761">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760">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759">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758">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757">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756">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755">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754">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753">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752">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751">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750">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749">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748">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747">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746">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745">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744">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743">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742">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741">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740">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739">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738">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737">
      <pivotArea outline="0" fieldPosition="0">
        <references count="3">
          <reference field="4294967294" count="1" selected="0">
            <x v="2"/>
          </reference>
          <reference field="0" count="1" selected="0">
            <x v="1"/>
          </reference>
          <reference field="43" count="1" selected="0" defaultSubtotal="1">
            <x v="1"/>
          </reference>
        </references>
      </pivotArea>
    </format>
    <format dxfId="736">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ual07_1" connectionId="9" xr16:uid="{AFB892CA-FB3A-4D42-B71B-F8C40645A949}"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ual07_4" connectionId="9" xr16:uid="{0B0CABF2-984C-429D-B4F6-54B4C74E0BE2}"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SCH15ug1" connectionId="15" xr16:uid="{240AB046-274D-4D72-88B5-5C5A26DA5EAE}"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ual07_5" connectionId="9" xr16:uid="{44B9661F-CD40-4D16-88A9-60BBC4B7BF0B}"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ual07_3" connectionId="9" xr16:uid="{4712915F-4140-4F42-9703-84A1697842CF}"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SCH15ug1_1" connectionId="16" xr16:uid="{FEC7F0B7-A6D5-4337-8ED1-FEF48E4AA55A}"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queryTable" Target="../queryTables/queryTable4.xml"/><Relationship Id="rId5" Type="http://schemas.openxmlformats.org/officeDocument/2006/relationships/queryTable" Target="../queryTables/queryTable3.xml"/><Relationship Id="rId4" Type="http://schemas.openxmlformats.org/officeDocument/2006/relationships/queryTable" Target="../queryTables/queryTable2.xm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6"/>
  </sheetPr>
  <dimension ref="A1:CJ244"/>
  <sheetViews>
    <sheetView showZeros="0" tabSelected="1" view="pageBreakPreview" topLeftCell="A156" zoomScale="85" zoomScaleNormal="80" zoomScaleSheetLayoutView="85" workbookViewId="0">
      <selection activeCell="H110" sqref="H110"/>
    </sheetView>
  </sheetViews>
  <sheetFormatPr defaultColWidth="9.33203125" defaultRowHeight="12.5"/>
  <cols>
    <col min="1" max="1" width="16.77734375" style="1" customWidth="1"/>
    <col min="2" max="2" width="12.109375" style="1" customWidth="1"/>
    <col min="3" max="3" width="12" style="1" customWidth="1"/>
    <col min="4" max="4" width="12.109375" style="1" customWidth="1"/>
    <col min="5" max="5" width="11.6640625" style="1" customWidth="1"/>
    <col min="6" max="6" width="12.77734375" style="1" customWidth="1"/>
    <col min="7" max="7" width="11.6640625" style="1" customWidth="1"/>
    <col min="8" max="8" width="11.77734375" style="1" customWidth="1"/>
    <col min="9" max="9" width="11.6640625" style="1" customWidth="1"/>
    <col min="10" max="10" width="11.109375" style="1" customWidth="1"/>
    <col min="11" max="11" width="11.6640625" style="1" customWidth="1"/>
    <col min="12" max="12" width="9" style="1" customWidth="1"/>
    <col min="13" max="13" width="9.6640625" style="1" customWidth="1"/>
    <col min="14" max="14" width="12.109375" style="1" bestFit="1" customWidth="1"/>
    <col min="15" max="15" width="9.6640625" style="1" customWidth="1"/>
    <col min="16" max="16" width="12" style="1" customWidth="1"/>
    <col min="17" max="17" width="12.33203125" style="1" customWidth="1"/>
    <col min="18" max="18" width="14.6640625" style="1" customWidth="1"/>
    <col min="19" max="19" width="15.6640625" style="1" customWidth="1"/>
    <col min="20" max="20" width="13.6640625" style="1" customWidth="1"/>
    <col min="21" max="21" width="13.77734375" style="1" customWidth="1"/>
    <col min="22" max="22" width="12.33203125" style="1" customWidth="1"/>
    <col min="23" max="23" width="12.77734375" style="1" customWidth="1"/>
    <col min="24" max="24" width="11.33203125" style="1" customWidth="1"/>
    <col min="25" max="26" width="13.33203125" style="1" customWidth="1"/>
    <col min="27" max="27" width="12.109375" style="1" customWidth="1"/>
    <col min="28" max="28" width="12.44140625" style="1" customWidth="1"/>
    <col min="29" max="29" width="16.33203125" style="1" customWidth="1"/>
    <col min="30" max="30" width="9.77734375" style="1" customWidth="1"/>
    <col min="31" max="31" width="11.44140625" style="1" customWidth="1"/>
    <col min="32" max="32" width="10.77734375" style="1" customWidth="1"/>
    <col min="33" max="33" width="10" style="1" customWidth="1"/>
    <col min="34" max="34" width="11.109375" style="1" customWidth="1"/>
    <col min="35" max="35" width="13.109375" style="1" customWidth="1"/>
    <col min="36" max="36" width="13.44140625" style="1" customWidth="1"/>
    <col min="37" max="37" width="9.44140625" style="1" customWidth="1"/>
    <col min="38" max="38" width="12.44140625" style="1" customWidth="1"/>
    <col min="39" max="39" width="10" style="1" customWidth="1"/>
    <col min="40" max="40" width="11.44140625" style="1" customWidth="1"/>
    <col min="41" max="41" width="13.44140625" style="1" customWidth="1"/>
    <col min="42" max="42" width="12" style="1" customWidth="1"/>
    <col min="43" max="43" width="13" style="1" customWidth="1"/>
    <col min="44" max="44" width="17.44140625" style="1" customWidth="1"/>
    <col min="45" max="45" width="9.44140625" style="1" bestFit="1" customWidth="1"/>
    <col min="46" max="46" width="11" style="1" customWidth="1"/>
    <col min="47" max="48" width="9.33203125" style="1"/>
    <col min="49" max="49" width="11.109375" style="1" customWidth="1"/>
    <col min="50" max="50" width="9.33203125" style="1"/>
    <col min="51" max="52" width="15.109375" style="1" customWidth="1"/>
    <col min="53" max="56" width="9.33203125" style="1"/>
    <col min="57" max="57" width="12.33203125" style="1" customWidth="1"/>
    <col min="58" max="16384" width="9.33203125" style="1"/>
  </cols>
  <sheetData>
    <row r="1" spans="1:50" ht="18">
      <c r="A1" s="116" t="s">
        <v>681</v>
      </c>
      <c r="B1" s="117"/>
      <c r="C1" s="117"/>
      <c r="D1" s="117"/>
      <c r="E1" s="117"/>
      <c r="F1" s="117"/>
      <c r="G1" s="117"/>
      <c r="H1" s="117"/>
      <c r="I1" s="117"/>
      <c r="J1" s="117"/>
      <c r="K1" s="117"/>
      <c r="L1" s="117"/>
      <c r="M1" s="117"/>
      <c r="N1" s="118"/>
      <c r="O1" s="119"/>
    </row>
    <row r="2" spans="1:50" ht="13.5" customHeight="1">
      <c r="A2" s="120"/>
      <c r="B2" s="120"/>
      <c r="C2" s="120"/>
      <c r="D2" s="120"/>
      <c r="E2" s="120"/>
      <c r="F2" s="120"/>
      <c r="G2" s="120"/>
      <c r="H2" s="120"/>
      <c r="I2" s="120"/>
      <c r="J2" s="120"/>
      <c r="K2" s="120"/>
      <c r="L2" s="120"/>
      <c r="M2" s="120"/>
      <c r="N2" s="121"/>
      <c r="O2" s="119"/>
    </row>
    <row r="3" spans="1:50" ht="15.5">
      <c r="A3" s="122" t="s">
        <v>682</v>
      </c>
      <c r="B3" s="119"/>
      <c r="C3" s="119"/>
      <c r="D3" s="119"/>
      <c r="E3" s="119"/>
      <c r="F3" s="119"/>
      <c r="G3" s="119"/>
      <c r="H3" s="119"/>
      <c r="I3" s="119"/>
      <c r="J3" s="119"/>
      <c r="K3" s="119"/>
      <c r="L3" s="119"/>
      <c r="M3" s="119"/>
      <c r="N3" s="119"/>
      <c r="O3" s="121"/>
    </row>
    <row r="4" spans="1:50" ht="15.5">
      <c r="A4" s="122" t="s">
        <v>868</v>
      </c>
      <c r="B4" s="119"/>
      <c r="C4" s="119"/>
      <c r="D4" s="119"/>
      <c r="E4" s="119"/>
      <c r="F4" s="119"/>
      <c r="G4" s="119"/>
      <c r="H4" s="119"/>
      <c r="I4" s="119"/>
      <c r="J4" s="119"/>
      <c r="K4" s="119"/>
      <c r="L4" s="119"/>
      <c r="M4" s="119"/>
      <c r="N4" s="123"/>
      <c r="O4" s="119"/>
    </row>
    <row r="5" spans="1:50" ht="12.75" customHeight="1">
      <c r="Q5" s="3" t="s">
        <v>683</v>
      </c>
      <c r="AI5" s="61" t="s">
        <v>684</v>
      </c>
      <c r="AR5" s="61" t="s">
        <v>684</v>
      </c>
    </row>
    <row r="6" spans="1:50" ht="15" customHeight="1">
      <c r="A6" s="124"/>
      <c r="B6" s="125" t="s">
        <v>675</v>
      </c>
      <c r="C6" s="126"/>
      <c r="D6" s="126"/>
      <c r="E6" s="126"/>
      <c r="F6" s="126"/>
      <c r="G6" s="126"/>
      <c r="H6" s="127"/>
      <c r="I6" s="128"/>
      <c r="J6" s="128"/>
      <c r="K6" s="128"/>
      <c r="L6" s="128"/>
      <c r="M6" s="128"/>
      <c r="N6" s="128"/>
      <c r="O6" s="128"/>
      <c r="Q6" s="61" t="s">
        <v>685</v>
      </c>
      <c r="AI6" s="4" t="s">
        <v>686</v>
      </c>
      <c r="AR6" s="4" t="s">
        <v>686</v>
      </c>
    </row>
    <row r="7" spans="1:50" ht="17.25" customHeight="1">
      <c r="A7" s="129"/>
      <c r="B7" s="130">
        <v>1</v>
      </c>
      <c r="C7" s="119"/>
      <c r="D7" s="131">
        <v>2</v>
      </c>
      <c r="E7" s="119"/>
      <c r="F7" s="131">
        <v>3</v>
      </c>
      <c r="G7" s="119"/>
      <c r="H7" s="131">
        <v>4</v>
      </c>
      <c r="I7" s="132"/>
      <c r="J7" s="131">
        <v>5</v>
      </c>
      <c r="K7" s="132"/>
      <c r="L7" s="131">
        <v>6</v>
      </c>
      <c r="M7" s="132"/>
      <c r="N7" s="131" t="s">
        <v>687</v>
      </c>
      <c r="O7" s="132"/>
      <c r="P7" s="133"/>
      <c r="Q7" s="134"/>
      <c r="R7" s="134" t="s">
        <v>688</v>
      </c>
      <c r="S7" s="134"/>
      <c r="T7" s="135">
        <v>2</v>
      </c>
      <c r="U7" s="134"/>
      <c r="V7" s="135">
        <v>3</v>
      </c>
      <c r="W7" s="134"/>
      <c r="X7" s="135">
        <v>4</v>
      </c>
      <c r="Y7" s="134"/>
      <c r="Z7" s="135">
        <v>5</v>
      </c>
      <c r="AA7" s="134"/>
      <c r="AB7" s="135">
        <v>6</v>
      </c>
      <c r="AC7" s="134"/>
      <c r="AD7" s="135" t="s">
        <v>689</v>
      </c>
      <c r="AE7" s="134"/>
      <c r="AI7" s="136" t="s">
        <v>688</v>
      </c>
      <c r="AJ7" s="136">
        <v>2</v>
      </c>
      <c r="AK7" s="136">
        <v>3</v>
      </c>
      <c r="AL7" s="136">
        <v>4</v>
      </c>
      <c r="AM7" s="136">
        <v>5</v>
      </c>
      <c r="AN7" s="136">
        <v>6</v>
      </c>
      <c r="AO7" s="136" t="s">
        <v>687</v>
      </c>
      <c r="AR7" s="136" t="s">
        <v>688</v>
      </c>
      <c r="AS7" s="136">
        <v>2</v>
      </c>
      <c r="AT7" s="136">
        <v>3</v>
      </c>
      <c r="AU7" s="136">
        <v>4</v>
      </c>
      <c r="AV7" s="136">
        <v>5</v>
      </c>
      <c r="AW7" s="136">
        <v>6</v>
      </c>
      <c r="AX7" s="136" t="s">
        <v>687</v>
      </c>
    </row>
    <row r="8" spans="1:50" ht="77.25" customHeight="1">
      <c r="A8" s="137"/>
      <c r="B8" s="138" t="s">
        <v>690</v>
      </c>
      <c r="C8" s="139" t="s">
        <v>691</v>
      </c>
      <c r="D8" s="140" t="s">
        <v>690</v>
      </c>
      <c r="E8" s="139" t="s">
        <v>691</v>
      </c>
      <c r="F8" s="140" t="s">
        <v>690</v>
      </c>
      <c r="G8" s="139" t="s">
        <v>691</v>
      </c>
      <c r="H8" s="140" t="s">
        <v>690</v>
      </c>
      <c r="I8" s="139" t="s">
        <v>691</v>
      </c>
      <c r="J8" s="140" t="s">
        <v>690</v>
      </c>
      <c r="K8" s="139" t="s">
        <v>691</v>
      </c>
      <c r="L8" s="140" t="s">
        <v>690</v>
      </c>
      <c r="M8" s="139" t="s">
        <v>691</v>
      </c>
      <c r="N8" s="140" t="s">
        <v>690</v>
      </c>
      <c r="O8" s="139" t="s">
        <v>691</v>
      </c>
      <c r="P8" s="133"/>
      <c r="Q8" s="141"/>
      <c r="R8" s="142" t="s">
        <v>692</v>
      </c>
      <c r="S8" s="142" t="s">
        <v>693</v>
      </c>
      <c r="T8" s="143" t="s">
        <v>692</v>
      </c>
      <c r="U8" s="142" t="s">
        <v>693</v>
      </c>
      <c r="V8" s="143" t="s">
        <v>692</v>
      </c>
      <c r="W8" s="142" t="s">
        <v>693</v>
      </c>
      <c r="X8" s="143" t="s">
        <v>692</v>
      </c>
      <c r="Y8" s="142" t="s">
        <v>693</v>
      </c>
      <c r="Z8" s="143" t="s">
        <v>692</v>
      </c>
      <c r="AA8" s="142" t="s">
        <v>693</v>
      </c>
      <c r="AB8" s="143" t="s">
        <v>692</v>
      </c>
      <c r="AC8" s="142" t="s">
        <v>693</v>
      </c>
      <c r="AD8" s="143" t="s">
        <v>692</v>
      </c>
      <c r="AE8" s="142" t="s">
        <v>693</v>
      </c>
      <c r="AI8" s="144" t="s">
        <v>694</v>
      </c>
      <c r="AJ8" s="144" t="s">
        <v>694</v>
      </c>
      <c r="AK8" s="144" t="s">
        <v>694</v>
      </c>
      <c r="AL8" s="144" t="s">
        <v>694</v>
      </c>
      <c r="AM8" s="144" t="s">
        <v>694</v>
      </c>
      <c r="AN8" s="144" t="s">
        <v>694</v>
      </c>
      <c r="AO8" s="144" t="s">
        <v>694</v>
      </c>
      <c r="AR8" s="144" t="s">
        <v>694</v>
      </c>
      <c r="AS8" s="144" t="s">
        <v>694</v>
      </c>
      <c r="AT8" s="144" t="s">
        <v>694</v>
      </c>
      <c r="AU8" s="144" t="s">
        <v>694</v>
      </c>
      <c r="AV8" s="144" t="s">
        <v>694</v>
      </c>
      <c r="AW8" s="144" t="s">
        <v>694</v>
      </c>
      <c r="AX8" s="144" t="s">
        <v>694</v>
      </c>
    </row>
    <row r="9" spans="1:50" ht="15" customHeight="1">
      <c r="A9" s="1" t="s">
        <v>695</v>
      </c>
      <c r="B9" s="145">
        <f>+GETPIVOTDATA("Sum of New-Total Undg SCH FTE",'FTE Pivot for regular counts'!$A$2,"Category",1,"Category2","Group1")</f>
        <v>852160.1</v>
      </c>
      <c r="C9" s="146"/>
      <c r="D9" s="147">
        <f>+GETPIVOTDATA("Sum of New-Total Undg SCH FTE",'FTE Pivot for regular counts'!$A$2,"Category",2,"Category2","Four-Year")</f>
        <v>198012.24233333333</v>
      </c>
      <c r="E9" s="146"/>
      <c r="F9" s="148">
        <f>+GETPIVOTDATA("Sum of New-Total Undg SCH FTE",'FTE Pivot for regular counts'!$A$2,"Category",3,"Category2","Four-Year")</f>
        <v>500635.95</v>
      </c>
      <c r="G9" s="146"/>
      <c r="H9" s="148">
        <f>+GETPIVOTDATA("Sum of New-Total Undg SCH FTE",'FTE Pivot for regular counts'!$A$2,"Category",4,"Category2","Four-Year")</f>
        <v>151810.20000000001</v>
      </c>
      <c r="I9" s="146"/>
      <c r="J9" s="148">
        <f>+GETPIVOTDATA("Sum of New-Total Undg SCH FTE",'FTE Pivot for regular counts'!$A$2,"Category",5,"Category2","Four-Year")</f>
        <v>55961.5</v>
      </c>
      <c r="K9" s="146"/>
      <c r="L9" s="148">
        <f>+GETPIVOTDATA("Sum of New-Total Undg SCH FTE",'FTE Pivot for regular counts'!$A$2,"Category",6,"Category2","Four-Year")</f>
        <v>60939.183333333334</v>
      </c>
      <c r="M9" s="146"/>
      <c r="N9" s="148">
        <f>+GETPIVOTDATA("Sum of New-Total Undg SCH FTE",'FTE Pivot for regular counts'!$A$2,"Category2","Four-Year")</f>
        <v>1819519.1756666666</v>
      </c>
      <c r="O9" s="146"/>
      <c r="Q9" s="1" t="s">
        <v>695</v>
      </c>
      <c r="R9" s="149"/>
      <c r="S9" s="150">
        <f>(C9-R9)*100</f>
        <v>0</v>
      </c>
      <c r="T9" s="151"/>
      <c r="U9" s="150">
        <f>(E9-T9)*100</f>
        <v>0</v>
      </c>
      <c r="V9" s="151"/>
      <c r="W9" s="150">
        <f>(G9-V9)*100</f>
        <v>0</v>
      </c>
      <c r="X9" s="151"/>
      <c r="Y9" s="150">
        <f>(I9-X9)*100</f>
        <v>0</v>
      </c>
      <c r="Z9" s="151"/>
      <c r="AA9" s="150">
        <f>(K9-Z9)*100</f>
        <v>0</v>
      </c>
      <c r="AB9" s="151"/>
      <c r="AC9" s="150">
        <f>(M9-AB9)*100</f>
        <v>0</v>
      </c>
      <c r="AD9" s="151"/>
      <c r="AE9" s="150">
        <f>(O9-AD9)*100</f>
        <v>0</v>
      </c>
      <c r="AF9" s="1" t="s">
        <v>695</v>
      </c>
      <c r="AH9" s="152" t="s">
        <v>695</v>
      </c>
      <c r="AQ9" s="152" t="s">
        <v>695</v>
      </c>
    </row>
    <row r="10" spans="1:50" ht="12.75" customHeight="1">
      <c r="B10" s="153"/>
      <c r="C10" s="154" t="s">
        <v>764</v>
      </c>
      <c r="D10" s="155"/>
      <c r="E10" s="154" t="s">
        <v>765</v>
      </c>
      <c r="F10" s="155"/>
      <c r="G10" s="154" t="s">
        <v>766</v>
      </c>
      <c r="H10" s="155"/>
      <c r="I10" s="154" t="s">
        <v>767</v>
      </c>
      <c r="J10" s="155"/>
      <c r="K10" s="154" t="s">
        <v>768</v>
      </c>
      <c r="L10" s="155"/>
      <c r="M10" s="154" t="s">
        <v>769</v>
      </c>
      <c r="N10" s="155"/>
      <c r="O10" s="154" t="s">
        <v>770</v>
      </c>
      <c r="R10" s="156" t="s">
        <v>696</v>
      </c>
      <c r="S10" s="157"/>
      <c r="T10" s="158" t="s">
        <v>697</v>
      </c>
      <c r="U10" s="157"/>
      <c r="V10" s="158" t="s">
        <v>698</v>
      </c>
      <c r="W10" s="157"/>
      <c r="X10" s="158" t="s">
        <v>699</v>
      </c>
      <c r="Y10" s="157"/>
      <c r="Z10" s="158" t="s">
        <v>700</v>
      </c>
      <c r="AA10" s="157"/>
      <c r="AB10" s="158" t="s">
        <v>701</v>
      </c>
      <c r="AC10" s="157"/>
      <c r="AD10" s="158" t="s">
        <v>702</v>
      </c>
      <c r="AE10" s="157"/>
      <c r="AH10" s="152"/>
      <c r="AQ10" s="152"/>
    </row>
    <row r="11" spans="1:50" ht="15" customHeight="1">
      <c r="A11" s="1" t="s">
        <v>703</v>
      </c>
      <c r="B11" s="159">
        <f>+GETPIVOTDATA("Sum of New-Total Undg SCH FTE",'FTE Pivot for regular counts'!$A$2,"State","AL","Category",1,"Category2","Four-Year")</f>
        <v>64980.2</v>
      </c>
      <c r="C11" s="160">
        <f>+GETPIVOTDATA("Sum of New-HS % of Total",'Pivot-HS Student % of Undergrad'!$A$3,"State","AL","Category",1,"Category2","Four-Year")</f>
        <v>7.1611557571896259E-3</v>
      </c>
      <c r="D11" s="148">
        <f>+GETPIVOTDATA("Sum of New-Total Undg SCH FTE",'FTE Pivot for regular counts'!$A$2,"State","AL","Category",2,"Category2","Four-Year")</f>
        <v>15057.833333333334</v>
      </c>
      <c r="E11" s="160">
        <f>+GETPIVOTDATA("Sum of New-HS % of Total",'Pivot-HS Student % of Undergrad'!$A$3,"State","AL","Category",2,"Category2","Four-Year")</f>
        <v>3.922653768249084E-3</v>
      </c>
      <c r="F11" s="148">
        <f>+GETPIVOTDATA("Sum of New-Total Undg SCH FTE",'FTE Pivot for regular counts'!$A$2,"State","AL","Category",3,"Category2","Four-Year")</f>
        <v>31500.999999999996</v>
      </c>
      <c r="G11" s="160">
        <f>+GETPIVOTDATA("Sum of New-HS % of Total",'Pivot-HS Student % of Undergrad'!$A$3,"State","AL","Category",3,"Category2","Four-Year")</f>
        <v>1.3324444726622435E-2</v>
      </c>
      <c r="H11" s="148">
        <f>+GETPIVOTDATA("Sum of New-Total Undg SCH FTE",'FTE Pivot for regular counts'!$A$2,"State","AL","Category",4,"Category2","Four-Year")</f>
        <v>5781.6666666666661</v>
      </c>
      <c r="I11" s="160">
        <f>+GETPIVOTDATA("Sum of New-HS % of Total",'Pivot-HS Student % of Undergrad'!$A$3,"State","AL","Category",4,"Category2","Four-Year")</f>
        <v>1.452868261746901E-3</v>
      </c>
      <c r="J11" s="148">
        <f>+GETPIVOTDATA("Sum of New-Total Undg SCH FTE",'FTE Pivot for regular counts'!$A$2,"State","AL","Category",5,"Category2","Four-Year")</f>
        <v>2075.2666666666669</v>
      </c>
      <c r="K11" s="160">
        <f>+GETPIVOTDATA("Sum of New-HS % of Total",'Pivot-HS Student % of Undergrad'!$A$3,"State","AL","Category",5,"Category2","Four-Year")</f>
        <v>3.6461177679976871E-3</v>
      </c>
      <c r="L11" s="148">
        <f>+GETPIVOTDATA("Sum of New-Total Undg SCH FTE",'FTE Pivot for regular counts'!$A$2,"State","AL","Category",6,"Category2","Four-Year")</f>
        <v>2168.3000000000002</v>
      </c>
      <c r="M11" s="160">
        <f>+GETPIVOTDATA("Sum of New-HS % of Total",'Pivot-HS Student % of Undergrad'!$A$3,"State","AL","Category",6,"Category2","Four-Year")</f>
        <v>0</v>
      </c>
      <c r="N11" s="148">
        <f>+GETPIVOTDATA("Sum of New-Total Undg SCH FTE",'FTE Pivot for regular counts'!$A$2,"State","AL","Category2","Four-Year")</f>
        <v>121564.26666666666</v>
      </c>
      <c r="O11" s="160">
        <f>+GETPIVOTDATA("Sum of New-HS % of Total",'Pivot-HS Student % of Undergrad'!$A$3,"State","AL","Category2","Group1")</f>
        <v>7.8978800787950845E-3</v>
      </c>
      <c r="Q11" s="1" t="s">
        <v>703</v>
      </c>
      <c r="R11" s="161">
        <f>+GETPIVOTDATA("Sum of Old-HS % of Total",'Pivot-HS Student % of Undergrad'!$A$3,"State","AL","Category",1,"Category2","Four-Year")</f>
        <v>5.7473215566110156E-3</v>
      </c>
      <c r="S11" s="162">
        <f>(C11-R11)*100</f>
        <v>0.14138342005786103</v>
      </c>
      <c r="T11" s="151">
        <f>+GETPIVOTDATA("Sum of Old-HS % of Total",'Pivot-HS Student % of Undergrad'!$A$3,"State","AL","Category",2,"Category2","Four-Year")</f>
        <v>4.4427710843373495E-3</v>
      </c>
      <c r="U11" s="162">
        <f t="shared" ref="U11:U29" si="0">(E11-T11)*100</f>
        <v>-5.2011731608826543E-2</v>
      </c>
      <c r="V11" s="151">
        <f>GETPIVOTDATA("Sum of Old-HS % of Total",'Pivot-HS Student % of Undergrad'!$A$3,"State","AL","Category",3,"Category2","Four-Year")</f>
        <v>1.0269423363770402E-2</v>
      </c>
      <c r="W11" s="162">
        <f t="shared" ref="W11:W29" si="1">(G11-V11)*100</f>
        <v>0.30550213628520329</v>
      </c>
      <c r="X11" s="151">
        <f>+GETPIVOTDATA("Sum of Old-HS % of Total",'Pivot-HS Student % of Undergrad'!$A$3,"State","AL","Category",4,"Category2","Four-Year")</f>
        <v>1.5022704769708764E-3</v>
      </c>
      <c r="Y11" s="162">
        <f t="shared" ref="Y11:Y29" si="2">(I11-X11)*100</f>
        <v>-4.94022152239754E-3</v>
      </c>
      <c r="Z11" s="151">
        <f>+GETPIVOTDATA("Sum of Old-HS % of Total",'Pivot-HS Student % of Undergrad'!$A$3,"State","AL","Category",5,"Category2","Four-Year")</f>
        <v>3.3422136110438363E-3</v>
      </c>
      <c r="AA11" s="162">
        <f t="shared" ref="AA11:AA29" si="3">(K11-Z11)*100</f>
        <v>3.0390415695385076E-2</v>
      </c>
      <c r="AB11" s="151">
        <f>+GETPIVOTDATA("Sum of Old-HS % of Total",'Pivot-HS Student % of Undergrad'!$A$3,"State","AL","Category",6,"Category2","Four-Year")</f>
        <v>0</v>
      </c>
      <c r="AC11" s="162">
        <f t="shared" ref="AC11:AC29" si="4">(M11-AB11)*100</f>
        <v>0</v>
      </c>
      <c r="AD11" s="151">
        <f>+GETPIVOTDATA("Sum of Old-HS % of Total",'Pivot-HS Student % of Undergrad'!$A$3,"State","AL","Category2","Four-Year")</f>
        <v>6.3850813382167314E-3</v>
      </c>
      <c r="AE11" s="162">
        <f t="shared" ref="AE11:AE29" si="5">(O11-AD11)*100</f>
        <v>0.1512798740578353</v>
      </c>
      <c r="AF11" s="1" t="s">
        <v>703</v>
      </c>
      <c r="AH11" s="152" t="s">
        <v>703</v>
      </c>
      <c r="AI11" s="163">
        <f>C11*100</f>
        <v>0.71611557571896256</v>
      </c>
      <c r="AJ11" s="163">
        <f>E11*100</f>
        <v>0.39226537682490842</v>
      </c>
      <c r="AK11" s="163">
        <f>G11*100</f>
        <v>1.3324444726622435</v>
      </c>
      <c r="AL11" s="163">
        <f>I11*100</f>
        <v>0.1452868261746901</v>
      </c>
      <c r="AM11" s="163">
        <f>K11*100</f>
        <v>0.36461177679976869</v>
      </c>
      <c r="AN11" s="163">
        <f>M11*100</f>
        <v>0</v>
      </c>
      <c r="AO11" s="163">
        <f>O11*100</f>
        <v>0.78978800787950842</v>
      </c>
      <c r="AQ11" s="152" t="s">
        <v>703</v>
      </c>
      <c r="AR11" s="163">
        <f>R11*100</f>
        <v>0.57473215566110158</v>
      </c>
      <c r="AS11" s="163">
        <f>T11*100</f>
        <v>0.44427710843373497</v>
      </c>
      <c r="AT11" s="163">
        <f>V11*100</f>
        <v>1.0269423363770402</v>
      </c>
      <c r="AU11" s="163">
        <f>X11*100</f>
        <v>0.15022704769708764</v>
      </c>
      <c r="AV11" s="163">
        <f>Z11*100</f>
        <v>0.33422136110438361</v>
      </c>
      <c r="AW11" s="163">
        <f>AB11*100</f>
        <v>0</v>
      </c>
      <c r="AX11" s="163">
        <f>AD11*100</f>
        <v>0.63850813382167315</v>
      </c>
    </row>
    <row r="12" spans="1:50" ht="15" customHeight="1">
      <c r="A12" s="1" t="s">
        <v>704</v>
      </c>
      <c r="B12" s="159">
        <f>+GETPIVOTDATA("Sum of New-Total Undg SCH FTE",'FTE Pivot for regular counts'!$A$2,"State","AR","Category",1,"Category2","Four-Year")</f>
        <v>21805.966666666667</v>
      </c>
      <c r="C12" s="160">
        <f>+GETPIVOTDATA("Sum of New-HS % of Total",'Pivot-HS Student % of Undergrad'!$A$3,"State","AR","Category",1,"Category2","Four-Year")</f>
        <v>1.0990875586039906E-3</v>
      </c>
      <c r="D12" s="148">
        <f>+GETPIVOTDATA("Sum of New-Total Undg SCH FTE",'FTE Pivot for regular counts'!$A$2,"State","AR","Category",2,"Category2","Four-Year")</f>
        <v>5521.8</v>
      </c>
      <c r="E12" s="160">
        <f>+GETPIVOTDATA("Sum of New-HS % of Total",'Pivot-HS Student % of Undergrad'!$A$3,"State","AR","Category",2,"Category2","Four-Year")</f>
        <v>6.3318724570490301E-2</v>
      </c>
      <c r="F12" s="148">
        <f>+GETPIVOTDATA("Sum of New-Total Undg SCH FTE",'FTE Pivot for regular counts'!$A$2,"State","AR","Category",3,"Category2","Four-Year")</f>
        <v>23982.066666666666</v>
      </c>
      <c r="G12" s="160">
        <f>+GETPIVOTDATA("Sum of New-HS % of Total",'Pivot-HS Student % of Undergrad'!$A$3,"State","AR","Category",3,"Category2","Four-Year")</f>
        <v>4.7792656179200567E-2</v>
      </c>
      <c r="H12" s="148">
        <f>+GETPIVOTDATA("Sum of New-Total Undg SCH FTE",'FTE Pivot for regular counts'!$A$2,"State","AR","Category",4,"Category2","Four-Year")</f>
        <v>8118.6999999999989</v>
      </c>
      <c r="I12" s="160">
        <f>+GETPIVOTDATA("Sum of New-HS % of Total",'Pivot-HS Student % of Undergrad'!$A$3,"State","AR","Category",4,"Category2","Four-Year")</f>
        <v>3.2973259265645975E-2</v>
      </c>
      <c r="J12" s="148">
        <f>+GETPIVOTDATA("Sum of New-Total Undg SCH FTE",'FTE Pivot for regular counts'!$A$2,"State","AR","Category",5,"Category2","Four-Year")</f>
        <v>0</v>
      </c>
      <c r="K12" s="160">
        <f>+GETPIVOTDATA("Sum of New-HS % of Total",'Pivot-HS Student % of Undergrad'!$A$3,"State","AR","Category",5,"Category2","Four-Year")</f>
        <v>0</v>
      </c>
      <c r="L12" s="148">
        <f>+GETPIVOTDATA("Sum of New-Total Undg SCH FTE",'FTE Pivot for regular counts'!$A$2,"State","AR","Category",6,"Category2","Four-Year")</f>
        <v>7036.5</v>
      </c>
      <c r="M12" s="160">
        <f>+GETPIVOTDATA("Sum of New-HS % of Total",'Pivot-HS Student % of Undergrad'!$A$3,"State","AR","Category",6,"Category2","Four-Year")</f>
        <v>7.6150548331320025E-2</v>
      </c>
      <c r="N12" s="148">
        <f>+GETPIVOTDATA("Sum of New-Total Undg SCH FTE",'FTE Pivot for regular counts'!$A$2,"State","AR","Category2","Four-Year")</f>
        <v>66465.033333333326</v>
      </c>
      <c r="O12" s="160">
        <f>+GETPIVOTDATA("Sum of New-HS % of Total",'Pivot-HS Student % of Undergrad'!$A$3,"State","AR","Category2","Group1")</f>
        <v>3.495522206914814E-2</v>
      </c>
      <c r="Q12" s="1" t="s">
        <v>704</v>
      </c>
      <c r="R12" s="161">
        <f>+GETPIVOTDATA("Sum of Old-HS % of Total",'Pivot-HS Student % of Undergrad'!$A$3,"State","AR","Category",1,"Category2","Four-Year")</f>
        <v>2.9241880519574434E-3</v>
      </c>
      <c r="S12" s="164">
        <f>(C12-R12)*100</f>
        <v>-0.18251004933534529</v>
      </c>
      <c r="T12" s="151">
        <f>+GETPIVOTDATA("Sum of Old-HS % of Total",'Pivot-HS Student % of Undergrad'!$A$3,"State","AR","Category",2,"Category2","Four-Year")</f>
        <v>6.8963942883884438E-2</v>
      </c>
      <c r="U12" s="162">
        <f t="shared" si="0"/>
        <v>-0.5645218313394138</v>
      </c>
      <c r="V12" s="151">
        <f>+GETPIVOTDATA("Sum of Old-HS % of Total",'Pivot-HS Student % of Undergrad'!$A$3,"State","AR","Category",3,"Category2","Four-Year")</f>
        <v>4.8962534322979236E-2</v>
      </c>
      <c r="W12" s="162">
        <f t="shared" si="1"/>
        <v>-0.11698781437786687</v>
      </c>
      <c r="X12" s="151">
        <f>+GETPIVOTDATA("Sum of Old-HS % of Total",'Pivot-HS Student % of Undergrad'!$A$3,"State","AR","Category",4,"Category2","Four-Year")</f>
        <v>4.2447204097383007E-2</v>
      </c>
      <c r="Y12" s="162">
        <f t="shared" si="2"/>
        <v>-0.94739448317370312</v>
      </c>
      <c r="Z12" s="151">
        <f>+GETPIVOTDATA("Sum of Old-HS % of Total",'Pivot-HS Student % of Undergrad'!$A$3,"State","AR","Category",5,"Category2","Four-Year")</f>
        <v>0</v>
      </c>
      <c r="AA12" s="162">
        <f t="shared" si="3"/>
        <v>0</v>
      </c>
      <c r="AB12" s="151">
        <f>+GETPIVOTDATA("Sum of Old-HS % of Total",'Pivot-HS Student % of Undergrad'!$A$3,"State","AR","Category",6,"Category2","Four-Year")</f>
        <v>7.3613207675465434E-2</v>
      </c>
      <c r="AC12" s="162">
        <f t="shared" si="4"/>
        <v>0.25373406558545919</v>
      </c>
      <c r="AD12" s="151">
        <f>+GETPIVOTDATA("Sum of Old-HS % of Total",'Pivot-HS Student % of Undergrad'!$A$3,"State","AR","Category2","Four-Year")</f>
        <v>3.766867684607942E-2</v>
      </c>
      <c r="AE12" s="162">
        <f t="shared" si="5"/>
        <v>-0.271345477693128</v>
      </c>
      <c r="AF12" s="1" t="s">
        <v>704</v>
      </c>
      <c r="AH12" s="152" t="s">
        <v>704</v>
      </c>
      <c r="AI12" s="163">
        <f t="shared" ref="AI12:AI29" si="6">C12*100</f>
        <v>0.10990875586039907</v>
      </c>
      <c r="AJ12" s="163">
        <f t="shared" ref="AJ12:AJ29" si="7">E12*100</f>
        <v>6.3318724570490303</v>
      </c>
      <c r="AK12" s="163">
        <f t="shared" ref="AK12:AK29" si="8">G12*100</f>
        <v>4.779265617920057</v>
      </c>
      <c r="AL12" s="163">
        <f t="shared" ref="AL12:AL29" si="9">I12*100</f>
        <v>3.2973259265645973</v>
      </c>
      <c r="AM12" s="163">
        <f t="shared" ref="AM12:AM29" si="10">K12*100</f>
        <v>0</v>
      </c>
      <c r="AN12" s="163">
        <f t="shared" ref="AN12:AN29" si="11">M12*100</f>
        <v>7.6150548331320023</v>
      </c>
      <c r="AO12" s="163">
        <f t="shared" ref="AO12:AO29" si="12">O12*100</f>
        <v>3.495522206914814</v>
      </c>
      <c r="AQ12" s="152" t="s">
        <v>704</v>
      </c>
      <c r="AR12" s="163">
        <f t="shared" ref="AR12:AR29" si="13">R12*100</f>
        <v>0.29241880519574437</v>
      </c>
      <c r="AS12" s="163">
        <f t="shared" ref="AS12:AS29" si="14">T12*100</f>
        <v>6.8963942883884437</v>
      </c>
      <c r="AT12" s="163">
        <f t="shared" ref="AT12:AT29" si="15">V12*100</f>
        <v>4.8962534322979234</v>
      </c>
      <c r="AU12" s="163">
        <f t="shared" ref="AU12:AU29" si="16">X12*100</f>
        <v>4.2447204097383011</v>
      </c>
      <c r="AV12" s="163">
        <f t="shared" ref="AV12:AV29" si="17">Z12*100</f>
        <v>0</v>
      </c>
      <c r="AW12" s="163">
        <f t="shared" ref="AW12:AW29" si="18">AB12*100</f>
        <v>7.3613207675465437</v>
      </c>
      <c r="AX12" s="163">
        <f t="shared" ref="AX12:AX29" si="19">AD12*100</f>
        <v>3.7668676846079419</v>
      </c>
    </row>
    <row r="13" spans="1:50" ht="15" customHeight="1">
      <c r="A13" s="1" t="s">
        <v>705</v>
      </c>
      <c r="B13" s="159">
        <f>+GETPIVOTDATA("Sum of New-Total Undg SCH FTE",'FTE Pivot for regular counts'!$A$2,"State","DE","Category",1,"Category2","Four-Year")</f>
        <v>20020.400000000001</v>
      </c>
      <c r="C13" s="160">
        <f>+GETPIVOTDATA("Sum of New-HS % of Total",'Pivot-HS Student % of Undergrad'!$A$3,"State","DE","Category",1,"Category2","Four-Year")</f>
        <v>0</v>
      </c>
      <c r="D13" s="148">
        <f>+GETPIVOTDATA("Sum of New-Total Undg SCH FTE",'FTE Pivot for regular counts'!$A$2,"State","DE","Category",2,"Category2","Four-Year")</f>
        <v>0</v>
      </c>
      <c r="E13" s="160">
        <f>+GETPIVOTDATA("Sum of New-HS % of Total",'Pivot-HS Student % of Undergrad'!$A$3,"State","DE","Category",2,"Category2","Four-Year")</f>
        <v>0</v>
      </c>
      <c r="F13" s="148">
        <f>+GETPIVOTDATA("Sum of New-Total Undg SCH FTE",'FTE Pivot for regular counts'!$A$2,"State","DE","Category",3,"Category2","Four-Year")</f>
        <v>4390.2</v>
      </c>
      <c r="G13" s="160">
        <f>+GETPIVOTDATA("Sum of New-HS % of Total",'Pivot-HS Student % of Undergrad'!$A$3,"State","DE","Category",3,"Category2","Four-Year")</f>
        <v>0</v>
      </c>
      <c r="H13" s="148">
        <f>+GETPIVOTDATA("Sum of New-Total Undg SCH FTE",'FTE Pivot for regular counts'!$A$2,"State","DE","Category",4,"Category2","Four-Year")</f>
        <v>0</v>
      </c>
      <c r="I13" s="160">
        <f>GETPIVOTDATA("Sum of New-HS % of Total",'Pivot-HS Student % of Undergrad'!$A$3,"State","DE","Category",4,"Category2","Four-Year")</f>
        <v>0</v>
      </c>
      <c r="J13" s="148">
        <f>+GETPIVOTDATA("Sum of New-Total Undg SCH FTE",'FTE Pivot for regular counts'!$A$2,"State","DE","Category",5,"Category2","Four-Year")</f>
        <v>0</v>
      </c>
      <c r="K13" s="160">
        <f>+GETPIVOTDATA("Sum of New-HS % of Total",'Pivot-HS Student % of Undergrad'!$A$3,"State","DE","Category",5,"Category2","Four-Year")</f>
        <v>0</v>
      </c>
      <c r="L13" s="148">
        <f>+GETPIVOTDATA("Sum of New-Total Undg SCH FTE",'FTE Pivot for regular counts'!$A$2,"State","DE","Category",6,"Category2","Four-Year")</f>
        <v>0</v>
      </c>
      <c r="M13" s="160">
        <f>+GETPIVOTDATA("Sum of New-HS % of Total",'Pivot-HS Student % of Undergrad'!$A$3,"State","DE","Category",6,"Category2","Four-Year")</f>
        <v>0</v>
      </c>
      <c r="N13" s="148">
        <f>+GETPIVOTDATA("Sum of New-Total Undg SCH FTE",'FTE Pivot for regular counts'!$A$2,"State","DE","Category2","Four-Year")</f>
        <v>24410.600000000002</v>
      </c>
      <c r="O13" s="160">
        <f>+GETPIVOTDATA("Sum of New-HS % of Total",'Pivot-HS Student % of Undergrad'!$A$3,"State","DE","Category2","Group1")</f>
        <v>0</v>
      </c>
      <c r="Q13" s="1" t="s">
        <v>705</v>
      </c>
      <c r="R13" s="161">
        <f>+GETPIVOTDATA("Sum of Old-HS % of Total",'Pivot-HS Student % of Undergrad'!$A$3,"State","DE","Category",1,"Category2","Four-Year")</f>
        <v>0</v>
      </c>
      <c r="S13" s="162">
        <f>(C13-R13)*100</f>
        <v>0</v>
      </c>
      <c r="T13" s="151">
        <f>+GETPIVOTDATA("Sum of Old-HS % of Total",'Pivot-HS Student % of Undergrad'!$A$3,"State","DE","Category",2,"Category2","Four-Year")</f>
        <v>0</v>
      </c>
      <c r="U13" s="162">
        <f t="shared" si="0"/>
        <v>0</v>
      </c>
      <c r="V13" s="151">
        <f>+GETPIVOTDATA("Sum of Old-HS % of Total",'Pivot-HS Student % of Undergrad'!$A$3,"State","DE","Category",3,"Category2","Four-Year")</f>
        <v>0</v>
      </c>
      <c r="W13" s="162">
        <f t="shared" si="1"/>
        <v>0</v>
      </c>
      <c r="X13" s="151">
        <f>+GETPIVOTDATA("Sum of Old-HS % of Total",'Pivot-HS Student % of Undergrad'!$A$3,"State","DE","Category",4,"Category2","Four-Year")</f>
        <v>0</v>
      </c>
      <c r="Y13" s="162">
        <f t="shared" si="2"/>
        <v>0</v>
      </c>
      <c r="Z13" s="151">
        <f>+GETPIVOTDATA("Sum of Old-HS % of Total",'Pivot-HS Student % of Undergrad'!$A$3,"State","DE","Category",5,"Category2","Four-Year")</f>
        <v>0</v>
      </c>
      <c r="AA13" s="162">
        <f t="shared" si="3"/>
        <v>0</v>
      </c>
      <c r="AB13" s="151">
        <f>+GETPIVOTDATA("Sum of Old-HS % of Total",'Pivot-HS Student % of Undergrad'!$A$3,"State","DE","Category",6,"Category2","Four-Year")</f>
        <v>0</v>
      </c>
      <c r="AC13" s="162">
        <f t="shared" si="4"/>
        <v>0</v>
      </c>
      <c r="AD13" s="151">
        <f>+GETPIVOTDATA("Sum of Old-HS % of Total",'Pivot-HS Student % of Undergrad'!$A$3,"State","DE","Category2","Four-Year")</f>
        <v>0</v>
      </c>
      <c r="AE13" s="162">
        <f t="shared" si="5"/>
        <v>0</v>
      </c>
      <c r="AF13" s="1" t="s">
        <v>705</v>
      </c>
      <c r="AH13" s="152" t="s">
        <v>705</v>
      </c>
      <c r="AI13" s="163">
        <f t="shared" si="6"/>
        <v>0</v>
      </c>
      <c r="AJ13" s="163">
        <f t="shared" si="7"/>
        <v>0</v>
      </c>
      <c r="AK13" s="163">
        <f t="shared" si="8"/>
        <v>0</v>
      </c>
      <c r="AL13" s="163">
        <f t="shared" si="9"/>
        <v>0</v>
      </c>
      <c r="AM13" s="163">
        <f t="shared" si="10"/>
        <v>0</v>
      </c>
      <c r="AN13" s="163">
        <f t="shared" si="11"/>
        <v>0</v>
      </c>
      <c r="AO13" s="163">
        <f t="shared" si="12"/>
        <v>0</v>
      </c>
      <c r="AQ13" s="152" t="s">
        <v>705</v>
      </c>
      <c r="AR13" s="163">
        <f t="shared" si="13"/>
        <v>0</v>
      </c>
      <c r="AS13" s="163">
        <f t="shared" si="14"/>
        <v>0</v>
      </c>
      <c r="AT13" s="163">
        <f t="shared" si="15"/>
        <v>0</v>
      </c>
      <c r="AU13" s="163">
        <f t="shared" si="16"/>
        <v>0</v>
      </c>
      <c r="AV13" s="163">
        <f t="shared" si="17"/>
        <v>0</v>
      </c>
      <c r="AW13" s="163">
        <f t="shared" si="18"/>
        <v>0</v>
      </c>
      <c r="AX13" s="163">
        <f t="shared" si="19"/>
        <v>0</v>
      </c>
    </row>
    <row r="14" spans="1:50" ht="15" customHeight="1">
      <c r="A14" s="1" t="s">
        <v>706</v>
      </c>
      <c r="B14" s="159">
        <f>+GETPIVOTDATA("Sum of New-Total Undg SCH FTE",'FTE Pivot for regular counts'!$A$2,"State","FL","Category",1,"Category2","Four-Year")</f>
        <v>0</v>
      </c>
      <c r="C14" s="160">
        <f>+GETPIVOTDATA("Sum of New-HS % of Total",'Pivot-HS Student % of Undergrad'!$A$3,"State","FL","Category",1,"Category2","Four-Year")</f>
        <v>0</v>
      </c>
      <c r="D14" s="148">
        <f>+GETPIVOTDATA("Sum of New-Total Undg SCH FTE",'FTE Pivot for regular counts'!$A$2,"State","FL","Category",2,"Category2","Four-Year")</f>
        <v>0</v>
      </c>
      <c r="E14" s="160">
        <f>+GETPIVOTDATA("Sum of New-HS % of Total",'Pivot-HS Student % of Undergrad'!$A$3,"State","FL","Category",2,"Category2","Four-Year")</f>
        <v>0</v>
      </c>
      <c r="F14" s="148">
        <f>+GETPIVOTDATA("Sum of New-Total Undg SCH FTE",'FTE Pivot for regular counts'!$A$2,"State","FL","Category",3,"Category2","Four-Year")</f>
        <v>0</v>
      </c>
      <c r="G14" s="160">
        <f>+GETPIVOTDATA("Sum of New-HS % of Total",'Pivot-HS Student % of Undergrad'!$A$3,"State","FL","Category",3,"Category2","Four-Year")</f>
        <v>0</v>
      </c>
      <c r="H14" s="148">
        <f>+GETPIVOTDATA("Sum of New-Total Undg SCH FTE",'FTE Pivot for regular counts'!$A$2,"State","FL","Category",4,"Category2","Four-Year")</f>
        <v>0</v>
      </c>
      <c r="I14" s="160">
        <f>+GETPIVOTDATA("Sum of New-HS % of Total",'Pivot-HS Student % of Undergrad'!$A$3,"State","FL","Category",4,"Category2","Four-Year")</f>
        <v>0</v>
      </c>
      <c r="J14" s="148">
        <f>+GETPIVOTDATA("Sum of New-Total Undg SCH FTE",'FTE Pivot for regular counts'!$A$2,"State","FL","Category",5,"Category2","Four-Year")</f>
        <v>0</v>
      </c>
      <c r="K14" s="160">
        <f>+GETPIVOTDATA("Sum of New-HS % of Total",'Pivot-HS Student % of Undergrad'!$A$3,"State","FL","Category",5,"Category2","Four-Year")</f>
        <v>0</v>
      </c>
      <c r="L14" s="148">
        <f>+GETPIVOTDATA("Sum of New-Total Undg SCH FTE",'FTE Pivot for regular counts'!$A$2,"State","FL","Category",6,"Category2","Four-Year")</f>
        <v>0</v>
      </c>
      <c r="M14" s="160">
        <f>+GETPIVOTDATA("Sum of New-HS % of Total",'Pivot-HS Student % of Undergrad'!$A$3,"State","FL","Category",6,"Category2","Four-Year")</f>
        <v>0</v>
      </c>
      <c r="N14" s="148">
        <f>+GETPIVOTDATA("Sum of New-Total Undg SCH FTE",'FTE Pivot for regular counts'!$A$2,"State","FL","Category2","Four-Year")</f>
        <v>0</v>
      </c>
      <c r="O14" s="160">
        <f>+GETPIVOTDATA("Sum of New-HS % of Total",'Pivot-HS Student % of Undergrad'!$A$3,"State","FL","Category2","Group1")</f>
        <v>0</v>
      </c>
      <c r="Q14" s="1" t="s">
        <v>706</v>
      </c>
      <c r="R14" s="161">
        <f>+GETPIVOTDATA("Sum of Old-HS % of Total",'Pivot-HS Student % of Undergrad'!$A$3,"State","FL","Category",1,"Category2","Four-Year")</f>
        <v>0</v>
      </c>
      <c r="S14" s="162">
        <f>(C14-R14)*100</f>
        <v>0</v>
      </c>
      <c r="T14" s="151">
        <f>+GETPIVOTDATA("Sum of Old-HS % of Total",'Pivot-HS Student % of Undergrad'!$A$3,"State","FL","Category",2,"Category2","Four-Year")</f>
        <v>0</v>
      </c>
      <c r="U14" s="162">
        <f t="shared" si="0"/>
        <v>0</v>
      </c>
      <c r="V14" s="151">
        <f>+GETPIVOTDATA("Sum of Old-HS % of Total",'Pivot-HS Student % of Undergrad'!$A$3,"State","FL","Category",3,"Category2","Four-Year")</f>
        <v>0</v>
      </c>
      <c r="W14" s="164">
        <f t="shared" si="1"/>
        <v>0</v>
      </c>
      <c r="X14" s="151">
        <f>+GETPIVOTDATA("Sum of Old-HS % of Total",'Pivot-HS Student % of Undergrad'!$A$3,"State","FL","Category",4,"Category2","Four-Year")</f>
        <v>0</v>
      </c>
      <c r="Y14" s="162">
        <f t="shared" si="2"/>
        <v>0</v>
      </c>
      <c r="Z14" s="151">
        <f>+GETPIVOTDATA("Sum of Old-HS % of Total",'Pivot-HS Student % of Undergrad'!$A$3,"State","FL","Category",5,"Category2","Four-Year")</f>
        <v>0</v>
      </c>
      <c r="AA14" s="162">
        <f t="shared" si="3"/>
        <v>0</v>
      </c>
      <c r="AB14" s="151">
        <f>+GETPIVOTDATA("Sum of Old-HS % of Total",'Pivot-HS Student % of Undergrad'!$A$3,"State","FL","Category",6,"Category2","Four-Year")</f>
        <v>0</v>
      </c>
      <c r="AC14" s="162">
        <f t="shared" si="4"/>
        <v>0</v>
      </c>
      <c r="AD14" s="151">
        <f>+GETPIVOTDATA("Sum of Old-HS % of Total",'Pivot-HS Student % of Undergrad'!$A$3,"State","FL","Category2","Four-Year")</f>
        <v>0</v>
      </c>
      <c r="AE14" s="162">
        <f t="shared" si="5"/>
        <v>0</v>
      </c>
      <c r="AF14" s="1" t="s">
        <v>706</v>
      </c>
      <c r="AH14" s="152" t="s">
        <v>706</v>
      </c>
      <c r="AI14" s="163">
        <f t="shared" si="6"/>
        <v>0</v>
      </c>
      <c r="AJ14" s="163">
        <f t="shared" si="7"/>
        <v>0</v>
      </c>
      <c r="AK14" s="163">
        <f t="shared" si="8"/>
        <v>0</v>
      </c>
      <c r="AL14" s="163">
        <f t="shared" si="9"/>
        <v>0</v>
      </c>
      <c r="AM14" s="163">
        <f t="shared" si="10"/>
        <v>0</v>
      </c>
      <c r="AN14" s="163">
        <f t="shared" si="11"/>
        <v>0</v>
      </c>
      <c r="AO14" s="163">
        <f t="shared" si="12"/>
        <v>0</v>
      </c>
      <c r="AQ14" s="152" t="s">
        <v>706</v>
      </c>
      <c r="AR14" s="163">
        <f t="shared" si="13"/>
        <v>0</v>
      </c>
      <c r="AS14" s="163">
        <f t="shared" si="14"/>
        <v>0</v>
      </c>
      <c r="AT14" s="163">
        <f t="shared" si="15"/>
        <v>0</v>
      </c>
      <c r="AU14" s="163">
        <f t="shared" si="16"/>
        <v>0</v>
      </c>
      <c r="AV14" s="163">
        <f t="shared" si="17"/>
        <v>0</v>
      </c>
      <c r="AW14" s="163">
        <f t="shared" si="18"/>
        <v>0</v>
      </c>
      <c r="AX14" s="163">
        <f t="shared" si="19"/>
        <v>0</v>
      </c>
    </row>
    <row r="15" spans="1:50" ht="15" customHeight="1">
      <c r="B15" s="159"/>
      <c r="C15" s="160"/>
      <c r="D15" s="148"/>
      <c r="E15" s="160"/>
      <c r="F15" s="148"/>
      <c r="G15" s="160"/>
      <c r="H15" s="148"/>
      <c r="I15" s="160"/>
      <c r="J15" s="148"/>
      <c r="K15" s="160"/>
      <c r="L15" s="148"/>
      <c r="M15" s="160"/>
      <c r="N15" s="148"/>
      <c r="O15" s="160"/>
      <c r="R15" s="161"/>
      <c r="S15" s="162"/>
      <c r="T15" s="151"/>
      <c r="U15" s="162"/>
      <c r="V15" s="151"/>
      <c r="W15" s="162"/>
      <c r="X15" s="151"/>
      <c r="Y15" s="162"/>
      <c r="Z15" s="151"/>
      <c r="AA15" s="162"/>
      <c r="AB15" s="151"/>
      <c r="AC15" s="162"/>
      <c r="AD15" s="151"/>
      <c r="AE15" s="162"/>
      <c r="AH15" s="152"/>
      <c r="AI15" s="163">
        <f t="shared" si="6"/>
        <v>0</v>
      </c>
      <c r="AJ15" s="163">
        <f t="shared" si="7"/>
        <v>0</v>
      </c>
      <c r="AK15" s="163">
        <f t="shared" si="8"/>
        <v>0</v>
      </c>
      <c r="AL15" s="163">
        <f t="shared" si="9"/>
        <v>0</v>
      </c>
      <c r="AM15" s="163">
        <f t="shared" si="10"/>
        <v>0</v>
      </c>
      <c r="AN15" s="163">
        <f t="shared" si="11"/>
        <v>0</v>
      </c>
      <c r="AO15" s="163">
        <f t="shared" si="12"/>
        <v>0</v>
      </c>
      <c r="AQ15" s="152"/>
      <c r="AR15" s="163">
        <f t="shared" si="13"/>
        <v>0</v>
      </c>
      <c r="AS15" s="163">
        <f t="shared" si="14"/>
        <v>0</v>
      </c>
      <c r="AT15" s="163">
        <f t="shared" si="15"/>
        <v>0</v>
      </c>
      <c r="AU15" s="163">
        <f t="shared" si="16"/>
        <v>0</v>
      </c>
      <c r="AV15" s="163">
        <f t="shared" si="17"/>
        <v>0</v>
      </c>
      <c r="AW15" s="163">
        <f t="shared" si="18"/>
        <v>0</v>
      </c>
      <c r="AX15" s="163">
        <f t="shared" si="19"/>
        <v>0</v>
      </c>
    </row>
    <row r="16" spans="1:50" ht="15" customHeight="1">
      <c r="A16" s="1" t="s">
        <v>707</v>
      </c>
      <c r="B16" s="159">
        <f>GETPIVOTDATA("Sum of New-Total Undg SCH FTE",'FTE Pivot for regular counts'!$A$2,"State","GA","Category",1,"Category2","Four-Year")</f>
        <v>67872.183333333334</v>
      </c>
      <c r="C16" s="160">
        <f>+GETPIVOTDATA("Sum of New-HS % of Total",'Pivot-HS Student % of Undergrad'!$A$3,"State","GA","Category",1,"Category2","Four-Year")</f>
        <v>1.4696005801100157E-2</v>
      </c>
      <c r="D16" s="148">
        <f>+GETPIVOTDATA("Sum of New-Total Undg SCH FTE",'FTE Pivot for regular counts'!$A$2,"State","GA","Category",2,"Category2","Four-Year")</f>
        <v>16065.665666666666</v>
      </c>
      <c r="E16" s="160">
        <f>+GETPIVOTDATA("Sum of New-HS % of Total",'Pivot-HS Student % of Undergrad'!$A$3,"State","GA","Category",2,"Category2","Four-Year")</f>
        <v>9.9674259788426235E-3</v>
      </c>
      <c r="F16" s="148">
        <f>+GETPIVOTDATA("Sum of New-Total Undg SCH FTE",'FTE Pivot for regular counts'!$A$2,"State","GA","Category",3,"Category2","Four-Year")</f>
        <v>71271.733333333337</v>
      </c>
      <c r="G16" s="160">
        <f>+GETPIVOTDATA("Sum of New-HS % of Total",'Pivot-HS Student % of Undergrad'!$A$3,"State","GA","Category",3,"Category2","Four-Year")</f>
        <v>1.9212385274760633E-2</v>
      </c>
      <c r="H16" s="148">
        <f>+GETPIVOTDATA("Sum of New-Total Undg SCH FTE",'FTE Pivot for regular counts'!$A$2,"State","GA","Category",4,"Category2","Four-Year")</f>
        <v>44653.4</v>
      </c>
      <c r="I16" s="160">
        <f>+GETPIVOTDATA("Sum of New-HS % of Total",'Pivot-HS Student % of Undergrad'!$A$3,"State","GA","Category",4,"Category2","Four-Year")</f>
        <v>4.0535920370378661E-2</v>
      </c>
      <c r="J16" s="148">
        <f>+GETPIVOTDATA("Sum of New-Total Undg SCH FTE",'FTE Pivot for regular counts'!$A$2,"State","GA","Category",5,"Category2","Four-Year")</f>
        <v>11939.933333333334</v>
      </c>
      <c r="K16" s="160">
        <f>+GETPIVOTDATA("Sum of New-HS % of Total",'Pivot-HS Student % of Undergrad'!$A$3,"State","GA","Category",5,"Category2","Four-Year")</f>
        <v>2.7250291738088989E-2</v>
      </c>
      <c r="L16" s="148">
        <f>+GETPIVOTDATA("Sum of New-Total Undg SCH FTE",'FTE Pivot for regular counts'!$A$2,"State","GA","Category",6,"Category2","Four-Year")</f>
        <v>22397.8</v>
      </c>
      <c r="M16" s="160">
        <f>+GETPIVOTDATA("Sum of New-HS % of Total",'Pivot-HS Student % of Undergrad'!$A$3,"State","GA","Category",6,"Category2","Four-Year")</f>
        <v>5.1057097869731255E-2</v>
      </c>
      <c r="N16" s="148">
        <f>+GETPIVOTDATA("Sum of New-Total Undg SCH FTE",'FTE Pivot for regular counts'!$A$2,"State","GA","Category2","Four-Year")</f>
        <v>234200.71566666663</v>
      </c>
      <c r="O16" s="160">
        <f>+GETPIVOTDATA("Sum of New-HS % of Total",'Pivot-HS Student % of Undergrad'!$A$3,"State","GA","Category2","Group1")</f>
        <v>2.4790203210124834E-2</v>
      </c>
      <c r="Q16" s="1" t="s">
        <v>707</v>
      </c>
      <c r="R16" s="161">
        <f>+GETPIVOTDATA("Sum of Old-HS % of Total",'Pivot-HS Student % of Undergrad'!$A$3,"State","GA","Category",1,"Category2","Four-Year")</f>
        <v>1.353739460951643E-2</v>
      </c>
      <c r="S16" s="162">
        <f>(C16-R16)*100</f>
        <v>0.11586111915837266</v>
      </c>
      <c r="T16" s="151">
        <f>+GETPIVOTDATA("Sum of Old-HS % of Total",'Pivot-HS Student % of Undergrad'!$A$3,"State","GA","Category",2,"Category2","Four-Year")</f>
        <v>9.1487571469321301E-3</v>
      </c>
      <c r="U16" s="162">
        <f t="shared" si="0"/>
        <v>8.1866883191049344E-2</v>
      </c>
      <c r="V16" s="151">
        <f>+GETPIVOTDATA("Sum of Old-HS % of Total",'Pivot-HS Student % of Undergrad'!$A$3,"State","GA","Category",3,"Category2","Four-Year")</f>
        <v>1.7676157687882089E-2</v>
      </c>
      <c r="W16" s="162">
        <f t="shared" si="1"/>
        <v>0.15362275868785435</v>
      </c>
      <c r="X16" s="151">
        <f>+GETPIVOTDATA("Sum of Old-HS % of Total",'Pivot-HS Student % of Undergrad'!$A$3,"State","GA","Category",4,"Category2","Four-Year")</f>
        <v>4.2242450556196007E-2</v>
      </c>
      <c r="Y16" s="162">
        <f t="shared" si="2"/>
        <v>-0.17065301858173454</v>
      </c>
      <c r="Z16" s="151">
        <f>+GETPIVOTDATA("Sum of Old-HS % of Total",'Pivot-HS Student % of Undergrad'!$A$3,"State","GA","Category",5,"Category2","Four-Year")</f>
        <v>2.8903431495930866E-2</v>
      </c>
      <c r="AA16" s="162">
        <f t="shared" si="3"/>
        <v>-0.16531397578418774</v>
      </c>
      <c r="AB16" s="151">
        <f>+GETPIVOTDATA("Sum of Old-HS % of Total",'Pivot-HS Student % of Undergrad'!$A$3,"State","GA","Category",6,"Category2","Four-Year")</f>
        <v>5.6035568451854062E-2</v>
      </c>
      <c r="AC16" s="162">
        <f t="shared" si="4"/>
        <v>-0.4978470582122807</v>
      </c>
      <c r="AD16" s="151">
        <f>+GETPIVOTDATA("Sum of Old-HS % of Total",'Pivot-HS Student % of Undergrad'!$A$3,"State","GA","Category2","Four-Year")</f>
        <v>2.5071538994084958E-2</v>
      </c>
      <c r="AE16" s="162">
        <f t="shared" si="5"/>
        <v>-2.8133578396012313E-2</v>
      </c>
      <c r="AF16" s="1" t="s">
        <v>707</v>
      </c>
      <c r="AH16" s="152" t="s">
        <v>707</v>
      </c>
      <c r="AI16" s="163">
        <f t="shared" si="6"/>
        <v>1.4696005801100156</v>
      </c>
      <c r="AJ16" s="163">
        <f t="shared" si="7"/>
        <v>0.99674259788426234</v>
      </c>
      <c r="AK16" s="163">
        <f t="shared" si="8"/>
        <v>1.9212385274760633</v>
      </c>
      <c r="AL16" s="163">
        <f t="shared" si="9"/>
        <v>4.0535920370378662</v>
      </c>
      <c r="AM16" s="163">
        <f t="shared" si="10"/>
        <v>2.725029173808899</v>
      </c>
      <c r="AN16" s="163">
        <f t="shared" si="11"/>
        <v>5.1057097869731258</v>
      </c>
      <c r="AO16" s="163">
        <f t="shared" si="12"/>
        <v>2.4790203210124835</v>
      </c>
      <c r="AQ16" s="152" t="s">
        <v>707</v>
      </c>
      <c r="AR16" s="163">
        <f t="shared" si="13"/>
        <v>1.3537394609516429</v>
      </c>
      <c r="AS16" s="163">
        <f t="shared" si="14"/>
        <v>0.91487571469321305</v>
      </c>
      <c r="AT16" s="163">
        <f t="shared" si="15"/>
        <v>1.767615768788209</v>
      </c>
      <c r="AU16" s="163">
        <f t="shared" si="16"/>
        <v>4.2242450556196003</v>
      </c>
      <c r="AV16" s="163">
        <f t="shared" si="17"/>
        <v>2.8903431495930865</v>
      </c>
      <c r="AW16" s="163">
        <f t="shared" si="18"/>
        <v>5.6035568451854063</v>
      </c>
      <c r="AX16" s="163">
        <f t="shared" si="19"/>
        <v>2.5071538994084959</v>
      </c>
    </row>
    <row r="17" spans="1:50" ht="15" customHeight="1">
      <c r="A17" s="1" t="s">
        <v>708</v>
      </c>
      <c r="B17" s="159">
        <f>+GETPIVOTDATA("Sum of New-Total Undg SCH FTE",'FTE Pivot for regular counts'!$A$2,"State","KY","Category",1,"Category2","Four-Year")</f>
        <v>33094.866666666669</v>
      </c>
      <c r="C17" s="160">
        <f>+GETPIVOTDATA("Sum of New-HS % of Total",'Pivot-HS Student % of Undergrad'!$A$3,"State","KY","Category",1,"Category2","Four-Year")</f>
        <v>8.4776491016733714E-3</v>
      </c>
      <c r="D17" s="148">
        <f>+GETPIVOTDATA("Sum of New-Total Undg SCH FTE",'FTE Pivot for regular counts'!$A$2,"State","KY","Category",2,"Category2","Four-Year")</f>
        <v>0</v>
      </c>
      <c r="E17" s="160">
        <f>+GETPIVOTDATA("Sum of New-HS % of Total",'Pivot-HS Student % of Undergrad'!$A$3,"State","KY","Category",2,"Category2","Four-Year")</f>
        <v>0</v>
      </c>
      <c r="F17" s="148">
        <f>+GETPIVOTDATA("Sum of New-Total Undg SCH FTE",'FTE Pivot for regular counts'!$A$2,"State","KY","Category",3,"Category2","Four-Year")</f>
        <v>45346.5</v>
      </c>
      <c r="G17" s="160">
        <f>+GETPIVOTDATA("Sum of New-HS % of Total",'Pivot-HS Student % of Undergrad'!$A$3,"State","KY","Category",3,"Category2","Four-Year")</f>
        <v>5.6826142407168503E-2</v>
      </c>
      <c r="H17" s="148">
        <f>+GETPIVOTDATA("Sum of New-Total Undg SCH FTE",'FTE Pivot for regular counts'!$A$2,"State","KY","Category",4,"Category2","Four-Year")</f>
        <v>1653.7666666666667</v>
      </c>
      <c r="I17" s="160">
        <f>+GETPIVOTDATA("Sum of New-HS % of Total",'Pivot-HS Student % of Undergrad'!$A$3,"State","KY","Category",4,"Category2","Four-Year")</f>
        <v>0.13317074153951586</v>
      </c>
      <c r="J17" s="148">
        <f>+GETPIVOTDATA("Sum of New-Total Undg SCH FTE",'FTE Pivot for regular counts'!$A$2,"State","KY","Category",5,"Category2","Four-Year")</f>
        <v>0</v>
      </c>
      <c r="K17" s="160">
        <f>+GETPIVOTDATA("Sum of New-HS % of Total",'Pivot-HS Student % of Undergrad'!$A$3,"State","KY","Category",5,"Category2","Four-Year")</f>
        <v>0</v>
      </c>
      <c r="L17" s="148">
        <f>+GETPIVOTDATA("Sum of New-Total Undg SCH FTE",'FTE Pivot for regular counts'!$A$2,"State","KY","Category",6,"Category2","Four-Year")</f>
        <v>0</v>
      </c>
      <c r="M17" s="160">
        <f>+GETPIVOTDATA("Sum of New-HS % of Total",'Pivot-HS Student % of Undergrad'!$A$3,"State","KY","Category",6,"Category2","Four-Year")</f>
        <v>0</v>
      </c>
      <c r="N17" s="148">
        <f>+GETPIVOTDATA("Sum of New-Total Undg SCH FTE",'FTE Pivot for regular counts'!$A$2,"State","KY","Category2","Four-Year")</f>
        <v>80095.133333333331</v>
      </c>
      <c r="O17" s="160">
        <f>+GETPIVOTDATA("Sum of New-HS % of Total",'Pivot-HS Student % of Undergrad'!$A$3,"State","KY","Category2","Group1")</f>
        <v>3.8425139438351227E-2</v>
      </c>
      <c r="Q17" s="1" t="s">
        <v>708</v>
      </c>
      <c r="R17" s="161">
        <f>+GETPIVOTDATA("Sum of Old-HS % of Total",'Pivot-HS Student % of Undergrad'!$A$3,"State","KY","Category",1,"Category2","Four-Year")</f>
        <v>5.8855109264035295E-3</v>
      </c>
      <c r="S17" s="162">
        <f>(C17-R17)*100</f>
        <v>0.25921381752698419</v>
      </c>
      <c r="T17" s="151">
        <f>+GETPIVOTDATA("Sum of Old-HS % of Total",'Pivot-HS Student % of Undergrad'!$A$3,"State","KY","Category",2,"Category2","Four-Year")</f>
        <v>0</v>
      </c>
      <c r="U17" s="162">
        <f t="shared" si="0"/>
        <v>0</v>
      </c>
      <c r="V17" s="151">
        <f>+GETPIVOTDATA("Sum of Old-HS % of Total",'Pivot-HS Student % of Undergrad'!$A$3,"State","KY","Category",3,"Category2","Four-Year")</f>
        <v>6.2394144537016874E-2</v>
      </c>
      <c r="W17" s="162">
        <f t="shared" si="1"/>
        <v>-0.55680021298483706</v>
      </c>
      <c r="X17" s="151">
        <f>+GETPIVOTDATA("Sum of Old-HS % of Total",'Pivot-HS Student % of Undergrad'!$A$3,"State","KY","Category",4,"Category2","Four-Year")</f>
        <v>0.15482706217077824</v>
      </c>
      <c r="Y17" s="162">
        <f t="shared" si="2"/>
        <v>-2.165632063126238</v>
      </c>
      <c r="Z17" s="151">
        <f>+GETPIVOTDATA("Sum of Old-HS % of Total",'Pivot-HS Student % of Undergrad'!$A$3,"State","KY","Category",5,"Category2","Four-Year")</f>
        <v>0</v>
      </c>
      <c r="AA17" s="162">
        <f t="shared" si="3"/>
        <v>0</v>
      </c>
      <c r="AB17" s="151">
        <f>+GETPIVOTDATA("Sum of Old-HS % of Total",'Pivot-HS Student % of Undergrad'!$A$3,"State","KY","Category",6,"Category2","Four-Year")</f>
        <v>0</v>
      </c>
      <c r="AC17" s="162">
        <f t="shared" si="4"/>
        <v>0</v>
      </c>
      <c r="AD17" s="151">
        <f>+GETPIVOTDATA("Sum of Old-HS % of Total",'Pivot-HS Student % of Undergrad'!$A$3,"State","KY","Category2","Four-Year")</f>
        <v>4.0251245548988498E-2</v>
      </c>
      <c r="AE17" s="162">
        <f t="shared" si="5"/>
        <v>-0.18261061106372711</v>
      </c>
      <c r="AF17" s="1" t="s">
        <v>708</v>
      </c>
      <c r="AH17" s="152" t="s">
        <v>708</v>
      </c>
      <c r="AI17" s="163">
        <f t="shared" si="6"/>
        <v>0.84776491016733713</v>
      </c>
      <c r="AJ17" s="163">
        <f t="shared" si="7"/>
        <v>0</v>
      </c>
      <c r="AK17" s="163">
        <f t="shared" si="8"/>
        <v>5.6826142407168501</v>
      </c>
      <c r="AL17" s="163">
        <f t="shared" si="9"/>
        <v>13.317074153951586</v>
      </c>
      <c r="AM17" s="163">
        <f t="shared" si="10"/>
        <v>0</v>
      </c>
      <c r="AN17" s="163">
        <f t="shared" si="11"/>
        <v>0</v>
      </c>
      <c r="AO17" s="163">
        <f t="shared" si="12"/>
        <v>3.8425139438351228</v>
      </c>
      <c r="AQ17" s="152" t="s">
        <v>708</v>
      </c>
      <c r="AR17" s="163">
        <f t="shared" si="13"/>
        <v>0.58855109264035299</v>
      </c>
      <c r="AS17" s="163">
        <f t="shared" si="14"/>
        <v>0</v>
      </c>
      <c r="AT17" s="163">
        <f t="shared" si="15"/>
        <v>6.2394144537016878</v>
      </c>
      <c r="AU17" s="163">
        <f t="shared" si="16"/>
        <v>15.482706217077824</v>
      </c>
      <c r="AV17" s="163">
        <f t="shared" si="17"/>
        <v>0</v>
      </c>
      <c r="AW17" s="163">
        <f t="shared" si="18"/>
        <v>0</v>
      </c>
      <c r="AX17" s="163">
        <f t="shared" si="19"/>
        <v>4.0251245548988495</v>
      </c>
    </row>
    <row r="18" spans="1:50" ht="15" customHeight="1">
      <c r="A18" s="1" t="s">
        <v>709</v>
      </c>
      <c r="B18" s="159">
        <f>+GETPIVOTDATA("Sum of New-Total Undg SCH FTE",'FTE Pivot for regular counts'!$A$2,"State","LA","Category",1,"Category2","Four-Year")</f>
        <v>24845.433333333334</v>
      </c>
      <c r="C18" s="160">
        <f>+GETPIVOTDATA("Sum of New-HS % of Total",'Pivot-HS Student % of Undergrad'!$A$3,"State","LA","Category",1,"Category2","Four-Year")</f>
        <v>2.4217730152959027E-2</v>
      </c>
      <c r="D18" s="148">
        <f>+GETPIVOTDATA("Sum of New-Total Undg SCH FTE",'FTE Pivot for regular counts'!$A$2,"State","LA","Category",2,"Category2","Four-Year")</f>
        <v>26513.73333333333</v>
      </c>
      <c r="E18" s="160">
        <f>+GETPIVOTDATA("Sum of New-HS % of Total",'Pivot-HS Student % of Undergrad'!$A$3,"State","LA","Category",2,"Category2","Four-Year")</f>
        <v>3.7244849210220615E-2</v>
      </c>
      <c r="F18" s="148">
        <f>+GETPIVOTDATA("Sum of New-Total Undg SCH FTE",'FTE Pivot for regular counts'!$A$2,"State","LA","Category",3,"Category2","Four-Year")</f>
        <v>27981.599999999999</v>
      </c>
      <c r="G18" s="160">
        <f>+GETPIVOTDATA("Sum of New-HS % of Total",'Pivot-HS Student % of Undergrad'!$A$3,"State","LA","Category",3,"Category2","Four-Year")</f>
        <v>5.7627154987563253E-2</v>
      </c>
      <c r="H18" s="148">
        <f>+GETPIVOTDATA("Sum of New-Total Undg SCH FTE",'FTE Pivot for regular counts'!$A$2,"State","LA","Category",4,"Category2","Four-Year")</f>
        <v>19565.833333333332</v>
      </c>
      <c r="I18" s="160">
        <f>+GETPIVOTDATA("Sum of New-HS % of Total",'Pivot-HS Student % of Undergrad'!$A$3,"State","LA","Category",4,"Category2","Four-Year")</f>
        <v>4.5301759018697561E-2</v>
      </c>
      <c r="J18" s="148">
        <f>+GETPIVOTDATA("Sum of New-Total Undg SCH FTE",'FTE Pivot for regular counts'!$A$2,"State","LA","Category",5,"Category2","Four-Year")</f>
        <v>1386.5333333333333</v>
      </c>
      <c r="K18" s="160">
        <f>+GETPIVOTDATA("Sum of New-HS % of Total",'Pivot-HS Student % of Undergrad'!$A$3,"State","LA","Category",5,"Category2","Four-Year")</f>
        <v>6.3515722665640928E-2</v>
      </c>
      <c r="L18" s="148">
        <f>+GETPIVOTDATA("Sum of New-Total Undg SCH FTE",'FTE Pivot for regular counts'!$A$2,"State","LA","Category",6,"Category2","Four-Year")</f>
        <v>2684.5</v>
      </c>
      <c r="M18" s="160">
        <f>+GETPIVOTDATA("Sum of New-HS % of Total",'Pivot-HS Student % of Undergrad'!$A$3,"State","LA","Category",6,"Category2","Four-Year")</f>
        <v>7.006891413671075E-2</v>
      </c>
      <c r="N18" s="148">
        <f>+GETPIVOTDATA("Sum of New-Total Undg SCH FTE",'FTE Pivot for regular counts'!$A$2,"State","LA","Category2","Four-Year")</f>
        <v>102977.63333333333</v>
      </c>
      <c r="O18" s="160">
        <f>+GETPIVOTDATA("Sum of New-HS % of Total",'Pivot-HS Student % of Undergrad'!$A$3,"State","LA","Category2","Group1")</f>
        <v>4.2380400404100696E-2</v>
      </c>
      <c r="Q18" s="1" t="s">
        <v>709</v>
      </c>
      <c r="R18" s="161">
        <f>+GETPIVOTDATA("Sum of Old-HS % of Total",'Pivot-HS Student % of Undergrad'!$A$3,"State","LA","Category",1,"Category2","Four-Year")</f>
        <v>1.890318478964309E-2</v>
      </c>
      <c r="S18" s="162">
        <f>(C18-R18)*100</f>
        <v>0.53145453633159367</v>
      </c>
      <c r="T18" s="151">
        <f>+GETPIVOTDATA("Sum of Old-HS % of Total",'Pivot-HS Student % of Undergrad'!$A$3,"State","LA","Category",2,"Category2","Four-Year")</f>
        <v>3.688950002320248E-2</v>
      </c>
      <c r="U18" s="162">
        <f t="shared" si="0"/>
        <v>3.5534918701813495E-2</v>
      </c>
      <c r="V18" s="151">
        <f>+GETPIVOTDATA("Sum of Old-HS % of Total",'Pivot-HS Student % of Undergrad'!$A$3,"State","LA","Category",3,"Category2","Four-Year")</f>
        <v>5.6262951795157119E-2</v>
      </c>
      <c r="W18" s="162">
        <f t="shared" si="1"/>
        <v>0.1364203192406134</v>
      </c>
      <c r="X18" s="151">
        <f>+GETPIVOTDATA("Sum of Old-HS % of Total",'Pivot-HS Student % of Undergrad'!$A$3,"State","LA","Category",4,"Category2","Four-Year")</f>
        <v>3.8894868292144447E-2</v>
      </c>
      <c r="Y18" s="162">
        <f t="shared" si="2"/>
        <v>0.6406890726553115</v>
      </c>
      <c r="Z18" s="151">
        <f>+GETPIVOTDATA("Sum of Old-HS % of Total",'Pivot-HS Student % of Undergrad'!$A$3,"State","LA","Category",5,"Category2","Four-Year")</f>
        <v>3.2283855911143765E-2</v>
      </c>
      <c r="AA18" s="162">
        <f t="shared" si="3"/>
        <v>3.1231866754497162</v>
      </c>
      <c r="AB18" s="151">
        <f>+GETPIVOTDATA("Sum of Old-HS % of Total",'Pivot-HS Student % of Undergrad'!$A$3,"State","LA","Category",6,"Category2","Four-Year")</f>
        <v>7.4656712438341558E-2</v>
      </c>
      <c r="AC18" s="162">
        <f t="shared" si="4"/>
        <v>-0.45877983016308077</v>
      </c>
      <c r="AD18" s="151">
        <f>+GETPIVOTDATA("Sum of Old-HS % of Total",'Pivot-HS Student % of Undergrad'!$A$3,"State","LA","Category2","Four-Year")</f>
        <v>3.9365194982202381E-2</v>
      </c>
      <c r="AE18" s="162">
        <f t="shared" si="5"/>
        <v>0.30152054218983149</v>
      </c>
      <c r="AF18" s="1" t="s">
        <v>709</v>
      </c>
      <c r="AH18" s="152" t="s">
        <v>709</v>
      </c>
      <c r="AI18" s="163">
        <f t="shared" si="6"/>
        <v>2.4217730152959027</v>
      </c>
      <c r="AJ18" s="163">
        <f t="shared" si="7"/>
        <v>3.7244849210220616</v>
      </c>
      <c r="AK18" s="163">
        <f t="shared" si="8"/>
        <v>5.7627154987563252</v>
      </c>
      <c r="AL18" s="163">
        <f t="shared" si="9"/>
        <v>4.5301759018697565</v>
      </c>
      <c r="AM18" s="163">
        <f t="shared" si="10"/>
        <v>6.3515722665640926</v>
      </c>
      <c r="AN18" s="163">
        <f t="shared" si="11"/>
        <v>7.0068914136710747</v>
      </c>
      <c r="AO18" s="163">
        <f t="shared" si="12"/>
        <v>4.2380400404100698</v>
      </c>
      <c r="AQ18" s="152" t="s">
        <v>709</v>
      </c>
      <c r="AR18" s="163">
        <f t="shared" si="13"/>
        <v>1.890318478964309</v>
      </c>
      <c r="AS18" s="163">
        <f t="shared" si="14"/>
        <v>3.6889500023202482</v>
      </c>
      <c r="AT18" s="163">
        <f t="shared" si="15"/>
        <v>5.6262951795157123</v>
      </c>
      <c r="AU18" s="163">
        <f t="shared" si="16"/>
        <v>3.8894868292144444</v>
      </c>
      <c r="AV18" s="163">
        <f t="shared" si="17"/>
        <v>3.2283855911143764</v>
      </c>
      <c r="AW18" s="163">
        <f t="shared" si="18"/>
        <v>7.4656712438341559</v>
      </c>
      <c r="AX18" s="163">
        <f t="shared" si="19"/>
        <v>3.9365194982202381</v>
      </c>
    </row>
    <row r="19" spans="1:50" ht="15" customHeight="1">
      <c r="A19" s="1" t="s">
        <v>710</v>
      </c>
      <c r="B19" s="159">
        <f>+GETPIVOTDATA("Sum of New-Total Undg SCH FTE",'FTE Pivot for regular counts'!$A$2,"State","MD","Category",1,"Category2","Four-Year")</f>
        <v>29434.866666666665</v>
      </c>
      <c r="C19" s="160">
        <f>+GETPIVOTDATA("Sum of New-HS % of Total",'Pivot-HS Student % of Undergrad'!$A$3,"State","MD","Category",1,"Category2","Four-Year")</f>
        <v>0</v>
      </c>
      <c r="D19" s="148">
        <f>+GETPIVOTDATA("Sum of New-Total Undg SCH FTE",'FTE Pivot for regular counts'!$A$2,"State","MD","Category",2,"Category2","Four-Year")</f>
        <v>16543.783333333333</v>
      </c>
      <c r="E19" s="160">
        <f>+GETPIVOTDATA("Sum of New-HS % of Total",'Pivot-HS Student % of Undergrad'!$A$3,"State","MD","Category",2,"Category2","Four-Year")</f>
        <v>0</v>
      </c>
      <c r="F19" s="148">
        <f>+GETPIVOTDATA("Sum of New-Total Undg SCH FTE",'FTE Pivot for regular counts'!$A$2,"State","MD","Category",3,"Category2","Four-Year")</f>
        <v>19349.833333333336</v>
      </c>
      <c r="G19" s="160">
        <f>+GETPIVOTDATA("Sum of New-HS % of Total",'Pivot-HS Student % of Undergrad'!$A$3,"State","MD","Category",3,"Category2","Four-Year")</f>
        <v>0</v>
      </c>
      <c r="H19" s="148">
        <f>+GETPIVOTDATA("Sum of New-Total Undg SCH FTE",'FTE Pivot for regular counts'!$A$2,"State","MD","Category",4,"Category2","Four-Year")</f>
        <v>17962.566666666666</v>
      </c>
      <c r="I19" s="160">
        <f>+GETPIVOTDATA("Sum of New-HS % of Total",'Pivot-HS Student % of Undergrad'!$A$3,"State","MD","Category",4,"Category2","Four-Year")</f>
        <v>0</v>
      </c>
      <c r="J19" s="148">
        <f>+GETPIVOTDATA("Sum of New-Total Undg SCH FTE",'FTE Pivot for regular counts'!$A$2,"State","MD","Category",5,"Category2","Four-Year")</f>
        <v>1872.7</v>
      </c>
      <c r="K19" s="160">
        <f>+GETPIVOTDATA("Sum of New-HS % of Total",'Pivot-HS Student % of Undergrad'!$A$3,"State","MD","Category",5,"Category2","Four-Year")</f>
        <v>0</v>
      </c>
      <c r="L19" s="148">
        <f>+GETPIVOTDATA("Sum of New-Total Undg SCH FTE",'FTE Pivot for regular counts'!$A$2,"State","MD","Category",6,"Category2","Four-Year")</f>
        <v>1547.05</v>
      </c>
      <c r="M19" s="160">
        <f>+GETPIVOTDATA("Sum of New-HS % of Total",'Pivot-HS Student % of Undergrad'!$A$3,"State","MD","Category",6,"Category2","Four-Year")</f>
        <v>0</v>
      </c>
      <c r="N19" s="148">
        <f>+GETPIVOTDATA("Sum of New-Total Undg SCH FTE",'FTE Pivot for regular counts'!$A$2,"State","MD","Category2","Four-Year")</f>
        <v>86710.799999999988</v>
      </c>
      <c r="O19" s="160">
        <f>+GETPIVOTDATA("Sum of New-HS % of Total",'Pivot-HS Student % of Undergrad'!$A$3,"State","MD","Category2","Group1")</f>
        <v>0</v>
      </c>
      <c r="Q19" s="1" t="s">
        <v>710</v>
      </c>
      <c r="R19" s="161">
        <f>+GETPIVOTDATA("Sum of Old-HS % of Total",'Pivot-HS Student % of Undergrad'!$A$3,"State","MD","Category",1,"Category2","Four-Year")</f>
        <v>0</v>
      </c>
      <c r="S19" s="162">
        <f>(C19-R19)*100</f>
        <v>0</v>
      </c>
      <c r="T19" s="151">
        <f>+GETPIVOTDATA("Sum of Old-HS % of Total",'Pivot-HS Student % of Undergrad'!$A$3,"State","MD","Category",2,"Category2","Four-Year")</f>
        <v>0</v>
      </c>
      <c r="U19" s="162">
        <f t="shared" si="0"/>
        <v>0</v>
      </c>
      <c r="V19" s="151">
        <f>+GETPIVOTDATA("Sum of Old-HS % of Total",'Pivot-HS Student % of Undergrad'!$A$3,"State","MD","Category",3,"Category2","Four-Year")</f>
        <v>0</v>
      </c>
      <c r="W19" s="162">
        <f t="shared" si="1"/>
        <v>0</v>
      </c>
      <c r="X19" s="151">
        <f>+GETPIVOTDATA("Sum of Old-HS % of Total",'Pivot-HS Student % of Undergrad'!$A$3,"State","MD","Category",4,"Category2","Four-Year")</f>
        <v>0</v>
      </c>
      <c r="Y19" s="162">
        <f t="shared" si="2"/>
        <v>0</v>
      </c>
      <c r="Z19" s="151">
        <f>+GETPIVOTDATA("Sum of Old-HS % of Total",'Pivot-HS Student % of Undergrad'!$A$3,"State","MD","Category",5,"Category2","Four-Year")</f>
        <v>0</v>
      </c>
      <c r="AA19" s="162">
        <f t="shared" si="3"/>
        <v>0</v>
      </c>
      <c r="AB19" s="151">
        <f>+GETPIVOTDATA("Sum of Old-HS % of Total",'Pivot-HS Student % of Undergrad'!$A$3,"State","MD","Category",6,"Category2","Four-Year")</f>
        <v>0</v>
      </c>
      <c r="AC19" s="162">
        <f t="shared" si="4"/>
        <v>0</v>
      </c>
      <c r="AD19" s="151">
        <f>+GETPIVOTDATA("Sum of Old-HS % of Total",'Pivot-HS Student % of Undergrad'!$A$3,"State","MD","Category2","Four-Year")</f>
        <v>0</v>
      </c>
      <c r="AE19" s="162">
        <f t="shared" si="5"/>
        <v>0</v>
      </c>
      <c r="AF19" s="1" t="s">
        <v>710</v>
      </c>
      <c r="AH19" s="152" t="s">
        <v>710</v>
      </c>
      <c r="AI19" s="163">
        <f t="shared" si="6"/>
        <v>0</v>
      </c>
      <c r="AJ19" s="163">
        <f t="shared" si="7"/>
        <v>0</v>
      </c>
      <c r="AK19" s="163">
        <f t="shared" si="8"/>
        <v>0</v>
      </c>
      <c r="AL19" s="163">
        <f t="shared" si="9"/>
        <v>0</v>
      </c>
      <c r="AM19" s="163">
        <f t="shared" si="10"/>
        <v>0</v>
      </c>
      <c r="AN19" s="163">
        <f t="shared" si="11"/>
        <v>0</v>
      </c>
      <c r="AO19" s="163">
        <f t="shared" si="12"/>
        <v>0</v>
      </c>
      <c r="AQ19" s="152" t="s">
        <v>710</v>
      </c>
      <c r="AR19" s="163">
        <f t="shared" si="13"/>
        <v>0</v>
      </c>
      <c r="AS19" s="163">
        <f t="shared" si="14"/>
        <v>0</v>
      </c>
      <c r="AT19" s="163">
        <f t="shared" si="15"/>
        <v>0</v>
      </c>
      <c r="AU19" s="163">
        <f t="shared" si="16"/>
        <v>0</v>
      </c>
      <c r="AV19" s="163">
        <f t="shared" si="17"/>
        <v>0</v>
      </c>
      <c r="AW19" s="163">
        <f t="shared" si="18"/>
        <v>0</v>
      </c>
      <c r="AX19" s="163">
        <f t="shared" si="19"/>
        <v>0</v>
      </c>
    </row>
    <row r="20" spans="1:50" ht="15" customHeight="1">
      <c r="B20" s="159"/>
      <c r="C20" s="160"/>
      <c r="D20" s="148"/>
      <c r="E20" s="160"/>
      <c r="F20" s="148"/>
      <c r="G20" s="160"/>
      <c r="H20" s="148"/>
      <c r="I20" s="160"/>
      <c r="J20" s="148"/>
      <c r="K20" s="160"/>
      <c r="L20" s="148"/>
      <c r="M20" s="160"/>
      <c r="N20" s="148"/>
      <c r="O20" s="160"/>
      <c r="R20" s="161"/>
      <c r="S20" s="162"/>
      <c r="T20" s="151"/>
      <c r="U20" s="162"/>
      <c r="V20" s="151"/>
      <c r="W20" s="162"/>
      <c r="X20" s="151"/>
      <c r="Y20" s="162"/>
      <c r="Z20" s="151"/>
      <c r="AA20" s="162"/>
      <c r="AB20" s="151"/>
      <c r="AC20" s="162"/>
      <c r="AD20" s="151"/>
      <c r="AE20" s="162"/>
      <c r="AH20" s="152"/>
      <c r="AI20" s="163">
        <f t="shared" si="6"/>
        <v>0</v>
      </c>
      <c r="AJ20" s="163">
        <f t="shared" si="7"/>
        <v>0</v>
      </c>
      <c r="AK20" s="163">
        <f t="shared" si="8"/>
        <v>0</v>
      </c>
      <c r="AL20" s="163">
        <f t="shared" si="9"/>
        <v>0</v>
      </c>
      <c r="AM20" s="163">
        <f t="shared" si="10"/>
        <v>0</v>
      </c>
      <c r="AN20" s="163">
        <f t="shared" si="11"/>
        <v>0</v>
      </c>
      <c r="AO20" s="163">
        <f t="shared" si="12"/>
        <v>0</v>
      </c>
      <c r="AQ20" s="152"/>
      <c r="AR20" s="163">
        <f t="shared" si="13"/>
        <v>0</v>
      </c>
      <c r="AS20" s="163">
        <f t="shared" si="14"/>
        <v>0</v>
      </c>
      <c r="AT20" s="163">
        <f t="shared" si="15"/>
        <v>0</v>
      </c>
      <c r="AU20" s="163">
        <f t="shared" si="16"/>
        <v>0</v>
      </c>
      <c r="AV20" s="163">
        <f t="shared" si="17"/>
        <v>0</v>
      </c>
      <c r="AW20" s="163">
        <f t="shared" si="18"/>
        <v>0</v>
      </c>
      <c r="AX20" s="163">
        <f t="shared" si="19"/>
        <v>0</v>
      </c>
    </row>
    <row r="21" spans="1:50" ht="15" customHeight="1">
      <c r="A21" s="1" t="s">
        <v>711</v>
      </c>
      <c r="B21" s="159">
        <f>+GETPIVOTDATA("Sum of New-Total Undg SCH FTE",'FTE Pivot for regular counts'!$A$2,"State","MS","Category",1,"Category2","Four-Year")</f>
        <v>46052.733333333337</v>
      </c>
      <c r="C21" s="160">
        <f>+GETPIVOTDATA("Sum of New-HS % of Total",'Pivot-HS Student % of Undergrad'!$A$3,"State","MS","Category",1,"Category2","Four-Year")</f>
        <v>0</v>
      </c>
      <c r="D21" s="148">
        <f>+GETPIVOTDATA("Sum of New-Total Undg SCH FTE",'FTE Pivot for regular counts'!$A$2,"State","MS","Category",2,"Category2","Four-Year")</f>
        <v>4409.6166666666668</v>
      </c>
      <c r="E21" s="160">
        <f>+GETPIVOTDATA("Sum of New-HS % of Total",'Pivot-HS Student % of Undergrad'!$A$3,"State","MS","Category",2,"Category2","Four-Year")</f>
        <v>0</v>
      </c>
      <c r="F21" s="148">
        <f>+GETPIVOTDATA("Sum of New-Total Undg SCH FTE",'FTE Pivot for regular counts'!$A$2,"State","MS","Category",3,"Category2","Four-Year")</f>
        <v>0</v>
      </c>
      <c r="G21" s="160">
        <f>+GETPIVOTDATA("Sum of New-HS % of Total",'Pivot-HS Student % of Undergrad'!$A$3,"State","MS","Category",3,"Category2","Four-Year")</f>
        <v>0</v>
      </c>
      <c r="H21" s="148">
        <f>+GETPIVOTDATA("Sum of New-Total Undg SCH FTE",'FTE Pivot for regular counts'!$A$2,"State","MS","Category",4,"Category2","Four-Year")</f>
        <v>8769.2000000000007</v>
      </c>
      <c r="I21" s="160">
        <f>+GETPIVOTDATA("Sum of New-HS % of Total",'Pivot-HS Student % of Undergrad'!$A$3,"State","MS","Category",4,"Category2","Four-Year")</f>
        <v>0</v>
      </c>
      <c r="J21" s="148">
        <f>+GETPIVOTDATA("Sum of New-Total Undg SCH FTE",'FTE Pivot for regular counts'!$A$2,"State","MS","Category",5,"Category2","Four-Year")</f>
        <v>0</v>
      </c>
      <c r="K21" s="160">
        <f>+GETPIVOTDATA("Sum of New-HS % of Total",'Pivot-HS Student % of Undergrad'!$A$3,"State","MS","Category",5,"Category2","Four-Year")</f>
        <v>0</v>
      </c>
      <c r="L21" s="148">
        <f>+GETPIVOTDATA("Sum of New-Total Undg SCH FTE",'FTE Pivot for regular counts'!$A$2,"State","MS","Category",6,"Category2","Four-Year")</f>
        <v>0</v>
      </c>
      <c r="M21" s="160">
        <f>+GETPIVOTDATA("Sum of New-HS % of Total",'Pivot-HS Student % of Undergrad'!$A$3,"State","MS","Category",6,"Category2","Four-Year")</f>
        <v>0</v>
      </c>
      <c r="N21" s="148">
        <f>+GETPIVOTDATA("Sum of New-Total Undg SCH FTE",'FTE Pivot for regular counts'!$A$2,"State","MS","Category2","Four-Year")</f>
        <v>59231.55</v>
      </c>
      <c r="O21" s="160">
        <f>+GETPIVOTDATA("Sum of New-HS % of Total",'Pivot-HS Student % of Undergrad'!$A$3,"State","MS","Category2","Group1")</f>
        <v>0</v>
      </c>
      <c r="Q21" s="1" t="s">
        <v>711</v>
      </c>
      <c r="R21" s="161">
        <f>+GETPIVOTDATA("Sum of Old-HS % of Total",'Pivot-HS Student % of Undergrad'!$A$3,"State","MS","Category",1,"Category2","Four-Year")</f>
        <v>0</v>
      </c>
      <c r="S21" s="162">
        <f>(C21-R21)*100</f>
        <v>0</v>
      </c>
      <c r="T21" s="151">
        <f>+GETPIVOTDATA("Sum of Old-HS % of Total",'Pivot-HS Student % of Undergrad'!$A$3,"State","MS","Category",2,"Category2","Four-Year")</f>
        <v>0</v>
      </c>
      <c r="U21" s="162">
        <f t="shared" si="0"/>
        <v>0</v>
      </c>
      <c r="V21" s="151">
        <f>+GETPIVOTDATA("Sum of Old-HS % of Total",'Pivot-HS Student % of Undergrad'!$A$3,"State","MS","Category",3,"Category2","Four-Year")</f>
        <v>0</v>
      </c>
      <c r="W21" s="162">
        <f t="shared" si="1"/>
        <v>0</v>
      </c>
      <c r="X21" s="151">
        <f>+GETPIVOTDATA("Sum of Old-HS % of Total",'Pivot-HS Student % of Undergrad'!$A$3,"State","MS","Category",4,"Category2","Four-Year")</f>
        <v>0</v>
      </c>
      <c r="Y21" s="162">
        <f t="shared" si="2"/>
        <v>0</v>
      </c>
      <c r="Z21" s="151">
        <f>+GETPIVOTDATA("Sum of Old-HS % of Total",'Pivot-HS Student % of Undergrad'!$A$3,"State","MS","Category",5,"Category2","Four-Year")</f>
        <v>0</v>
      </c>
      <c r="AA21" s="162">
        <f t="shared" si="3"/>
        <v>0</v>
      </c>
      <c r="AB21" s="151">
        <f>+GETPIVOTDATA("Sum of Old-HS % of Total",'Pivot-HS Student % of Undergrad'!$A$3,"State","MS","Category",6,"Category2","Four-Year")</f>
        <v>0</v>
      </c>
      <c r="AC21" s="162">
        <f t="shared" si="4"/>
        <v>0</v>
      </c>
      <c r="AD21" s="151">
        <f>+GETPIVOTDATA("Sum of Old-HS % of Total",'Pivot-HS Student % of Undergrad'!$A$3,"State","MS","Category2","Four-Year")</f>
        <v>0</v>
      </c>
      <c r="AE21" s="162">
        <f t="shared" si="5"/>
        <v>0</v>
      </c>
      <c r="AF21" s="1" t="s">
        <v>711</v>
      </c>
      <c r="AH21" s="152" t="s">
        <v>711</v>
      </c>
      <c r="AI21" s="163">
        <f t="shared" si="6"/>
        <v>0</v>
      </c>
      <c r="AJ21" s="163">
        <f t="shared" si="7"/>
        <v>0</v>
      </c>
      <c r="AK21" s="163">
        <f t="shared" si="8"/>
        <v>0</v>
      </c>
      <c r="AL21" s="163">
        <f t="shared" si="9"/>
        <v>0</v>
      </c>
      <c r="AM21" s="163">
        <f t="shared" si="10"/>
        <v>0</v>
      </c>
      <c r="AN21" s="163">
        <f t="shared" si="11"/>
        <v>0</v>
      </c>
      <c r="AO21" s="163">
        <f t="shared" si="12"/>
        <v>0</v>
      </c>
      <c r="AQ21" s="152" t="s">
        <v>711</v>
      </c>
      <c r="AR21" s="163">
        <f t="shared" si="13"/>
        <v>0</v>
      </c>
      <c r="AS21" s="163">
        <f t="shared" si="14"/>
        <v>0</v>
      </c>
      <c r="AT21" s="163">
        <f t="shared" si="15"/>
        <v>0</v>
      </c>
      <c r="AU21" s="163">
        <f t="shared" si="16"/>
        <v>0</v>
      </c>
      <c r="AV21" s="163">
        <f t="shared" si="17"/>
        <v>0</v>
      </c>
      <c r="AW21" s="163">
        <f t="shared" si="18"/>
        <v>0</v>
      </c>
      <c r="AX21" s="163">
        <f t="shared" si="19"/>
        <v>0</v>
      </c>
    </row>
    <row r="22" spans="1:50" ht="15" customHeight="1">
      <c r="A22" s="1" t="s">
        <v>712</v>
      </c>
      <c r="B22" s="159">
        <f>+GETPIVOTDATA("Sum of New-Total Undg SCH FTE",'FTE Pivot for regular counts'!$A$2,"State","NC","Category",1,"Category2","Four-Year")</f>
        <v>81820.166666666657</v>
      </c>
      <c r="C22" s="160">
        <f>+GETPIVOTDATA("Sum of New-HS % of Total",'Pivot-HS Student % of Undergrad'!$A$3,"State","NC","Category",1,"Category2","Four-Year")</f>
        <v>3.634393313791832E-3</v>
      </c>
      <c r="D22" s="148">
        <f>+GETPIVOTDATA("Sum of New-Total Undg SCH FTE",'FTE Pivot for regular counts'!$A$2,"State","NC","Category",2,"Category2","Four-Year")</f>
        <v>21106.400000000001</v>
      </c>
      <c r="E22" s="160">
        <f>+GETPIVOTDATA("Sum of New-HS % of Total",'Pivot-HS Student % of Undergrad'!$A$3,"State","NC","Category",2,"Category2","Four-Year")</f>
        <v>1.2034264488496381E-3</v>
      </c>
      <c r="F22" s="148">
        <f>+GETPIVOTDATA("Sum of New-Total Undg SCH FTE",'FTE Pivot for regular counts'!$A$2,"State","NC","Category",3,"Category2","Four-Year")</f>
        <v>57784.933333333334</v>
      </c>
      <c r="G22" s="160">
        <f>+GETPIVOTDATA("Sum of New-HS % of Total",'Pivot-HS Student % of Undergrad'!$A$3,"State","NC","Category",3,"Category2","Four-Year")</f>
        <v>6.7791604270548032E-3</v>
      </c>
      <c r="H22" s="148">
        <f>+GETPIVOTDATA("Sum of New-Total Undg SCH FTE",'FTE Pivot for regular counts'!$A$2,"State","NC","Category",4,"Category2","Four-Year")</f>
        <v>5002.4333333333334</v>
      </c>
      <c r="I22" s="160">
        <f>+GETPIVOTDATA("Sum of New-HS % of Total",'Pivot-HS Student % of Undergrad'!$A$3,"State","NC","Category",4,"Category2","Four-Year")</f>
        <v>5.2347857376076973E-2</v>
      </c>
      <c r="J22" s="148">
        <f>+GETPIVOTDATA("Sum of New-Total Undg SCH FTE",'FTE Pivot for regular counts'!$A$2,"State","NC","Category",5,"Category2","Four-Year")</f>
        <v>10261.200000000001</v>
      </c>
      <c r="K22" s="160">
        <f>+GETPIVOTDATA("Sum of New-HS % of Total",'Pivot-HS Student % of Undergrad'!$A$3,"State","NC","Category",5,"Category2","Four-Year")</f>
        <v>0</v>
      </c>
      <c r="L22" s="148">
        <f>+GETPIVOTDATA("Sum of New-Total Undg SCH FTE",'FTE Pivot for regular counts'!$A$2,"State","NC","Category",6,"Category2","Four-Year")</f>
        <v>4893.6666666666661</v>
      </c>
      <c r="M22" s="160">
        <f>+GETPIVOTDATA("Sum of New-HS % of Total",'Pivot-HS Student % of Undergrad'!$A$3,"State","NC","Category",6,"Category2","Four-Year")</f>
        <v>6.1303725904229961E-5</v>
      </c>
      <c r="N22" s="148">
        <f>+GETPIVOTDATA("Sum of New-Total Undg SCH FTE",'FTE Pivot for regular counts'!$A$2,"State","NC","Category2","Four-Year")</f>
        <v>180868.8</v>
      </c>
      <c r="O22" s="160">
        <f>+GETPIVOTDATA("Sum of New-HS % of Total",'Pivot-HS Student % of Undergrad'!$A$3,"State","NC","Category2","Group1")</f>
        <v>5.3998625891622364E-3</v>
      </c>
      <c r="Q22" s="1" t="s">
        <v>712</v>
      </c>
      <c r="R22" s="161">
        <f>+GETPIVOTDATA("Sum of Old-HS % of Total",'Pivot-HS Student % of Undergrad'!$A$3,"State","NC","Category",1,"Category2","Four-Year")</f>
        <v>3.4108056539645035E-3</v>
      </c>
      <c r="S22" s="162">
        <f>(C22-R22)*100</f>
        <v>2.2358765982732856E-2</v>
      </c>
      <c r="T22" s="151">
        <f>+GETPIVOTDATA("Sum of Old-HS % of Total",'Pivot-HS Student % of Undergrad'!$A$3,"State","NC","Category",2,"Category2","Four-Year")</f>
        <v>4.7096104122936426E-4</v>
      </c>
      <c r="U22" s="162">
        <f t="shared" si="0"/>
        <v>7.3246540762027371E-2</v>
      </c>
      <c r="V22" s="151">
        <f>+GETPIVOTDATA("Sum of Old-HS % of Total",'Pivot-HS Student % of Undergrad'!$A$3,"State","NC","Category",3,"Category2","Four-Year")</f>
        <v>5.5730992021567269E-3</v>
      </c>
      <c r="W22" s="162">
        <f t="shared" si="1"/>
        <v>0.12060612248980764</v>
      </c>
      <c r="X22" s="151">
        <f>+GETPIVOTDATA("Sum of Old-HS % of Total",'Pivot-HS Student % of Undergrad'!$A$3,"State","NC","Category",4,"Category2","Four-Year")</f>
        <v>5.2359857442627319E-2</v>
      </c>
      <c r="Y22" s="162">
        <f t="shared" si="2"/>
        <v>-1.2000066550346689E-3</v>
      </c>
      <c r="Z22" s="151">
        <f>+GETPIVOTDATA("Sum of Old-HS % of Total",'Pivot-HS Student % of Undergrad'!$A$3,"State","NC","Category",5,"Category2","Four-Year")</f>
        <v>0</v>
      </c>
      <c r="AA22" s="162">
        <f t="shared" si="3"/>
        <v>0</v>
      </c>
      <c r="AB22" s="151">
        <f>+GETPIVOTDATA("Sum of Old-HS % of Total",'Pivot-HS Student % of Undergrad'!$A$3,"State","NC","Category",6,"Category2","Four-Year")</f>
        <v>0</v>
      </c>
      <c r="AC22" s="162">
        <f t="shared" si="4"/>
        <v>6.1303725904229963E-3</v>
      </c>
      <c r="AD22" s="151">
        <f>+GETPIVOTDATA("Sum of Old-HS % of Total",'Pivot-HS Student % of Undergrad'!$A$3,"State","NC","Category2","Four-Year")</f>
        <v>4.8333412893358024E-3</v>
      </c>
      <c r="AE22" s="162">
        <f t="shared" si="5"/>
        <v>5.6652129982643407E-2</v>
      </c>
      <c r="AF22" s="1" t="s">
        <v>712</v>
      </c>
      <c r="AH22" s="152" t="s">
        <v>712</v>
      </c>
      <c r="AI22" s="163">
        <f t="shared" si="6"/>
        <v>0.36343933137918322</v>
      </c>
      <c r="AJ22" s="163">
        <f t="shared" si="7"/>
        <v>0.12034264488496381</v>
      </c>
      <c r="AK22" s="163">
        <f t="shared" si="8"/>
        <v>0.67791604270548034</v>
      </c>
      <c r="AL22" s="163">
        <f t="shared" si="9"/>
        <v>5.2347857376076972</v>
      </c>
      <c r="AM22" s="163">
        <f t="shared" si="10"/>
        <v>0</v>
      </c>
      <c r="AN22" s="163">
        <f t="shared" si="11"/>
        <v>6.1303725904229963E-3</v>
      </c>
      <c r="AO22" s="163">
        <f t="shared" si="12"/>
        <v>0.53998625891622365</v>
      </c>
      <c r="AQ22" s="152" t="s">
        <v>712</v>
      </c>
      <c r="AR22" s="163">
        <f t="shared" si="13"/>
        <v>0.34108056539645037</v>
      </c>
      <c r="AS22" s="163">
        <f t="shared" si="14"/>
        <v>4.7096104122936425E-2</v>
      </c>
      <c r="AT22" s="163">
        <f t="shared" si="15"/>
        <v>0.55730992021567272</v>
      </c>
      <c r="AU22" s="163">
        <f t="shared" si="16"/>
        <v>5.2359857442627318</v>
      </c>
      <c r="AV22" s="163">
        <f t="shared" si="17"/>
        <v>0</v>
      </c>
      <c r="AW22" s="163">
        <f t="shared" si="18"/>
        <v>0</v>
      </c>
      <c r="AX22" s="163">
        <f t="shared" si="19"/>
        <v>0.48333412893358024</v>
      </c>
    </row>
    <row r="23" spans="1:50" ht="15" customHeight="1">
      <c r="A23" s="1" t="s">
        <v>713</v>
      </c>
      <c r="B23" s="159">
        <f>+GETPIVOTDATA("Sum of New-Total Undg SCH FTE",'FTE Pivot for regular counts'!$A$2,"State","OK","Category",1,"Category2","Four-Year")</f>
        <v>0</v>
      </c>
      <c r="C23" s="160">
        <f>+GETPIVOTDATA("Sum of New-HS % of Total",'Pivot-HS Student % of Undergrad'!$A$3,"State","OK","Category",1,"Category2","Four-Year")</f>
        <v>0</v>
      </c>
      <c r="D23" s="148">
        <f>+GETPIVOTDATA("Sum of New-Total Undg SCH FTE",'FTE Pivot for regular counts'!$A$2,"State","OK","Category",2,"Category2","Four-Year")</f>
        <v>0</v>
      </c>
      <c r="E23" s="160">
        <f>+GETPIVOTDATA("Sum of New-HS % of Total",'Pivot-HS Student % of Undergrad'!$A$3,"State","OK","Category",2,"Category2","Four-Year")</f>
        <v>0</v>
      </c>
      <c r="F23" s="148">
        <f>+GETPIVOTDATA("Sum of New-Total Undg SCH FTE",'FTE Pivot for regular counts'!$A$2,"State","OK","Category",3,"Category2","Four-Year")</f>
        <v>0</v>
      </c>
      <c r="G23" s="160">
        <f>+GETPIVOTDATA("Sum of New-HS % of Total",'Pivot-HS Student % of Undergrad'!$A$3,"State","OK","Category",3,"Category2","Four-Year")</f>
        <v>0</v>
      </c>
      <c r="H23" s="148">
        <f>+GETPIVOTDATA("Sum of New-Total Undg SCH FTE",'FTE Pivot for regular counts'!$A$2,"State","OK","Category",4,"Category2","Four-Year")</f>
        <v>0</v>
      </c>
      <c r="I23" s="160">
        <f>+GETPIVOTDATA("Sum of New-HS % of Total",'Pivot-HS Student % of Undergrad'!$A$3,"State","OK","Category",4,"Category2","Four-Year")</f>
        <v>0</v>
      </c>
      <c r="J23" s="148">
        <f>+GETPIVOTDATA("Sum of New-Total Undg SCH FTE",'FTE Pivot for regular counts'!$A$2,"State","OK","Category",5,"Category2","Four-Year")</f>
        <v>0</v>
      </c>
      <c r="K23" s="160">
        <f>+GETPIVOTDATA("Sum of New-HS % of Total",'Pivot-HS Student % of Undergrad'!$A$3,"State","OK","Category",5,"Category2","Four-Year")</f>
        <v>0</v>
      </c>
      <c r="L23" s="148">
        <f>+GETPIVOTDATA("Sum of New-Total Undg SCH FTE",'FTE Pivot for regular counts'!$A$2,"State","OK","Category",6,"Category2","Four-Year")</f>
        <v>0</v>
      </c>
      <c r="M23" s="160">
        <f>+GETPIVOTDATA("Sum of New-HS % of Total",'Pivot-HS Student % of Undergrad'!$A$3,"State","OK","Category",6,"Category2","Four-Year")</f>
        <v>0</v>
      </c>
      <c r="N23" s="148">
        <f>+GETPIVOTDATA("Sum of New-Total Undg SCH FTE",'FTE Pivot for regular counts'!$A$2,"State","OK","Category2","Four-Year")</f>
        <v>0</v>
      </c>
      <c r="O23" s="160">
        <f>+GETPIVOTDATA("Sum of New-HS % of Total",'Pivot-HS Student % of Undergrad'!$A$3,"State","OK","Category2","Group1")</f>
        <v>0</v>
      </c>
      <c r="Q23" s="1" t="s">
        <v>713</v>
      </c>
      <c r="R23" s="161">
        <f>+GETPIVOTDATA("Sum of Old-HS % of Total",'Pivot-HS Student % of Undergrad'!$A$3,"State","OK","Category",1,"Category2","Four-Year")</f>
        <v>0</v>
      </c>
      <c r="S23" s="162">
        <f>(C23-R23)*100</f>
        <v>0</v>
      </c>
      <c r="T23" s="151">
        <f>+GETPIVOTDATA("Sum of Old-HS % of Total",'Pivot-HS Student % of Undergrad'!$A$3,"State","OK","Category",2,"Category2","Four-Year")</f>
        <v>0</v>
      </c>
      <c r="U23" s="162">
        <f t="shared" si="0"/>
        <v>0</v>
      </c>
      <c r="V23" s="151">
        <f>+GETPIVOTDATA("Sum of Old-HS % of Total",'Pivot-HS Student % of Undergrad'!$A$3,"State","OK","Category",3,"Category2","Four-Year")</f>
        <v>0</v>
      </c>
      <c r="W23" s="162">
        <f t="shared" si="1"/>
        <v>0</v>
      </c>
      <c r="X23" s="151">
        <f>+GETPIVOTDATA("Sum of Old-HS % of Total",'Pivot-HS Student % of Undergrad'!$A$3,"State","OK","Category",4,"Category2","Four-Year")</f>
        <v>0</v>
      </c>
      <c r="Y23" s="162">
        <f t="shared" si="2"/>
        <v>0</v>
      </c>
      <c r="Z23" s="151">
        <f>+GETPIVOTDATA("Sum of Old-HS % of Total",'Pivot-HS Student % of Undergrad'!$A$3,"State","OK","Category",5,"Category2","Four-Year")</f>
        <v>0</v>
      </c>
      <c r="AA23" s="162">
        <f t="shared" si="3"/>
        <v>0</v>
      </c>
      <c r="AB23" s="151">
        <f>+GETPIVOTDATA("Sum of Old-HS % of Total",'Pivot-HS Student % of Undergrad'!$A$3,"State","OK","Category",6,"Category2","Four-Year")</f>
        <v>0</v>
      </c>
      <c r="AC23" s="162">
        <f t="shared" si="4"/>
        <v>0</v>
      </c>
      <c r="AD23" s="151">
        <f>+GETPIVOTDATA("Sum of Old-HS % of Total",'Pivot-HS Student % of Undergrad'!$A$3,"State","OK","Category2","Four-Year")</f>
        <v>0</v>
      </c>
      <c r="AE23" s="162">
        <f t="shared" si="5"/>
        <v>0</v>
      </c>
      <c r="AF23" s="1" t="s">
        <v>713</v>
      </c>
      <c r="AH23" s="152" t="s">
        <v>713</v>
      </c>
      <c r="AI23" s="163">
        <f t="shared" si="6"/>
        <v>0</v>
      </c>
      <c r="AJ23" s="163">
        <f t="shared" si="7"/>
        <v>0</v>
      </c>
      <c r="AK23" s="163">
        <f t="shared" si="8"/>
        <v>0</v>
      </c>
      <c r="AL23" s="163">
        <f t="shared" si="9"/>
        <v>0</v>
      </c>
      <c r="AM23" s="163">
        <f t="shared" si="10"/>
        <v>0</v>
      </c>
      <c r="AN23" s="163">
        <f t="shared" si="11"/>
        <v>0</v>
      </c>
      <c r="AO23" s="163">
        <f t="shared" si="12"/>
        <v>0</v>
      </c>
      <c r="AQ23" s="152" t="s">
        <v>713</v>
      </c>
      <c r="AR23" s="163">
        <f t="shared" si="13"/>
        <v>0</v>
      </c>
      <c r="AS23" s="163">
        <f t="shared" si="14"/>
        <v>0</v>
      </c>
      <c r="AT23" s="163">
        <f t="shared" si="15"/>
        <v>0</v>
      </c>
      <c r="AU23" s="163">
        <f t="shared" si="16"/>
        <v>0</v>
      </c>
      <c r="AV23" s="163">
        <f t="shared" si="17"/>
        <v>0</v>
      </c>
      <c r="AW23" s="163">
        <f t="shared" si="18"/>
        <v>0</v>
      </c>
      <c r="AX23" s="163">
        <f t="shared" si="19"/>
        <v>0</v>
      </c>
    </row>
    <row r="24" spans="1:50" ht="15" customHeight="1">
      <c r="A24" s="1" t="s">
        <v>714</v>
      </c>
      <c r="B24" s="159">
        <f>+GETPIVOTDATA("Sum of New-Total Undg SCH FTE",'FTE Pivot for regular counts'!$A$2,"State","SC","Category",1,"Category2","Four-Year")</f>
        <v>48886.433333333334</v>
      </c>
      <c r="C24" s="165">
        <f>+GETPIVOTDATA("Sum of New-HS % of Total",'Pivot-HS Student % of Undergrad'!$A$3,"State","SC","Category",1,"Category2","Four-Year")</f>
        <v>1.5273494418696938E-4</v>
      </c>
      <c r="D24" s="148">
        <f>+GETPIVOTDATA("Sum of New-Total Undg SCH FTE",'FTE Pivot for regular counts'!$A$2,"State","SC","Category",2,"Category2","Four-Year")</f>
        <v>0</v>
      </c>
      <c r="E24" s="160">
        <f>+GETPIVOTDATA("Sum of New-HS % of Total",'Pivot-HS Student % of Undergrad'!$A$3,"State","SC","Category",2,"Category2","Four-Year")</f>
        <v>0</v>
      </c>
      <c r="F24" s="148">
        <f>+GETPIVOTDATA("Sum of New-Total Undg SCH FTE",'FTE Pivot for regular counts'!$A$2,"State","SC","Category",3,"Category2","Four-Year")</f>
        <v>17030.05</v>
      </c>
      <c r="G24" s="160">
        <f>+GETPIVOTDATA("Sum of New-HS % of Total",'Pivot-HS Student % of Undergrad'!$A$3,"State","SC","Category",3,"Category2","Four-Year")</f>
        <v>3.6993432197791553E-3</v>
      </c>
      <c r="H24" s="148">
        <f>+GETPIVOTDATA("Sum of New-Total Undg SCH FTE",'FTE Pivot for regular counts'!$A$2,"State","SC","Category",4,"Category2","Four-Year")</f>
        <v>9458.6333333333332</v>
      </c>
      <c r="I24" s="160">
        <f>+GETPIVOTDATA("Sum of New-HS % of Total",'Pivot-HS Student % of Undergrad'!$A$3,"State","SC","Category",4,"Category2","Four-Year")</f>
        <v>9.0217402796034657E-3</v>
      </c>
      <c r="J24" s="148">
        <f>+GETPIVOTDATA("Sum of New-Total Undg SCH FTE",'FTE Pivot for regular counts'!$A$2,"State","SC","Category",5,"Category2","Four-Year")</f>
        <v>5016.5333333333328</v>
      </c>
      <c r="K24" s="160">
        <f>+GETPIVOTDATA("Sum of New-HS % of Total",'Pivot-HS Student % of Undergrad'!$A$3,"State","SC","Category",5,"Category2","Four-Year")</f>
        <v>3.290452902402722E-2</v>
      </c>
      <c r="L24" s="148">
        <f>+GETPIVOTDATA("Sum of New-Total Undg SCH FTE",'FTE Pivot for regular counts'!$A$2,"State","SC","Category",6,"Category2","Four-Year")</f>
        <v>12920.666666666668</v>
      </c>
      <c r="M24" s="160">
        <f>+GETPIVOTDATA("Sum of New-HS % of Total",'Pivot-HS Student % of Undergrad'!$A$3,"State","SC","Category",6,"Category2","Four-Year")</f>
        <v>2.1833238738971156E-2</v>
      </c>
      <c r="N24" s="148">
        <f>+GETPIVOTDATA("Sum of New-Total Undg SCH FTE",'FTE Pivot for regular counts'!$A$2,"State","SC","Category2","Four-Year")</f>
        <v>93312.316666666666</v>
      </c>
      <c r="O24" s="160">
        <f>+GETPIVOTDATA("Sum of New-HS % of Total",'Pivot-HS Student % of Undergrad'!$A$3,"State","SC","Category2","Group1")</f>
        <v>6.4618122044981918E-3</v>
      </c>
      <c r="Q24" s="1" t="s">
        <v>714</v>
      </c>
      <c r="R24" s="161">
        <f>+GETPIVOTDATA("Sum of Old-HS % of Total",'Pivot-HS Student % of Undergrad'!$A$3,"State","SC","Category",1,"Category2","Four-Year")</f>
        <v>1.829293410982882E-4</v>
      </c>
      <c r="S24" s="164">
        <f>(C24-R24)*100</f>
        <v>-3.0194396911318823E-3</v>
      </c>
      <c r="T24" s="151">
        <f>+GETPIVOTDATA("Sum of Old-HS % of Total",'Pivot-HS Student % of Undergrad'!$A$3,"State","SC","Category",2,"Category2","Four-Year")</f>
        <v>0</v>
      </c>
      <c r="U24" s="162">
        <f t="shared" si="0"/>
        <v>0</v>
      </c>
      <c r="V24" s="151">
        <f>+GETPIVOTDATA("Sum of Old-HS % of Total",'Pivot-HS Student % of Undergrad'!$A$3,"State","SC","Category",3,"Category2","Four-Year")</f>
        <v>4.3748292574825815E-3</v>
      </c>
      <c r="W24" s="162">
        <f t="shared" si="1"/>
        <v>-6.7548603770342622E-2</v>
      </c>
      <c r="X24" s="151">
        <f>+GETPIVOTDATA("Sum of Old-HS % of Total",'Pivot-HS Student % of Undergrad'!$A$3,"State","SC","Category",4,"Category2","Four-Year")</f>
        <v>9.1859098997588446E-3</v>
      </c>
      <c r="Y24" s="162">
        <f t="shared" si="2"/>
        <v>-1.6416962015537891E-2</v>
      </c>
      <c r="Z24" s="151">
        <f>+GETPIVOTDATA("Sum of Old-HS % of Total",'Pivot-HS Student % of Undergrad'!$A$3,"State","SC","Category",5,"Category2","Four-Year")</f>
        <v>3.6195781360673251E-2</v>
      </c>
      <c r="AA24" s="162">
        <f t="shared" si="3"/>
        <v>-0.32912523366460322</v>
      </c>
      <c r="AB24" s="151">
        <f>+GETPIVOTDATA("Sum of Old-HS % of Total",'Pivot-HS Student % of Undergrad'!$A$3,"State","SC","Category",6,"Category2","Four-Year")</f>
        <v>2.0809307874364219E-2</v>
      </c>
      <c r="AC24" s="162">
        <f t="shared" si="4"/>
        <v>0.10239308646069374</v>
      </c>
      <c r="AD24" s="151">
        <f>+GETPIVOTDATA("Sum of Old-HS % of Total",'Pivot-HS Student % of Undergrad'!$A$3,"State","SC","Category2","Four-Year")</f>
        <v>6.0120553622353429E-3</v>
      </c>
      <c r="AE24" s="162">
        <f t="shared" si="5"/>
        <v>4.4975684226284882E-2</v>
      </c>
      <c r="AF24" s="1" t="s">
        <v>714</v>
      </c>
      <c r="AH24" s="152" t="s">
        <v>714</v>
      </c>
      <c r="AI24" s="163">
        <f t="shared" si="6"/>
        <v>1.5273494418696939E-2</v>
      </c>
      <c r="AJ24" s="163">
        <f t="shared" si="7"/>
        <v>0</v>
      </c>
      <c r="AK24" s="163">
        <f t="shared" si="8"/>
        <v>0.36993432197791554</v>
      </c>
      <c r="AL24" s="163">
        <f t="shared" si="9"/>
        <v>0.90217402796034651</v>
      </c>
      <c r="AM24" s="163">
        <f t="shared" si="10"/>
        <v>3.290452902402722</v>
      </c>
      <c r="AN24" s="163">
        <f t="shared" si="11"/>
        <v>2.1833238738971157</v>
      </c>
      <c r="AO24" s="163">
        <f t="shared" si="12"/>
        <v>0.64618122044981918</v>
      </c>
      <c r="AQ24" s="152" t="s">
        <v>714</v>
      </c>
      <c r="AR24" s="163">
        <f t="shared" si="13"/>
        <v>1.829293410982882E-2</v>
      </c>
      <c r="AS24" s="163">
        <f t="shared" si="14"/>
        <v>0</v>
      </c>
      <c r="AT24" s="163">
        <f t="shared" si="15"/>
        <v>0.43748292574825814</v>
      </c>
      <c r="AU24" s="163">
        <f t="shared" si="16"/>
        <v>0.91859098997588451</v>
      </c>
      <c r="AV24" s="163">
        <f t="shared" si="17"/>
        <v>3.6195781360673251</v>
      </c>
      <c r="AW24" s="163">
        <f t="shared" si="18"/>
        <v>2.0809307874364218</v>
      </c>
      <c r="AX24" s="163">
        <f t="shared" si="19"/>
        <v>0.60120553622353434</v>
      </c>
    </row>
    <row r="25" spans="1:50" ht="15" customHeight="1">
      <c r="B25" s="159"/>
      <c r="C25" s="165"/>
      <c r="D25" s="148"/>
      <c r="E25" s="160"/>
      <c r="F25" s="148"/>
      <c r="G25" s="160"/>
      <c r="H25" s="148"/>
      <c r="I25" s="160"/>
      <c r="J25" s="148"/>
      <c r="K25" s="160"/>
      <c r="L25" s="148"/>
      <c r="M25" s="160"/>
      <c r="N25" s="148"/>
      <c r="O25" s="160"/>
      <c r="R25" s="161"/>
      <c r="S25" s="162"/>
      <c r="T25" s="151"/>
      <c r="U25" s="162"/>
      <c r="V25" s="151"/>
      <c r="W25" s="162"/>
      <c r="X25" s="151"/>
      <c r="Y25" s="162"/>
      <c r="Z25" s="151"/>
      <c r="AA25" s="162"/>
      <c r="AB25" s="151"/>
      <c r="AC25" s="162"/>
      <c r="AD25" s="151"/>
      <c r="AE25" s="162"/>
      <c r="AH25" s="152"/>
      <c r="AI25" s="163">
        <f t="shared" si="6"/>
        <v>0</v>
      </c>
      <c r="AJ25" s="163">
        <f t="shared" si="7"/>
        <v>0</v>
      </c>
      <c r="AK25" s="163">
        <f t="shared" si="8"/>
        <v>0</v>
      </c>
      <c r="AL25" s="163">
        <f t="shared" si="9"/>
        <v>0</v>
      </c>
      <c r="AM25" s="163">
        <f t="shared" si="10"/>
        <v>0</v>
      </c>
      <c r="AN25" s="163">
        <f t="shared" si="11"/>
        <v>0</v>
      </c>
      <c r="AO25" s="163">
        <f t="shared" si="12"/>
        <v>0</v>
      </c>
      <c r="AQ25" s="152"/>
      <c r="AR25" s="163">
        <f t="shared" si="13"/>
        <v>0</v>
      </c>
      <c r="AS25" s="163">
        <f t="shared" si="14"/>
        <v>0</v>
      </c>
      <c r="AT25" s="163">
        <f t="shared" si="15"/>
        <v>0</v>
      </c>
      <c r="AU25" s="163">
        <f t="shared" si="16"/>
        <v>0</v>
      </c>
      <c r="AV25" s="163">
        <f t="shared" si="17"/>
        <v>0</v>
      </c>
      <c r="AW25" s="163">
        <f t="shared" si="18"/>
        <v>0</v>
      </c>
      <c r="AX25" s="163">
        <f t="shared" si="19"/>
        <v>0</v>
      </c>
    </row>
    <row r="26" spans="1:50" ht="15" customHeight="1">
      <c r="A26" s="1" t="s">
        <v>715</v>
      </c>
      <c r="B26" s="159">
        <f>+GETPIVOTDATA("Sum of New-Total Undg SCH FTE",'FTE Pivot for regular counts'!$A$2,"State","TN","Category",1,"Category2","Four-Year")</f>
        <v>36821.983333333337</v>
      </c>
      <c r="C26" s="160">
        <f>+GETPIVOTDATA("Sum of New-HS % of Total",'Pivot-HS Student % of Undergrad'!$A$3,"State","TN","Category",1,"Category2","Four-Year")</f>
        <v>1.2947881224938545E-2</v>
      </c>
      <c r="D26" s="148">
        <f>+GETPIVOTDATA("Sum of New-Total Undg SCH FTE",'FTE Pivot for regular counts'!$A$2,"State","TN","Category",2,"Category2","Four-Year")</f>
        <v>32332.133333333331</v>
      </c>
      <c r="E26" s="160">
        <f>+GETPIVOTDATA("Sum of New-HS % of Total",'Pivot-HS Student % of Undergrad'!$A$3,"State","TN","Category",2,"Category2","Four-Year")</f>
        <v>1.5504699143473365E-2</v>
      </c>
      <c r="F26" s="148">
        <f>+GETPIVOTDATA("Sum of New-Total Undg SCH FTE",'FTE Pivot for regular counts'!$A$2,"State","TN","Category",3,"Category2","Four-Year")</f>
        <v>25724.833333333336</v>
      </c>
      <c r="G26" s="160">
        <f>+GETPIVOTDATA("Sum of New-HS % of Total",'Pivot-HS Student % of Undergrad'!$A$3,"State","TN","Category",3,"Category2","Four-Year")</f>
        <v>1.52809542011934E-2</v>
      </c>
      <c r="H26" s="148">
        <f>+GETPIVOTDATA("Sum of New-Total Undg SCH FTE",'FTE Pivot for regular counts'!$A$2,"State","TN","Category",4,"Category2","Four-Year")</f>
        <v>5384.3</v>
      </c>
      <c r="I26" s="160">
        <f>+GETPIVOTDATA("Sum of New-HS % of Total",'Pivot-HS Student % of Undergrad'!$A$3,"State","TN","Category",4,"Category2","Four-Year")</f>
        <v>5.9184418896916342E-2</v>
      </c>
      <c r="J26" s="148">
        <f>+GETPIVOTDATA("Sum of New-Total Undg SCH FTE",'FTE Pivot for regular counts'!$A$2,"State","TN","Category",5,"Category2","Four-Year")</f>
        <v>0</v>
      </c>
      <c r="K26" s="160">
        <f>+GETPIVOTDATA("Sum of New-HS % of Total",'Pivot-HS Student % of Undergrad'!$A$3,"State","TN","Category",5,"Category2","Four-Year")</f>
        <v>0</v>
      </c>
      <c r="L26" s="148">
        <f>+GETPIVOTDATA("Sum of New-Total Undg SCH FTE",'FTE Pivot for regular counts'!$A$2,"State","TN","Category",6,"Category2","Four-Year")</f>
        <v>0</v>
      </c>
      <c r="M26" s="160">
        <f>+GETPIVOTDATA("Sum of New-HS % of Total",'Pivot-HS Student % of Undergrad'!$A$3,"State","TN","Category",6,"Category2","Four-Year")</f>
        <v>0</v>
      </c>
      <c r="N26" s="148">
        <f>+GETPIVOTDATA("Sum of New-Total Undg SCH FTE",'FTE Pivot for regular counts'!$A$2,"State","TN","Category2","Four-Year")</f>
        <v>100263.25000000001</v>
      </c>
      <c r="O26" s="160">
        <f>+GETPIVOTDATA("Sum of New-HS % of Total",'Pivot-HS Student % of Undergrad'!$A$3,"State","TN","Category2","Group1")</f>
        <v>1.6853965269760688E-2</v>
      </c>
      <c r="Q26" s="1" t="s">
        <v>715</v>
      </c>
      <c r="R26" s="161">
        <f>+GETPIVOTDATA("Sum of Old-HS % of Total",'Pivot-HS Student % of Undergrad'!$A$3,"State","TN","Category",1,"Category2","Four-Year")</f>
        <v>1.1882784994366284E-2</v>
      </c>
      <c r="S26" s="162">
        <f>(C26-R26)*100</f>
        <v>0.10650962305722607</v>
      </c>
      <c r="T26" s="151">
        <f>+GETPIVOTDATA("Sum of Old-HS % of Total",'Pivot-HS Student % of Undergrad'!$A$3,"State","TN","Category",2,"Category2","Four-Year")</f>
        <v>1.553753826013014E-2</v>
      </c>
      <c r="U26" s="162">
        <f t="shared" si="0"/>
        <v>-3.2839116656774303E-3</v>
      </c>
      <c r="V26" s="151">
        <f>+GETPIVOTDATA("Sum of Old-HS % of Total",'Pivot-HS Student % of Undergrad'!$A$3,"State","TN","Category",3,"Category2","Four-Year")</f>
        <v>1.3955123443247411E-2</v>
      </c>
      <c r="W26" s="164">
        <f t="shared" si="1"/>
        <v>0.13258307579459891</v>
      </c>
      <c r="X26" s="151">
        <f>+GETPIVOTDATA("Sum of Old-HS % of Total",'Pivot-HS Student % of Undergrad'!$A$3,"State","TN","Category",4,"Category2","Four-Year")</f>
        <v>6.1506806532801793E-2</v>
      </c>
      <c r="Y26" s="162">
        <f t="shared" si="2"/>
        <v>-0.23223876358854506</v>
      </c>
      <c r="Z26" s="151">
        <f>+GETPIVOTDATA("Sum of Old-HS % of Total",'Pivot-HS Student % of Undergrad'!$A$3,"State","TN","Category",5,"Category2","Four-Year")</f>
        <v>0</v>
      </c>
      <c r="AA26" s="162">
        <f t="shared" si="3"/>
        <v>0</v>
      </c>
      <c r="AB26" s="151">
        <f>+GETPIVOTDATA("Sum of Old-HS % of Total",'Pivot-HS Student % of Undergrad'!$A$3,"State","TN","Category",6,"Category2","Four-Year")</f>
        <v>0</v>
      </c>
      <c r="AC26" s="162">
        <f t="shared" si="4"/>
        <v>0</v>
      </c>
      <c r="AD26" s="151">
        <f>+GETPIVOTDATA("Sum of Old-HS % of Total",'Pivot-HS Student % of Undergrad'!$A$3,"State","TN","Category2","Four-Year")</f>
        <v>1.6330284492030098E-2</v>
      </c>
      <c r="AE26" s="162">
        <f t="shared" si="5"/>
        <v>5.2368077773059032E-2</v>
      </c>
      <c r="AF26" s="1" t="s">
        <v>715</v>
      </c>
      <c r="AH26" s="152" t="s">
        <v>715</v>
      </c>
      <c r="AI26" s="163">
        <f t="shared" si="6"/>
        <v>1.2947881224938544</v>
      </c>
      <c r="AJ26" s="163">
        <f t="shared" si="7"/>
        <v>1.5504699143473366</v>
      </c>
      <c r="AK26" s="163">
        <f t="shared" si="8"/>
        <v>1.52809542011934</v>
      </c>
      <c r="AL26" s="163">
        <f t="shared" si="9"/>
        <v>5.9184418896916346</v>
      </c>
      <c r="AM26" s="163">
        <f t="shared" si="10"/>
        <v>0</v>
      </c>
      <c r="AN26" s="163">
        <f t="shared" si="11"/>
        <v>0</v>
      </c>
      <c r="AO26" s="163">
        <f t="shared" si="12"/>
        <v>1.6853965269760689</v>
      </c>
      <c r="AQ26" s="152" t="s">
        <v>715</v>
      </c>
      <c r="AR26" s="163">
        <f t="shared" si="13"/>
        <v>1.1882784994366284</v>
      </c>
      <c r="AS26" s="163">
        <f t="shared" si="14"/>
        <v>1.5537538260130139</v>
      </c>
      <c r="AT26" s="163">
        <f t="shared" si="15"/>
        <v>1.395512344324741</v>
      </c>
      <c r="AU26" s="163">
        <f t="shared" si="16"/>
        <v>6.1506806532801797</v>
      </c>
      <c r="AV26" s="163">
        <f t="shared" si="17"/>
        <v>0</v>
      </c>
      <c r="AW26" s="163">
        <f t="shared" si="18"/>
        <v>0</v>
      </c>
      <c r="AX26" s="163">
        <f t="shared" si="19"/>
        <v>1.6330284492030098</v>
      </c>
    </row>
    <row r="27" spans="1:50" ht="15" customHeight="1">
      <c r="A27" s="1" t="s">
        <v>716</v>
      </c>
      <c r="B27" s="159">
        <f>+GETPIVOTDATA("Sum of New-Total Undg SCH FTE",'FTE Pivot for regular counts'!$A$2,"State","TX","Category",1,"Category2","Four-Year")</f>
        <v>246060.76666666663</v>
      </c>
      <c r="C27" s="165">
        <f>+GETPIVOTDATA("Sum of New-HS % of Total",'Pivot-HS Student % of Undergrad'!$A$3,"State","TX","Category",1,"Category2","Four-Year")</f>
        <v>8.5439599405187584E-4</v>
      </c>
      <c r="D27" s="148">
        <f>+GETPIVOTDATA("Sum of New-Total Undg SCH FTE",'FTE Pivot for regular counts'!$A$2,"State","TX","Category",2,"Category2","Four-Year")</f>
        <v>54374.600000000006</v>
      </c>
      <c r="E27" s="160">
        <f>+GETPIVOTDATA("Sum of New-HS % of Total",'Pivot-HS Student % of Undergrad'!$A$3,"State","TX","Category",2,"Category2","Four-Year")</f>
        <v>7.5470286984486625E-3</v>
      </c>
      <c r="F27" s="148">
        <f>+GETPIVOTDATA("Sum of New-Total Undg SCH FTE",'FTE Pivot for regular counts'!$A$2,"State","TX","Category",3,"Category2","Four-Year")</f>
        <v>137657.20000000001</v>
      </c>
      <c r="G27" s="160">
        <f>+GETPIVOTDATA("Sum of New-HS % of Total",'Pivot-HS Student % of Undergrad'!$A$3,"State","TX","Category",3,"Category2","Four-Year")</f>
        <v>2.431111485632426E-2</v>
      </c>
      <c r="H27" s="148">
        <f>+GETPIVOTDATA("Sum of New-Total Undg SCH FTE",'FTE Pivot for regular counts'!$A$2,"State","TX","Category",4,"Category2","Four-Year")</f>
        <v>20899.633333333335</v>
      </c>
      <c r="I27" s="160">
        <f>+GETPIVOTDATA("Sum of New-HS % of Total",'Pivot-HS Student % of Undergrad'!$A$3,"State","TX","Category",4,"Category2","Four-Year")</f>
        <v>1.2504206612875186E-3</v>
      </c>
      <c r="J27" s="148">
        <f>+GETPIVOTDATA("Sum of New-Total Undg SCH FTE",'FTE Pivot for regular counts'!$A$2,"State","TX","Category",5,"Category2","Four-Year")</f>
        <v>2163.2333333333331</v>
      </c>
      <c r="K27" s="160">
        <f>+GETPIVOTDATA("Sum of New-HS % of Total",'Pivot-HS Student % of Undergrad'!$A$3,"State","TX","Category",5,"Category2","Four-Year")</f>
        <v>0</v>
      </c>
      <c r="L27" s="148">
        <f>+GETPIVOTDATA("Sum of New-Total Undg SCH FTE",'FTE Pivot for regular counts'!$A$2,"State","TX","Category",6,"Category2","Four-Year")</f>
        <v>0</v>
      </c>
      <c r="M27" s="160">
        <f>+GETPIVOTDATA("Sum of New-HS % of Total",'Pivot-HS Student % of Undergrad'!$A$3,"State","TX","Category",6,"Category2","Four-Year")</f>
        <v>0</v>
      </c>
      <c r="N27" s="148">
        <f>+GETPIVOTDATA("Sum of New-Total Undg SCH FTE",'FTE Pivot for regular counts'!$A$2,"State","TX","Category2","Four-Year")</f>
        <v>461155.43333333335</v>
      </c>
      <c r="O27" s="160">
        <f>+GETPIVOTDATA("Sum of New-HS % of Total",'Pivot-HS Student % of Undergrad'!$A$3,"State","TX","Category2","Group1")</f>
        <v>8.6594086173259147E-3</v>
      </c>
      <c r="Q27" s="1" t="s">
        <v>716</v>
      </c>
      <c r="R27" s="161">
        <f>+GETPIVOTDATA("Sum of Old-HS % of Total",'Pivot-HS Student % of Undergrad'!$A$3,"State","TX","Category",1,"Category2","Four-Year")</f>
        <v>1.0611841074161645E-3</v>
      </c>
      <c r="S27" s="164">
        <f>(C27-R27)*100</f>
        <v>-2.0678811336428862E-2</v>
      </c>
      <c r="T27" s="151">
        <f>+GETPIVOTDATA("Sum of Old-HS % of Total",'Pivot-HS Student % of Undergrad'!$A$3,"State","TX","Category",2,"Category2","Four-Year")</f>
        <v>6.6604902414933225E-3</v>
      </c>
      <c r="U27" s="162">
        <f t="shared" si="0"/>
        <v>8.8653845695534E-2</v>
      </c>
      <c r="V27" s="151">
        <f>+GETPIVOTDATA("Sum of Old-HS % of Total",'Pivot-HS Student % of Undergrad'!$A$3,"State","TX","Category",3,"Category2","Four-Year")</f>
        <v>2.3271678262345157E-2</v>
      </c>
      <c r="W27" s="162">
        <f t="shared" si="1"/>
        <v>0.10394365939791032</v>
      </c>
      <c r="X27" s="151">
        <f>+GETPIVOTDATA("Sum of Old-HS % of Total",'Pivot-HS Student % of Undergrad'!$A$3,"State","TX","Category",4,"Category2","Four-Year")</f>
        <v>2.8715694965024243E-3</v>
      </c>
      <c r="Y27" s="162">
        <f t="shared" si="2"/>
        <v>-0.16211488352149056</v>
      </c>
      <c r="Z27" s="151">
        <f>+GETPIVOTDATA("Sum of Old-HS % of Total",'Pivot-HS Student % of Undergrad'!$A$3,"State","TX","Category",5,"Category2","Four-Year")</f>
        <v>0</v>
      </c>
      <c r="AA27" s="162">
        <f t="shared" si="3"/>
        <v>0</v>
      </c>
      <c r="AB27" s="151">
        <f>+GETPIVOTDATA("Sum of Old-HS % of Total",'Pivot-HS Student % of Undergrad'!$A$3,"State","TX","Category",6,"Category2","Four-Year")</f>
        <v>0</v>
      </c>
      <c r="AC27" s="162">
        <f t="shared" si="4"/>
        <v>0</v>
      </c>
      <c r="AD27" s="151">
        <f>+GETPIVOTDATA("Sum of Old-HS % of Total",'Pivot-HS Student % of Undergrad'!$A$3,"State","TX","Category2","Four-Year")</f>
        <v>8.6239877337144222E-3</v>
      </c>
      <c r="AE27" s="162">
        <f t="shared" si="5"/>
        <v>3.5420883611492551E-3</v>
      </c>
      <c r="AF27" s="1" t="s">
        <v>716</v>
      </c>
      <c r="AH27" s="152" t="s">
        <v>716</v>
      </c>
      <c r="AI27" s="163">
        <f t="shared" si="6"/>
        <v>8.5439599405187583E-2</v>
      </c>
      <c r="AJ27" s="163">
        <f t="shared" si="7"/>
        <v>0.75470286984486623</v>
      </c>
      <c r="AK27" s="163">
        <f t="shared" si="8"/>
        <v>2.4311114856324259</v>
      </c>
      <c r="AL27" s="163">
        <f t="shared" si="9"/>
        <v>0.12504206612875185</v>
      </c>
      <c r="AM27" s="163">
        <f t="shared" si="10"/>
        <v>0</v>
      </c>
      <c r="AN27" s="163">
        <f t="shared" si="11"/>
        <v>0</v>
      </c>
      <c r="AO27" s="163">
        <f t="shared" si="12"/>
        <v>0.86594086173259144</v>
      </c>
      <c r="AQ27" s="152" t="s">
        <v>716</v>
      </c>
      <c r="AR27" s="163">
        <f t="shared" si="13"/>
        <v>0.10611841074161645</v>
      </c>
      <c r="AS27" s="163">
        <f t="shared" si="14"/>
        <v>0.6660490241493322</v>
      </c>
      <c r="AT27" s="163">
        <f t="shared" si="15"/>
        <v>2.3271678262345157</v>
      </c>
      <c r="AU27" s="163">
        <f t="shared" si="16"/>
        <v>0.28715694965024241</v>
      </c>
      <c r="AV27" s="163">
        <f t="shared" si="17"/>
        <v>0</v>
      </c>
      <c r="AW27" s="163">
        <f t="shared" si="18"/>
        <v>0</v>
      </c>
      <c r="AX27" s="163">
        <f t="shared" si="19"/>
        <v>0.86239877337144222</v>
      </c>
    </row>
    <row r="28" spans="1:50" ht="15" customHeight="1">
      <c r="A28" s="1" t="s">
        <v>717</v>
      </c>
      <c r="B28" s="159">
        <f>+GETPIVOTDATA("Sum of New-Total Undg SCH FTE",'FTE Pivot for regular counts'!$A$2,"State","VA","Category",1,"Category2","Four-Year")</f>
        <v>110592.53333333334</v>
      </c>
      <c r="C28" s="160">
        <f>+GETPIVOTDATA("Sum of New-HS % of Total",'Pivot-HS Student % of Undergrad'!$A$3,"State","VA","Category",1,"Category2","Four-Year")</f>
        <v>5.5380471737694163E-3</v>
      </c>
      <c r="D28" s="148">
        <f>+GETPIVOTDATA("Sum of New-Total Undg SCH FTE",'FTE Pivot for regular counts'!$A$2,"State","VA","Category",2,"Category2","Four-Year")</f>
        <v>6086.6766666666663</v>
      </c>
      <c r="E28" s="160">
        <f>+GETPIVOTDATA("Sum of New-HS % of Total",'Pivot-HS Student % of Undergrad'!$A$3,"State","VA","Category",2,"Category2","Four-Year")</f>
        <v>0</v>
      </c>
      <c r="F28" s="148">
        <f>+GETPIVOTDATA("Sum of New-Total Undg SCH FTE",'FTE Pivot for regular counts'!$A$2,"State","VA","Category",3,"Category2","Four-Year")</f>
        <v>30750.799999999999</v>
      </c>
      <c r="G28" s="160">
        <f>+GETPIVOTDATA("Sum of New-HS % of Total",'Pivot-HS Student % of Undergrad'!$A$3,"State","VA","Category",3,"Category2","Four-Year")</f>
        <v>3.2497799515242964E-3</v>
      </c>
      <c r="H28" s="148">
        <f>+GETPIVOTDATA("Sum of New-Total Undg SCH FTE",'FTE Pivot for regular counts'!$A$2,"State","VA","Category",4,"Category2","Four-Year")</f>
        <v>4560.0666666666666</v>
      </c>
      <c r="I28" s="165">
        <f>+GETPIVOTDATA("Sum of New-HS % of Total",'Pivot-HS Student % of Undergrad'!$A$3,"State","VA","Category",4,"Category2","Four-Year")</f>
        <v>7.7484247306325933E-4</v>
      </c>
      <c r="J28" s="148">
        <f>+GETPIVOTDATA("Sum of New-Total Undg SCH FTE",'FTE Pivot for regular counts'!$A$2,"State","VA","Category",5,"Category2","Four-Year")</f>
        <v>12135.466666666667</v>
      </c>
      <c r="K28" s="165">
        <f>+GETPIVOTDATA("Sum of New-HS % of Total",'Pivot-HS Student % of Undergrad'!$A$3,"State","VA","Category",5,"Category2","Four-Year")</f>
        <v>1.0833260086138701E-2</v>
      </c>
      <c r="L28" s="148">
        <f>+GETPIVOTDATA("Sum of New-Total Undg SCH FTE",'FTE Pivot for regular counts'!$A$2,"State","VA","Category",6,"Category2","Four-Year")</f>
        <v>1527.3666666666666</v>
      </c>
      <c r="M28" s="160">
        <f>+GETPIVOTDATA("Sum of New-HS % of Total",'Pivot-HS Student % of Undergrad'!$A$3,"State","VA","Category",6,"Category2","Four-Year")</f>
        <v>0</v>
      </c>
      <c r="N28" s="148">
        <f>+GETPIVOTDATA("Sum of New-Total Undg SCH FTE",'FTE Pivot for regular counts'!$A$2,"State","VA","Category2","Four-Year")</f>
        <v>165652.91000000003</v>
      </c>
      <c r="O28" s="160">
        <f>+GETPIVOTDATA("Sum of New-HS % of Total",'Pivot-HS Student % of Undergrad'!$A$3,"State","VA","Category2","Group1")</f>
        <v>5.1155153265946248E-3</v>
      </c>
      <c r="Q28" s="1" t="s">
        <v>717</v>
      </c>
      <c r="R28" s="161">
        <f>+GETPIVOTDATA("Sum of Old-HS % of Total",'Pivot-HS Student % of Undergrad'!$A$3,"State","VA","Category",1,"Category2","Four-Year")</f>
        <v>8.2650205640674226E-3</v>
      </c>
      <c r="S28" s="162">
        <f>(C28-R28)*100</f>
        <v>-0.27269733902980064</v>
      </c>
      <c r="T28" s="151">
        <f>+GETPIVOTDATA("Sum of Old-HS % of Total",'Pivot-HS Student % of Undergrad'!$A$3,"State","VA","Category",2,"Category2","Four-Year")</f>
        <v>0</v>
      </c>
      <c r="U28" s="162">
        <f t="shared" si="0"/>
        <v>0</v>
      </c>
      <c r="V28" s="151">
        <f>+GETPIVOTDATA("Sum of Old-HS % of Total",'Pivot-HS Student % of Undergrad'!$A$3,"State","VA","Category",3,"Category2","Four-Year")</f>
        <v>5.2807205414522797E-3</v>
      </c>
      <c r="W28" s="162">
        <f t="shared" si="1"/>
        <v>-0.20309405899279834</v>
      </c>
      <c r="X28" s="151">
        <f>+GETPIVOTDATA("Sum of Old-HS % of Total",'Pivot-HS Student % of Undergrad'!$A$3,"State","VA","Category",4,"Category2","Four-Year")</f>
        <v>8.2910296877045488E-4</v>
      </c>
      <c r="Y28" s="162">
        <f t="shared" si="2"/>
        <v>-5.4260495707195546E-3</v>
      </c>
      <c r="Z28" s="151">
        <f>+GETPIVOTDATA("Sum of Old-HS % of Total",'Pivot-HS Student % of Undergrad'!$A$3,"State","VA","Category",5,"Category2","Four-Year")</f>
        <v>1.0201995211877892E-2</v>
      </c>
      <c r="AA28" s="164">
        <f t="shared" si="3"/>
        <v>6.3126487426080902E-2</v>
      </c>
      <c r="AB28" s="151">
        <f>+GETPIVOTDATA("Sum of Old-HS % of Total",'Pivot-HS Student % of Undergrad'!$A$3,"State","VA","Category",6,"Category2","Four-Year")</f>
        <v>4.5821514291948503E-3</v>
      </c>
      <c r="AC28" s="162">
        <f t="shared" si="4"/>
        <v>-0.45821514291948501</v>
      </c>
      <c r="AD28" s="151">
        <f>+GETPIVOTDATA("Sum of Old-HS % of Total",'Pivot-HS Student % of Undergrad'!$A$3,"State","VA","Category2","Four-Year")</f>
        <v>7.2951776734089821E-3</v>
      </c>
      <c r="AE28" s="162">
        <f t="shared" si="5"/>
        <v>-0.21796623468143572</v>
      </c>
      <c r="AF28" s="1" t="s">
        <v>717</v>
      </c>
      <c r="AH28" s="152" t="s">
        <v>717</v>
      </c>
      <c r="AI28" s="163">
        <f t="shared" si="6"/>
        <v>0.55380471737694159</v>
      </c>
      <c r="AJ28" s="163">
        <f t="shared" si="7"/>
        <v>0</v>
      </c>
      <c r="AK28" s="163">
        <f t="shared" si="8"/>
        <v>0.32497799515242964</v>
      </c>
      <c r="AL28" s="163">
        <f t="shared" si="9"/>
        <v>7.7484247306325929E-2</v>
      </c>
      <c r="AM28" s="163">
        <f t="shared" si="10"/>
        <v>1.0833260086138701</v>
      </c>
      <c r="AN28" s="163">
        <f t="shared" si="11"/>
        <v>0</v>
      </c>
      <c r="AO28" s="163">
        <f t="shared" si="12"/>
        <v>0.51155153265946252</v>
      </c>
      <c r="AQ28" s="152" t="s">
        <v>717</v>
      </c>
      <c r="AR28" s="163">
        <f t="shared" si="13"/>
        <v>0.82650205640674224</v>
      </c>
      <c r="AS28" s="163">
        <f t="shared" si="14"/>
        <v>0</v>
      </c>
      <c r="AT28" s="163">
        <f t="shared" si="15"/>
        <v>0.52807205414522795</v>
      </c>
      <c r="AU28" s="163">
        <f t="shared" si="16"/>
        <v>8.2910296877045486E-2</v>
      </c>
      <c r="AV28" s="163">
        <f t="shared" si="17"/>
        <v>1.0201995211877892</v>
      </c>
      <c r="AW28" s="163">
        <f t="shared" si="18"/>
        <v>0.45821514291948501</v>
      </c>
      <c r="AX28" s="163">
        <f t="shared" si="19"/>
        <v>0.72951776734089824</v>
      </c>
    </row>
    <row r="29" spans="1:50" ht="15" customHeight="1">
      <c r="A29" s="166" t="s">
        <v>718</v>
      </c>
      <c r="B29" s="167">
        <f>+GETPIVOTDATA("Sum of New-Total Undg SCH FTE",'FTE Pivot for regular counts'!$A$2,"State","WV","Category",1,"Category2","Four-Year")</f>
        <v>19871.566666666666</v>
      </c>
      <c r="C29" s="168">
        <f>+GETPIVOTDATA("Sum of New-HS % of Total",'Pivot-HS Student % of Undergrad'!$A$3,"State","WV","Category",1,"Category2","Four-Year")</f>
        <v>1.0423603574286207E-2</v>
      </c>
      <c r="D29" s="169">
        <f>+GETPIVOTDATA("Sum of New-Total Undg SCH FTE",'FTE Pivot for regular counts'!$A$2,"State","WV","Category",2,"Category2","Four-Year")</f>
        <v>0</v>
      </c>
      <c r="E29" s="168">
        <f>+GETPIVOTDATA("Sum of New-HS % of Total",'Pivot-HS Student % of Undergrad'!$A$3,"State","WV","Category",2,"Category2","Four-Year")</f>
        <v>0</v>
      </c>
      <c r="F29" s="169">
        <f>+GETPIVOTDATA("Sum of New-Total Undg SCH FTE",'FTE Pivot for regular counts'!$A$2,"State","WV","Category",3,"Category2","Four-Year")</f>
        <v>7865.2</v>
      </c>
      <c r="G29" s="168">
        <f>+GETPIVOTDATA("Sum of New-HS % of Total",'Pivot-HS Student % of Undergrad'!$A$3,"State","WV","Category",3,"Category2","Four-Year")</f>
        <v>5.4035498143721709E-2</v>
      </c>
      <c r="H29" s="169">
        <f>+GETPIVOTDATA("Sum of New-Total Undg SCH FTE",'FTE Pivot for regular counts'!$A$2,"State","WV","Category",4,"Category2","Four-Year")</f>
        <v>0</v>
      </c>
      <c r="I29" s="168">
        <f>+GETPIVOTDATA("Sum of Old-HS % of Total",'Pivot-HS Student % of Undergrad'!$A$3,"State","WV","Category",4,"Category2","Four-Year")</f>
        <v>0</v>
      </c>
      <c r="J29" s="169">
        <f>+GETPIVOTDATA("Sum of New-Total Undg SCH FTE",'FTE Pivot for regular counts'!$A$2,"State","WV","Category",5,"Category2","Four-Year")</f>
        <v>9110.6333333333332</v>
      </c>
      <c r="K29" s="170">
        <f>+GETPIVOTDATA("Sum of New-HS % of Total",'Pivot-HS Student % of Undergrad'!$A$3,"State","WV","Category",5,"Category2","Four-Year")</f>
        <v>2.0840117225659396E-2</v>
      </c>
      <c r="L29" s="169">
        <f>+GETPIVOTDATA("Sum of New-Total Undg SCH FTE",'FTE Pivot for regular counts'!$A$2,"State","WV","Category",6,"Category2","Four-Year")</f>
        <v>5763.3333333333321</v>
      </c>
      <c r="M29" s="168">
        <f>GETPIVOTDATA("Sum of New-HS % of Total",'Pivot-HS Student % of Undergrad'!$A$3,"State","WV","Category",6,"Category2","Four-Year")</f>
        <v>0.14887218045112782</v>
      </c>
      <c r="N29" s="169">
        <f>+GETPIVOTDATA("Sum of New-Total Undg SCH FTE",'FTE Pivot for regular counts'!$A$2,"State","WV","Category2","Four-Year")</f>
        <v>42610.733333333337</v>
      </c>
      <c r="O29" s="168">
        <f>+GETPIVOTDATA("Sum of New-HS % of Total",'Pivot-HS Student % of Undergrad'!$A$3,"State","WV","Category2","Group1")</f>
        <v>3.9426685921074657E-2</v>
      </c>
      <c r="Q29" s="166" t="s">
        <v>718</v>
      </c>
      <c r="R29" s="171">
        <f>+GETPIVOTDATA("Sum of Old-HS % of Total",'Pivot-HS Student % of Undergrad'!$A$3,"State","WV","Category",1,"Category2","Four-Year")</f>
        <v>9.0419023214516423E-3</v>
      </c>
      <c r="S29" s="172">
        <f>(C29-R29)*100</f>
        <v>0.13817012528345649</v>
      </c>
      <c r="T29" s="173">
        <f>+GETPIVOTDATA("Sum of Old-HS % of Total",'Pivot-HS Student % of Undergrad'!$A$3,"State","WV","Category",2,"Category2","Four-Year")</f>
        <v>0</v>
      </c>
      <c r="U29" s="172">
        <f t="shared" si="0"/>
        <v>0</v>
      </c>
      <c r="V29" s="173">
        <f>+GETPIVOTDATA("Sum of Old-HS % of Total",'Pivot-HS Student % of Undergrad'!$A$3,"State","WV","Category",3,"Category2","Four-Year")</f>
        <v>6.340035247406535E-2</v>
      </c>
      <c r="W29" s="172">
        <f t="shared" si="1"/>
        <v>-0.93648543303436405</v>
      </c>
      <c r="X29" s="173">
        <f>+GETPIVOTDATA("Sum of Old-HS % of Total",'Pivot-HS Student % of Undergrad'!$A$3,"State","WV","Category",4,"Category2","Four-Year")</f>
        <v>0</v>
      </c>
      <c r="Y29" s="172">
        <f t="shared" si="2"/>
        <v>0</v>
      </c>
      <c r="Z29" s="173">
        <f>GETPIVOTDATA("Sum of Old-HS % of Total",'Pivot-HS Student % of Undergrad'!$A$3,"State","WV","Category",5,"Category2","Four-Year")</f>
        <v>1.5595675967413798E-2</v>
      </c>
      <c r="AA29" s="172">
        <f t="shared" si="3"/>
        <v>0.52444412582455979</v>
      </c>
      <c r="AB29" s="173">
        <f>GETPIVOTDATA("Sum of Old-HS % of Total",'Pivot-HS Student % of Undergrad'!$A$3,"State","WV","Category",6,"Category2","Four-Year")</f>
        <v>0.15068539401715172</v>
      </c>
      <c r="AC29" s="172">
        <f t="shared" si="4"/>
        <v>-0.18132135660239024</v>
      </c>
      <c r="AD29" s="173">
        <f>+GETPIVOTDATA("Sum of Old-HS % of Total",'Pivot-HS Student % of Undergrad'!$A$3,"State","WV","Category2","Four-Year")</f>
        <v>3.97098271310568E-2</v>
      </c>
      <c r="AE29" s="172">
        <f t="shared" si="5"/>
        <v>-2.8314120998214343E-2</v>
      </c>
      <c r="AF29" s="166" t="s">
        <v>718</v>
      </c>
      <c r="AH29" s="174" t="s">
        <v>718</v>
      </c>
      <c r="AI29" s="175">
        <f t="shared" si="6"/>
        <v>1.0423603574286207</v>
      </c>
      <c r="AJ29" s="175">
        <f t="shared" si="7"/>
        <v>0</v>
      </c>
      <c r="AK29" s="175">
        <f t="shared" si="8"/>
        <v>5.4035498143721705</v>
      </c>
      <c r="AL29" s="175">
        <f t="shared" si="9"/>
        <v>0</v>
      </c>
      <c r="AM29" s="175">
        <f t="shared" si="10"/>
        <v>2.0840117225659394</v>
      </c>
      <c r="AN29" s="175">
        <f t="shared" si="11"/>
        <v>14.887218045112782</v>
      </c>
      <c r="AO29" s="175">
        <f t="shared" si="12"/>
        <v>3.9426685921074656</v>
      </c>
      <c r="AQ29" s="174" t="s">
        <v>718</v>
      </c>
      <c r="AR29" s="176">
        <f t="shared" si="13"/>
        <v>0.90419023214516425</v>
      </c>
      <c r="AS29" s="175">
        <f t="shared" si="14"/>
        <v>0</v>
      </c>
      <c r="AT29" s="175">
        <f t="shared" si="15"/>
        <v>6.3400352474065347</v>
      </c>
      <c r="AU29" s="175">
        <f t="shared" si="16"/>
        <v>0</v>
      </c>
      <c r="AV29" s="175">
        <f t="shared" si="17"/>
        <v>1.5595675967413798</v>
      </c>
      <c r="AW29" s="175">
        <f t="shared" si="18"/>
        <v>15.068539401715173</v>
      </c>
      <c r="AX29" s="175">
        <f t="shared" si="19"/>
        <v>3.9709827131056801</v>
      </c>
    </row>
    <row r="30" spans="1:50" ht="23.25" customHeight="1">
      <c r="A30" s="607" t="s">
        <v>878</v>
      </c>
      <c r="B30" s="608"/>
      <c r="C30" s="608"/>
      <c r="D30" s="608"/>
      <c r="E30" s="608"/>
      <c r="F30" s="608"/>
      <c r="G30" s="608"/>
      <c r="H30" s="608"/>
      <c r="I30" s="609"/>
      <c r="J30" s="609"/>
      <c r="K30" s="609"/>
      <c r="L30" s="609"/>
      <c r="M30" s="609"/>
      <c r="N30" s="609"/>
      <c r="O30" s="609"/>
    </row>
    <row r="31" spans="1:50">
      <c r="A31" s="177"/>
      <c r="B31" s="178"/>
      <c r="C31" s="178"/>
      <c r="D31" s="178"/>
      <c r="E31" s="178"/>
      <c r="F31" s="178"/>
      <c r="G31" s="178"/>
      <c r="J31" s="178"/>
      <c r="K31" s="178"/>
      <c r="L31" s="178"/>
      <c r="M31" s="178"/>
      <c r="N31" s="178"/>
      <c r="O31" s="179" t="s">
        <v>879</v>
      </c>
    </row>
    <row r="32" spans="1:50" ht="18">
      <c r="A32" s="116" t="s">
        <v>719</v>
      </c>
      <c r="B32" s="122"/>
      <c r="C32" s="122"/>
      <c r="D32" s="122"/>
      <c r="E32" s="122"/>
      <c r="F32" s="180"/>
      <c r="G32" s="122"/>
      <c r="H32" s="122"/>
      <c r="I32" s="178"/>
      <c r="J32" s="178"/>
      <c r="K32" s="178"/>
      <c r="L32" s="178"/>
      <c r="M32" s="178"/>
      <c r="N32" s="178"/>
    </row>
    <row r="33" spans="1:14" ht="15.5">
      <c r="A33" s="122"/>
      <c r="B33" s="122"/>
      <c r="C33" s="122"/>
      <c r="D33" s="122"/>
      <c r="E33" s="122"/>
      <c r="F33" s="122"/>
      <c r="G33" s="122"/>
      <c r="H33" s="122"/>
      <c r="I33" s="178"/>
      <c r="J33" s="178"/>
      <c r="K33" s="178"/>
      <c r="L33" s="178"/>
      <c r="M33" s="178"/>
      <c r="N33" s="178"/>
    </row>
    <row r="34" spans="1:14" ht="15.5">
      <c r="A34" s="122" t="s">
        <v>720</v>
      </c>
      <c r="B34" s="122"/>
      <c r="C34" s="122"/>
      <c r="D34" s="122"/>
      <c r="E34" s="122"/>
      <c r="F34" s="122"/>
      <c r="G34" s="122"/>
      <c r="H34" s="122"/>
      <c r="I34" s="178"/>
      <c r="J34" s="178"/>
      <c r="K34" s="178"/>
      <c r="L34" s="178"/>
      <c r="M34" s="178"/>
      <c r="N34" s="178"/>
    </row>
    <row r="35" spans="1:14" ht="15.5">
      <c r="A35" s="122" t="s">
        <v>868</v>
      </c>
      <c r="B35" s="122"/>
      <c r="C35" s="122"/>
      <c r="D35" s="122"/>
      <c r="E35" s="122"/>
      <c r="F35" s="122"/>
      <c r="G35" s="122"/>
      <c r="H35" s="122"/>
    </row>
    <row r="37" spans="1:14" ht="15" customHeight="1">
      <c r="A37" s="125"/>
      <c r="B37" s="125" t="s">
        <v>675</v>
      </c>
      <c r="C37" s="125"/>
      <c r="D37" s="125"/>
      <c r="E37" s="125"/>
      <c r="F37" s="125"/>
      <c r="G37" s="125"/>
      <c r="H37" s="181"/>
    </row>
    <row r="38" spans="1:14" ht="15" customHeight="1">
      <c r="A38" s="182"/>
      <c r="B38" s="183">
        <v>1</v>
      </c>
      <c r="C38" s="183">
        <v>2</v>
      </c>
      <c r="D38" s="183">
        <v>3</v>
      </c>
      <c r="E38" s="183">
        <v>4</v>
      </c>
      <c r="F38" s="183">
        <v>5</v>
      </c>
      <c r="G38" s="184">
        <v>6</v>
      </c>
      <c r="H38" s="183" t="s">
        <v>687</v>
      </c>
    </row>
    <row r="39" spans="1:14" ht="15" customHeight="1">
      <c r="A39" s="1" t="s">
        <v>695</v>
      </c>
      <c r="B39" s="185">
        <f>+GETPIVOTDATA("Sum of New-Total Grad FTE",'FTE Pivot for regular counts'!$A$2,"Category",1,"Category2","Four-Year")</f>
        <v>196454.73541666669</v>
      </c>
      <c r="C39" s="185">
        <f>+GETPIVOTDATA("Sum of New-Total Grad FTE",'FTE Pivot for regular counts'!$A$2,"Category",2,"Category2","Four-Year")</f>
        <v>49203.125</v>
      </c>
      <c r="D39" s="185">
        <f>+GETPIVOTDATA("Sum of New-Total Grad FTE",'FTE Pivot for regular counts'!$A$2,"Category",3,"Category2","Four-Year")</f>
        <v>86061.770833333343</v>
      </c>
      <c r="E39" s="185">
        <f>+GETPIVOTDATA("Sum of New-Total Grad FTE",'FTE Pivot for regular counts'!$A$2,"Category",4,"Category2","Four-Year")</f>
        <v>27578.0625</v>
      </c>
      <c r="F39" s="185">
        <f>+GETPIVOTDATA("Sum of New-Total Grad FTE",'FTE Pivot for regular counts'!$A$2,"Category",5,"Category2","Four-Year")</f>
        <v>6126.6083333333336</v>
      </c>
      <c r="G39" s="186">
        <f>+GETPIVOTDATA("Sum of New-Total Grad FTE",'FTE Pivot for regular counts'!$A$2,"Category",6,"Category2","Four-Year")</f>
        <v>1178.3333333333333</v>
      </c>
      <c r="H39" s="185">
        <f>+GETPIVOTDATA("Sum of New-Total Grad FTE",'FTE Pivot for regular counts'!$A$2,"Category2","Four-Year")</f>
        <v>366602.63541666663</v>
      </c>
    </row>
    <row r="40" spans="1:14" ht="15" customHeight="1">
      <c r="B40" s="185"/>
      <c r="C40" s="185"/>
      <c r="D40" s="185"/>
      <c r="E40" s="185"/>
      <c r="F40" s="185"/>
      <c r="G40" s="186"/>
      <c r="H40" s="185"/>
    </row>
    <row r="41" spans="1:14" ht="15" customHeight="1">
      <c r="A41" s="1" t="s">
        <v>703</v>
      </c>
      <c r="B41" s="185">
        <f>+GETPIVOTDATA("Sum of New-Total Grad FTE",'FTE Pivot for regular counts'!$A$2,"State","AL","Category",1,"Category2","Four-Year")</f>
        <v>11407.041666666666</v>
      </c>
      <c r="C41" s="185">
        <f>+GETPIVOTDATA("Sum of New-Total Grad FTE",'FTE Pivot for regular counts'!$A$2,"State","AL","Category",2,"Category2","Four-Year")</f>
        <v>2088.3333333333335</v>
      </c>
      <c r="D41" s="185">
        <f>+GETPIVOTDATA("Sum of New-Total Grad FTE",'FTE Pivot for regular counts'!$A$2,"State","AL","Category",3,"Category2","Four-Year")</f>
        <v>5843.3333333333339</v>
      </c>
      <c r="E41" s="185">
        <f>+GETPIVOTDATA("Sum of New-Total Grad FTE",'FTE Pivot for regular counts'!$A$2,"State","AL","Category",4,"Category2","Four-Year")</f>
        <v>3342.2083333333335</v>
      </c>
      <c r="F41" s="185">
        <f>+GETPIVOTDATA("Sum of New-Total Grad FTE",'FTE Pivot for regular counts'!$A$2,"State","AL","Category",5,"Category2","Four-Year")</f>
        <v>277.45833333333331</v>
      </c>
      <c r="G41" s="186">
        <f>+GETPIVOTDATA("Sum of New-Total Grad FTE",'FTE Pivot for regular counts'!$A$2,"State","AL","Category",6,"Category2","Four-Year")</f>
        <v>124.25</v>
      </c>
      <c r="H41" s="185">
        <f>+GETPIVOTDATA("Sum of New-Total Grad FTE",'FTE Pivot for regular counts'!$A$2,"State","AL","Category2","Four-Year")</f>
        <v>23082.625</v>
      </c>
    </row>
    <row r="42" spans="1:14" ht="15" customHeight="1">
      <c r="A42" s="1" t="s">
        <v>704</v>
      </c>
      <c r="B42" s="185">
        <f>+GETPIVOTDATA("Sum of New-Total Grad FTE",'FTE Pivot for regular counts'!$A$2,"State","AR","Category",1,"Category2","Four-Year")</f>
        <v>3422.3333333333335</v>
      </c>
      <c r="C42" s="185">
        <f>+GETPIVOTDATA("Sum of New-Total Grad FTE",'FTE Pivot for regular counts'!$A$2,"State","AR","Category",2,"Category2","Four-Year")</f>
        <v>1511.9166666666667</v>
      </c>
      <c r="D42" s="185">
        <f>+GETPIVOTDATA("Sum of New-Total Grad FTE",'FTE Pivot for regular counts'!$A$2,"State","AR","Category",3,"Category2","Four-Year")</f>
        <v>6538.625</v>
      </c>
      <c r="E42" s="185">
        <f>+GETPIVOTDATA("Sum of New-Total Grad FTE",'FTE Pivot for regular counts'!$A$2,"State","AR","Category",4,"Category2","Four-Year")</f>
        <v>1328.0833333333335</v>
      </c>
      <c r="F42" s="185">
        <f>+GETPIVOTDATA("Sum of New-Total Grad FTE",'FTE Pivot for regular counts'!$A$2,"State","AR","Category",5,"Category2","Four-Year")</f>
        <v>0</v>
      </c>
      <c r="G42" s="186">
        <f>+GETPIVOTDATA("Sum of New-Total Grad FTE",'FTE Pivot for regular counts'!$A$2,"State","AR","Category",6,"Category2","Four-Year")</f>
        <v>125.29166666666667</v>
      </c>
      <c r="H42" s="185">
        <f>+GETPIVOTDATA("Sum of New-Total Grad FTE",'FTE Pivot for regular counts'!$A$2,"State","AR","Category2","Four-Year")</f>
        <v>12926.25</v>
      </c>
    </row>
    <row r="43" spans="1:14" ht="15" customHeight="1">
      <c r="A43" s="1" t="s">
        <v>705</v>
      </c>
      <c r="B43" s="185">
        <f>+GETPIVOTDATA("Sum of New-Total Grad FTE",'FTE Pivot for regular counts'!$A$2,"State","DE","Category",1,"Category2","Four-Year")</f>
        <v>3108.6666666666665</v>
      </c>
      <c r="C43" s="185">
        <f>+GETPIVOTDATA("Sum of New-Total Grad FTE",'FTE Pivot for regular counts'!$A$2,"State","DE","Category",2,"Category2","Four-Year")</f>
        <v>0</v>
      </c>
      <c r="D43" s="185">
        <f>+GETPIVOTDATA("Sum of New-Total Grad FTE",'FTE Pivot for regular counts'!$A$2,"State","DE","Category",3,"Category2","Four-Year")</f>
        <v>389.75</v>
      </c>
      <c r="E43" s="185">
        <f>+GETPIVOTDATA("Sum of New-Total Grad FTE",'FTE Pivot for regular counts'!$A$2,"State","DE","Category",4,"Category2","Four-Year")</f>
        <v>0</v>
      </c>
      <c r="F43" s="185">
        <f>+GETPIVOTDATA("Sum of New-Total Grad FTE",'FTE Pivot for regular counts'!$A$2,"State","DE","Category",5,"Category2","Four-Year")</f>
        <v>0</v>
      </c>
      <c r="G43" s="186">
        <f>+GETPIVOTDATA("Sum of New-Total Grad FTE",'FTE Pivot for regular counts'!$A$2,"State","DE","Category",6,"Category2","Four-Year")</f>
        <v>0</v>
      </c>
      <c r="H43" s="185">
        <f>+GETPIVOTDATA("Sum of New-Total Grad FTE",'FTE Pivot for regular counts'!$A$2,"State","DE","Category2","Four-Year")</f>
        <v>3498.4166666666665</v>
      </c>
      <c r="N43" s="187"/>
    </row>
    <row r="44" spans="1:14" ht="15" customHeight="1">
      <c r="A44" s="1" t="s">
        <v>706</v>
      </c>
      <c r="B44" s="185">
        <f>+GETPIVOTDATA("Sum of New-Total Grad FTE",'FTE Pivot for regular counts'!$A$2,"State","FL","Category",1,"Category2","Four-Year")</f>
        <v>0</v>
      </c>
      <c r="C44" s="185">
        <f>+GETPIVOTDATA("Sum of New-Total Grad FTE",'FTE Pivot for regular counts'!$A$2,"State","FL","Category",2,"Category2","Four-Year")</f>
        <v>0</v>
      </c>
      <c r="D44" s="185">
        <f>+GETPIVOTDATA("Sum of New-Total Grad FTE",'FTE Pivot for regular counts'!$A$2,"State","FL","Category",3,"Category2","Four-Year")</f>
        <v>0</v>
      </c>
      <c r="E44" s="185">
        <f>+GETPIVOTDATA("Sum of New-Total Grad FTE",'FTE Pivot for regular counts'!$A$2,"State","FL","Category",4,"Category2","Four-Year")</f>
        <v>0</v>
      </c>
      <c r="F44" s="185">
        <f>+GETPIVOTDATA("Sum of New-Total Grad FTE",'FTE Pivot for regular counts'!$A$2,"State","FL","Category",5,"Category2","Four-Year")</f>
        <v>0</v>
      </c>
      <c r="G44" s="186">
        <f>+GETPIVOTDATA("Sum of New-Total Grad FTE",'FTE Pivot for regular counts'!$A$2,"State","FL","Category",6,"Category2","Four-Year")</f>
        <v>0</v>
      </c>
      <c r="H44" s="185">
        <f>+GETPIVOTDATA("Sum of New-Total Grad FTE",'FTE Pivot for regular counts'!$A$2,"State","FL","Category2","Four-Year")</f>
        <v>0</v>
      </c>
    </row>
    <row r="45" spans="1:14" ht="15" customHeight="1">
      <c r="B45" s="185"/>
      <c r="C45" s="185"/>
      <c r="D45" s="185"/>
      <c r="E45" s="185"/>
      <c r="F45" s="185"/>
      <c r="G45" s="186"/>
      <c r="H45" s="185"/>
    </row>
    <row r="46" spans="1:14" ht="15" customHeight="1">
      <c r="A46" s="1" t="s">
        <v>707</v>
      </c>
      <c r="B46" s="185">
        <f>+GETPIVOTDATA("Sum of New-Total Grad FTE",'FTE Pivot for regular counts'!$A$2,"State","GA","Category",1,"Category2","Four-Year")</f>
        <v>21274.120833333334</v>
      </c>
      <c r="C46" s="185">
        <f>+GETPIVOTDATA("Sum of New-Total Grad FTE",'FTE Pivot for regular counts'!$A$2,"State","GA","Category",2,"Category2","Four-Year")</f>
        <v>16780.770833333332</v>
      </c>
      <c r="D46" s="185">
        <f>+GETPIVOTDATA("Sum of New-Total Grad FTE",'FTE Pivot for regular counts'!$A$2,"State","GA","Category",3,"Category2","Four-Year")</f>
        <v>9496.4166666666661</v>
      </c>
      <c r="E46" s="185">
        <f>+GETPIVOTDATA("Sum of New-Total Grad FTE",'FTE Pivot for regular counts'!$A$2,"State","GA","Category",4,"Category2","Four-Year")</f>
        <v>6179.583333333333</v>
      </c>
      <c r="F46" s="185">
        <f>+GETPIVOTDATA("Sum of New-Total Grad FTE",'FTE Pivot for regular counts'!$A$2,"State","GA","Category",5,"Category2","Four-Year")</f>
        <v>673.45833333333326</v>
      </c>
      <c r="G46" s="186">
        <f>+GETPIVOTDATA("Sum of New-Total Grad FTE",'FTE Pivot for regular counts'!$A$2,"State","GA","Category",6,"Category2","Four-Year")</f>
        <v>0</v>
      </c>
      <c r="H46" s="185">
        <f>+GETPIVOTDATA("Sum of New-Total Grad FTE",'FTE Pivot for regular counts'!$A$2,"State","GA","Category2","Four-Year")</f>
        <v>54404.35</v>
      </c>
    </row>
    <row r="47" spans="1:14" ht="15" customHeight="1">
      <c r="A47" s="1" t="s">
        <v>708</v>
      </c>
      <c r="B47" s="185">
        <f>+GETPIVOTDATA("Sum of New-Total Grad FTE",'FTE Pivot for regular counts'!$A$2,"State","KY","Category",1,"Category2","Four-Year")</f>
        <v>7172.125</v>
      </c>
      <c r="C47" s="185">
        <f>+GETPIVOTDATA("Sum of New-Total Grad FTE",'FTE Pivot for regular counts'!$A$2,"State","KY","Category",2,"Category2","Four-Year")</f>
        <v>0</v>
      </c>
      <c r="D47" s="185">
        <f>+GETPIVOTDATA("Sum of New-Total Grad FTE",'FTE Pivot for regular counts'!$A$2,"State","KY","Category",3,"Category2","Four-Year")</f>
        <v>7607.666666666667</v>
      </c>
      <c r="E47" s="185">
        <f>+GETPIVOTDATA("Sum of New-Total Grad FTE",'FTE Pivot for regular counts'!$A$2,"State","KY","Category",4,"Category2","Four-Year")</f>
        <v>79.75</v>
      </c>
      <c r="F47" s="185">
        <f>+GETPIVOTDATA("Sum of New-Total Grad FTE",'FTE Pivot for regular counts'!$A$2,"State","KY","Category",5,"Category2","Four-Year")</f>
        <v>0</v>
      </c>
      <c r="G47" s="186">
        <f>+GETPIVOTDATA("Sum of New-Total Grad FTE",'FTE Pivot for regular counts'!$A$2,"State","KY","Category",6,"Category2","Four-Year")</f>
        <v>0</v>
      </c>
      <c r="H47" s="185">
        <f>+GETPIVOTDATA("Sum of New-Total Grad FTE",'FTE Pivot for regular counts'!$A$2,"State","KY","Category2","Four-Year")</f>
        <v>14859.541666666668</v>
      </c>
    </row>
    <row r="48" spans="1:14" ht="15" customHeight="1">
      <c r="A48" s="1" t="s">
        <v>709</v>
      </c>
      <c r="B48" s="185">
        <f>+GETPIVOTDATA("Sum of New-Total Grad FTE",'FTE Pivot for regular counts'!$A$2,"State","LA","Category",1,"Category2","Four-Year")</f>
        <v>6259.875</v>
      </c>
      <c r="C48" s="185">
        <f>+GETPIVOTDATA("Sum of New-Total Grad FTE",'FTE Pivot for regular counts'!$A$2,"State","LA","Category",2,"Category2","Four-Year")</f>
        <v>3589.458333333333</v>
      </c>
      <c r="D48" s="185">
        <f>+GETPIVOTDATA("Sum of New-Total Grad FTE",'FTE Pivot for regular counts'!$A$2,"State","LA","Category",3,"Category2","Four-Year")</f>
        <v>3520.75</v>
      </c>
      <c r="E48" s="185">
        <f>+GETPIVOTDATA("Sum of New-Total Grad FTE",'FTE Pivot for regular counts'!$A$2,"State","LA","Category",4,"Category2","Four-Year")</f>
        <v>6997.9999999999991</v>
      </c>
      <c r="F48" s="185">
        <f>+GETPIVOTDATA("Sum of New-Total Grad FTE",'FTE Pivot for regular counts'!$A$2,"State","LA","Category",5,"Category2","Four-Year")</f>
        <v>293.29166666666669</v>
      </c>
      <c r="G48" s="186">
        <f>+GETPIVOTDATA("Sum of New-Total Grad FTE",'FTE Pivot for regular counts'!$A$2,"State","LA","Category",6,"Category2","Four-Year")</f>
        <v>0</v>
      </c>
      <c r="H48" s="185">
        <f>+GETPIVOTDATA("Sum of New-Total Grad FTE",'FTE Pivot for regular counts'!$A$2,"State","LA","Category2","Four-Year")</f>
        <v>20661.375</v>
      </c>
    </row>
    <row r="49" spans="1:13" ht="15" customHeight="1">
      <c r="A49" s="1" t="s">
        <v>710</v>
      </c>
      <c r="B49" s="185">
        <f>+GETPIVOTDATA("Sum of New-Total Grad FTE",'FTE Pivot for regular counts'!$A$2,"State","MD","Category",1,"Category2","Four-Year")</f>
        <v>6250.458333333333</v>
      </c>
      <c r="C49" s="185">
        <f>+GETPIVOTDATA("Sum of New-Total Grad FTE",'FTE Pivot for regular counts'!$A$2,"State","MD","Category",2,"Category2","Four-Year")</f>
        <v>2590.75</v>
      </c>
      <c r="D49" s="185">
        <f>+GETPIVOTDATA("Sum of New-Total Grad FTE",'FTE Pivot for regular counts'!$A$2,"State","MD","Category",3,"Category2","Four-Year")</f>
        <v>3515.0625</v>
      </c>
      <c r="E49" s="185">
        <f>+GETPIVOTDATA("Sum of New-Total Grad FTE",'FTE Pivot for regular counts'!$A$2,"State","MD","Category",4,"Category2","Four-Year")</f>
        <v>2532.0625</v>
      </c>
      <c r="F49" s="185">
        <f>+GETPIVOTDATA("Sum of New-Total Grad FTE",'FTE Pivot for regular counts'!$A$2,"State","MD","Category",5,"Category2","Four-Year")</f>
        <v>157.33333333333334</v>
      </c>
      <c r="G49" s="186">
        <f>+GETPIVOTDATA("Sum of New-Total Grad FTE",'FTE Pivot for regular counts'!$A$2,"State","MD","Category",6,"Category2","Four-Year")</f>
        <v>37.041666666666664</v>
      </c>
      <c r="H49" s="185">
        <f>+GETPIVOTDATA("Sum of New-Total Grad FTE",'FTE Pivot for regular counts'!$A$2,"State","MD","Category2","Four-Year")</f>
        <v>15082.708333333332</v>
      </c>
    </row>
    <row r="50" spans="1:13" ht="15" customHeight="1">
      <c r="B50" s="185"/>
      <c r="C50" s="185"/>
      <c r="D50" s="185"/>
      <c r="E50" s="185"/>
      <c r="F50" s="185"/>
      <c r="G50" s="186"/>
      <c r="H50" s="185"/>
    </row>
    <row r="51" spans="1:13" ht="15" customHeight="1">
      <c r="A51" s="1" t="s">
        <v>711</v>
      </c>
      <c r="B51" s="185">
        <f>+GETPIVOTDATA("Sum of New-Total Grad FTE",'FTE Pivot for regular counts'!$A$2,"State","MS","Category",1,"Category2","Four-Year")</f>
        <v>7847.3333333333339</v>
      </c>
      <c r="C51" s="185">
        <f>+GETPIVOTDATA("Sum of New-Total Grad FTE",'FTE Pivot for regular counts'!$A$2,"State","MS","Category",2,"Category2","Four-Year")</f>
        <v>1435.4583333333333</v>
      </c>
      <c r="D51" s="185">
        <f>+GETPIVOTDATA("Sum of New-Total Grad FTE",'FTE Pivot for regular counts'!$A$2,"State","MS","Category",3,"Category2","Four-Year")</f>
        <v>0</v>
      </c>
      <c r="E51" s="185">
        <f>+GETPIVOTDATA("Sum of New-Total Grad FTE",'FTE Pivot for regular counts'!$A$2,"State","MS","Category",4,"Category2","Four-Year")</f>
        <v>1465.7083333333333</v>
      </c>
      <c r="F51" s="185">
        <f>+GETPIVOTDATA("Sum of New-Total Grad FTE",'FTE Pivot for regular counts'!$A$2,"State","MS","Category",5,"Category2","Four-Year")</f>
        <v>0</v>
      </c>
      <c r="G51" s="186">
        <f>+GETPIVOTDATA("Sum of New-Total Grad FTE",'FTE Pivot for regular counts'!$A$2,"State","MS","Category",6,"Category2","Four-Year")</f>
        <v>0</v>
      </c>
      <c r="H51" s="185">
        <f>+GETPIVOTDATA("Sum of New-Total Grad FTE",'FTE Pivot for regular counts'!$A$2,"State","MS","Category2","Four-Year")</f>
        <v>10748.500000000002</v>
      </c>
    </row>
    <row r="52" spans="1:13" ht="15" customHeight="1">
      <c r="A52" s="1" t="s">
        <v>712</v>
      </c>
      <c r="B52" s="185">
        <f>+GETPIVOTDATA("Sum of New-Total Grad FTE",'FTE Pivot for regular counts'!$A$2,"State","NC","Category",1,"Category2","Four-Year")</f>
        <v>21377.697916666668</v>
      </c>
      <c r="C52" s="185">
        <f>+GETPIVOTDATA("Sum of New-Total Grad FTE",'FTE Pivot for regular counts'!$A$2,"State","NC","Category",2,"Category2","Four-Year")</f>
        <v>3727.625</v>
      </c>
      <c r="D52" s="185">
        <f>+GETPIVOTDATA("Sum of New-Total Grad FTE",'FTE Pivot for regular counts'!$A$2,"State","NC","Category",3,"Category2","Four-Year")</f>
        <v>7887.2916666666661</v>
      </c>
      <c r="E52" s="185">
        <f>+GETPIVOTDATA("Sum of New-Total Grad FTE",'FTE Pivot for regular counts'!$A$2,"State","NC","Category",4,"Category2","Four-Year")</f>
        <v>732.70833333333337</v>
      </c>
      <c r="F52" s="185">
        <f>+GETPIVOTDATA("Sum of New-Total Grad FTE",'FTE Pivot for regular counts'!$A$2,"State","NC","Category",5,"Category2","Four-Year")</f>
        <v>1693.3333333333333</v>
      </c>
      <c r="G52" s="186">
        <f>+GETPIVOTDATA("Sum of New-Total Grad FTE",'FTE Pivot for regular counts'!$A$2,"State","NC","Category",6,"Category2","Four-Year")</f>
        <v>69.125</v>
      </c>
      <c r="H52" s="185">
        <f>+GETPIVOTDATA("Sum of New-Total Grad FTE",'FTE Pivot for regular counts'!$A$2,"State","NC","Category2","Four-Year")</f>
        <v>35487.781250000007</v>
      </c>
    </row>
    <row r="53" spans="1:13" ht="15" customHeight="1">
      <c r="A53" s="1" t="s">
        <v>713</v>
      </c>
      <c r="B53" s="185">
        <f>+GETPIVOTDATA("Sum of New-Total Grad FTE",'FTE Pivot for regular counts'!$A$2,"State","OK","Category",1,"Category2","Four-Year")</f>
        <v>0</v>
      </c>
      <c r="C53" s="185">
        <f>+GETPIVOTDATA("Sum of New-Total Grad FTE",'FTE Pivot for regular counts'!$A$2,"State","OK","Category",2,"Category2","Four-Year")</f>
        <v>0</v>
      </c>
      <c r="D53" s="185">
        <f>+GETPIVOTDATA("Sum of New-Total Grad FTE",'FTE Pivot for regular counts'!$A$2,"State","OK","Category",3,"Category2","Four-Year")</f>
        <v>0</v>
      </c>
      <c r="E53" s="185">
        <f>+GETPIVOTDATA("Sum of New-Total Grad FTE",'FTE Pivot for regular counts'!$A$2,"State","OK","Category",4,"Category2","Four-Year")</f>
        <v>0</v>
      </c>
      <c r="F53" s="185">
        <f>+GETPIVOTDATA("Sum of New-Total Grad FTE",'FTE Pivot for regular counts'!$A$2,"State","OK","Category",5,"Category2","Four-Year")</f>
        <v>0</v>
      </c>
      <c r="G53" s="186">
        <f>+GETPIVOTDATA("Sum of New-Total Grad FTE",'FTE Pivot for regular counts'!$A$2,"State","OK","Category",6,"Category2","Four-Year")</f>
        <v>0</v>
      </c>
      <c r="H53" s="185">
        <f>+GETPIVOTDATA("Sum of New-Total Grad FTE",'FTE Pivot for regular counts'!$A$2,"State","OK","Category2","Four-Year")</f>
        <v>0</v>
      </c>
    </row>
    <row r="54" spans="1:13" ht="15" customHeight="1">
      <c r="A54" s="1" t="s">
        <v>714</v>
      </c>
      <c r="B54" s="185">
        <f>+GETPIVOTDATA("Sum of New-Total Grad FTE",'FTE Pivot for regular counts'!$A$2,"State","SC","Category",1,"Category2","Four-Year")</f>
        <v>11754.125</v>
      </c>
      <c r="C54" s="185">
        <f>+GETPIVOTDATA("Sum of New-Total Grad FTE",'FTE Pivot for regular counts'!$A$2,"State","SC","Category",2,"Category2","Four-Year")</f>
        <v>0</v>
      </c>
      <c r="D54" s="185">
        <f>+GETPIVOTDATA("Sum of New-Total Grad FTE",'FTE Pivot for regular counts'!$A$2,"State","SC","Category",3,"Category2","Four-Year")</f>
        <v>2101.25</v>
      </c>
      <c r="E54" s="185">
        <f>+GETPIVOTDATA("Sum of New-Total Grad FTE",'FTE Pivot for regular counts'!$A$2,"State","SC","Category",4,"Category2","Four-Year")</f>
        <v>516.29166666666663</v>
      </c>
      <c r="F54" s="185">
        <f>+GETPIVOTDATA("Sum of New-Total Grad FTE",'FTE Pivot for regular counts'!$A$2,"State","SC","Category",5,"Category2","Four-Year")</f>
        <v>683.5</v>
      </c>
      <c r="G54" s="186">
        <f>+GETPIVOTDATA("Sum of New-Total Grad FTE",'FTE Pivot for regular counts'!$A$2,"State","SC","Category",6,"Category2","Four-Year")</f>
        <v>723.66666666666674</v>
      </c>
      <c r="H54" s="185">
        <f>+GETPIVOTDATA("Sum of New-Total Grad FTE",'FTE Pivot for regular counts'!$A$2,"State","SC","Category2","Four-Year")</f>
        <v>15778.833333333332</v>
      </c>
    </row>
    <row r="55" spans="1:13" ht="15" customHeight="1">
      <c r="B55" s="185"/>
      <c r="C55" s="185"/>
      <c r="D55" s="185"/>
      <c r="E55" s="185"/>
      <c r="F55" s="185"/>
      <c r="G55" s="186"/>
      <c r="H55" s="185"/>
    </row>
    <row r="56" spans="1:13" ht="15" customHeight="1">
      <c r="A56" s="1" t="s">
        <v>715</v>
      </c>
      <c r="B56" s="185">
        <f>+GETPIVOTDATA("Sum of New-Total Grad FTE",'FTE Pivot for regular counts'!$A$2,"State","TN","Category",1,"Category2","Four-Year")</f>
        <v>8035.125</v>
      </c>
      <c r="C56" s="185">
        <f>+GETPIVOTDATA("Sum of New-Total Grad FTE",'FTE Pivot for regular counts'!$A$2,"State","TN","Category",2,"Category2","Four-Year")</f>
        <v>4908.9583333333339</v>
      </c>
      <c r="D56" s="185">
        <f>+GETPIVOTDATA("Sum of New-Total Grad FTE",'FTE Pivot for regular counts'!$A$2,"State","TN","Category",3,"Category2","Four-Year")</f>
        <v>2896.4166666666665</v>
      </c>
      <c r="E56" s="185">
        <f>+GETPIVOTDATA("Sum of New-Total Grad FTE",'FTE Pivot for regular counts'!$A$2,"State","TN","Category",4,"Category2","Four-Year")</f>
        <v>491.79166666666669</v>
      </c>
      <c r="F56" s="185">
        <f>+GETPIVOTDATA("Sum of New-Total Grad FTE",'FTE Pivot for regular counts'!$A$2,"State","TN","Category",5,"Category2","Four-Year")</f>
        <v>0</v>
      </c>
      <c r="G56" s="186">
        <f>+GETPIVOTDATA("Sum of New-Total Grad FTE",'FTE Pivot for regular counts'!$A$2,"State","TN","Category",6,"Category2","Four-Year")</f>
        <v>0</v>
      </c>
      <c r="H56" s="185">
        <f>+GETPIVOTDATA("Sum of New-Total Grad FTE",'FTE Pivot for regular counts'!$A$2,"State","TN","Category2","Four-Year")</f>
        <v>16332.291666666666</v>
      </c>
    </row>
    <row r="57" spans="1:13" ht="15" customHeight="1">
      <c r="A57" s="1" t="s">
        <v>716</v>
      </c>
      <c r="B57" s="185">
        <f>+GETPIVOTDATA("Sum of New-Total Grad FTE",'FTE Pivot for regular counts'!$A$2,"State","TX","Category",1,"Category2","Four-Year")</f>
        <v>54740.666666666664</v>
      </c>
      <c r="C57" s="185">
        <f>+GETPIVOTDATA("Sum of New-Total Grad FTE",'FTE Pivot for regular counts'!$A$2,"State","TX","Category",2,"Category2","Four-Year")</f>
        <v>9980.9583333333339</v>
      </c>
      <c r="D57" s="185">
        <f>+GETPIVOTDATA("Sum of New-Total Grad FTE",'FTE Pivot for regular counts'!$A$2,"State","TX","Category",3,"Category2","Four-Year")</f>
        <v>30185.416666666668</v>
      </c>
      <c r="E57" s="185">
        <f>+GETPIVOTDATA("Sum of New-Total Grad FTE",'FTE Pivot for regular counts'!$A$2,"State","TX","Category",4,"Category2","Four-Year")</f>
        <v>3558.8333333333335</v>
      </c>
      <c r="F57" s="185">
        <f>+GETPIVOTDATA("Sum of New-Total Grad FTE",'FTE Pivot for regular counts'!$A$2,"State","TX","Category",5,"Category2","Four-Year")</f>
        <v>185.875</v>
      </c>
      <c r="G57" s="186">
        <f>+GETPIVOTDATA("Sum of New-Total Grad FTE",'FTE Pivot for regular counts'!$A$2,"State","TX","Category",6,"Category2","Four-Year")</f>
        <v>0</v>
      </c>
      <c r="H57" s="185">
        <f>+GETPIVOTDATA("Sum of New-Total Grad FTE",'FTE Pivot for regular counts'!$A$2,"State","TX","Category2","Four-Year")</f>
        <v>98651.75</v>
      </c>
    </row>
    <row r="58" spans="1:13" ht="15" customHeight="1">
      <c r="A58" s="1" t="s">
        <v>717</v>
      </c>
      <c r="B58" s="185">
        <f>+GETPIVOTDATA("Sum of New-Total Grad FTE",'FTE Pivot for regular counts'!$A$2,"State","VA","Category",1,"Category2","Four-Year")</f>
        <v>30006.958333333336</v>
      </c>
      <c r="C58" s="185">
        <f>+GETPIVOTDATA("Sum of New-Total Grad FTE",'FTE Pivot for regular counts'!$A$2,"State","VA","Category",2,"Category2","Four-Year")</f>
        <v>2588.8958333333335</v>
      </c>
      <c r="D58" s="185">
        <f>+GETPIVOTDATA("Sum of New-Total Grad FTE",'FTE Pivot for regular counts'!$A$2,"State","VA","Category",3,"Category2","Four-Year")</f>
        <v>3428.8749999999995</v>
      </c>
      <c r="E58" s="185">
        <f>+GETPIVOTDATA("Sum of New-Total Grad FTE",'FTE Pivot for regular counts'!$A$2,"State","VA","Category",4,"Category2","Four-Year")</f>
        <v>353.04166666666669</v>
      </c>
      <c r="F58" s="185">
        <f>+GETPIVOTDATA("Sum of New-Total Grad FTE",'FTE Pivot for regular counts'!$A$2,"State","VA","Category",5,"Category2","Four-Year")</f>
        <v>937.48333333333335</v>
      </c>
      <c r="G58" s="186">
        <f>+GETPIVOTDATA("Sum of New-Total Grad FTE",'FTE Pivot for regular counts'!$A$2,"State","VA","Category",6,"Category2","Four-Year")</f>
        <v>0</v>
      </c>
      <c r="H58" s="185">
        <f>+GETPIVOTDATA("Sum of New-Total Grad FTE",'FTE Pivot for regular counts'!$A$2,"State","VA","Category2","Four-Year")</f>
        <v>37315.254166666658</v>
      </c>
    </row>
    <row r="59" spans="1:13" ht="15" customHeight="1">
      <c r="A59" s="166" t="s">
        <v>718</v>
      </c>
      <c r="B59" s="188">
        <f>+GETPIVOTDATA("Sum of New-Total Grad FTE",'FTE Pivot for regular counts'!$A$2,"State","WV","Category",1,"Category2","Four-Year")</f>
        <v>3798.2083333333335</v>
      </c>
      <c r="C59" s="188">
        <f>+GETPIVOTDATA("Sum of New-Total Grad FTE",'FTE Pivot for regular counts'!$A$2,"State","WV","Category",2,"Category2","Four-Year")</f>
        <v>0</v>
      </c>
      <c r="D59" s="188">
        <f>+GETPIVOTDATA("Sum of New-Total Grad FTE",'FTE Pivot for regular counts'!$A$2,"State","WV","Category",3,"Category2","Four-Year")</f>
        <v>2650.9166666666665</v>
      </c>
      <c r="E59" s="188">
        <f>+GETPIVOTDATA("Sum of New-Total Grad FTE",'FTE Pivot for regular counts'!$A$2,"State","WV","Category",4,"Category2","Four-Year")</f>
        <v>0</v>
      </c>
      <c r="F59" s="188">
        <f>+GETPIVOTDATA("Sum of New-Total Grad FTE",'FTE Pivot for regular counts'!$A$2,"State","WV","Category",5,"Category2","Four-Year")</f>
        <v>1224.875</v>
      </c>
      <c r="G59" s="189">
        <f>+GETPIVOTDATA("Sum of New-Total Grad FTE",'FTE Pivot for regular counts'!$A$2,"State","WV","Category",6,"Category2","Four-Year")</f>
        <v>98.958333333333329</v>
      </c>
      <c r="H59" s="188">
        <f>+GETPIVOTDATA("Sum of New-Total Grad FTE",'FTE Pivot for regular counts'!$A$2,"State","WV","Category2","Four-Year")</f>
        <v>7772.958333333333</v>
      </c>
    </row>
    <row r="60" spans="1:13" ht="35.25" customHeight="1">
      <c r="A60" s="610" t="s">
        <v>883</v>
      </c>
      <c r="B60" s="610"/>
      <c r="C60" s="610"/>
      <c r="D60" s="610"/>
      <c r="E60" s="610"/>
      <c r="F60" s="610"/>
      <c r="G60" s="610"/>
      <c r="H60" s="610"/>
      <c r="I60" s="159"/>
      <c r="J60" s="159"/>
      <c r="K60" s="159"/>
      <c r="L60" s="159"/>
      <c r="M60" s="159"/>
    </row>
    <row r="61" spans="1:13" ht="10.5" customHeight="1">
      <c r="A61" s="190"/>
      <c r="B61" s="190"/>
      <c r="C61" s="190"/>
      <c r="D61" s="190"/>
      <c r="E61" s="190"/>
      <c r="F61" s="190"/>
      <c r="G61" s="190"/>
      <c r="H61" s="179" t="s">
        <v>879</v>
      </c>
    </row>
    <row r="62" spans="1:13">
      <c r="A62" s="191"/>
      <c r="B62" s="178"/>
      <c r="C62" s="178"/>
      <c r="D62" s="178"/>
      <c r="E62" s="178"/>
      <c r="F62" s="178"/>
      <c r="G62" s="178"/>
      <c r="H62" s="192"/>
    </row>
    <row r="63" spans="1:13" ht="18">
      <c r="A63" s="116" t="s">
        <v>721</v>
      </c>
      <c r="B63" s="116"/>
      <c r="C63" s="116"/>
      <c r="D63" s="116"/>
      <c r="E63" s="116"/>
      <c r="F63" s="116"/>
      <c r="G63" s="116"/>
      <c r="H63" s="116"/>
    </row>
    <row r="64" spans="1:13" ht="15.5">
      <c r="A64" s="193"/>
      <c r="B64" s="122"/>
      <c r="C64" s="122"/>
      <c r="D64" s="122"/>
      <c r="E64" s="122"/>
      <c r="F64" s="122"/>
      <c r="G64" s="122"/>
      <c r="H64" s="122"/>
    </row>
    <row r="65" spans="1:24" ht="15.5">
      <c r="A65" s="122" t="s">
        <v>722</v>
      </c>
      <c r="B65" s="122"/>
      <c r="C65" s="122"/>
      <c r="D65" s="122"/>
      <c r="E65" s="122"/>
      <c r="F65" s="122"/>
      <c r="G65" s="122"/>
      <c r="H65" s="122"/>
    </row>
    <row r="66" spans="1:24" ht="15.5">
      <c r="A66" s="122" t="s">
        <v>868</v>
      </c>
      <c r="B66" s="122"/>
      <c r="C66" s="122"/>
      <c r="D66" s="122"/>
      <c r="E66" s="122"/>
      <c r="F66" s="122"/>
      <c r="G66" s="122"/>
      <c r="H66" s="122"/>
    </row>
    <row r="67" spans="1:24" ht="15.5">
      <c r="A67" s="122"/>
      <c r="B67" s="122"/>
      <c r="C67" s="122"/>
      <c r="D67" s="122"/>
      <c r="E67" s="122"/>
      <c r="F67" s="122"/>
      <c r="G67" s="122"/>
      <c r="H67" s="122"/>
      <c r="Q67" s="3" t="s">
        <v>683</v>
      </c>
      <c r="R67" s="61" t="s">
        <v>723</v>
      </c>
      <c r="S67" s="3"/>
      <c r="T67" s="3"/>
      <c r="U67" s="3"/>
      <c r="V67" s="3"/>
      <c r="W67" s="3"/>
    </row>
    <row r="68" spans="1:24" ht="15" customHeight="1">
      <c r="A68" s="125"/>
      <c r="B68" s="125" t="s">
        <v>675</v>
      </c>
      <c r="C68" s="125"/>
      <c r="D68" s="125"/>
      <c r="E68" s="125"/>
      <c r="F68" s="125"/>
      <c r="G68" s="125"/>
      <c r="H68" s="181"/>
      <c r="Q68" s="194" t="s">
        <v>675</v>
      </c>
      <c r="R68" s="195"/>
      <c r="S68" s="195"/>
      <c r="T68" s="195"/>
      <c r="U68" s="195"/>
      <c r="V68" s="195"/>
      <c r="W68" s="196"/>
    </row>
    <row r="69" spans="1:24" ht="15" customHeight="1">
      <c r="A69" s="182"/>
      <c r="B69" s="183">
        <v>1</v>
      </c>
      <c r="C69" s="183">
        <v>2</v>
      </c>
      <c r="D69" s="183">
        <v>3</v>
      </c>
      <c r="E69" s="183">
        <v>4</v>
      </c>
      <c r="F69" s="183">
        <v>5</v>
      </c>
      <c r="G69" s="184">
        <v>6</v>
      </c>
      <c r="H69" s="183" t="s">
        <v>687</v>
      </c>
      <c r="Q69" s="197">
        <v>1</v>
      </c>
      <c r="R69" s="197">
        <v>2</v>
      </c>
      <c r="S69" s="197">
        <v>3</v>
      </c>
      <c r="T69" s="197">
        <v>4</v>
      </c>
      <c r="U69" s="197">
        <v>5</v>
      </c>
      <c r="V69" s="198">
        <v>6</v>
      </c>
      <c r="W69" s="199" t="s">
        <v>687</v>
      </c>
    </row>
    <row r="70" spans="1:24" ht="15" customHeight="1">
      <c r="A70" s="1" t="s">
        <v>695</v>
      </c>
      <c r="B70" s="185">
        <f>+'NEW-Tables 80-86'!B9+'NEW-Tables 80-86'!B39</f>
        <v>1048614.8354166667</v>
      </c>
      <c r="C70" s="185">
        <f>+'NEW-Tables 80-86'!D9+'NEW-Tables 80-86'!C39</f>
        <v>247215.36733333333</v>
      </c>
      <c r="D70" s="185">
        <f>+'NEW-Tables 80-86'!F9+'NEW-Tables 80-86'!D39</f>
        <v>586697.72083333333</v>
      </c>
      <c r="E70" s="185">
        <f>+'NEW-Tables 80-86'!H9+'NEW-Tables 80-86'!E39</f>
        <v>179388.26250000001</v>
      </c>
      <c r="F70" s="185">
        <f>+'NEW-Tables 80-86'!J9+'NEW-Tables 80-86'!F39</f>
        <v>62088.108333333337</v>
      </c>
      <c r="G70" s="186">
        <f>+'NEW-Tables 80-86'!L9+'NEW-Tables 80-86'!G39</f>
        <v>62117.51666666667</v>
      </c>
      <c r="H70" s="185">
        <f>+'NEW-Tables 80-86'!N9+'NEW-Tables 80-86'!H39</f>
        <v>2186121.8110833331</v>
      </c>
      <c r="Q70" s="3">
        <f>+GETPIVOTDATA("Sum of Old Grand Total FTE",'FTE Pivot for regular counts'!$A$2,"Category",1,"Category2","Four-Year")</f>
        <v>1030453.1375000001</v>
      </c>
      <c r="R70" s="3">
        <f>+GETPIVOTDATA("Sum of Old Grand Total FTE",'FTE Pivot for regular counts'!$A$2,"Category",2,"Category2","Four-Year")</f>
        <v>246855.61350000004</v>
      </c>
      <c r="S70" s="3">
        <f>+GETPIVOTDATA("Sum of Old Grand Total FTE",'FTE Pivot for regular counts'!$A$2,"Category",3,"Category2","Four-Year")</f>
        <v>578144.42749999999</v>
      </c>
      <c r="T70" s="3">
        <f>+GETPIVOTDATA("Sum of Old Grand Total FTE",'FTE Pivot for regular counts'!$A$2,"Category",4,"Category2","Four-Year")</f>
        <v>177123.99833333329</v>
      </c>
      <c r="U70" s="3">
        <f>+GETPIVOTDATA("Sum of Old Grand Total FTE",'FTE Pivot for regular counts'!$A$2,"Category",5,"Category2","Four-Year")</f>
        <v>62301.331666666665</v>
      </c>
      <c r="V70" s="3">
        <f>+GETPIVOTDATA("Sum of Old Grand Total FTE",'FTE Pivot for regular counts'!$A$2,"Category",6,"Category2","Four-Year")</f>
        <v>62953.5</v>
      </c>
      <c r="W70" s="3">
        <f>+GETPIVOTDATA("Sum of Old Grand Total FTE",'FTE Pivot for regular counts'!$A$2,"Category2","Four-Year")</f>
        <v>2157832.0085</v>
      </c>
      <c r="X70" s="1" t="s">
        <v>695</v>
      </c>
    </row>
    <row r="71" spans="1:24" ht="15" customHeight="1">
      <c r="B71" s="185"/>
      <c r="C71" s="185"/>
      <c r="D71" s="185"/>
      <c r="E71" s="185"/>
      <c r="F71" s="185"/>
      <c r="G71" s="186"/>
      <c r="H71" s="185"/>
      <c r="Q71" s="3"/>
      <c r="R71" s="3"/>
      <c r="S71" s="3"/>
      <c r="T71" s="3"/>
      <c r="U71" s="3"/>
      <c r="V71" s="3"/>
      <c r="W71" s="3"/>
    </row>
    <row r="72" spans="1:24" ht="15" customHeight="1">
      <c r="A72" s="1" t="s">
        <v>703</v>
      </c>
      <c r="B72" s="185">
        <f>+'NEW-Tables 80-86'!B11+'NEW-Tables 80-86'!B41</f>
        <v>76387.241666666669</v>
      </c>
      <c r="C72" s="185">
        <f>+'NEW-Tables 80-86'!D11+'NEW-Tables 80-86'!C41</f>
        <v>17146.166666666668</v>
      </c>
      <c r="D72" s="185">
        <f>+'NEW-Tables 80-86'!F11+'NEW-Tables 80-86'!D41</f>
        <v>37344.333333333328</v>
      </c>
      <c r="E72" s="185">
        <f>+'NEW-Tables 80-86'!H11+'NEW-Tables 80-86'!E41</f>
        <v>9123.875</v>
      </c>
      <c r="F72" s="185">
        <f>+'NEW-Tables 80-86'!J11+'NEW-Tables 80-86'!F41</f>
        <v>2352.7250000000004</v>
      </c>
      <c r="G72" s="186">
        <f>+'NEW-Tables 80-86'!L11+'NEW-Tables 80-86'!G41</f>
        <v>2292.5500000000002</v>
      </c>
      <c r="H72" s="185">
        <f>+'NEW-Tables 80-86'!N11+'NEW-Tables 80-86'!H41</f>
        <v>144646.89166666666</v>
      </c>
      <c r="Q72" s="3">
        <f>+GETPIVOTDATA("Sum of Old Grand Total FTE",'FTE Pivot for regular counts'!$A$2,"State","AL","Category",1,"Category2","Four-Year")</f>
        <v>76854.95</v>
      </c>
      <c r="R72" s="3">
        <f>+GETPIVOTDATA("Sum of Old Grand Total FTE",'FTE Pivot for regular counts'!$A$2,"State","AL","Category",2,"Category2","Four-Year")</f>
        <v>17518.916666666668</v>
      </c>
      <c r="S72" s="3">
        <f>+GETPIVOTDATA("Sum of Old Grand Total FTE",'FTE Pivot for regular counts'!$A$2,"State","AL","Category",3,"Category2","Four-Year")</f>
        <v>35684.033333333333</v>
      </c>
      <c r="T72" s="3">
        <f>+GETPIVOTDATA("Sum of Old Grand Total FTE",'FTE Pivot for regular counts'!$A$2,"State","AL","Category",4,"Category2","Four-Year")</f>
        <v>9074.6749999999993</v>
      </c>
      <c r="U72" s="3">
        <f>+GETPIVOTDATA("Sum of Old Grand Total FTE",'FTE Pivot for regular counts'!$A$2,"State","AL","Category",5,"Category2","Four-Year")</f>
        <v>2313.0833333333335</v>
      </c>
      <c r="V72" s="3">
        <f>+GETPIVOTDATA("Sum of Old Grand Total FTE",'FTE Pivot for regular counts'!$A$2,"State","AL","Category",6,"Category2","Four-Year")</f>
        <v>2237.0583333333334</v>
      </c>
      <c r="W72" s="3">
        <f>+GETPIVOTDATA("Sum of Old Grand Total FTE",'FTE Pivot for regular counts'!$A$2,"State","AL","Category2","Four-Year")</f>
        <v>143682.71666666665</v>
      </c>
      <c r="X72" s="1" t="s">
        <v>703</v>
      </c>
    </row>
    <row r="73" spans="1:24" ht="15" customHeight="1">
      <c r="A73" s="1" t="s">
        <v>704</v>
      </c>
      <c r="B73" s="185">
        <f>+'NEW-Tables 80-86'!B12+'NEW-Tables 80-86'!B42</f>
        <v>25228.3</v>
      </c>
      <c r="C73" s="185">
        <f>+'NEW-Tables 80-86'!D12+'NEW-Tables 80-86'!C42</f>
        <v>7033.7166666666672</v>
      </c>
      <c r="D73" s="185">
        <f>+'NEW-Tables 80-86'!F12+'NEW-Tables 80-86'!D42</f>
        <v>30520.691666666666</v>
      </c>
      <c r="E73" s="185">
        <f>+'NEW-Tables 80-86'!H12+'NEW-Tables 80-86'!E42</f>
        <v>9446.7833333333328</v>
      </c>
      <c r="F73" s="185">
        <f>+'NEW-Tables 80-86'!J12+'NEW-Tables 80-86'!F42</f>
        <v>0</v>
      </c>
      <c r="G73" s="186">
        <f>+'NEW-Tables 80-86'!L12+'NEW-Tables 80-86'!G42</f>
        <v>7161.791666666667</v>
      </c>
      <c r="H73" s="185">
        <f>+'NEW-Tables 80-86'!N12+'NEW-Tables 80-86'!H42</f>
        <v>79391.283333333326</v>
      </c>
      <c r="Q73" s="3">
        <f>+GETPIVOTDATA("Sum of Old Grand Total FTE",'FTE Pivot for regular counts'!$A$2,"State","AR","Category",1,"Category2","Four-Year")</f>
        <v>25357.591666666667</v>
      </c>
      <c r="R73" s="3">
        <f>+GETPIVOTDATA("Sum of Old Grand Total FTE",'FTE Pivot for regular counts'!$A$2,"State","AR","Category",2,"Category2","Four-Year")</f>
        <v>7476.0666666666666</v>
      </c>
      <c r="S73" s="3">
        <f>+GETPIVOTDATA("Sum of Old Grand Total FTE",'FTE Pivot for regular counts'!$A$2,"State","AR","Category",3,"Category2","Four-Year")</f>
        <v>31228.325000000001</v>
      </c>
      <c r="T73" s="3">
        <f>+GETPIVOTDATA("Sum of Old Grand Total FTE",'FTE Pivot for regular counts'!$A$2,"State","AR","Category",4,"Category2","Four-Year")</f>
        <v>9834.6333333333332</v>
      </c>
      <c r="U73" s="3">
        <f>+GETPIVOTDATA("Sum of Old Grand Total FTE",'FTE Pivot for regular counts'!$A$2,"State","AR","Category",5,"Category2","Four-Year")</f>
        <v>0</v>
      </c>
      <c r="V73" s="3">
        <f>+GETPIVOTDATA("Sum of Old Grand Total FTE",'FTE Pivot for regular counts'!$A$2,"State","AR","Category",6,"Category2","Four-Year")</f>
        <v>7450.2166666666672</v>
      </c>
      <c r="W73" s="3">
        <f>+GETPIVOTDATA("Sum of Old Grand Total FTE",'FTE Pivot for regular counts'!$A$2,"State","AR","Category2","Four-Year")</f>
        <v>81346.833333333343</v>
      </c>
      <c r="X73" s="1" t="s">
        <v>704</v>
      </c>
    </row>
    <row r="74" spans="1:24" ht="15" customHeight="1">
      <c r="A74" s="1" t="s">
        <v>705</v>
      </c>
      <c r="B74" s="185">
        <f>+'NEW-Tables 80-86'!B13+'NEW-Tables 80-86'!B43</f>
        <v>23129.066666666669</v>
      </c>
      <c r="C74" s="185">
        <f>+'NEW-Tables 80-86'!D13+'NEW-Tables 80-86'!C43</f>
        <v>0</v>
      </c>
      <c r="D74" s="185">
        <f>+'NEW-Tables 80-86'!F13+'NEW-Tables 80-86'!D43</f>
        <v>4779.95</v>
      </c>
      <c r="E74" s="1">
        <f>+'NEW-Tables 80-86'!H13+'NEW-Tables 80-86'!E43</f>
        <v>0</v>
      </c>
      <c r="F74" s="185">
        <f>+'NEW-Tables 80-86'!J13+'NEW-Tables 80-86'!F43</f>
        <v>0</v>
      </c>
      <c r="G74" s="186">
        <f>+'NEW-Tables 80-86'!L13+'NEW-Tables 80-86'!G43</f>
        <v>0</v>
      </c>
      <c r="H74" s="1">
        <f>+'NEW-Tables 80-86'!N13+'NEW-Tables 80-86'!H43</f>
        <v>27909.01666666667</v>
      </c>
      <c r="Q74" s="3">
        <f>+GETPIVOTDATA("Sum of Old Grand Total FTE",'FTE Pivot for regular counts'!$A$2,"State","DE","Category",1,"Category2","Four-Year")</f>
        <v>23136.866666666665</v>
      </c>
      <c r="R74" s="3">
        <f>+GETPIVOTDATA("Sum of Old Grand Total FTE",'FTE Pivot for regular counts'!$A$2,"State","DE","Category",2,"Category2","Four-Year")</f>
        <v>0</v>
      </c>
      <c r="S74" s="3">
        <f>+GETPIVOTDATA("Sum of Old Grand Total FTE",'FTE Pivot for regular counts'!$A$2,"State","DE","Category",3,"Category2","Four-Year")</f>
        <v>4574.4916666666668</v>
      </c>
      <c r="T74" s="3">
        <f>+GETPIVOTDATA("Sum of Old Grand Total FTE",'FTE Pivot for regular counts'!$A$2,"State","DE","Category",4,"Category2","Four-Year")</f>
        <v>0</v>
      </c>
      <c r="U74" s="3">
        <f>+GETPIVOTDATA("Sum of Old Grand Total FTE",'FTE Pivot for regular counts'!$A$2,"State","DE","Category",5,"Category2","Four-Year")</f>
        <v>0</v>
      </c>
      <c r="V74" s="3">
        <f>+GETPIVOTDATA("Sum of Old Grand Total FTE",'FTE Pivot for regular counts'!$A$2,"State","DE","Category",6,"Category2","Four-Year")</f>
        <v>0</v>
      </c>
      <c r="W74" s="3">
        <f>+GETPIVOTDATA("Sum of Old Grand Total FTE",'FTE Pivot for regular counts'!$A$2,"State","DE","Category2","Four-Year")</f>
        <v>27711.35833333333</v>
      </c>
      <c r="X74" s="1" t="s">
        <v>705</v>
      </c>
    </row>
    <row r="75" spans="1:24" ht="15" customHeight="1">
      <c r="A75" s="1" t="s">
        <v>706</v>
      </c>
      <c r="B75" s="185">
        <f>+'NEW-Tables 80-86'!B14+'NEW-Tables 80-86'!B44</f>
        <v>0</v>
      </c>
      <c r="C75" s="185">
        <f>+'NEW-Tables 80-86'!D14+'NEW-Tables 80-86'!C44</f>
        <v>0</v>
      </c>
      <c r="D75" s="185">
        <f>+'NEW-Tables 80-86'!F14+'NEW-Tables 80-86'!D44</f>
        <v>0</v>
      </c>
      <c r="E75" s="185">
        <f>+'NEW-Tables 80-86'!H14+'NEW-Tables 80-86'!E44</f>
        <v>0</v>
      </c>
      <c r="F75" s="185">
        <f>+'NEW-Tables 80-86'!J14+'NEW-Tables 80-86'!F44</f>
        <v>0</v>
      </c>
      <c r="G75" s="186">
        <f>+'NEW-Tables 80-86'!L14+'NEW-Tables 80-86'!G44</f>
        <v>0</v>
      </c>
      <c r="H75" s="185">
        <f>+'NEW-Tables 80-86'!N14+'NEW-Tables 80-86'!H44</f>
        <v>0</v>
      </c>
      <c r="Q75" s="3">
        <f>+GETPIVOTDATA("Sum of Old Grand Total FTE",'FTE Pivot for regular counts'!$A$2,"State","FL","Category",1,"Category2","Four-Year")</f>
        <v>0</v>
      </c>
      <c r="R75" s="3">
        <f>+GETPIVOTDATA("Sum of Old Grand Total FTE",'FTE Pivot for regular counts'!$A$2,"State","FL","Category",2,"Category2","Four-Year")</f>
        <v>0</v>
      </c>
      <c r="S75" s="3">
        <f>+GETPIVOTDATA("Sum of Old Grand Total FTE",'FTE Pivot for regular counts'!$A$2,"State","FL","Category",3,"Category2","Four-Year")</f>
        <v>0</v>
      </c>
      <c r="T75" s="3">
        <f>+GETPIVOTDATA("Sum of Old Grand Total FTE",'FTE Pivot for regular counts'!$A$2,"State","FL","Category",4,"Category2","Four-Year")</f>
        <v>0</v>
      </c>
      <c r="U75" s="3">
        <f>+GETPIVOTDATA("Sum of Old Grand Total FTE",'FTE Pivot for regular counts'!$A$2,"State","FL","Category",5,"Category2","Four-Year")</f>
        <v>0</v>
      </c>
      <c r="V75" s="3">
        <f>+GETPIVOTDATA("Sum of Old Grand Total FTE",'FTE Pivot for regular counts'!$A$2,"State","FL","Category",6,"Category2","Four-Year")</f>
        <v>0</v>
      </c>
      <c r="W75" s="3">
        <f>+GETPIVOTDATA("Sum of Old Grand Total FTE",'FTE Pivot for regular counts'!$A$2,"State","FL","Category2","Four-Year")</f>
        <v>0</v>
      </c>
      <c r="X75" s="1" t="s">
        <v>706</v>
      </c>
    </row>
    <row r="76" spans="1:24" ht="15" customHeight="1">
      <c r="B76" s="185"/>
      <c r="C76" s="185"/>
      <c r="D76" s="185"/>
      <c r="E76" s="185"/>
      <c r="F76" s="185"/>
      <c r="G76" s="186"/>
      <c r="H76" s="185"/>
      <c r="Q76" s="3"/>
      <c r="R76" s="3"/>
      <c r="S76" s="3"/>
      <c r="T76" s="3"/>
      <c r="U76" s="3"/>
      <c r="V76" s="3"/>
      <c r="W76" s="3"/>
    </row>
    <row r="77" spans="1:24" ht="15" customHeight="1">
      <c r="A77" s="1" t="s">
        <v>707</v>
      </c>
      <c r="B77" s="185">
        <f>+'NEW-Tables 80-86'!B16+'NEW-Tables 80-86'!B46</f>
        <v>89146.304166666669</v>
      </c>
      <c r="C77" s="185">
        <f>+'NEW-Tables 80-86'!D16+'NEW-Tables 80-86'!C46</f>
        <v>32846.436499999996</v>
      </c>
      <c r="D77" s="185">
        <f>+'NEW-Tables 80-86'!F16+'NEW-Tables 80-86'!D46</f>
        <v>80768.150000000009</v>
      </c>
      <c r="E77" s="185">
        <f>+'NEW-Tables 80-86'!H16+'NEW-Tables 80-86'!E46</f>
        <v>50832.983333333337</v>
      </c>
      <c r="F77" s="185">
        <f>+'NEW-Tables 80-86'!J16+'NEW-Tables 80-86'!F46</f>
        <v>12613.391666666668</v>
      </c>
      <c r="G77" s="186">
        <f>+'NEW-Tables 80-86'!L16+'NEW-Tables 80-86'!G46</f>
        <v>22397.8</v>
      </c>
      <c r="H77" s="185">
        <f>+'NEW-Tables 80-86'!N16+'NEW-Tables 80-86'!H46</f>
        <v>288605.0656666666</v>
      </c>
      <c r="Q77" s="3">
        <f>+GETPIVOTDATA("Sum of Old Grand Total FTE",'FTE Pivot for regular counts'!$A$2,"State","GA","Category",1,"Category2","Four-Year")</f>
        <v>88370.833333333343</v>
      </c>
      <c r="R77" s="3">
        <f>+GETPIVOTDATA("Sum of Old Grand Total FTE",'FTE Pivot for regular counts'!$A$2,"State","GA","Category",2,"Category2","Four-Year")</f>
        <v>30866.980166666668</v>
      </c>
      <c r="S77" s="3">
        <f>+GETPIVOTDATA("Sum of Old Grand Total FTE",'FTE Pivot for regular counts'!$A$2,"State","GA","Category",3,"Category2","Four-Year")</f>
        <v>77713.362500000003</v>
      </c>
      <c r="T77" s="3">
        <f>+GETPIVOTDATA("Sum of Old Grand Total FTE",'FTE Pivot for regular counts'!$A$2,"State","GA","Category",4,"Category2","Four-Year")</f>
        <v>50227</v>
      </c>
      <c r="U77" s="3">
        <f>+GETPIVOTDATA("Sum of Old Grand Total FTE",'FTE Pivot for regular counts'!$A$2,"State","GA","Category",5,"Category2","Four-Year")</f>
        <v>12535.125</v>
      </c>
      <c r="V77" s="3">
        <f>+GETPIVOTDATA("Sum of Old Grand Total FTE",'FTE Pivot for regular counts'!$A$2,"State","GA","Category",6,"Category2","Four-Year")</f>
        <v>23159.100000000002</v>
      </c>
      <c r="W77" s="3">
        <f>+GETPIVOTDATA("Sum of Old Grand Total FTE",'FTE Pivot for regular counts'!$A$2,"State","GA","Category2","Four-Year")</f>
        <v>282872.40100000001</v>
      </c>
      <c r="X77" s="1" t="s">
        <v>707</v>
      </c>
    </row>
    <row r="78" spans="1:24" ht="15" customHeight="1">
      <c r="A78" s="1" t="s">
        <v>708</v>
      </c>
      <c r="B78" s="185">
        <f>+'NEW-Tables 80-86'!B17+'NEW-Tables 80-86'!B47</f>
        <v>40266.991666666669</v>
      </c>
      <c r="C78" s="185">
        <f>+'NEW-Tables 80-86'!D17+'NEW-Tables 80-86'!C47</f>
        <v>0</v>
      </c>
      <c r="D78" s="185">
        <f>+'NEW-Tables 80-86'!F17+'NEW-Tables 80-86'!D47</f>
        <v>52954.166666666664</v>
      </c>
      <c r="E78" s="185">
        <f>+'NEW-Tables 80-86'!H17+'NEW-Tables 80-86'!E47</f>
        <v>1733.5166666666667</v>
      </c>
      <c r="F78" s="185">
        <f>+'NEW-Tables 80-86'!J17+'NEW-Tables 80-86'!F47</f>
        <v>0</v>
      </c>
      <c r="G78" s="186">
        <f>+'NEW-Tables 80-86'!L17+'NEW-Tables 80-86'!G47</f>
        <v>0</v>
      </c>
      <c r="H78" s="185">
        <f>+'NEW-Tables 80-86'!N17+'NEW-Tables 80-86'!H47</f>
        <v>94954.675000000003</v>
      </c>
      <c r="Q78" s="3">
        <f>+GETPIVOTDATA("Sum of Old Grand Total FTE",'FTE Pivot for regular counts'!$A$2,"State","KY","Category",1,"Category2","Four-Year")</f>
        <v>39244.04583333333</v>
      </c>
      <c r="R78" s="3">
        <f>+GETPIVOTDATA("Sum of Old Grand Total FTE",'FTE Pivot for regular counts'!$A$2,"State","KY","Category",2,"Category2","Four-Year")</f>
        <v>0</v>
      </c>
      <c r="S78" s="3">
        <f>+GETPIVOTDATA("Sum of Old Grand Total FTE",'FTE Pivot for regular counts'!$A$2,"State","KY","Category",3,"Category2","Four-Year")</f>
        <v>49984.27916666666</v>
      </c>
      <c r="T78" s="3">
        <f>+GETPIVOTDATA("Sum of Old Grand Total FTE",'FTE Pivot for regular counts'!$A$2,"State","KY","Category",4,"Category2","Four-Year")</f>
        <v>1529.5749999999998</v>
      </c>
      <c r="U78" s="3">
        <f>+GETPIVOTDATA("Sum of Old Grand Total FTE",'FTE Pivot for regular counts'!$A$2,"State","KY","Category",5,"Category2","Four-Year")</f>
        <v>0</v>
      </c>
      <c r="V78" s="3">
        <f>+GETPIVOTDATA("Sum of Old Grand Total FTE",'FTE Pivot for regular counts'!$A$2,"State","KY","Category",6,"Category2","Four-Year")</f>
        <v>0</v>
      </c>
      <c r="W78" s="3">
        <f>+GETPIVOTDATA("Sum of Old Grand Total FTE",'FTE Pivot for regular counts'!$A$2,"State","KY","Category2","Four-Year")</f>
        <v>90757.89999999998</v>
      </c>
      <c r="X78" s="1" t="s">
        <v>708</v>
      </c>
    </row>
    <row r="79" spans="1:24" ht="15" customHeight="1">
      <c r="A79" s="1" t="s">
        <v>709</v>
      </c>
      <c r="B79" s="185">
        <f>+'NEW-Tables 80-86'!B18+'NEW-Tables 80-86'!B48</f>
        <v>31105.308333333334</v>
      </c>
      <c r="C79" s="185">
        <f>+'NEW-Tables 80-86'!D18+'NEW-Tables 80-86'!C48</f>
        <v>30103.191666666662</v>
      </c>
      <c r="D79" s="185">
        <f>+'NEW-Tables 80-86'!F18+'NEW-Tables 80-86'!D48</f>
        <v>31502.35</v>
      </c>
      <c r="E79" s="185">
        <f>+'NEW-Tables 80-86'!H18+'NEW-Tables 80-86'!E48</f>
        <v>26563.833333333332</v>
      </c>
      <c r="F79" s="185">
        <f>+'NEW-Tables 80-86'!J18+'NEW-Tables 80-86'!F48</f>
        <v>1679.825</v>
      </c>
      <c r="G79" s="186">
        <f>+'NEW-Tables 80-86'!L18+'NEW-Tables 80-86'!G48</f>
        <v>2684.5</v>
      </c>
      <c r="H79" s="185">
        <f>+'NEW-Tables 80-86'!N18+'NEW-Tables 80-86'!H48</f>
        <v>123639.00833333333</v>
      </c>
      <c r="Q79" s="3">
        <f>+GETPIVOTDATA("Sum of Old Grand Total FTE",'FTE Pivot for regular counts'!$A$2,"State","LA","Category",1,"Category2","Four-Year")</f>
        <v>29383.379166666666</v>
      </c>
      <c r="R79" s="3">
        <f>+GETPIVOTDATA("Sum of Old Grand Total FTE",'FTE Pivot for regular counts'!$A$2,"State","LA","Category",2,"Category2","Four-Year")</f>
        <v>30798.76666666667</v>
      </c>
      <c r="S79" s="3">
        <f>+GETPIVOTDATA("Sum of Old Grand Total FTE",'FTE Pivot for regular counts'!$A$2,"State","LA","Category",3,"Category2","Four-Year")</f>
        <v>31697.058333333334</v>
      </c>
      <c r="T79" s="3">
        <f>+GETPIVOTDATA("Sum of Old Grand Total FTE",'FTE Pivot for regular counts'!$A$2,"State","LA","Category",4,"Category2","Four-Year")</f>
        <v>25173.474999999999</v>
      </c>
      <c r="U79" s="3">
        <f>+GETPIVOTDATA("Sum of Old Grand Total FTE",'FTE Pivot for regular counts'!$A$2,"State","LA","Category",5,"Category2","Four-Year")</f>
        <v>1912.3166666666666</v>
      </c>
      <c r="V79" s="3">
        <f>+GETPIVOTDATA("Sum of Old Grand Total FTE",'FTE Pivot for regular counts'!$A$2,"State","LA","Category",6,"Category2","Four-Year")</f>
        <v>2500.3333333333335</v>
      </c>
      <c r="W79" s="3">
        <f>+GETPIVOTDATA("Sum of Old Grand Total FTE",'FTE Pivot for regular counts'!$A$2,"State","LA","Category2","Four-Year")</f>
        <v>121465.32916666666</v>
      </c>
      <c r="X79" s="1" t="s">
        <v>709</v>
      </c>
    </row>
    <row r="80" spans="1:24" ht="15" customHeight="1">
      <c r="A80" s="1" t="s">
        <v>710</v>
      </c>
      <c r="B80" s="185">
        <f>+'NEW-Tables 80-86'!B19+'NEW-Tables 80-86'!B49</f>
        <v>35685.324999999997</v>
      </c>
      <c r="C80" s="185">
        <f>+'NEW-Tables 80-86'!D19+'NEW-Tables 80-86'!C49</f>
        <v>19134.533333333333</v>
      </c>
      <c r="D80" s="185">
        <f>+'NEW-Tables 80-86'!F19+'NEW-Tables 80-86'!D49</f>
        <v>22864.895833333336</v>
      </c>
      <c r="E80" s="185">
        <f>+'NEW-Tables 80-86'!H19+'NEW-Tables 80-86'!E49</f>
        <v>20494.629166666666</v>
      </c>
      <c r="F80" s="185">
        <f>+'NEW-Tables 80-86'!J19+'NEW-Tables 80-86'!F49</f>
        <v>2030.0333333333333</v>
      </c>
      <c r="G80" s="186">
        <f>+'NEW-Tables 80-86'!L19+'NEW-Tables 80-86'!G49</f>
        <v>1584.0916666666667</v>
      </c>
      <c r="H80" s="185">
        <f>+'NEW-Tables 80-86'!N19+'NEW-Tables 80-86'!H49</f>
        <v>101793.50833333332</v>
      </c>
      <c r="Q80" s="3">
        <f>+GETPIVOTDATA("Sum of Old Grand Total FTE",'FTE Pivot for regular counts'!$A$2,"State","MD","Category",1,"Category2","Four-Year")</f>
        <v>35492.041666666664</v>
      </c>
      <c r="R80" s="3">
        <f>+GETPIVOTDATA("Sum of Old Grand Total FTE",'FTE Pivot for regular counts'!$A$2,"State","MD","Category",2,"Category2","Four-Year")</f>
        <v>19102.983333333334</v>
      </c>
      <c r="S80" s="3">
        <f>+GETPIVOTDATA("Sum of Old Grand Total FTE",'FTE Pivot for regular counts'!$A$2,"State","MD","Category",3,"Category2","Four-Year")</f>
        <v>23509.320833333331</v>
      </c>
      <c r="T80" s="3">
        <f>+GETPIVOTDATA("Sum of Old Grand Total FTE",'FTE Pivot for regular counts'!$A$2,"State","MD","Category",4,"Category2","Four-Year")</f>
        <v>21090.987500000003</v>
      </c>
      <c r="U80" s="3">
        <f>+GETPIVOTDATA("Sum of Old Grand Total FTE",'FTE Pivot for regular counts'!$A$2,"State","MD","Category",5,"Category2","Four-Year")</f>
        <v>2200.1583333333333</v>
      </c>
      <c r="V80" s="3">
        <f>+GETPIVOTDATA("Sum of Old Grand Total FTE",'FTE Pivot for regular counts'!$A$2,"State","MD","Category",6,"Category2","Four-Year")</f>
        <v>1608.8166666666666</v>
      </c>
      <c r="W80" s="3">
        <f>+GETPIVOTDATA("Sum of Old Grand Total FTE",'FTE Pivot for regular counts'!$A$2,"State","MD","Category2","Four-Year")</f>
        <v>103004.30833333333</v>
      </c>
      <c r="X80" s="1" t="s">
        <v>710</v>
      </c>
    </row>
    <row r="81" spans="1:26" ht="15" customHeight="1">
      <c r="B81" s="185"/>
      <c r="C81" s="185"/>
      <c r="D81" s="185"/>
      <c r="E81" s="185"/>
      <c r="F81" s="185"/>
      <c r="G81" s="186"/>
      <c r="H81" s="185"/>
      <c r="Q81" s="3"/>
      <c r="R81" s="3"/>
      <c r="S81" s="3"/>
      <c r="T81" s="3"/>
      <c r="U81" s="3"/>
      <c r="V81" s="3"/>
      <c r="W81" s="3"/>
    </row>
    <row r="82" spans="1:26" ht="15" customHeight="1">
      <c r="A82" s="1" t="s">
        <v>711</v>
      </c>
      <c r="B82" s="185">
        <f>+'NEW-Tables 80-86'!B21+'NEW-Tables 80-86'!B51</f>
        <v>53900.066666666673</v>
      </c>
      <c r="C82" s="185">
        <f>+'NEW-Tables 80-86'!D21+'NEW-Tables 80-86'!C51</f>
        <v>5845.0749999999998</v>
      </c>
      <c r="D82" s="185">
        <f>+'NEW-Tables 80-86'!F21+'NEW-Tables 80-86'!D51</f>
        <v>0</v>
      </c>
      <c r="E82" s="185">
        <f>+'NEW-Tables 80-86'!H21+'NEW-Tables 80-86'!E51</f>
        <v>10234.908333333335</v>
      </c>
      <c r="F82" s="185">
        <f>+'NEW-Tables 80-86'!J21+'NEW-Tables 80-86'!F51</f>
        <v>0</v>
      </c>
      <c r="G82" s="186">
        <f>+'NEW-Tables 80-86'!L21+'NEW-Tables 80-86'!G51</f>
        <v>0</v>
      </c>
      <c r="H82" s="185">
        <f>+'NEW-Tables 80-86'!N21+'NEW-Tables 80-86'!H51</f>
        <v>69980.05</v>
      </c>
      <c r="Q82" s="3">
        <f>+GETPIVOTDATA("Sum of Old Grand Total FTE",'FTE Pivot for regular counts'!$A$2,"State","MS","Category",1,"Category2","Four-Year")</f>
        <v>53948.041666666664</v>
      </c>
      <c r="R82" s="3">
        <f>+GETPIVOTDATA("Sum of Old Grand Total FTE",'FTE Pivot for regular counts'!$A$2,"State","MS","Category",2,"Category2","Four-Year")</f>
        <v>5977.7416666666668</v>
      </c>
      <c r="S82" s="3">
        <f>+GETPIVOTDATA("Sum of Old Grand Total FTE",'FTE Pivot for regular counts'!$A$2,"State","MS","Category",3,"Category2","Four-Year")</f>
        <v>0</v>
      </c>
      <c r="T82" s="3">
        <f>+GETPIVOTDATA("Sum of Old Grand Total FTE",'FTE Pivot for regular counts'!$A$2,"State","MS","Category",4,"Category2","Four-Year")</f>
        <v>10868.360833333334</v>
      </c>
      <c r="U82" s="3">
        <f>+GETPIVOTDATA("Sum of Old Grand Total FTE",'FTE Pivot for regular counts'!$A$2,"State","MS","Category",5,"Category2","Four-Year")</f>
        <v>0</v>
      </c>
      <c r="V82" s="3">
        <f>+GETPIVOTDATA("Sum of Old Grand Total FTE",'FTE Pivot for regular counts'!$A$2,"State","MS","Category",6,"Category2","Four-Year")</f>
        <v>0</v>
      </c>
      <c r="W82" s="3">
        <f>+GETPIVOTDATA("Sum of Old Grand Total FTE",'FTE Pivot for regular counts'!$A$2,"State","MS","Category2","Four-Year")</f>
        <v>70794.144166666665</v>
      </c>
      <c r="X82" s="1" t="s">
        <v>711</v>
      </c>
    </row>
    <row r="83" spans="1:26" ht="15" customHeight="1">
      <c r="A83" s="1" t="s">
        <v>712</v>
      </c>
      <c r="B83" s="185">
        <f>+'NEW-Tables 80-86'!B22+'NEW-Tables 80-86'!B52</f>
        <v>103197.86458333333</v>
      </c>
      <c r="C83" s="185">
        <f>+'NEW-Tables 80-86'!D22+'NEW-Tables 80-86'!C52</f>
        <v>24834.025000000001</v>
      </c>
      <c r="D83" s="185">
        <f>+'NEW-Tables 80-86'!F22+'NEW-Tables 80-86'!D52</f>
        <v>65672.225000000006</v>
      </c>
      <c r="E83" s="185">
        <f>+'NEW-Tables 80-86'!H22+'NEW-Tables 80-86'!E52</f>
        <v>5735.1416666666664</v>
      </c>
      <c r="F83" s="185">
        <f>+'NEW-Tables 80-86'!J22+'NEW-Tables 80-86'!F52</f>
        <v>11954.533333333335</v>
      </c>
      <c r="G83" s="186">
        <f>+'NEW-Tables 80-86'!L22+'NEW-Tables 80-86'!G52</f>
        <v>4962.7916666666661</v>
      </c>
      <c r="H83" s="185">
        <f>+'NEW-Tables 80-86'!N22+'NEW-Tables 80-86'!H52</f>
        <v>216356.58124999999</v>
      </c>
      <c r="Q83" s="3">
        <f>+GETPIVOTDATA("Sum of Old Grand Total FTE",'FTE Pivot for regular counts'!$A$2,"State","NC","Category",1,"Category2","Four-Year")</f>
        <v>102304.58749999999</v>
      </c>
      <c r="R83" s="3">
        <f>+GETPIVOTDATA("Sum of Old Grand Total FTE",'FTE Pivot for regular counts'!$A$2,"State","NC","Category",2,"Category2","Four-Year")</f>
        <v>25007.441666666666</v>
      </c>
      <c r="S83" s="3">
        <f>+GETPIVOTDATA("Sum of Old Grand Total FTE",'FTE Pivot for regular counts'!$A$2,"State","NC","Category",3,"Category2","Four-Year")</f>
        <v>64427.916666666672</v>
      </c>
      <c r="T83" s="3">
        <f>+GETPIVOTDATA("Sum of Old Grand Total FTE",'FTE Pivot for regular counts'!$A$2,"State","NC","Category",4,"Category2","Four-Year")</f>
        <v>5601.25</v>
      </c>
      <c r="U83" s="3">
        <f>+GETPIVOTDATA("Sum of Old Grand Total FTE",'FTE Pivot for regular counts'!$A$2,"State","NC","Category",5,"Category2","Four-Year")</f>
        <v>11477.666666666668</v>
      </c>
      <c r="V83" s="3">
        <f>+GETPIVOTDATA("Sum of Old Grand Total FTE",'FTE Pivot for regular counts'!$A$2,"State","NC","Category",6,"Category2","Four-Year")</f>
        <v>4904.541666666667</v>
      </c>
      <c r="W83" s="3">
        <f>+GETPIVOTDATA("Sum of Old Grand Total FTE",'FTE Pivot for regular counts'!$A$2,"State","NC","Category2","Four-Year")</f>
        <v>213723.40416666665</v>
      </c>
      <c r="X83" s="1" t="s">
        <v>712</v>
      </c>
    </row>
    <row r="84" spans="1:26" ht="15" customHeight="1">
      <c r="A84" s="1" t="s">
        <v>713</v>
      </c>
      <c r="B84" s="185">
        <f>+'NEW-Tables 80-86'!B23+'NEW-Tables 80-86'!B53</f>
        <v>0</v>
      </c>
      <c r="C84" s="185">
        <f>+'NEW-Tables 80-86'!D23+'NEW-Tables 80-86'!C53</f>
        <v>0</v>
      </c>
      <c r="D84" s="185">
        <f>+'NEW-Tables 80-86'!F23+'NEW-Tables 80-86'!D53</f>
        <v>0</v>
      </c>
      <c r="E84" s="185">
        <f>+'NEW-Tables 80-86'!H23+'NEW-Tables 80-86'!E53</f>
        <v>0</v>
      </c>
      <c r="F84" s="185">
        <f>+'NEW-Tables 80-86'!J23+'NEW-Tables 80-86'!F53</f>
        <v>0</v>
      </c>
      <c r="G84" s="186">
        <f>+'NEW-Tables 80-86'!L23+'NEW-Tables 80-86'!G53</f>
        <v>0</v>
      </c>
      <c r="H84" s="185">
        <f>+'NEW-Tables 80-86'!N23+'NEW-Tables 80-86'!H53</f>
        <v>0</v>
      </c>
      <c r="Q84" s="3">
        <f>+GETPIVOTDATA("Sum of Old Grand Total FTE",'FTE Pivot for regular counts'!$A$2,"State","OK","Category",1,"Category2","Four-Year")</f>
        <v>0</v>
      </c>
      <c r="R84" s="3">
        <f>+GETPIVOTDATA("Sum of Old Grand Total FTE",'FTE Pivot for regular counts'!$A$2,"State","OK","Category",2,"Category2","Four-Year")</f>
        <v>0</v>
      </c>
      <c r="S84" s="3">
        <f>+GETPIVOTDATA("Sum of Old Grand Total FTE",'FTE Pivot for regular counts'!$A$2,"State","OK","Category",3,"Category2","Four-Year")</f>
        <v>0</v>
      </c>
      <c r="T84" s="3">
        <f>+GETPIVOTDATA("Sum of Old Grand Total FTE",'FTE Pivot for regular counts'!$A$2,"State","OK","Category",4,"Category2","Four-Year")</f>
        <v>0</v>
      </c>
      <c r="U84" s="3">
        <f>+GETPIVOTDATA("Sum of Old Grand Total FTE",'FTE Pivot for regular counts'!$A$2,"State","OK","Category",5,"Category2","Four-Year")</f>
        <v>0</v>
      </c>
      <c r="V84" s="3">
        <f>+GETPIVOTDATA("Sum of Old Grand Total FTE",'FTE Pivot for regular counts'!$A$2,"State","OK","Category",6,"Category2","Four-Year")</f>
        <v>0</v>
      </c>
      <c r="W84" s="3">
        <f>+GETPIVOTDATA("Sum of Old Grand Total FTE",'FTE Pivot for regular counts'!$A$2,"State","OK","Category2","Four-Year")</f>
        <v>0</v>
      </c>
      <c r="X84" s="1" t="s">
        <v>713</v>
      </c>
    </row>
    <row r="85" spans="1:26" ht="15" customHeight="1">
      <c r="A85" s="1" t="s">
        <v>714</v>
      </c>
      <c r="B85" s="185">
        <f>+'NEW-Tables 80-86'!B24+'NEW-Tables 80-86'!B54</f>
        <v>60640.558333333334</v>
      </c>
      <c r="C85" s="185">
        <f>+'NEW-Tables 80-86'!D24+'NEW-Tables 80-86'!C54</f>
        <v>0</v>
      </c>
      <c r="D85" s="185">
        <f>+'NEW-Tables 80-86'!F24+'NEW-Tables 80-86'!D54</f>
        <v>19131.3</v>
      </c>
      <c r="E85" s="185">
        <f>+'NEW-Tables 80-86'!H24+'NEW-Tables 80-86'!E54</f>
        <v>9974.9249999999993</v>
      </c>
      <c r="F85" s="185">
        <f>+'NEW-Tables 80-86'!J24+'NEW-Tables 80-86'!F54</f>
        <v>5700.0333333333328</v>
      </c>
      <c r="G85" s="186">
        <f>+'NEW-Tables 80-86'!L24+'NEW-Tables 80-86'!G54</f>
        <v>13644.333333333334</v>
      </c>
      <c r="H85" s="185">
        <f>+'NEW-Tables 80-86'!N24+'NEW-Tables 80-86'!H54</f>
        <v>109091.15</v>
      </c>
      <c r="Q85" s="3">
        <f>+GETPIVOTDATA("Sum of Old Grand Total FTE",'FTE Pivot for regular counts'!$A$2,"State","SC","Category",1,"Category2","Four-Year")</f>
        <v>59272.23333333333</v>
      </c>
      <c r="R85" s="3">
        <f>+GETPIVOTDATA("Sum of Old Grand Total FTE",'FTE Pivot for regular counts'!$A$2,"State","SC","Category",2,"Category2","Four-Year")</f>
        <v>0</v>
      </c>
      <c r="S85" s="3">
        <f>+GETPIVOTDATA("Sum of Old Grand Total FTE",'FTE Pivot for regular counts'!$A$2,"State","SC","Category",3,"Category2","Four-Year")</f>
        <v>19317.175000000003</v>
      </c>
      <c r="T85" s="3">
        <f>+GETPIVOTDATA("Sum of Old Grand Total FTE",'FTE Pivot for regular counts'!$A$2,"State","SC","Category",4,"Category2","Four-Year")</f>
        <v>10231.433333333332</v>
      </c>
      <c r="U85" s="3">
        <f>+GETPIVOTDATA("Sum of Old Grand Total FTE",'FTE Pivot for regular counts'!$A$2,"State","SC","Category",5,"Category2","Four-Year")</f>
        <v>5753.4833333333336</v>
      </c>
      <c r="V85" s="3">
        <f>+GETPIVOTDATA("Sum of Old Grand Total FTE",'FTE Pivot for regular counts'!$A$2,"State","SC","Category",6,"Category2","Four-Year")</f>
        <v>13540.625</v>
      </c>
      <c r="W85" s="3">
        <f>+GETPIVOTDATA("Sum of Old Grand Total FTE",'FTE Pivot for regular counts'!$A$2,"State","SC","Category2","Four-Year")</f>
        <v>108114.95</v>
      </c>
      <c r="X85" s="1" t="s">
        <v>714</v>
      </c>
    </row>
    <row r="86" spans="1:26" ht="15" customHeight="1">
      <c r="B86" s="185"/>
      <c r="C86" s="185"/>
      <c r="D86" s="185"/>
      <c r="E86" s="185"/>
      <c r="F86" s="185"/>
      <c r="G86" s="186"/>
      <c r="H86" s="185"/>
      <c r="Q86" s="3"/>
      <c r="R86" s="3"/>
      <c r="S86" s="3"/>
      <c r="T86" s="3"/>
      <c r="U86" s="3"/>
      <c r="V86" s="3"/>
      <c r="W86" s="3"/>
    </row>
    <row r="87" spans="1:26" ht="15" customHeight="1">
      <c r="A87" s="1" t="s">
        <v>715</v>
      </c>
      <c r="B87" s="185">
        <f>+'NEW-Tables 80-86'!B26+'NEW-Tables 80-86'!B56</f>
        <v>44857.108333333337</v>
      </c>
      <c r="C87" s="185">
        <f>+'NEW-Tables 80-86'!D26+'NEW-Tables 80-86'!C56</f>
        <v>37241.091666666667</v>
      </c>
      <c r="D87" s="185">
        <f>+'NEW-Tables 80-86'!F26+'NEW-Tables 80-86'!D56</f>
        <v>28621.250000000004</v>
      </c>
      <c r="E87" s="185">
        <f>+'NEW-Tables 80-86'!H26+'NEW-Tables 80-86'!E56</f>
        <v>5876.0916666666672</v>
      </c>
      <c r="F87" s="185">
        <f>+'NEW-Tables 80-86'!J26+'NEW-Tables 80-86'!F56</f>
        <v>0</v>
      </c>
      <c r="G87" s="186">
        <f>+'NEW-Tables 80-86'!L26+'NEW-Tables 80-86'!G56</f>
        <v>0</v>
      </c>
      <c r="H87" s="185">
        <f>+'NEW-Tables 80-86'!N26+'NEW-Tables 80-86'!H56</f>
        <v>116595.54166666669</v>
      </c>
      <c r="J87" s="1" t="s">
        <v>729</v>
      </c>
      <c r="Q87" s="3">
        <f>+GETPIVOTDATA("Sum of Old Grand Total FTE",'FTE Pivot for regular counts'!$A$2,"State","TN","Category",1,"Category2","Four-Year")</f>
        <v>43350.716666666667</v>
      </c>
      <c r="R87" s="3">
        <f>+GETPIVOTDATA("Sum of Old Grand Total FTE",'FTE Pivot for regular counts'!$A$2,"State","TN","Category",2,"Category2","Four-Year")</f>
        <v>37553.199999999997</v>
      </c>
      <c r="S87" s="3">
        <f>+GETPIVOTDATA("Sum of Old Grand Total FTE",'FTE Pivot for regular counts'!$A$2,"State","TN","Category",3,"Category2","Four-Year")</f>
        <v>28721.816666666666</v>
      </c>
      <c r="T87" s="3">
        <f>+GETPIVOTDATA("Sum of Old Grand Total FTE",'FTE Pivot for regular counts'!$A$2,"State","TN","Category",4,"Category2","Four-Year")</f>
        <v>5730.05</v>
      </c>
      <c r="U87" s="3">
        <f>+GETPIVOTDATA("Sum of Old Grand Total FTE",'FTE Pivot for regular counts'!$A$2,"State","TN","Category",5,"Category2","Four-Year")</f>
        <v>0</v>
      </c>
      <c r="V87" s="3">
        <f>+GETPIVOTDATA("Sum of Old Grand Total FTE",'FTE Pivot for regular counts'!$A$2,"State","TN","Category",6,"Category2","Four-Year")</f>
        <v>0</v>
      </c>
      <c r="W87" s="3">
        <f>+GETPIVOTDATA("Sum of Old Grand Total FTE",'FTE Pivot for regular counts'!$A$2,"State","TN","Category2","Four-Year")</f>
        <v>115355.78333333333</v>
      </c>
      <c r="X87" s="1" t="s">
        <v>715</v>
      </c>
    </row>
    <row r="88" spans="1:26" ht="15" customHeight="1">
      <c r="A88" s="1" t="s">
        <v>716</v>
      </c>
      <c r="B88" s="185">
        <f>+'NEW-Tables 80-86'!B27+'NEW-Tables 80-86'!B57</f>
        <v>300801.43333333329</v>
      </c>
      <c r="C88" s="185">
        <f>+'NEW-Tables 80-86'!D27+'NEW-Tables 80-86'!C57</f>
        <v>64355.558333333342</v>
      </c>
      <c r="D88" s="185">
        <f>+'NEW-Tables 80-86'!F27+'NEW-Tables 80-86'!D57</f>
        <v>167842.61666666667</v>
      </c>
      <c r="E88" s="185">
        <f>+'NEW-Tables 80-86'!H27+'NEW-Tables 80-86'!E57</f>
        <v>24458.466666666667</v>
      </c>
      <c r="F88" s="185">
        <f>+'NEW-Tables 80-86'!J27+'NEW-Tables 80-86'!F57</f>
        <v>2349.1083333333331</v>
      </c>
      <c r="G88" s="186">
        <f>+'NEW-Tables 80-86'!L27+'NEW-Tables 80-86'!G57</f>
        <v>0</v>
      </c>
      <c r="H88" s="185">
        <f>+'NEW-Tables 80-86'!N27+'NEW-Tables 80-86'!H57</f>
        <v>559807.18333333335</v>
      </c>
      <c r="Q88" s="3">
        <f>+GETPIVOTDATA("Sum of Old Grand Total FTE",'FTE Pivot for regular counts'!$A$2,"State","TX","Category",1,"Category2","Four-Year")</f>
        <v>290969.7416666667</v>
      </c>
      <c r="R88" s="3">
        <f>+GETPIVOTDATA("Sum of Old Grand Total FTE",'FTE Pivot for regular counts'!$A$2,"State","TX","Category",2,"Category2","Four-Year")</f>
        <v>63920.274999999994</v>
      </c>
      <c r="S88" s="3">
        <f>+GETPIVOTDATA("Sum of Old Grand Total FTE",'FTE Pivot for regular counts'!$A$2,"State","TX","Category",3,"Category2","Four-Year")</f>
        <v>165900.62500000003</v>
      </c>
      <c r="T88" s="3">
        <f>+GETPIVOTDATA("Sum of Old Grand Total FTE",'FTE Pivot for regular counts'!$A$2,"State","TX","Category",4,"Category2","Four-Year")</f>
        <v>22781.625</v>
      </c>
      <c r="U88" s="3">
        <f>+GETPIVOTDATA("Sum of Old Grand Total FTE",'FTE Pivot for regular counts'!$A$2,"State","TX","Category",5,"Category2","Four-Year")</f>
        <v>2427.2833333333333</v>
      </c>
      <c r="V88" s="3">
        <f>+GETPIVOTDATA("Sum of Old Grand Total FTE",'FTE Pivot for regular counts'!$A$2,"State","TX","Category",6,"Category2","Four-Year")</f>
        <v>0</v>
      </c>
      <c r="W88" s="3">
        <f>+GETPIVOTDATA("Sum of Old Grand Total FTE",'FTE Pivot for regular counts'!$A$2,"State","TX","Category2","Four-Year")</f>
        <v>545999.55000000005</v>
      </c>
      <c r="X88" s="1" t="s">
        <v>716</v>
      </c>
    </row>
    <row r="89" spans="1:26" ht="15" customHeight="1">
      <c r="A89" s="1" t="s">
        <v>717</v>
      </c>
      <c r="B89" s="185">
        <f>+'NEW-Tables 80-86'!B28+'NEW-Tables 80-86'!B58</f>
        <v>140599.49166666667</v>
      </c>
      <c r="C89" s="185">
        <f>+'NEW-Tables 80-86'!D28+'NEW-Tables 80-86'!C58</f>
        <v>8675.5725000000002</v>
      </c>
      <c r="D89" s="185">
        <f>+'NEW-Tables 80-86'!F28+'NEW-Tables 80-86'!D58</f>
        <v>34179.674999999996</v>
      </c>
      <c r="E89" s="185">
        <f>+'NEW-Tables 80-86'!H28+'NEW-Tables 80-86'!E58</f>
        <v>4913.1083333333336</v>
      </c>
      <c r="F89" s="185">
        <f>+'NEW-Tables 80-86'!J28+'NEW-Tables 80-86'!F58</f>
        <v>13072.95</v>
      </c>
      <c r="G89" s="186">
        <f>+'NEW-Tables 80-86'!L28+'NEW-Tables 80-86'!G58</f>
        <v>1527.3666666666666</v>
      </c>
      <c r="H89" s="185">
        <f>+'NEW-Tables 80-86'!N28+'NEW-Tables 80-86'!H58</f>
        <v>202968.16416666668</v>
      </c>
      <c r="Q89" s="3">
        <f>+GETPIVOTDATA("Sum of Old Grand Total FTE",'FTE Pivot for regular counts'!$A$2,"State","VA","Category",1,"Category2","Four-Year")</f>
        <v>138805.59166666667</v>
      </c>
      <c r="R89" s="3">
        <f>+GETPIVOTDATA("Sum of Old Grand Total FTE",'FTE Pivot for regular counts'!$A$2,"State","VA","Category",2,"Category2","Four-Year")</f>
        <v>8633.2416666666668</v>
      </c>
      <c r="S89" s="3">
        <f>+GETPIVOTDATA("Sum of Old Grand Total FTE",'FTE Pivot for regular counts'!$A$2,"State","VA","Category",3,"Category2","Four-Year")</f>
        <v>34465.873333333337</v>
      </c>
      <c r="T89" s="3">
        <f>+GETPIVOTDATA("Sum of Old Grand Total FTE",'FTE Pivot for regular counts'!$A$2,"State","VA","Category",4,"Category2","Four-Year")</f>
        <v>4980.9333333333334</v>
      </c>
      <c r="U89" s="3">
        <f>+GETPIVOTDATA("Sum of Old Grand Total FTE",'FTE Pivot for regular counts'!$A$2,"State","VA","Category",5,"Category2","Four-Year")</f>
        <v>13203.156666666666</v>
      </c>
      <c r="V89" s="3">
        <f>+GETPIVOTDATA("Sum of Old Grand Total FTE",'FTE Pivot for regular counts'!$A$2,"State","VA","Category",6,"Category2","Four-Year")</f>
        <v>1527.6666666666667</v>
      </c>
      <c r="W89" s="3">
        <f>+GETPIVOTDATA("Sum of Old Grand Total FTE",'FTE Pivot for regular counts'!$A$2,"State","VA","Category2","Four-Year")</f>
        <v>201616.46333333332</v>
      </c>
      <c r="X89" s="1" t="s">
        <v>717</v>
      </c>
    </row>
    <row r="90" spans="1:26" ht="15" customHeight="1">
      <c r="A90" s="166" t="s">
        <v>718</v>
      </c>
      <c r="B90" s="188">
        <f>+'NEW-Tables 80-86'!B29+'NEW-Tables 80-86'!B59</f>
        <v>23669.774999999998</v>
      </c>
      <c r="C90" s="188">
        <f>+'NEW-Tables 80-86'!D29+'NEW-Tables 80-86'!C59</f>
        <v>0</v>
      </c>
      <c r="D90" s="188">
        <f>+'NEW-Tables 80-86'!F29+'NEW-Tables 80-86'!D59</f>
        <v>10516.116666666667</v>
      </c>
      <c r="E90" s="188">
        <f>+'NEW-Tables 80-86'!H29+'NEW-Tables 80-86'!E59</f>
        <v>0</v>
      </c>
      <c r="F90" s="188">
        <f>+'NEW-Tables 80-86'!J29+'NEW-Tables 80-86'!F59</f>
        <v>10335.508333333333</v>
      </c>
      <c r="G90" s="189">
        <f>+'NEW-Tables 80-86'!L29+'NEW-Tables 80-86'!G59</f>
        <v>5862.2916666666652</v>
      </c>
      <c r="H90" s="188">
        <f>+'NEW-Tables 80-86'!N29+'NEW-Tables 80-86'!H59</f>
        <v>50383.691666666673</v>
      </c>
      <c r="Q90" s="3">
        <f>+GETPIVOTDATA("Sum of Old Grand Total FTE",'FTE Pivot for regular counts'!$A$2,"State","WV","Category",1,"Category2","Four-Year")</f>
        <v>23962.516666666666</v>
      </c>
      <c r="R90" s="3">
        <f>+GETPIVOTDATA("Sum of Old Grand Total FTE",'FTE Pivot for regular counts'!$A$2,"State","WV","Category",2,"Category2","Four-Year")</f>
        <v>0</v>
      </c>
      <c r="S90" s="3">
        <f>+GETPIVOTDATA("Sum of Old Grand Total FTE",'FTE Pivot for regular counts'!$A$2,"State","WV","Category",3,"Category2","Four-Year")</f>
        <v>10920.15</v>
      </c>
      <c r="T90" s="3">
        <f>+GETPIVOTDATA("Sum of Old Grand Total FTE",'FTE Pivot for regular counts'!$A$2,"State","WV","Category",4,"Category2","Four-Year")</f>
        <v>0</v>
      </c>
      <c r="U90" s="3">
        <f>+GETPIVOTDATA("Sum of Old Grand Total FTE",'FTE Pivot for regular counts'!$A$2,"State","WV","Category",5,"Category2","Four-Year")</f>
        <v>10479.058333333334</v>
      </c>
      <c r="V90" s="3">
        <f>+GETPIVOTDATA("Sum of Old Grand Total FTE",'FTE Pivot for regular counts'!$A$2,"State","WV","Category",6,"Category2","Four-Year")</f>
        <v>6025.1416666666664</v>
      </c>
      <c r="W90" s="3">
        <f>+GETPIVOTDATA("Sum of Old Grand Total FTE",'FTE Pivot for regular counts'!$A$2,"State","WV","Category2","Four-Year")</f>
        <v>51386.866666666669</v>
      </c>
      <c r="X90" s="1" t="s">
        <v>718</v>
      </c>
    </row>
    <row r="91" spans="1:26" ht="42" customHeight="1">
      <c r="A91" s="610" t="s">
        <v>884</v>
      </c>
      <c r="B91" s="610"/>
      <c r="C91" s="610"/>
      <c r="D91" s="610"/>
      <c r="E91" s="610"/>
      <c r="F91" s="610"/>
      <c r="G91" s="610"/>
      <c r="H91" s="610"/>
      <c r="I91" s="159"/>
      <c r="J91" s="159"/>
      <c r="K91" s="159"/>
      <c r="L91" s="159"/>
      <c r="M91" s="159"/>
    </row>
    <row r="92" spans="1:26" ht="10.5" customHeight="1">
      <c r="A92" s="190"/>
      <c r="B92" s="190"/>
      <c r="C92" s="190"/>
      <c r="D92" s="190"/>
      <c r="E92" s="190"/>
      <c r="F92" s="190"/>
      <c r="G92" s="190"/>
      <c r="H92" s="179" t="s">
        <v>880</v>
      </c>
    </row>
    <row r="93" spans="1:26">
      <c r="A93" s="191"/>
      <c r="B93" s="178"/>
      <c r="C93" s="178"/>
      <c r="D93" s="178"/>
      <c r="E93" s="178"/>
      <c r="F93" s="178"/>
      <c r="G93" s="178"/>
      <c r="H93" s="192"/>
    </row>
    <row r="94" spans="1:26" ht="18">
      <c r="A94" s="611" t="s">
        <v>724</v>
      </c>
      <c r="B94" s="611"/>
      <c r="C94" s="611"/>
      <c r="D94" s="611"/>
      <c r="E94" s="611"/>
      <c r="F94" s="611"/>
      <c r="G94" s="611"/>
      <c r="H94" s="611"/>
      <c r="I94" s="611"/>
      <c r="J94" s="611"/>
      <c r="K94" s="200"/>
      <c r="L94" s="200"/>
      <c r="M94" s="200"/>
    </row>
    <row r="95" spans="1:26" ht="15.5">
      <c r="A95" s="120"/>
      <c r="B95" s="120"/>
      <c r="C95" s="120"/>
      <c r="D95" s="120"/>
      <c r="E95" s="120"/>
      <c r="F95" s="120"/>
      <c r="G95" s="120"/>
      <c r="H95" s="120"/>
      <c r="I95" s="120"/>
      <c r="J95" s="120"/>
      <c r="K95" s="120"/>
      <c r="L95" s="120"/>
      <c r="M95" s="120"/>
      <c r="Q95" s="1" t="s">
        <v>683</v>
      </c>
    </row>
    <row r="96" spans="1:26" ht="15.5">
      <c r="A96" s="606" t="s">
        <v>725</v>
      </c>
      <c r="B96" s="606"/>
      <c r="C96" s="606"/>
      <c r="D96" s="606"/>
      <c r="E96" s="606"/>
      <c r="F96" s="606"/>
      <c r="G96" s="606"/>
      <c r="H96" s="606"/>
      <c r="I96" s="606"/>
      <c r="J96" s="606"/>
      <c r="K96" s="201"/>
      <c r="L96" s="201"/>
      <c r="M96" s="201"/>
      <c r="Q96" s="202" t="s">
        <v>725</v>
      </c>
      <c r="R96" s="201"/>
      <c r="S96" s="201"/>
      <c r="T96" s="201"/>
      <c r="U96" s="201"/>
      <c r="V96" s="201"/>
      <c r="W96" s="201"/>
      <c r="X96" s="201"/>
      <c r="Y96" s="201"/>
      <c r="Z96" s="201"/>
    </row>
    <row r="97" spans="1:26" ht="15.5">
      <c r="A97" s="606" t="s">
        <v>869</v>
      </c>
      <c r="B97" s="606"/>
      <c r="C97" s="606"/>
      <c r="D97" s="606"/>
      <c r="E97" s="606"/>
      <c r="F97" s="606"/>
      <c r="G97" s="606"/>
      <c r="H97" s="606"/>
      <c r="I97" s="606"/>
      <c r="J97" s="606"/>
      <c r="K97" s="201"/>
      <c r="L97" s="201"/>
      <c r="M97" s="201"/>
      <c r="Q97" s="202" t="s">
        <v>726</v>
      </c>
      <c r="R97" s="201"/>
      <c r="S97" s="201"/>
      <c r="T97" s="201"/>
      <c r="U97" s="201"/>
      <c r="V97" s="201"/>
      <c r="W97" s="201"/>
      <c r="X97" s="201"/>
      <c r="Y97" s="201"/>
      <c r="Z97" s="201"/>
    </row>
    <row r="98" spans="1:26">
      <c r="Q98" s="203"/>
    </row>
    <row r="99" spans="1:26" ht="15" customHeight="1">
      <c r="A99" s="204"/>
      <c r="B99" s="205" t="s">
        <v>727</v>
      </c>
      <c r="C99" s="205"/>
      <c r="D99" s="126"/>
      <c r="E99" s="126"/>
      <c r="F99" s="206"/>
      <c r="G99" s="207" t="s">
        <v>728</v>
      </c>
      <c r="H99" s="127"/>
      <c r="I99" s="208"/>
      <c r="K99" s="119" t="s">
        <v>729</v>
      </c>
      <c r="L99" s="119"/>
      <c r="M99" s="119"/>
      <c r="Q99" s="204"/>
      <c r="R99" s="205" t="s">
        <v>727</v>
      </c>
      <c r="S99" s="205"/>
      <c r="T99" s="126"/>
      <c r="U99" s="126"/>
      <c r="V99" s="206"/>
      <c r="W99" s="209" t="s">
        <v>728</v>
      </c>
      <c r="X99" s="210"/>
      <c r="Y99" s="211"/>
      <c r="Z99" s="119" t="s">
        <v>729</v>
      </c>
    </row>
    <row r="100" spans="1:26" ht="23.5">
      <c r="A100" s="129"/>
      <c r="B100" s="212" t="s">
        <v>730</v>
      </c>
      <c r="C100" s="183">
        <v>1</v>
      </c>
      <c r="D100" s="183">
        <v>2</v>
      </c>
      <c r="E100" s="183">
        <v>3</v>
      </c>
      <c r="F100" s="213" t="s">
        <v>687</v>
      </c>
      <c r="G100" s="214">
        <v>1</v>
      </c>
      <c r="H100" s="215">
        <v>2</v>
      </c>
      <c r="I100" s="183" t="s">
        <v>687</v>
      </c>
      <c r="K100" s="216"/>
      <c r="L100" s="216"/>
      <c r="M100" s="216"/>
      <c r="Q100" s="129"/>
      <c r="R100" s="212" t="s">
        <v>730</v>
      </c>
      <c r="S100" s="183">
        <v>1</v>
      </c>
      <c r="T100" s="183">
        <v>2</v>
      </c>
      <c r="U100" s="183">
        <v>3</v>
      </c>
      <c r="V100" s="213" t="s">
        <v>687</v>
      </c>
      <c r="W100" s="214">
        <v>1</v>
      </c>
      <c r="X100" s="215">
        <v>2</v>
      </c>
      <c r="Y100" s="183" t="s">
        <v>687</v>
      </c>
      <c r="Z100" s="216"/>
    </row>
    <row r="101" spans="1:26" ht="15" customHeight="1">
      <c r="A101" s="1" t="s">
        <v>695</v>
      </c>
      <c r="B101" s="159">
        <f>+GETPIVOTDATA("Sum of New-Total Undg SCH FTE",'FTE Pivot for regular counts'!$A$2,"Category","7","Category2","Two-Year")</f>
        <v>299893.63333333336</v>
      </c>
      <c r="C101" s="159">
        <f>+GETPIVOTDATA("Sum of New-Total Undg SCH FTE",'FTE Pivot for regular counts'!$A$2,"Category","8","Category2","Two-Year")</f>
        <v>634589.45000000007</v>
      </c>
      <c r="D101" s="159">
        <f>+GETPIVOTDATA("Sum of New-Total Undg SCH FTE",'FTE Pivot for regular counts'!$A$2,"Category",9,"Category2","Two-Year")</f>
        <v>292519.89000000007</v>
      </c>
      <c r="E101" s="159">
        <f>+GETPIVOTDATA("Sum of New-Total Undg SCH FTE",'FTE Pivot for regular counts'!$A$2,"Category","10","Category2","Two-Year")</f>
        <v>131849.55833333335</v>
      </c>
      <c r="F101" s="217">
        <f>+GETPIVOTDATA("Sum of New-Total Undg SCH FTE",'FTE Pivot for regular counts'!$A$2,"Category2","Two-Year")</f>
        <v>1358852.5316666667</v>
      </c>
      <c r="G101" s="218">
        <f>+GETPIVOTDATA("Sum of New-Total Undg SCH FTE",'FTE Pivot for regular counts'!$A$2,"Category","12","Category2","Technical")</f>
        <v>79029.083333333343</v>
      </c>
      <c r="H101" s="159">
        <f>+GETPIVOTDATA("Sum of New-Total Undg SCH FTE",'FTE Pivot for regular counts'!$A$2,"Category","13","Category2","Technical")</f>
        <v>2000.0333333333333</v>
      </c>
      <c r="I101" s="1">
        <f>+GETPIVOTDATA("Sum of New-Total Undg SCH FTE",'FTE Pivot for regular counts'!$A$2,"Category2","Technical")</f>
        <v>81029.116666666683</v>
      </c>
      <c r="Q101" s="1" t="s">
        <v>695</v>
      </c>
      <c r="R101" s="159">
        <f>+GETPIVOTDATA("Sum of Old-Total Undg SCH FTE",'FTE Pivot for regular counts'!$A$2,"Category","7","Category2","Two-Year")</f>
        <v>312901.13333333336</v>
      </c>
      <c r="S101" s="159">
        <f>+GETPIVOTDATA("Sum of Old-Total Undg SCH FTE",'FTE Pivot for regular counts'!$A$2,"Category","8","Category2","Two-Year")</f>
        <v>669577.72333333327</v>
      </c>
      <c r="T101" s="159">
        <f>+GETPIVOTDATA("Sum of Old-Total Undg SCH FTE",'FTE Pivot for regular counts'!$A$2,"Category",9,"Category2","Two-Year")</f>
        <v>303092.46666666667</v>
      </c>
      <c r="U101" s="159">
        <f>+GETPIVOTDATA("Sum of Old-Total Undg SCH FTE",'FTE Pivot for regular counts'!$A$2,"Category","10","Category2","Two-Year")</f>
        <v>123580.36666666667</v>
      </c>
      <c r="V101" s="217">
        <f>+GETPIVOTDATA("Sum of Old-Total Undg SCH FTE",'FTE Pivot for regular counts'!$A$2,"Category2","Two-Year")</f>
        <v>1409151.69</v>
      </c>
      <c r="W101" s="218">
        <f>+GETPIVOTDATA("Sum of Old-Total Undg SCH FTE",'FTE Pivot for regular counts'!$A$2,"Category","12","Category2","Technical")</f>
        <v>82480.38</v>
      </c>
      <c r="X101" s="159">
        <f>+GETPIVOTDATA("Sum of Old-Total Undg SCH FTE",'FTE Pivot for regular counts'!$A$2,"Category","13","Category2","Technical")</f>
        <v>2324.4333333333334</v>
      </c>
      <c r="Y101" s="1">
        <f>+GETPIVOTDATA("Sum of Old-Total Undg SCH FTE",'FTE Pivot for regular counts'!$A$2,"Category2","Technical")</f>
        <v>84804.813333333339</v>
      </c>
    </row>
    <row r="102" spans="1:26" ht="15" customHeight="1">
      <c r="B102" s="159"/>
      <c r="C102" s="159"/>
      <c r="D102" s="159"/>
      <c r="E102" s="159"/>
      <c r="F102" s="217"/>
      <c r="G102" s="218"/>
      <c r="H102" s="159"/>
      <c r="R102" s="159"/>
      <c r="S102" s="159"/>
      <c r="T102" s="159"/>
      <c r="U102" s="159"/>
      <c r="V102" s="217"/>
      <c r="W102" s="218"/>
      <c r="X102" s="159"/>
    </row>
    <row r="103" spans="1:26" ht="15" customHeight="1">
      <c r="A103" s="1" t="s">
        <v>703</v>
      </c>
      <c r="B103" s="159">
        <f>+GETPIVOTDATA("Sum of New-Total Undg SCH FTE",'FTE Pivot for regular counts'!$A$2,"State","AL","Category","7","Category2","Two-Year")</f>
        <v>0</v>
      </c>
      <c r="C103" s="159">
        <f>+GETPIVOTDATA("Sum of New-Total Undg SCH FTE",'FTE Pivot for regular counts'!$A$2,"State","AL","Category","8","Category2","Two-Year")</f>
        <v>16464.533333333333</v>
      </c>
      <c r="D103" s="159">
        <f>+GETPIVOTDATA("Sum of New-Total Undg SCH FTE",'FTE Pivot for regular counts'!$A$2,"State","AL","Category",9,"Category2","Two-Year")</f>
        <v>25167.600000000002</v>
      </c>
      <c r="E103" s="159">
        <f>+GETPIVOTDATA("Sum of New-Total Undg SCH FTE",'FTE Pivot for regular counts'!$A$2,"State","AL","Category","10","Category2","Two-Year")</f>
        <v>9671.4333333333343</v>
      </c>
      <c r="F103" s="217">
        <f>+GETPIVOTDATA("Sum of New-Total Undg SCH FTE",'FTE Pivot for regular counts'!$A$2,"State","AL","Category2","Two-Year")</f>
        <v>51303.566666666666</v>
      </c>
      <c r="G103" s="218">
        <f>+GETPIVOTDATA("Sum of New-Total Undg SCH FTE",'FTE Pivot for regular counts'!$A$2,"State","AL","Category","12","Category2","Technical")</f>
        <v>1357.8666666666666</v>
      </c>
      <c r="H103" s="159">
        <f>+GETPIVOTDATA("Sum of New-Total Undg SCH FTE",'FTE Pivot for regular counts'!$A$2,"State","AL","Category","13","Category2","Technical")</f>
        <v>1239.2666666666667</v>
      </c>
      <c r="I103" s="1">
        <f>+GETPIVOTDATA("Sum of New-Total Undg SCH FTE",'FTE Pivot for regular counts'!$A$2,"State","AL","Category2","Technical")</f>
        <v>2597.1333333333332</v>
      </c>
      <c r="Q103" s="1" t="s">
        <v>703</v>
      </c>
      <c r="R103" s="159">
        <f>+GETPIVOTDATA("Sum of Old-Total Undg SCH FTE",'FTE Pivot for regular counts'!$A$2,"State","AL","Category","7","Category2","Two-Year")</f>
        <v>0</v>
      </c>
      <c r="S103" s="159">
        <f>+GETPIVOTDATA("Sum of Old-Total Undg SCH FTE",'FTE Pivot for regular counts'!$A$2,"State","AL","Category","8","Category2","Two-Year")</f>
        <v>17667.7</v>
      </c>
      <c r="T103" s="159">
        <f>+GETPIVOTDATA("Sum of Old-Total Undg SCH FTE",'FTE Pivot for regular counts'!$A$2,"State","AL","Category",9,"Category2","Two-Year")</f>
        <v>27799.73333333333</v>
      </c>
      <c r="U103" s="159">
        <f>+GETPIVOTDATA("Sum of Old-Total Undg SCH FTE",'FTE Pivot for regular counts'!$A$2,"State","AL","Category","10","Category2","Two-Year")</f>
        <v>10410.466666666667</v>
      </c>
      <c r="V103" s="217">
        <f>+GETPIVOTDATA("Sum of Old-Total Undg SCH FTE",'FTE Pivot for regular counts'!$A$2,"State","AL","Category2","Two-Year")</f>
        <v>55877.9</v>
      </c>
      <c r="W103" s="218">
        <f>+GETPIVOTDATA("Sum of Old-Total Undg SCH FTE",'FTE Pivot for regular counts'!$A$2,"State","AL","Category","12","Category2","Technical")</f>
        <v>1477.9</v>
      </c>
      <c r="X103" s="159">
        <f>+GETPIVOTDATA("Sum of Old-Total Undg SCH FTE",'FTE Pivot for regular counts'!$A$2,"State","AL","Category","13","Category2","Technical")</f>
        <v>1503.8333333333333</v>
      </c>
      <c r="Y103" s="1">
        <f>+GETPIVOTDATA("Sum of Old-Total Undg SCH FTE",'FTE Pivot for regular counts'!$A$2,"State","AL","Category2","Technical")</f>
        <v>2981.7333333333336</v>
      </c>
    </row>
    <row r="104" spans="1:26" ht="15" customHeight="1">
      <c r="A104" s="1" t="s">
        <v>704</v>
      </c>
      <c r="B104" s="159">
        <f>+GETPIVOTDATA("Sum of New-Total Undg SCH FTE",'FTE Pivot for regular counts'!$A$2,"State","AR","Category","7","Category2","Two-Year")</f>
        <v>0</v>
      </c>
      <c r="C104" s="159">
        <f>+GETPIVOTDATA("Sum of New-Total Undg SCH FTE",'FTE Pivot for regular counts'!$A$2,"State","AR","Category","8","Category2","Two-Year")</f>
        <v>4698.7</v>
      </c>
      <c r="D104" s="159">
        <f>+GETPIVOTDATA("Sum of New-Total Undg SCH FTE",'FTE Pivot for regular counts'!$A$2,"State","AR","Category",9,"Category2","Two-Year")</f>
        <v>6060.5333333333328</v>
      </c>
      <c r="E104" s="159">
        <f>+GETPIVOTDATA("Sum of New-Total Undg SCH FTE",'FTE Pivot for regular counts'!$A$2,"State","AR","Category","10","Category2","Two-Year")</f>
        <v>18490.266666666666</v>
      </c>
      <c r="F104" s="217">
        <f>+GETPIVOTDATA("Sum of New-Total Undg SCH FTE",'FTE Pivot for regular counts'!$A$2,"State","AR","Category2","Two-Year")</f>
        <v>29249.5</v>
      </c>
      <c r="G104" s="218">
        <f>+GETPIVOTDATA("Sum of New-Total Undg SCH FTE",'FTE Pivot for regular counts'!$A$2,"State","AR","Category","12","Category2","Technical")</f>
        <v>0</v>
      </c>
      <c r="H104" s="159">
        <f>+GETPIVOTDATA("Sum of New-Total Undg SCH FTE",'FTE Pivot for regular counts'!$A$2,"State","AR","Category","13","Category2","Technical")</f>
        <v>0</v>
      </c>
      <c r="I104" s="1">
        <f>+GETPIVOTDATA("Sum of New-Total Undg SCH FTE",'FTE Pivot for regular counts'!$A$2,"State","AR","Category2","Technical")</f>
        <v>0</v>
      </c>
      <c r="Q104" s="1" t="s">
        <v>704</v>
      </c>
      <c r="R104" s="159">
        <f>+GETPIVOTDATA("Sum of Old-Total Undg SCH FTE",'FTE Pivot for regular counts'!$A$2,"State","AR","Category","7","Category2","Two-Year")</f>
        <v>0</v>
      </c>
      <c r="S104" s="159">
        <f>+GETPIVOTDATA("Sum of Old-Total Undg SCH FTE",'FTE Pivot for regular counts'!$A$2,"State","AR","Category","8","Category2","Two-Year")</f>
        <v>5024.8666666666668</v>
      </c>
      <c r="T104" s="159">
        <f>+GETPIVOTDATA("Sum of Old-Total Undg SCH FTE",'FTE Pivot for regular counts'!$A$2,"State","AR","Category",9,"Category2","Two-Year")</f>
        <v>6288.4333333333334</v>
      </c>
      <c r="U104" s="159">
        <f>+GETPIVOTDATA("Sum of Old-Total Undg SCH FTE",'FTE Pivot for regular counts'!$A$2,"State","AR","Category","10","Category2","Two-Year")</f>
        <v>19640.466666666671</v>
      </c>
      <c r="V104" s="217">
        <f>+GETPIVOTDATA("Sum of Old-Total Undg SCH FTE",'FTE Pivot for regular counts'!$A$2,"State","AR","Category2","Two-Year")</f>
        <v>30953.76666666667</v>
      </c>
      <c r="W104" s="218">
        <f>+GETPIVOTDATA("Sum of Old-Total Undg SCH FTE",'FTE Pivot for regular counts'!$A$2,"State","AR","Category","12","Category2","Technical")</f>
        <v>0</v>
      </c>
      <c r="X104" s="159">
        <f>+GETPIVOTDATA("Sum of Old-Total Undg SCH FTE",'FTE Pivot for regular counts'!$A$2,"State","AR","Category","13","Category2","Technical")</f>
        <v>0</v>
      </c>
      <c r="Y104" s="1">
        <f>+GETPIVOTDATA("Sum of Old-Total Undg SCH FTE",'FTE Pivot for regular counts'!$A$2,"State","AR","Category2","Technical")</f>
        <v>0</v>
      </c>
    </row>
    <row r="105" spans="1:26" ht="15" customHeight="1">
      <c r="A105" s="1" t="s">
        <v>705</v>
      </c>
      <c r="B105" s="159">
        <f>+GETPIVOTDATA("Sum of New-Total Undg SCH FTE",'FTE Pivot for regular counts'!$A$2,"State","DE","Category","7","Category2","Two-Year")</f>
        <v>0</v>
      </c>
      <c r="C105" s="159">
        <f>+GETPIVOTDATA("Sum of New-Total Undg SCH FTE",'FTE Pivot for regular counts'!$A$2,"State","DE","Category","8","Category2","Two-Year")</f>
        <v>0</v>
      </c>
      <c r="D105" s="159">
        <f>+GETPIVOTDATA("Sum of New-Total Undg SCH FTE",'FTE Pivot for regular counts'!$A$2,"State","DE","Category",9,"Category2","Two-Year")</f>
        <v>8302.7000000000007</v>
      </c>
      <c r="E105" s="159">
        <f>+GETPIVOTDATA("Sum of New-Total Undg SCH FTE",'FTE Pivot for regular counts'!$A$2,"State","DE","Category","10","Category2","Two-Year")</f>
        <v>0</v>
      </c>
      <c r="F105" s="217">
        <f>+GETPIVOTDATA("Sum of New-Total Undg SCH FTE",'FTE Pivot for regular counts'!$A$2,"State","DE","Category2","Two-Year")</f>
        <v>8302.7000000000007</v>
      </c>
      <c r="G105" s="218">
        <f>+GETPIVOTDATA("Sum of New-Total Undg SCH FTE",'FTE Pivot for regular counts'!$A$2,"State","DE","Category","12","Category2","Technical")</f>
        <v>0</v>
      </c>
      <c r="H105" s="159">
        <f>+GETPIVOTDATA("Sum of New-Total Undg SCH FTE",'FTE Pivot for regular counts'!$A$2,"State","DE","Category","13","Category2","Technical")</f>
        <v>0</v>
      </c>
      <c r="I105" s="1">
        <f>+GETPIVOTDATA("Sum of New-Total Undg SCH FTE",'FTE Pivot for regular counts'!$A$2,"State","DE","Category2","Technical")</f>
        <v>0</v>
      </c>
      <c r="Q105" s="1" t="s">
        <v>705</v>
      </c>
      <c r="R105" s="159">
        <f>+GETPIVOTDATA("Sum of Old-Total Undg SCH FTE",'FTE Pivot for regular counts'!$A$2,"State","DE","Category","7","Category2","Two-Year")</f>
        <v>0</v>
      </c>
      <c r="S105" s="159">
        <f>+GETPIVOTDATA("Sum of Old-Total Undg SCH FTE",'FTE Pivot for regular counts'!$A$2,"State","DE","Category","8","Category2","Two-Year")</f>
        <v>0</v>
      </c>
      <c r="T105" s="159">
        <f>+GETPIVOTDATA("Sum of Old-Total Undg SCH FTE",'FTE Pivot for regular counts'!$A$2,"State","DE","Category",9,"Category2","Two-Year")</f>
        <v>8659.5666666666675</v>
      </c>
      <c r="U105" s="159">
        <f>+GETPIVOTDATA("Sum of Old-Total Undg SCH FTE",'FTE Pivot for regular counts'!$A$2,"State","DE","Category","10","Category2","Two-Year")</f>
        <v>0</v>
      </c>
      <c r="V105" s="217">
        <f>+GETPIVOTDATA("Sum of Old-Total Undg SCH FTE",'FTE Pivot for regular counts'!$A$2,"State","DE","Category2","Two-Year")</f>
        <v>8659.5666666666675</v>
      </c>
      <c r="W105" s="218">
        <f>+GETPIVOTDATA("Sum of Old-Total Undg SCH FTE",'FTE Pivot for regular counts'!$A$2,"State","DE","Category","12","Category2","Technical")</f>
        <v>0</v>
      </c>
      <c r="X105" s="159">
        <f>+GETPIVOTDATA("Sum of Old-Total Undg SCH FTE",'FTE Pivot for regular counts'!$A$2,"State","DE","Category","13","Category2","Technical")</f>
        <v>0</v>
      </c>
      <c r="Y105" s="1">
        <f>+GETPIVOTDATA("Sum of Old-Total Undg SCH FTE",'FTE Pivot for regular counts'!$A$2,"State","DE","Category2","Technical")</f>
        <v>0</v>
      </c>
    </row>
    <row r="106" spans="1:26" ht="15" customHeight="1">
      <c r="A106" s="1" t="s">
        <v>706</v>
      </c>
      <c r="B106" s="159">
        <f>+GETPIVOTDATA("Sum of New-Total Undg SCH FTE",'FTE Pivot for regular counts'!$A$2,"State","FL","Category","7","Category2","Two-Year")</f>
        <v>262944.06666666671</v>
      </c>
      <c r="C106" s="159">
        <f>+GETPIVOTDATA("Sum of New-Total Undg SCH FTE",'FTE Pivot for regular counts'!$A$2,"State","FL","Category","8","Category2","Two-Year")</f>
        <v>27310.366666666669</v>
      </c>
      <c r="D106" s="159">
        <f>+GETPIVOTDATA("Sum of New-Total Undg SCH FTE",'FTE Pivot for regular counts'!$A$2,"State","FL","Category",9,"Category2","Two-Year")</f>
        <v>0</v>
      </c>
      <c r="E106" s="159">
        <f>+GETPIVOTDATA("Sum of New-Total Undg SCH FTE",'FTE Pivot for regular counts'!$A$2,"State","FL","Category","10","Category2","Two-Year")</f>
        <v>1424.7333333333333</v>
      </c>
      <c r="F106" s="217">
        <f>+GETPIVOTDATA("Sum of New-Total Undg SCH FTE",'FTE Pivot for regular counts'!$A$2,"State","FL","Category2","Two-Year")</f>
        <v>291679.16666666669</v>
      </c>
      <c r="G106" s="218">
        <f>+GETPIVOTDATA("Sum of New-Total Undg SCH FTE",'FTE Pivot for regular counts'!$A$2,"State","FL","Category","12","Category2","Technical")</f>
        <v>0</v>
      </c>
      <c r="H106" s="159">
        <f>+GETPIVOTDATA("Sum of New-Total Undg SCH FTE",'FTE Pivot for regular counts'!$A$2,"State","FL","Category","13","Category2","Technical")</f>
        <v>0</v>
      </c>
      <c r="I106" s="1">
        <f>+GETPIVOTDATA("Sum of New-Total Undg SCH FTE",'FTE Pivot for regular counts'!$A$2,"State","FL","Category2","Technical")</f>
        <v>0</v>
      </c>
      <c r="Q106" s="1" t="s">
        <v>706</v>
      </c>
      <c r="R106" s="159">
        <f>GETPIVOTDATA("Sum of Old-Total Undg SCH FTE",'FTE Pivot for regular counts'!$A$2,"State","FL","Category","7","Category2","Two-Year")</f>
        <v>272851.76666666666</v>
      </c>
      <c r="S106" s="159">
        <f>GETPIVOTDATA("Sum of Old-Total Undg SCH FTE",'FTE Pivot for regular counts'!$A$2,"State","FL","Category","8","Category2","Two-Year")</f>
        <v>28230.033333333333</v>
      </c>
      <c r="T106" s="159">
        <f>GETPIVOTDATA("Sum of Old-Total Undg SCH FTE",'FTE Pivot for regular counts'!$A$2,"State","FL","Category",9,"Category2","Two-Year")</f>
        <v>0</v>
      </c>
      <c r="U106" s="159">
        <f>GETPIVOTDATA("Sum of Old-Total Undg SCH FTE",'FTE Pivot for regular counts'!$A$2,"State","FL","Category","10","Category2","Two-Year")</f>
        <v>1376.5666666666666</v>
      </c>
      <c r="V106" s="217">
        <f>GETPIVOTDATA("Sum of Old-Total Undg SCH FTE",'FTE Pivot for regular counts'!$A$2,"State","FL","Category2","Two-Year")</f>
        <v>302458.36666666664</v>
      </c>
      <c r="W106" s="218">
        <f>GETPIVOTDATA("Sum of Old-Total Undg SCH FTE",'FTE Pivot for regular counts'!$A$2,"State","FL","Category","12","Category2","Technical")</f>
        <v>0</v>
      </c>
      <c r="X106" s="159">
        <f>GETPIVOTDATA("Sum of Old-Total Undg SCH FTE",'FTE Pivot for regular counts'!$A$2,"State","FL","Category","13","Category2","Technical")</f>
        <v>0</v>
      </c>
      <c r="Y106" s="1">
        <f>GETPIVOTDATA("Sum of Old-Total Undg SCH FTE",'FTE Pivot for regular counts'!$A$2,"State","FL","Category2","Technical")</f>
        <v>0</v>
      </c>
    </row>
    <row r="107" spans="1:26" ht="15" customHeight="1">
      <c r="B107" s="159"/>
      <c r="C107" s="159"/>
      <c r="D107" s="159"/>
      <c r="E107" s="159"/>
      <c r="F107" s="217"/>
      <c r="G107" s="218"/>
      <c r="H107" s="159"/>
      <c r="R107" s="159"/>
      <c r="S107" s="159"/>
      <c r="T107" s="159"/>
      <c r="U107" s="159"/>
      <c r="V107" s="217"/>
      <c r="W107" s="218"/>
      <c r="X107" s="159"/>
    </row>
    <row r="108" spans="1:26" ht="15" customHeight="1">
      <c r="A108" s="1" t="s">
        <v>707</v>
      </c>
      <c r="B108" s="159">
        <f>+GETPIVOTDATA("Sum of New-Total Undg SCH FTE",'FTE Pivot for regular counts'!$A$2,"State","GA","Category","7","Category2","Two-Year")</f>
        <v>9231.1</v>
      </c>
      <c r="C108" s="159">
        <f>+GETPIVOTDATA("Sum of New-Total Undg SCH FTE",'FTE Pivot for regular counts'!$A$2,"State","GA","Category","8","Category2","Two-Year")</f>
        <v>0</v>
      </c>
      <c r="D108" s="159">
        <f>+GETPIVOTDATA("Sum of New-Total Undg SCH FTE",'FTE Pivot for regular counts'!$A$2,"State","GA","Category",9,"Category2","Two-Year")</f>
        <v>0</v>
      </c>
      <c r="E108" s="159">
        <f>+GETPIVOTDATA("Sum of New-Total Undg SCH FTE",'FTE Pivot for regular counts'!$A$2,"State","GA","Category","10","Category2","Two-Year")</f>
        <v>0</v>
      </c>
      <c r="F108" s="217">
        <f>+GETPIVOTDATA("Sum of New-Total Undg SCH FTE",'FTE Pivot for regular counts'!$A$2,"State","GA","Category2","Two-Year")</f>
        <v>9231.1</v>
      </c>
      <c r="G108" s="218">
        <f>+GETPIVOTDATA("Sum of New-Total Undg SCH FTE",'FTE Pivot for regular counts'!$A$2,"State","GA","Category","12","Category2","Technical")</f>
        <v>65212.350000000013</v>
      </c>
      <c r="H108" s="159">
        <f>+GETPIVOTDATA("Sum of New-Total Undg SCH FTE",'FTE Pivot for regular counts'!$A$2,"State","GA","Category","13","Category2","Technical")</f>
        <v>0</v>
      </c>
      <c r="I108" s="1">
        <f>+GETPIVOTDATA("Sum of New-Total Undg SCH FTE",'FTE Pivot for regular counts'!$A$2,"State","GA","Category2","Technical")</f>
        <v>65212.350000000013</v>
      </c>
      <c r="Q108" s="1" t="s">
        <v>707</v>
      </c>
      <c r="R108" s="159">
        <f>+GETPIVOTDATA("Sum of Old-Total Undg SCH FTE",'FTE Pivot for regular counts'!$A$2,"State","GA","Category","7","Category2","Two-Year")</f>
        <v>10092.666666666666</v>
      </c>
      <c r="S108" s="159">
        <f>+GETPIVOTDATA("Sum of Old-Total Undg SCH FTE",'FTE Pivot for regular counts'!$A$2,"State","GA","Category","8","Category2","Two-Year")</f>
        <v>0</v>
      </c>
      <c r="T108" s="159">
        <f>+GETPIVOTDATA("Sum of Old-Total Undg SCH FTE",'FTE Pivot for regular counts'!$A$2,"State","GA","Category",9,"Category2","Two-Year")</f>
        <v>0</v>
      </c>
      <c r="U108" s="159">
        <f>+GETPIVOTDATA("Sum of Old-Total Undg SCH FTE",'FTE Pivot for regular counts'!$A$2,"State","GA","Category","10","Category2","Two-Year")</f>
        <v>0</v>
      </c>
      <c r="V108" s="217">
        <f>+GETPIVOTDATA("Sum of Old-Total Undg SCH FTE",'FTE Pivot for regular counts'!$A$2,"State","GA","Category2","Two-Year")</f>
        <v>10092.666666666666</v>
      </c>
      <c r="W108" s="218">
        <f>+GETPIVOTDATA("Sum of Old-Total Undg SCH FTE",'FTE Pivot for regular counts'!$A$2,"State","GA","Category","12","Category2","Technical")</f>
        <v>67961.233333333337</v>
      </c>
      <c r="X108" s="159">
        <f>+GETPIVOTDATA("Sum of Old-Total Undg SCH FTE",'FTE Pivot for regular counts'!$A$2,"State","GA","Category","13","Category2","Technical")</f>
        <v>0</v>
      </c>
      <c r="Y108" s="1">
        <f>+GETPIVOTDATA("Sum of Old-Total Undg SCH FTE",'FTE Pivot for regular counts'!$A$2,"State","GA","Category2","Technical")</f>
        <v>67961.233333333337</v>
      </c>
    </row>
    <row r="109" spans="1:26" ht="15" customHeight="1">
      <c r="A109" s="1" t="s">
        <v>708</v>
      </c>
      <c r="B109" s="159">
        <f>+GETPIVOTDATA("Sum of New-Total Undg SCH FTE",'FTE Pivot for regular counts'!$A$2,"State","KY","Category","7","Category2","Two-Year")</f>
        <v>0</v>
      </c>
      <c r="C109" s="159">
        <f>+GETPIVOTDATA("Sum of New-Total Undg SCH FTE",'FTE Pivot for regular counts'!$A$2,"State","KY","Category","8","Category2","Two-Year")</f>
        <v>13026.133333333333</v>
      </c>
      <c r="D109" s="159">
        <f>+GETPIVOTDATA("Sum of New-Total Undg SCH FTE",'FTE Pivot for regular counts'!$A$2,"State","KY","Category",9,"Category2","Two-Year")</f>
        <v>15528.9</v>
      </c>
      <c r="E109" s="159">
        <f>+GETPIVOTDATA("Sum of New-Total Undg SCH FTE",'FTE Pivot for regular counts'!$A$2,"State","KY","Category","10","Category2","Two-Year")</f>
        <v>8989.2999999999993</v>
      </c>
      <c r="F109" s="217">
        <f>+GETPIVOTDATA("Sum of New-Total Undg SCH FTE",'FTE Pivot for regular counts'!$A$2,"State","KY","Category2","Two-Year")</f>
        <v>37544.333333333328</v>
      </c>
      <c r="G109" s="218">
        <f>+GETPIVOTDATA("Sum of New-Total Undg SCH FTE",'FTE Pivot for regular counts'!$A$2,"State","KY","Category","12","Category2","Technical")</f>
        <v>5040.7</v>
      </c>
      <c r="H109" s="159">
        <f>+GETPIVOTDATA("Sum of New-Total Undg SCH FTE",'FTE Pivot for regular counts'!$A$2,"State","KY","Category","13","Category2","Technical")</f>
        <v>0</v>
      </c>
      <c r="I109" s="1">
        <f>+GETPIVOTDATA("Sum of New-Total Undg SCH FTE",'FTE Pivot for regular counts'!$A$2,"State","KY","Category2","Technical")</f>
        <v>5040.7</v>
      </c>
      <c r="Q109" s="1" t="s">
        <v>708</v>
      </c>
      <c r="R109" s="159">
        <f>+GETPIVOTDATA("Sum of Old-Total Undg SCH FTE",'FTE Pivot for regular counts'!$A$2,"State","KY","Category","7","Category2","Two-Year")</f>
        <v>0</v>
      </c>
      <c r="S109" s="159">
        <f>+GETPIVOTDATA("Sum of Old-Total Undg SCH FTE",'FTE Pivot for regular counts'!$A$2,"State","KY","Category","8","Category2","Two-Year")</f>
        <v>12917.656666666666</v>
      </c>
      <c r="T109" s="159">
        <f>+GETPIVOTDATA("Sum of Old-Total Undg SCH FTE",'FTE Pivot for regular counts'!$A$2,"State","KY","Category",9,"Category2","Two-Year")</f>
        <v>16668.643333333333</v>
      </c>
      <c r="U109" s="159">
        <f>+GETPIVOTDATA("Sum of Old-Total Undg SCH FTE",'FTE Pivot for regular counts'!$A$2,"State","KY","Category","10","Category2","Two-Year")</f>
        <v>9589.3133333333335</v>
      </c>
      <c r="V109" s="217">
        <f>+GETPIVOTDATA("Sum of Old-Total Undg SCH FTE",'FTE Pivot for regular counts'!$A$2,"State","KY","Category2","Two-Year")</f>
        <v>39175.613333333335</v>
      </c>
      <c r="W109" s="218">
        <f>+GETPIVOTDATA("Sum of Old-Total Undg SCH FTE",'FTE Pivot for regular counts'!$A$2,"State","KY","Category","12","Category2","Technical")</f>
        <v>5150.6966666666667</v>
      </c>
      <c r="X109" s="159">
        <f>+GETPIVOTDATA("Sum of Old-Total Undg SCH FTE",'FTE Pivot for regular counts'!$A$2,"State","KY","Category","13","Category2","Technical")</f>
        <v>0</v>
      </c>
      <c r="Y109" s="1">
        <f>+GETPIVOTDATA("Sum of Old-Total Undg SCH FTE",'FTE Pivot for regular counts'!$A$2,"State","KY","Category2","Technical")</f>
        <v>5150.6966666666667</v>
      </c>
    </row>
    <row r="110" spans="1:26" ht="15" customHeight="1">
      <c r="A110" s="1" t="s">
        <v>709</v>
      </c>
      <c r="B110" s="159">
        <f>+GETPIVOTDATA("Sum of New-Total Undg SCH FTE",'FTE Pivot for regular counts'!$A$2,"State","LA","Category","7","Category2","Two-Year")</f>
        <v>0</v>
      </c>
      <c r="C110" s="159">
        <f>+GETPIVOTDATA("Sum of New-Total Undg SCH FTE",'FTE Pivot for regular counts'!$A$2,"State","LA","Category","8","Category2","Two-Year")</f>
        <v>14350.5</v>
      </c>
      <c r="D110" s="159">
        <f>+GETPIVOTDATA("Sum of New-Total Undg SCH FTE",'FTE Pivot for regular counts'!$A$2,"State","LA","Category",9,"Category2","Two-Year")</f>
        <v>15872.166666666668</v>
      </c>
      <c r="E110" s="159">
        <f>+GETPIVOTDATA("Sum of New-Total Undg SCH FTE",'FTE Pivot for regular counts'!$A$2,"State","LA","Category","10","Category2","Two-Year")</f>
        <v>3439.0333333333333</v>
      </c>
      <c r="F110" s="217">
        <f>+GETPIVOTDATA("Sum of New-Total Undg SCH FTE",'FTE Pivot for regular counts'!$A$2,"State","LA","Category2","Two-Year")</f>
        <v>33661.700000000004</v>
      </c>
      <c r="G110" s="218">
        <f>+GETPIVOTDATA("Sum of New-Total Undg SCH FTE",'FTE Pivot for regular counts'!$A$2,"State","LA","Category","12","Category2","Technical")</f>
        <v>7418.1666666666661</v>
      </c>
      <c r="H110" s="159">
        <f>+GETPIVOTDATA("Sum of New-Total Undg SCH FTE",'FTE Pivot for regular counts'!$A$2,"State","LA","Category","13","Category2","Technical")</f>
        <v>760.76666666666665</v>
      </c>
      <c r="I110" s="1">
        <f>+GETPIVOTDATA("Sum of New-Total Undg SCH FTE",'FTE Pivot for regular counts'!$A$2,"State","LA","Category2","Technical")</f>
        <v>8178.9333333333325</v>
      </c>
      <c r="Q110" s="1" t="s">
        <v>709</v>
      </c>
      <c r="R110" s="159">
        <f>+GETPIVOTDATA("Sum of Old-Total Undg SCH FTE",'FTE Pivot for regular counts'!$A$2,"State","LA","Category","7","Category2","Two-Year")</f>
        <v>0</v>
      </c>
      <c r="S110" s="159">
        <f>+GETPIVOTDATA("Sum of Old-Total Undg SCH FTE",'FTE Pivot for regular counts'!$A$2,"State","LA","Category","8","Category2","Two-Year")</f>
        <v>14677</v>
      </c>
      <c r="T110" s="159">
        <f>+GETPIVOTDATA("Sum of Old-Total Undg SCH FTE",'FTE Pivot for regular counts'!$A$2,"State","LA","Category",9,"Category2","Two-Year")</f>
        <v>16564.283333333333</v>
      </c>
      <c r="U110" s="159">
        <f>+GETPIVOTDATA("Sum of Old-Total Undg SCH FTE",'FTE Pivot for regular counts'!$A$2,"State","LA","Category","10","Category2","Two-Year")</f>
        <v>3512</v>
      </c>
      <c r="V110" s="217">
        <f>+GETPIVOTDATA("Sum of Old-Total Undg SCH FTE",'FTE Pivot for regular counts'!$A$2,"State","LA","Category2","Two-Year")</f>
        <v>34753.283333333333</v>
      </c>
      <c r="W110" s="218">
        <f>+GETPIVOTDATA("Sum of Old-Total Undg SCH FTE",'FTE Pivot for regular counts'!$A$2,"State","LA","Category","12","Category2","Technical")</f>
        <v>7890.55</v>
      </c>
      <c r="X110" s="159">
        <f>+GETPIVOTDATA("Sum of Old-Total Undg SCH FTE",'FTE Pivot for regular counts'!$A$2,"State","LA","Category","13","Category2","Technical")</f>
        <v>820.6</v>
      </c>
      <c r="Y110" s="1">
        <f>+GETPIVOTDATA("Sum of Old-Total Undg SCH FTE",'FTE Pivot for regular counts'!$A$2,"State","LA","Category2","Technical")</f>
        <v>8711.15</v>
      </c>
    </row>
    <row r="111" spans="1:26" ht="15" customHeight="1">
      <c r="A111" s="1" t="s">
        <v>849</v>
      </c>
      <c r="B111" s="159">
        <f>+GETPIVOTDATA("Sum of New-Total Undg SCH FTE",'FTE Pivot for regular counts'!$A$2,"State","MD","Category","7","Category2","Two-Year")</f>
        <v>0</v>
      </c>
      <c r="C111" s="159">
        <f>+GETPIVOTDATA("Sum of New-Total Undg SCH FTE",'FTE Pivot for regular counts'!$A$2,"State","MD","Category","8","Category2","Two-Year")</f>
        <v>58575.316666666666</v>
      </c>
      <c r="D111" s="159">
        <f>+GETPIVOTDATA("Sum of New-Total Undg SCH FTE",'FTE Pivot for regular counts'!$A$2,"State","MD","Category",9,"Category2","Two-Year")</f>
        <v>18163.383333333331</v>
      </c>
      <c r="E111" s="159">
        <f>+GETPIVOTDATA("Sum of New-Total Undg SCH FTE",'FTE Pivot for regular counts'!$A$2,"State","MD","Category","10","Category2","Two-Year")</f>
        <v>5960.6416666666664</v>
      </c>
      <c r="F111" s="217">
        <f>+GETPIVOTDATA("Sum of New-Total Undg SCH FTE",'FTE Pivot for regular counts'!$A$2,"State","MD","Category2","Two-Year")</f>
        <v>82699.34166666666</v>
      </c>
      <c r="G111" s="218">
        <f>+GETPIVOTDATA("Sum of New-Total Undg SCH FTE",'FTE Pivot for regular counts'!$A$2,"State","MD","Category","12","Category2","Technical")</f>
        <v>0</v>
      </c>
      <c r="H111" s="159">
        <f>+GETPIVOTDATA("Sum of New-Total Undg SCH FTE",'FTE Pivot for regular counts'!$A$2,"State","MD","Category","13","Category2","Technical")</f>
        <v>0</v>
      </c>
      <c r="I111" s="1">
        <f>+GETPIVOTDATA("Sum of New-Total Undg SCH FTE",'FTE Pivot for regular counts'!$A$2,"State","MD","Category2","Technical")</f>
        <v>0</v>
      </c>
      <c r="Q111" s="1" t="s">
        <v>710</v>
      </c>
      <c r="R111" s="159">
        <f>+GETPIVOTDATA("Sum of Old-Total Undg SCH FTE",'FTE Pivot for regular counts'!$A$2,"State","MD","Category","7","Category2","Two-Year")</f>
        <v>0</v>
      </c>
      <c r="S111" s="159">
        <f>+GETPIVOTDATA("Sum of Old-Total Undg SCH FTE",'FTE Pivot for regular counts'!$A$2,"State","MD","Category","8","Category2","Two-Year")</f>
        <v>59201.116666666669</v>
      </c>
      <c r="T111" s="159">
        <f>+GETPIVOTDATA("Sum of Old-Total Undg SCH FTE",'FTE Pivot for regular counts'!$A$2,"State","MD","Category",9,"Category2","Two-Year")</f>
        <v>18232.45</v>
      </c>
      <c r="U111" s="159">
        <f>+GETPIVOTDATA("Sum of Old-Total Undg SCH FTE",'FTE Pivot for regular counts'!$A$2,"State","MD","Category","10","Category2","Two-Year")</f>
        <v>6247.0166666666664</v>
      </c>
      <c r="V111" s="217">
        <f>+GETPIVOTDATA("Sum of Old-Total Undg SCH FTE",'FTE Pivot for regular counts'!$A$2,"State","MD","Category2","Two-Year")</f>
        <v>83680.583333333328</v>
      </c>
      <c r="W111" s="218">
        <f>+GETPIVOTDATA("Sum of Old-Total Undg SCH FTE",'FTE Pivot for regular counts'!$A$2,"State","MD","Category","12","Category2","Technical")</f>
        <v>0</v>
      </c>
      <c r="X111" s="159">
        <f>+GETPIVOTDATA("Sum of Old-Total Undg SCH FTE",'FTE Pivot for regular counts'!$A$2,"State","MD","Category","13","Category2","Technical")</f>
        <v>0</v>
      </c>
      <c r="Y111" s="1">
        <f>+GETPIVOTDATA("Sum of Old-Total Undg SCH FTE",'FTE Pivot for regular counts'!$A$2,"State","MD","Category2","Technical")</f>
        <v>0</v>
      </c>
    </row>
    <row r="112" spans="1:26" ht="15" customHeight="1">
      <c r="B112" s="159"/>
      <c r="C112" s="159"/>
      <c r="D112" s="159"/>
      <c r="E112" s="159"/>
      <c r="F112" s="217"/>
      <c r="G112" s="218"/>
      <c r="H112" s="159"/>
      <c r="R112" s="159"/>
      <c r="S112" s="159"/>
      <c r="T112" s="159"/>
      <c r="U112" s="159"/>
      <c r="V112" s="217"/>
      <c r="W112" s="218"/>
      <c r="X112" s="159"/>
    </row>
    <row r="113" spans="1:26" ht="15" customHeight="1">
      <c r="A113" s="1" t="s">
        <v>711</v>
      </c>
      <c r="B113" s="159">
        <f>+GETPIVOTDATA("Sum of New-Total Undg SCH FTE",'FTE Pivot for regular counts'!$A$2,"State","MS","Category","7","Category2","Two-Year")</f>
        <v>0</v>
      </c>
      <c r="C113" s="159">
        <f>+GETPIVOTDATA("Sum of New-Total Undg SCH FTE",'FTE Pivot for regular counts'!$A$2,"State","MS","Category","8","Category2","Two-Year")</f>
        <v>0</v>
      </c>
      <c r="D113" s="159">
        <f>+GETPIVOTDATA("Sum of New-Total Undg SCH FTE",'FTE Pivot for regular counts'!$A$2,"State","MS","Category",9,"Category2","Two-Year")</f>
        <v>0</v>
      </c>
      <c r="E113" s="159">
        <f>+GETPIVOTDATA("Sum of New-Total Undg SCH FTE",'FTE Pivot for regular counts'!$A$2,"State","MS","Category","10","Category2","Two-Year")</f>
        <v>0</v>
      </c>
      <c r="F113" s="217">
        <f>+GETPIVOTDATA("Sum of New-Total Undg SCH FTE",'FTE Pivot for regular counts'!$A$2,"State","MS","Category2","Two-Year")</f>
        <v>0</v>
      </c>
      <c r="G113" s="218">
        <f>+GETPIVOTDATA("Sum of New-Total Undg SCH FTE",'FTE Pivot for regular counts'!$A$2,"State","MS","Category","12","Category2","Technical")</f>
        <v>0</v>
      </c>
      <c r="H113" s="159">
        <f>+GETPIVOTDATA("Sum of New-Total Undg SCH FTE",'FTE Pivot for regular counts'!$A$2,"State","MS","Category","13","Category2","Technical")</f>
        <v>0</v>
      </c>
      <c r="I113" s="1">
        <f>+GETPIVOTDATA("Sum of New-Total Undg SCH FTE",'FTE Pivot for regular counts'!$A$2,"State","MS","Category2","Technical")</f>
        <v>0</v>
      </c>
      <c r="Q113" s="1" t="s">
        <v>711</v>
      </c>
      <c r="R113" s="159">
        <f>+GETPIVOTDATA("Sum of Old-Total Undg SCH FTE",'FTE Pivot for regular counts'!$A$2,"State","MS","Category","7","Category2","Two-Year")</f>
        <v>0</v>
      </c>
      <c r="S113" s="159">
        <f>+GETPIVOTDATA("Sum of Old-Total Undg SCH FTE",'FTE Pivot for regular counts'!$A$2,"State","MS","Category","8","Category2","Two-Year")</f>
        <v>0</v>
      </c>
      <c r="T113" s="159">
        <f>+GETPIVOTDATA("Sum of Old-Total Undg SCH FTE",'FTE Pivot for regular counts'!$A$2,"State","MS","Category",9,"Category2","Two-Year")</f>
        <v>0</v>
      </c>
      <c r="U113" s="159">
        <f>+GETPIVOTDATA("Sum of Old-Total Undg SCH FTE",'FTE Pivot for regular counts'!$A$2,"State","MS","Category","10","Category2","Two-Year")</f>
        <v>0</v>
      </c>
      <c r="V113" s="217">
        <f>+GETPIVOTDATA("Sum of Old-Total Undg SCH FTE",'FTE Pivot for regular counts'!$A$2,"State","MS","Category2","Two-Year")</f>
        <v>0</v>
      </c>
      <c r="W113" s="218">
        <f>+GETPIVOTDATA("Sum of Old-Total Undg SCH FTE",'FTE Pivot for regular counts'!$A$2,"State","MS","Category","12","Category2","Technical")</f>
        <v>0</v>
      </c>
      <c r="X113" s="159">
        <f>+GETPIVOTDATA("Sum of Old-Total Undg SCH FTE",'FTE Pivot for regular counts'!$A$2,"State","MS","Category","13","Category2","Technical")</f>
        <v>0</v>
      </c>
      <c r="Y113" s="1">
        <f>+GETPIVOTDATA("Sum of Old-Total Undg SCH FTE",'FTE Pivot for regular counts'!$A$2,"State","MS","Category2","Technical")</f>
        <v>0</v>
      </c>
    </row>
    <row r="114" spans="1:26" ht="15" customHeight="1">
      <c r="A114" s="1" t="s">
        <v>712</v>
      </c>
      <c r="B114" s="159">
        <f>+GETPIVOTDATA("Sum of New-Total Undg SCH FTE",'FTE Pivot for regular counts'!$A$2,"State","NC","Category","7","Category2","Two-Year")</f>
        <v>0</v>
      </c>
      <c r="C114" s="159">
        <f>+GETPIVOTDATA("Sum of New-Total Undg SCH FTE",'FTE Pivot for regular counts'!$A$2,"State","NC","Category","8","Category2","Two-Year")</f>
        <v>69690.416666666672</v>
      </c>
      <c r="D114" s="159">
        <f>+GETPIVOTDATA("Sum of New-Total Undg SCH FTE",'FTE Pivot for regular counts'!$A$2,"State","NC","Category",9,"Category2","Two-Year")</f>
        <v>54635.726666666669</v>
      </c>
      <c r="E114" s="159">
        <f>+GETPIVOTDATA("Sum of New-Total Undg SCH FTE",'FTE Pivot for regular counts'!$A$2,"State","NC","Category","10","Category2","Two-Year")</f>
        <v>26095.95</v>
      </c>
      <c r="F114" s="217">
        <f>+GETPIVOTDATA("Sum of New-Total Undg SCH FTE",'FTE Pivot for regular counts'!$A$2,"State","NC","Category2","Two-Year")</f>
        <v>150422.09333333335</v>
      </c>
      <c r="G114" s="218">
        <f>+GETPIVOTDATA("Sum of New-Total Undg SCH FTE",'FTE Pivot for regular counts'!$A$2,"State","NC","Category","12","Category2","Technical")</f>
        <v>0</v>
      </c>
      <c r="H114" s="159">
        <f>+GETPIVOTDATA("Sum of New-Total Undg SCH FTE",'FTE Pivot for regular counts'!$A$2,"State","NC","Category","13","Category2","Technical")</f>
        <v>0</v>
      </c>
      <c r="I114" s="1">
        <f>+GETPIVOTDATA("Sum of New-Total Undg SCH FTE",'FTE Pivot for regular counts'!$A$2,"State","NC","Category2","Technical")</f>
        <v>0</v>
      </c>
      <c r="Q114" s="1" t="s">
        <v>712</v>
      </c>
      <c r="R114" s="159">
        <f>+GETPIVOTDATA("Sum of Old-Total Undg SCH FTE",'FTE Pivot for regular counts'!$A$2,"State","NC","Category","7","Category2","Two-Year")</f>
        <v>0</v>
      </c>
      <c r="S114" s="159">
        <f>+GETPIVOTDATA("Sum of Old-Total Undg SCH FTE",'FTE Pivot for regular counts'!$A$2,"State","NC","Category","8","Category2","Two-Year")</f>
        <v>70054.21666666666</v>
      </c>
      <c r="T114" s="159">
        <f>+GETPIVOTDATA("Sum of Old-Total Undg SCH FTE",'FTE Pivot for regular counts'!$A$2,"State","NC","Category",9,"Category2","Two-Year")</f>
        <v>54422.400000000009</v>
      </c>
      <c r="U114" s="159">
        <f>+GETPIVOTDATA("Sum of Old-Total Undg SCH FTE",'FTE Pivot for regular counts'!$A$2,"State","NC","Category","10","Category2","Two-Year")</f>
        <v>26302.783333333333</v>
      </c>
      <c r="V114" s="217">
        <f>+GETPIVOTDATA("Sum of Old-Total Undg SCH FTE",'FTE Pivot for regular counts'!$A$2,"State","NC","Category2","Two-Year")</f>
        <v>150779.4</v>
      </c>
      <c r="W114" s="218">
        <f>+GETPIVOTDATA("Sum of Old-Total Undg SCH FTE",'FTE Pivot for regular counts'!$A$2,"State","NC","Category","12","Category2","Technical")</f>
        <v>0</v>
      </c>
      <c r="X114" s="159">
        <f>+GETPIVOTDATA("Sum of Old-Total Undg SCH FTE",'FTE Pivot for regular counts'!$A$2,"State","NC","Category","13","Category2","Technical")</f>
        <v>0</v>
      </c>
      <c r="Y114" s="1">
        <f>+GETPIVOTDATA("Sum of Old-Total Undg SCH FTE",'FTE Pivot for regular counts'!$A$2,"State","NC","Category2","Technical")</f>
        <v>0</v>
      </c>
    </row>
    <row r="115" spans="1:26" ht="15" customHeight="1">
      <c r="A115" s="1" t="s">
        <v>713</v>
      </c>
      <c r="B115" s="159">
        <f>+GETPIVOTDATA("Sum of New-Total Undg SCH FTE",'FTE Pivot for regular counts'!$A$2,"State","OK","Category","7","Category2","Two-Year")</f>
        <v>0</v>
      </c>
      <c r="C115" s="159">
        <f>+GETPIVOTDATA("Sum of New-Total Undg SCH FTE",'FTE Pivot for regular counts'!$A$2,"State","OK","Category","8","Category2","Two-Year")</f>
        <v>0</v>
      </c>
      <c r="D115" s="159">
        <f>+GETPIVOTDATA("Sum of New-Total Undg SCH FTE",'FTE Pivot for regular counts'!$A$2,"State","OK","Category",9,"Category2","Two-Year")</f>
        <v>0</v>
      </c>
      <c r="E115" s="159">
        <f>+GETPIVOTDATA("Sum of New-Total Undg SCH FTE",'FTE Pivot for regular counts'!$A$2,"State","OK","Category","10","Category2","Two-Year")</f>
        <v>0</v>
      </c>
      <c r="F115" s="217">
        <f>+GETPIVOTDATA("Sum of New-Total Undg SCH FTE",'FTE Pivot for regular counts'!$A$2,"State","OK","Category2","Two-Year")</f>
        <v>0</v>
      </c>
      <c r="G115" s="218">
        <f>+GETPIVOTDATA("Sum of New-Total Undg SCH FTE",'FTE Pivot for regular counts'!$A$2,"State","OK","Category","12","Category2","Technical")</f>
        <v>0</v>
      </c>
      <c r="H115" s="159">
        <f>+GETPIVOTDATA("Sum of New-Total Undg SCH FTE",'FTE Pivot for regular counts'!$A$2,"State","OK","Category","13","Category2","Technical")</f>
        <v>0</v>
      </c>
      <c r="I115" s="1">
        <f>+GETPIVOTDATA("Sum of New-Total Undg SCH FTE",'FTE Pivot for regular counts'!$A$2,"State","OK","Category2","Technical")</f>
        <v>0</v>
      </c>
      <c r="Q115" s="1" t="s">
        <v>713</v>
      </c>
      <c r="R115" s="159">
        <f>+GETPIVOTDATA("Sum of Old-Total Undg SCH FTE",'FTE Pivot for regular counts'!$A$2,"State","OK","Category","7","Category2","Two-Year")</f>
        <v>0</v>
      </c>
      <c r="S115" s="159">
        <f>+GETPIVOTDATA("Sum of Old-Total Undg SCH FTE",'FTE Pivot for regular counts'!$A$2,"State","OK","Category","8","Category2","Two-Year")</f>
        <v>0</v>
      </c>
      <c r="T115" s="159">
        <f>+GETPIVOTDATA("Sum of Old-Total Undg SCH FTE",'FTE Pivot for regular counts'!$A$2,"State","OK","Category",9,"Category2","Two-Year")</f>
        <v>0</v>
      </c>
      <c r="U115" s="159">
        <f>+GETPIVOTDATA("Sum of Old-Total Undg SCH FTE",'FTE Pivot for regular counts'!$A$2,"State","OK","Category","10","Category2","Two-Year")</f>
        <v>0</v>
      </c>
      <c r="V115" s="217">
        <f>+GETPIVOTDATA("Sum of Old-Total Undg SCH FTE",'FTE Pivot for regular counts'!$A$2,"State","OK","Category2","Two-Year")</f>
        <v>0</v>
      </c>
      <c r="W115" s="218">
        <f>+GETPIVOTDATA("Sum of Old-Total Undg SCH FTE",'FTE Pivot for regular counts'!$A$2,"State","OK","Category","12","Category2","Technical")</f>
        <v>0</v>
      </c>
      <c r="X115" s="159">
        <f>+GETPIVOTDATA("Sum of Old-Total Undg SCH FTE",'FTE Pivot for regular counts'!$A$2,"State","OK","Category","13","Category2","Technical")</f>
        <v>0</v>
      </c>
      <c r="Y115" s="1">
        <f>+GETPIVOTDATA("Sum of Old-Total Undg SCH FTE",'FTE Pivot for regular counts'!$A$2,"State","OK","Category2","Technical")</f>
        <v>0</v>
      </c>
    </row>
    <row r="116" spans="1:26" ht="15" customHeight="1">
      <c r="A116" s="1" t="s">
        <v>714</v>
      </c>
      <c r="B116" s="159">
        <f>+GETPIVOTDATA("Sum of New-Total Undg SCH FTE",'FTE Pivot for regular counts'!$A$2,"State","SC","Category","7","Category2","Two-Year")</f>
        <v>0</v>
      </c>
      <c r="C116" s="159">
        <f>+GETPIVOTDATA("Sum of New-Total Undg SCH FTE",'FTE Pivot for regular counts'!$A$2,"State","SC","Category","8","Category2","Two-Year")</f>
        <v>27210.300000000003</v>
      </c>
      <c r="D116" s="159">
        <f>+GETPIVOTDATA("Sum of New-Total Undg SCH FTE",'FTE Pivot for regular counts'!$A$2,"State","SC","Category",9,"Category2","Two-Year")</f>
        <v>19132.266666666666</v>
      </c>
      <c r="E116" s="159">
        <f>+GETPIVOTDATA("Sum of New-Total Undg SCH FTE",'FTE Pivot for regular counts'!$A$2,"State","SC","Category","10","Category2","Two-Year")</f>
        <v>9627.6666666666661</v>
      </c>
      <c r="F116" s="217">
        <f>+GETPIVOTDATA("Sum of New-Total Undg SCH FTE",'FTE Pivot for regular counts'!$A$2,"State","SC","Category2","Two-Year")</f>
        <v>55970.23333333333</v>
      </c>
      <c r="G116" s="218">
        <f>+GETPIVOTDATA("Sum of New-Total Undg SCH FTE",'FTE Pivot for regular counts'!$A$2,"State","SC","Category","12","Category2","Technical")</f>
        <v>0</v>
      </c>
      <c r="H116" s="159">
        <f>+GETPIVOTDATA("Sum of New-Total Undg SCH FTE",'FTE Pivot for regular counts'!$A$2,"State","SC","Category","13","Category2","Technical")</f>
        <v>0</v>
      </c>
      <c r="I116" s="1">
        <f>+GETPIVOTDATA("Sum of New-Total Undg SCH FTE",'FTE Pivot for regular counts'!$A$2,"State","SC","Category2","Technical")</f>
        <v>0</v>
      </c>
      <c r="Q116" s="1" t="s">
        <v>714</v>
      </c>
      <c r="R116" s="159">
        <f>+GETPIVOTDATA("Sum of Old-Total Undg SCH FTE",'FTE Pivot for regular counts'!$A$2,"State","SC","Category","7","Category2","Two-Year")</f>
        <v>0</v>
      </c>
      <c r="S116" s="159">
        <f>+GETPIVOTDATA("Sum of Old-Total Undg SCH FTE",'FTE Pivot for regular counts'!$A$2,"State","SC","Category","8","Category2","Two-Year")</f>
        <v>27911.933333333334</v>
      </c>
      <c r="T116" s="159">
        <f>+GETPIVOTDATA("Sum of Old-Total Undg SCH FTE",'FTE Pivot for regular counts'!$A$2,"State","SC","Category",9,"Category2","Two-Year")</f>
        <v>19925.133333333335</v>
      </c>
      <c r="U116" s="159">
        <f>+GETPIVOTDATA("Sum of Old-Total Undg SCH FTE",'FTE Pivot for regular counts'!$A$2,"State","SC","Category","10","Category2","Two-Year")</f>
        <v>9789.6666666666679</v>
      </c>
      <c r="V116" s="217">
        <f>+GETPIVOTDATA("Sum of Old-Total Undg SCH FTE",'FTE Pivot for regular counts'!$A$2,"State","SC","Category2","Two-Year")</f>
        <v>57626.733333333337</v>
      </c>
      <c r="W116" s="218">
        <f>+GETPIVOTDATA("Sum of Old-Total Undg SCH FTE",'FTE Pivot for regular counts'!$A$2,"State","SC","Category","12","Category2","Technical")</f>
        <v>0</v>
      </c>
      <c r="X116" s="159">
        <f>+GETPIVOTDATA("Sum of Old-Total Undg SCH FTE",'FTE Pivot for regular counts'!$A$2,"State","SC","Category","13","Category2","Technical")</f>
        <v>0</v>
      </c>
      <c r="Y116" s="1">
        <f>+GETPIVOTDATA("Sum of Old-Total Undg SCH FTE",'FTE Pivot for regular counts'!$A$2,"State","SC","Category2","Technical")</f>
        <v>0</v>
      </c>
    </row>
    <row r="117" spans="1:26" ht="15" customHeight="1">
      <c r="B117" s="159"/>
      <c r="C117" s="159"/>
      <c r="D117" s="159"/>
      <c r="E117" s="159"/>
      <c r="F117" s="217"/>
      <c r="G117" s="218"/>
      <c r="H117" s="159"/>
      <c r="R117" s="159"/>
      <c r="S117" s="159"/>
      <c r="T117" s="159"/>
      <c r="U117" s="159"/>
      <c r="V117" s="217"/>
      <c r="W117" s="218"/>
      <c r="X117" s="159"/>
    </row>
    <row r="118" spans="1:26" ht="15" customHeight="1">
      <c r="A118" s="1" t="s">
        <v>715</v>
      </c>
      <c r="B118" s="159">
        <f>+GETPIVOTDATA("Sum of New-Total Undg SCH FTE",'FTE Pivot for regular counts'!$A$2,"State","TN","Category","7","Category2","Two-Year")</f>
        <v>0</v>
      </c>
      <c r="C118" s="159">
        <f>+GETPIVOTDATA("Sum of New-Total Undg SCH FTE",'FTE Pivot for regular counts'!$A$2,"State","TN","Category","8","Category2","Two-Year")</f>
        <v>28409.85</v>
      </c>
      <c r="D118" s="159">
        <f>+GETPIVOTDATA("Sum of New-Total Undg SCH FTE",'FTE Pivot for regular counts'!$A$2,"State","TN","Category",9,"Category2","Two-Year")</f>
        <v>25486.266666666663</v>
      </c>
      <c r="E118" s="159">
        <f>+GETPIVOTDATA("Sum of New-Total Undg SCH FTE",'FTE Pivot for regular counts'!$A$2,"State","TN","Category","10","Category2","Two-Year")</f>
        <v>1717.9666666666667</v>
      </c>
      <c r="F118" s="217">
        <f>+GETPIVOTDATA("Sum of New-Total Undg SCH FTE",'FTE Pivot for regular counts'!$A$2,"State","TN","Category2","Two-Year")</f>
        <v>55614.083333333328</v>
      </c>
      <c r="G118" s="218">
        <f>+GETPIVOTDATA("Sum of New-Total Undg SCH FTE",'FTE Pivot for regular counts'!$A$2,"State","TN","Category","12","Category2","Technical")</f>
        <v>0</v>
      </c>
      <c r="H118" s="159">
        <f>+GETPIVOTDATA("Sum of New-Total Undg SCH FTE",'FTE Pivot for regular counts'!$A$2,"State","TN","Category","13","Category2","Technical")</f>
        <v>0</v>
      </c>
      <c r="I118" s="1">
        <f>+GETPIVOTDATA("Sum of New-Total Undg SCH FTE",'FTE Pivot for regular counts'!$A$2,"State","TN","Category2","Technical")</f>
        <v>0</v>
      </c>
      <c r="Q118" s="1" t="s">
        <v>715</v>
      </c>
      <c r="R118" s="159">
        <f>+GETPIVOTDATA("Sum of Old-Total Undg SCH FTE",'FTE Pivot for regular counts'!$A$2,"State","TN","Category","7","Category2","Two-Year")</f>
        <v>0</v>
      </c>
      <c r="S118" s="159">
        <f>+GETPIVOTDATA("Sum of Old-Total Undg SCH FTE",'FTE Pivot for regular counts'!$A$2,"State","TN","Category","8","Category2","Two-Year")</f>
        <v>30270.366666666669</v>
      </c>
      <c r="T118" s="159">
        <f>+GETPIVOTDATA("Sum of Old-Total Undg SCH FTE",'FTE Pivot for regular counts'!$A$2,"State","TN","Category",9,"Category2","Two-Year")</f>
        <v>26590.26666666667</v>
      </c>
      <c r="U118" s="159">
        <f>+GETPIVOTDATA("Sum of Old-Total Undg SCH FTE",'FTE Pivot for regular counts'!$A$2,"State","TN","Category","10","Category2","Two-Year")</f>
        <v>1770.2666666666667</v>
      </c>
      <c r="V118" s="217">
        <f>+GETPIVOTDATA("Sum of Old-Total Undg SCH FTE",'FTE Pivot for regular counts'!$A$2,"State","TN","Category2","Two-Year")</f>
        <v>58630.900000000009</v>
      </c>
      <c r="W118" s="218">
        <f>+GETPIVOTDATA("Sum of Old-Total Undg SCH FTE",'FTE Pivot for regular counts'!$A$2,"State","TN","Category","12","Category2","Technical")</f>
        <v>0</v>
      </c>
      <c r="X118" s="159">
        <f>+GETPIVOTDATA("Sum of Old-Total Undg SCH FTE",'FTE Pivot for regular counts'!$A$2,"State","TN","Category","13","Category2","Technical")</f>
        <v>0</v>
      </c>
      <c r="Y118" s="1">
        <f>+GETPIVOTDATA("Sum of Old-Total Undg SCH FTE",'FTE Pivot for regular counts'!$A$2,"State","TN","Category2","Technical")</f>
        <v>0</v>
      </c>
    </row>
    <row r="119" spans="1:26" ht="15" customHeight="1">
      <c r="A119" s="1" t="s">
        <v>716</v>
      </c>
      <c r="B119" s="159">
        <f>+GETPIVOTDATA("Sum of New-Total Undg SCH FTE",'FTE Pivot for regular counts'!$A$2,"State","TX","Category","7","Category2","Two-Year")</f>
        <v>24860.433333333334</v>
      </c>
      <c r="C119" s="159">
        <f>+GETPIVOTDATA("Sum of New-Total Undg SCH FTE",'FTE Pivot for regular counts'!$A$2,"State","TX","Category","8","Category2","Two-Year")</f>
        <v>317128.00000000006</v>
      </c>
      <c r="D119" s="159">
        <f>+GETPIVOTDATA("Sum of New-Total Undg SCH FTE",'FTE Pivot for regular counts'!$A$2,"State","TX","Category",9,"Category2","Two-Year")</f>
        <v>78977.400000000009</v>
      </c>
      <c r="E119" s="159">
        <f>+GETPIVOTDATA("Sum of New-Total Undg SCH FTE",'FTE Pivot for regular counts'!$A$2,"State","TX","Category","10","Category2","Two-Year")</f>
        <v>25983.300000000003</v>
      </c>
      <c r="F119" s="217">
        <f>+GETPIVOTDATA("Sum of New-Total Undg SCH FTE",'FTE Pivot for regular counts'!$A$2,"State","TX","Category2","Two-Year")</f>
        <v>446949.13333333342</v>
      </c>
      <c r="G119" s="218">
        <f>+GETPIVOTDATA("Sum of New-Total Undg SCH FTE",'FTE Pivot for regular counts'!$A$2,"State","TX","Category","12","Category2","Technical")</f>
        <v>0</v>
      </c>
      <c r="H119" s="159">
        <f>+GETPIVOTDATA("Sum of New-Total Undg SCH FTE",'FTE Pivot for regular counts'!$A$2,"State","TX","Category","13","Category2","Technical")</f>
        <v>0</v>
      </c>
      <c r="I119" s="1">
        <f>+GETPIVOTDATA("Sum of New-Total Undg SCH FTE",'FTE Pivot for regular counts'!$A$2,"State","TX","Category2","Technical")</f>
        <v>0</v>
      </c>
      <c r="Q119" s="1" t="s">
        <v>716</v>
      </c>
      <c r="R119" s="159">
        <f>+GETPIVOTDATA("Sum of Old-Total Undg SCH FTE",'FTE Pivot for regular counts'!$A$2,"State","TX","Category","7","Category2","Two-Year")</f>
        <v>27074.300000000003</v>
      </c>
      <c r="S119" s="159">
        <f>+GETPIVOTDATA("Sum of Old-Total Undg SCH FTE",'FTE Pivot for regular counts'!$A$2,"State","TX","Category","8","Category2","Two-Year")</f>
        <v>342957.86666666664</v>
      </c>
      <c r="T119" s="159">
        <f>+GETPIVOTDATA("Sum of Old-Total Undg SCH FTE",'FTE Pivot for regular counts'!$A$2,"State","TX","Category",9,"Category2","Two-Year")</f>
        <v>81828.266666666677</v>
      </c>
      <c r="U119" s="159">
        <f>+GETPIVOTDATA("Sum of Old-Total Undg SCH FTE",'FTE Pivot for regular counts'!$A$2,"State","TX","Category","10","Category2","Two-Year")</f>
        <v>13515.266666666663</v>
      </c>
      <c r="V119" s="217">
        <f>+GETPIVOTDATA("Sum of Old-Total Undg SCH FTE",'FTE Pivot for regular counts'!$A$2,"State","TX","Category2","Two-Year")</f>
        <v>465375.69999999995</v>
      </c>
      <c r="W119" s="218">
        <f>+GETPIVOTDATA("Sum of Old-Total Undg SCH FTE",'FTE Pivot for regular counts'!$A$2,"State","TX","Category","12","Category2","Technical")</f>
        <v>0</v>
      </c>
      <c r="X119" s="159">
        <f>+GETPIVOTDATA("Sum of Old-Total Undg SCH FTE",'FTE Pivot for regular counts'!$A$2,"State","TX","Category","13","Category2","Technical")</f>
        <v>0</v>
      </c>
      <c r="Y119" s="1">
        <f>+GETPIVOTDATA("Sum of Old-Total Undg SCH FTE",'FTE Pivot for regular counts'!$A$2,"State","TX","Category2","Technical")</f>
        <v>0</v>
      </c>
    </row>
    <row r="120" spans="1:26" ht="15" customHeight="1">
      <c r="A120" s="1" t="s">
        <v>717</v>
      </c>
      <c r="B120" s="159">
        <f>+GETPIVOTDATA("Sum of New-Total Undg SCH FTE",'FTE Pivot for regular counts'!$A$2,"State","VA","Category","7","Category2","Two-Year")</f>
        <v>0</v>
      </c>
      <c r="C120" s="159">
        <f>+GETPIVOTDATA("Sum of New-Total Undg SCH FTE",'FTE Pivot for regular counts'!$A$2,"State","VA","Category","8","Category2","Two-Year")</f>
        <v>57725.333333333336</v>
      </c>
      <c r="D120" s="159">
        <f>+GETPIVOTDATA("Sum of New-Total Undg SCH FTE",'FTE Pivot for regular counts'!$A$2,"State","VA","Category",9,"Category2","Two-Year")</f>
        <v>23497.866666666669</v>
      </c>
      <c r="E120" s="159">
        <f>+GETPIVOTDATA("Sum of New-Total Undg SCH FTE",'FTE Pivot for regular counts'!$A$2,"State","VA","Category","10","Category2","Two-Year")</f>
        <v>13804.266666666666</v>
      </c>
      <c r="F120" s="217">
        <f>+GETPIVOTDATA("Sum of New-Total Undg SCH FTE",'FTE Pivot for regular counts'!$A$2,"State","VA","Category2","Two-Year")</f>
        <v>95027.466666666674</v>
      </c>
      <c r="G120" s="218">
        <f>+GETPIVOTDATA("Sum of New-Total Undg SCH FTE",'FTE Pivot for regular counts'!$A$2,"State","VA","Category","12","Category2","Technical")</f>
        <v>0</v>
      </c>
      <c r="H120" s="159">
        <f>+GETPIVOTDATA("Sum of New-Total Undg SCH FTE",'FTE Pivot for regular counts'!$A$2,"State","VA","Category","13","Category2","Technical")</f>
        <v>0</v>
      </c>
      <c r="I120" s="1">
        <f>+GETPIVOTDATA("Sum of New-Total Undg SCH FTE",'FTE Pivot for regular counts'!$A$2,"State","VA","Category2","Technical")</f>
        <v>0</v>
      </c>
      <c r="Q120" s="1" t="s">
        <v>717</v>
      </c>
      <c r="R120" s="159">
        <f>+GETPIVOTDATA("Sum of Old-Total Undg SCH FTE",'FTE Pivot for regular counts'!$A$2,"State","VA","Category","7","Category2","Two-Year")</f>
        <v>0</v>
      </c>
      <c r="S120" s="159">
        <f>+GETPIVOTDATA("Sum of Old-Total Undg SCH FTE",'FTE Pivot for regular counts'!$A$2,"State","VA","Category","8","Category2","Two-Year")</f>
        <v>60664.966666666667</v>
      </c>
      <c r="T120" s="159">
        <f>+GETPIVOTDATA("Sum of Old-Total Undg SCH FTE",'FTE Pivot for regular counts'!$A$2,"State","VA","Category",9,"Category2","Two-Year")</f>
        <v>23934.799999999996</v>
      </c>
      <c r="U120" s="159">
        <f>+GETPIVOTDATA("Sum of Old-Total Undg SCH FTE",'FTE Pivot for regular counts'!$A$2,"State","VA","Category","10","Category2","Two-Year")</f>
        <v>14328.066666666668</v>
      </c>
      <c r="V120" s="217">
        <f>+GETPIVOTDATA("Sum of Old-Total Undg SCH FTE",'FTE Pivot for regular counts'!$A$2,"State","VA","Category2","Two-Year")</f>
        <v>98927.833333333328</v>
      </c>
      <c r="W120" s="218">
        <f>+GETPIVOTDATA("Sum of Old-Total Undg SCH FTE",'FTE Pivot for regular counts'!$A$2,"State","VA","Category","12","Category2","Technical")</f>
        <v>0</v>
      </c>
      <c r="X120" s="159">
        <f>+GETPIVOTDATA("Sum of Old-Total Undg SCH FTE",'FTE Pivot for regular counts'!$A$2,"State","VA","Category","13","Category2","Technical")</f>
        <v>0</v>
      </c>
      <c r="Y120" s="1">
        <f>+GETPIVOTDATA("Sum of Old-Total Undg SCH FTE",'FTE Pivot for regular counts'!$A$2,"State","VA","Category2","Technical")</f>
        <v>0</v>
      </c>
    </row>
    <row r="121" spans="1:26" ht="15" customHeight="1">
      <c r="A121" s="166" t="s">
        <v>718</v>
      </c>
      <c r="B121" s="167">
        <f>+GETPIVOTDATA("Sum of New-Total Undg SCH FTE",'FTE Pivot for regular counts'!$A$2,"State","WV","Category","7","Category2","Two-Year")</f>
        <v>2858.0333333333333</v>
      </c>
      <c r="C121" s="167">
        <f>+GETPIVOTDATA("Sum of New-Total Undg SCH FTE",'FTE Pivot for regular counts'!$A$2,"State","WV","Category","8","Category2","Two-Year")</f>
        <v>0</v>
      </c>
      <c r="D121" s="167">
        <f>+GETPIVOTDATA("Sum of New-Total Undg SCH FTE",'FTE Pivot for regular counts'!$A$2,"State","WV","Category",9,"Category2","Two-Year")</f>
        <v>1695.0799999999997</v>
      </c>
      <c r="E121" s="167">
        <f>+GETPIVOTDATA("Sum of New-Total Undg SCH FTE",'FTE Pivot for regular counts'!$A$2,"State","WV","Category","10","Category2","Two-Year")</f>
        <v>6645</v>
      </c>
      <c r="F121" s="219">
        <f>+GETPIVOTDATA("Sum of New-Total Undg SCH FTE",'FTE Pivot for regular counts'!$A$2,"State","WV","Category2","Two-Year")</f>
        <v>11198.113333333333</v>
      </c>
      <c r="G121" s="220">
        <f>+GETPIVOTDATA("Sum of New-Total Undg SCH FTE",'FTE Pivot for regular counts'!$A$2,"State","WV","Category","12","Category2","Technical")</f>
        <v>0</v>
      </c>
      <c r="H121" s="167">
        <f>+GETPIVOTDATA("Sum of New-Total Undg SCH FTE",'FTE Pivot for regular counts'!$A$2,"State","WV","Category","13","Category2","Technical")</f>
        <v>0</v>
      </c>
      <c r="I121" s="166">
        <f>+GETPIVOTDATA("Sum of New-Total Undg SCH FTE",'FTE Pivot for regular counts'!$A$2,"State","WV","Category2","Technical")</f>
        <v>0</v>
      </c>
      <c r="Q121" s="166" t="s">
        <v>718</v>
      </c>
      <c r="R121" s="167">
        <f>+GETPIVOTDATA("Sum of Old-Total Undg SCH FTE",'FTE Pivot for regular counts'!$A$2,"State","WV","Category","7","Category2","Two-Year")</f>
        <v>2882.4</v>
      </c>
      <c r="S121" s="167">
        <f>+GETPIVOTDATA("Sum of Old-Total Undg SCH FTE",'FTE Pivot for regular counts'!$A$2,"State","WV","Category","8","Category2","Two-Year")</f>
        <v>0</v>
      </c>
      <c r="T121" s="167">
        <f>+GETPIVOTDATA("Sum of Old-Total Undg SCH FTE",'FTE Pivot for regular counts'!$A$2,"State","WV","Category",9,"Category2","Two-Year")</f>
        <v>2178.4899999999998</v>
      </c>
      <c r="U121" s="167">
        <f>+GETPIVOTDATA("Sum of Old-Total Undg SCH FTE",'FTE Pivot for regular counts'!$A$2,"State","WV","Category","10","Category2","Two-Year")</f>
        <v>7098.4866666666667</v>
      </c>
      <c r="V121" s="219">
        <f>+GETPIVOTDATA("Sum of Old-Total Undg SCH FTE",'FTE Pivot for regular counts'!$A$2,"State","WV","Category2","Two-Year")</f>
        <v>12159.376666666667</v>
      </c>
      <c r="W121" s="220">
        <f>+GETPIVOTDATA("Sum of Old-Total Undg SCH FTE",'FTE Pivot for regular counts'!$A$2,"State","WV","Category","12","Category2","Technical")</f>
        <v>0</v>
      </c>
      <c r="X121" s="167">
        <f>+GETPIVOTDATA("Sum of Old-Total Undg SCH FTE",'FTE Pivot for regular counts'!$A$2,"State","WV","Category","13","Category2","Technical")</f>
        <v>0</v>
      </c>
      <c r="Y121" s="166">
        <f>+GETPIVOTDATA("Sum of Old-Total Undg SCH FTE",'FTE Pivot for regular counts'!$A$2,"State","WV","Category2","Technical")</f>
        <v>0</v>
      </c>
    </row>
    <row r="122" spans="1:26" ht="36.75" customHeight="1">
      <c r="A122" s="610" t="s">
        <v>878</v>
      </c>
      <c r="B122" s="610"/>
      <c r="C122" s="610"/>
      <c r="D122" s="610"/>
      <c r="E122" s="610"/>
      <c r="F122" s="610"/>
      <c r="G122" s="610"/>
      <c r="H122" s="610"/>
      <c r="I122" s="610"/>
      <c r="J122" s="221"/>
      <c r="K122" s="221"/>
      <c r="L122" s="221"/>
      <c r="M122" s="221"/>
    </row>
    <row r="123" spans="1:26">
      <c r="A123" s="607" t="s">
        <v>850</v>
      </c>
      <c r="B123" s="607"/>
      <c r="C123" s="607"/>
      <c r="D123" s="607"/>
      <c r="E123" s="607"/>
      <c r="F123" s="607"/>
      <c r="G123" s="607"/>
      <c r="H123" s="607"/>
      <c r="I123" s="607"/>
      <c r="J123" s="221"/>
      <c r="K123" s="221"/>
      <c r="L123" s="221"/>
      <c r="M123" s="221"/>
    </row>
    <row r="124" spans="1:26" ht="10.5" customHeight="1">
      <c r="I124" s="179" t="s">
        <v>879</v>
      </c>
      <c r="J124" s="192"/>
      <c r="K124" s="192"/>
      <c r="L124" s="192"/>
      <c r="M124" s="222"/>
    </row>
    <row r="125" spans="1:26" ht="18">
      <c r="A125" s="611" t="s">
        <v>731</v>
      </c>
      <c r="B125" s="611"/>
      <c r="C125" s="611"/>
      <c r="D125" s="611"/>
      <c r="E125" s="611"/>
      <c r="F125" s="611"/>
      <c r="G125" s="611"/>
      <c r="H125" s="611"/>
      <c r="I125" s="611"/>
      <c r="J125" s="611"/>
      <c r="K125" s="200"/>
      <c r="L125" s="200"/>
      <c r="M125" s="200"/>
    </row>
    <row r="126" spans="1:26" ht="15.5">
      <c r="A126" s="223"/>
      <c r="B126" s="118"/>
      <c r="C126" s="122"/>
      <c r="D126" s="193"/>
      <c r="E126" s="118"/>
      <c r="F126" s="118"/>
      <c r="G126" s="118"/>
      <c r="H126" s="118"/>
      <c r="I126" s="118"/>
      <c r="J126" s="118"/>
      <c r="K126" s="118"/>
      <c r="L126" s="118"/>
      <c r="Q126" s="1" t="s">
        <v>683</v>
      </c>
    </row>
    <row r="127" spans="1:26" ht="15.5">
      <c r="A127" s="606" t="s">
        <v>732</v>
      </c>
      <c r="B127" s="606"/>
      <c r="C127" s="606"/>
      <c r="D127" s="606"/>
      <c r="E127" s="606"/>
      <c r="F127" s="606"/>
      <c r="G127" s="606"/>
      <c r="H127" s="606"/>
      <c r="I127" s="606"/>
      <c r="J127" s="606"/>
      <c r="K127" s="201"/>
      <c r="L127" s="201"/>
      <c r="Q127" s="202" t="s">
        <v>732</v>
      </c>
      <c r="R127" s="201"/>
      <c r="S127" s="201"/>
      <c r="T127" s="201"/>
      <c r="U127" s="201"/>
      <c r="V127" s="201"/>
      <c r="W127" s="201"/>
      <c r="X127" s="201"/>
      <c r="Y127" s="201"/>
      <c r="Z127" s="201"/>
    </row>
    <row r="128" spans="1:26" ht="15.5">
      <c r="A128" s="606" t="s">
        <v>869</v>
      </c>
      <c r="B128" s="606"/>
      <c r="C128" s="606"/>
      <c r="D128" s="606"/>
      <c r="E128" s="606"/>
      <c r="F128" s="606"/>
      <c r="G128" s="606"/>
      <c r="H128" s="606"/>
      <c r="I128" s="606"/>
      <c r="J128" s="606"/>
      <c r="K128" s="201"/>
      <c r="L128" s="201"/>
      <c r="Q128" s="202" t="s">
        <v>726</v>
      </c>
      <c r="R128" s="201"/>
      <c r="S128" s="201"/>
      <c r="T128" s="201"/>
      <c r="U128" s="201"/>
      <c r="V128" s="201"/>
      <c r="W128" s="201"/>
      <c r="X128" s="201"/>
      <c r="Y128" s="201"/>
      <c r="Z128" s="201"/>
    </row>
    <row r="129" spans="1:26">
      <c r="A129" s="119"/>
      <c r="B129" s="119"/>
      <c r="C129" s="119"/>
      <c r="D129" s="119"/>
      <c r="E129" s="119"/>
      <c r="F129" s="119"/>
      <c r="G129" s="119"/>
      <c r="H129" s="119"/>
      <c r="I129" s="119"/>
      <c r="J129" s="119"/>
      <c r="K129" s="119"/>
      <c r="L129" s="119"/>
      <c r="Q129" s="119"/>
      <c r="R129" s="119"/>
      <c r="S129" s="119"/>
      <c r="T129" s="119"/>
      <c r="U129" s="119"/>
      <c r="V129" s="119"/>
      <c r="W129" s="119"/>
      <c r="X129" s="119"/>
      <c r="Y129" s="119"/>
      <c r="Z129" s="119"/>
    </row>
    <row r="130" spans="1:26" ht="13">
      <c r="A130" s="224"/>
      <c r="B130" s="225" t="s">
        <v>727</v>
      </c>
      <c r="C130" s="225"/>
      <c r="D130" s="226"/>
      <c r="E130" s="226"/>
      <c r="F130" s="226"/>
      <c r="G130" s="227" t="s">
        <v>728</v>
      </c>
      <c r="H130" s="228"/>
      <c r="I130" s="229"/>
      <c r="J130" s="119" t="s">
        <v>729</v>
      </c>
      <c r="K130" s="119"/>
      <c r="P130" s="124"/>
      <c r="Q130" s="205" t="s">
        <v>727</v>
      </c>
      <c r="R130" s="205"/>
      <c r="S130" s="126"/>
      <c r="T130" s="126"/>
      <c r="U130" s="126"/>
      <c r="V130" s="207" t="s">
        <v>728</v>
      </c>
      <c r="W130" s="127"/>
      <c r="X130" s="208"/>
      <c r="Y130" s="119" t="s">
        <v>729</v>
      </c>
    </row>
    <row r="131" spans="1:26" ht="23.5">
      <c r="A131" s="129"/>
      <c r="B131" s="212" t="s">
        <v>730</v>
      </c>
      <c r="C131" s="183">
        <v>1</v>
      </c>
      <c r="D131" s="183">
        <v>2</v>
      </c>
      <c r="E131" s="183">
        <v>3</v>
      </c>
      <c r="F131" s="183" t="s">
        <v>687</v>
      </c>
      <c r="G131" s="214">
        <v>1</v>
      </c>
      <c r="H131" s="215">
        <v>2</v>
      </c>
      <c r="I131" s="183" t="s">
        <v>687</v>
      </c>
      <c r="J131" s="216"/>
      <c r="K131" s="216"/>
      <c r="P131" s="129"/>
      <c r="Q131" s="212" t="s">
        <v>730</v>
      </c>
      <c r="R131" s="183">
        <v>1</v>
      </c>
      <c r="S131" s="183">
        <v>2</v>
      </c>
      <c r="T131" s="183">
        <v>3</v>
      </c>
      <c r="U131" s="183" t="s">
        <v>687</v>
      </c>
      <c r="V131" s="214">
        <v>1</v>
      </c>
      <c r="W131" s="215">
        <v>2</v>
      </c>
      <c r="X131" s="183" t="s">
        <v>687</v>
      </c>
      <c r="Y131" s="216"/>
    </row>
    <row r="132" spans="1:26" ht="15" customHeight="1">
      <c r="A132" s="1" t="s">
        <v>695</v>
      </c>
      <c r="B132" s="230">
        <f>+GETPIVOTDATA("Sum of New-Total Undg CH FTE",'FTE Pivot for regular counts'!$A$2,"Category","7","Category2","Two-Year")</f>
        <v>12981.579999999998</v>
      </c>
      <c r="C132" s="230">
        <f>+GETPIVOTDATA("Sum of New-Total Undg CH FTE",'FTE Pivot for regular counts'!$A$2,"Category","8","Category2","Two-Year")</f>
        <v>17597.378888888888</v>
      </c>
      <c r="D132" s="230">
        <f>+GETPIVOTDATA("Sum of New-Total Undg CH FTE",'FTE Pivot for regular counts'!$A$2,"Category",9,"Category2","Two-Year")</f>
        <v>11965.980000000003</v>
      </c>
      <c r="E132" s="230">
        <f>+GETPIVOTDATA("Sum of New-Total Undg CH FTE",'FTE Pivot for regular counts'!$A$2,"Category","10","Category2","Two-Year")</f>
        <v>6055.9600000000009</v>
      </c>
      <c r="F132" s="231">
        <f>+GETPIVOTDATA("Sum of New-Total Undg CH FTE",'FTE Pivot for regular counts'!$A$2,"Category2","Two-Year")</f>
        <v>48600.8988888889</v>
      </c>
      <c r="G132" s="230">
        <f>+GETPIVOTDATA("Sum of New-Total Undg CH FTE",'FTE Pivot for regular counts'!$A$2,"Category","12","Category2","Technical")</f>
        <v>4216.6121111111115</v>
      </c>
      <c r="H132" s="230">
        <f>+GETPIVOTDATA("Sum of New-Total Undg CH FTE",'FTE Pivot for regular counts'!$A$2,"Category","13","Category2","Technical")</f>
        <v>30744.747888888887</v>
      </c>
      <c r="I132" s="230">
        <f>+GETPIVOTDATA("Sum of New-Total Undg CH FTE",'FTE Pivot for regular counts'!$A$2,"Category2","Technical")</f>
        <v>34961.359999999993</v>
      </c>
      <c r="J132" s="230"/>
      <c r="K132" s="230"/>
      <c r="P132" s="1" t="s">
        <v>695</v>
      </c>
      <c r="Q132" s="230">
        <f>+GETPIVOTDATA("Sum of Old-Total Undg CH FTE",'FTE Pivot for regular counts'!$A$2,"Category","7","Category2","Two-Year")</f>
        <v>15670.405555555559</v>
      </c>
      <c r="R132" s="230">
        <f>+GETPIVOTDATA("Sum of Old-Total Undg CH FTE",'FTE Pivot for regular counts'!$A$2,"Category","8","Category2","Two-Year")</f>
        <v>24714.812222222226</v>
      </c>
      <c r="S132" s="230">
        <f>+GETPIVOTDATA("Sum of Old-Total Undg CH FTE",'FTE Pivot for regular counts'!$A$2,"Category",9,"Category2","Two-Year")</f>
        <v>16372.973333333333</v>
      </c>
      <c r="T132" s="230">
        <f>+GETPIVOTDATA("Sum of Old-Total Undg CH FTE",'FTE Pivot for regular counts'!$A$2,"Category","10","Category2","Two-Year")</f>
        <v>8439.5766666666659</v>
      </c>
      <c r="U132" s="231">
        <f>+GETPIVOTDATA("Sum of Old-Total Undg CH FTE",'FTE Pivot for regular counts'!$A$2,"Category2","Two-Year")</f>
        <v>65197.767777777779</v>
      </c>
      <c r="V132" s="230">
        <f>+GETPIVOTDATA("Sum of Old-Total Undg CH FTE",'FTE Pivot for regular counts'!$A$2,"Category","12","Category2","Technical")</f>
        <v>3714.7210444444445</v>
      </c>
      <c r="W132" s="230">
        <f>+GETPIVOTDATA("Sum of Old-Total Undg CH FTE",'FTE Pivot for regular counts'!$A$2,"Category","13","Category2","Technical")</f>
        <v>28194.010188888889</v>
      </c>
      <c r="X132" s="230">
        <f>+GETPIVOTDATA("Sum of Old-Total Undg CH FTE",'FTE Pivot for regular counts'!$A$2,"Category2","Technical")</f>
        <v>31908.731233333336</v>
      </c>
      <c r="Y132" s="230"/>
    </row>
    <row r="133" spans="1:26" ht="15" customHeight="1">
      <c r="B133" s="230"/>
      <c r="C133" s="230"/>
      <c r="D133" s="230"/>
      <c r="G133" s="93"/>
      <c r="Q133" s="230"/>
      <c r="R133" s="230"/>
      <c r="S133" s="230"/>
      <c r="V133" s="93"/>
    </row>
    <row r="134" spans="1:26" ht="15" customHeight="1">
      <c r="A134" s="1" t="s">
        <v>703</v>
      </c>
      <c r="B134" s="230">
        <f>+GETPIVOTDATA("Sum of New-Total Undg CH FTE",'FTE Pivot for regular counts'!$A$2,"State","AL","Category","7","Category2","Two-Year")</f>
        <v>0</v>
      </c>
      <c r="C134" s="230">
        <f>+GETPIVOTDATA("Sum of New-Total Undg CH FTE",'FTE Pivot for regular counts'!$A$2,"State","AL","Category","8","Category2","Two-Year")</f>
        <v>0</v>
      </c>
      <c r="D134" s="230">
        <f>+GETPIVOTDATA("Sum of New-Total Undg CH FTE",'FTE Pivot for regular counts'!$A$2,"State","AL","Category",9,"Category2","Two-Year")</f>
        <v>0</v>
      </c>
      <c r="E134" s="230">
        <f>+GETPIVOTDATA("Sum of New-Total Undg CH FTE",'FTE Pivot for regular counts'!$A$2,"State","AL","Category","10","Category2","Two-Year")</f>
        <v>0</v>
      </c>
      <c r="F134" s="231">
        <f>+GETPIVOTDATA("Sum of New-Total Undg CH FTE",'FTE Pivot for regular counts'!$A$2,"State","AL","Category2","Two-Year")</f>
        <v>0</v>
      </c>
      <c r="G134" s="230">
        <f>+GETPIVOTDATA("Sum of New-Total Undg CH FTE",'FTE Pivot for regular counts'!$A$2,"State","AL","Category","12","Category2","Technical")</f>
        <v>0</v>
      </c>
      <c r="H134" s="230">
        <f>+GETPIVOTDATA("Sum of New-Total Undg CH FTE",'FTE Pivot for regular counts'!$A$2,"State","AL","Category","13","Category2","Technical")</f>
        <v>0</v>
      </c>
      <c r="I134" s="230">
        <f>+GETPIVOTDATA("Sum of New-Total Undg CH FTE",'FTE Pivot for regular counts'!$A$2,"State","AL","Category2","Technical")</f>
        <v>0</v>
      </c>
      <c r="J134" s="230"/>
      <c r="K134" s="230"/>
      <c r="P134" s="1" t="s">
        <v>703</v>
      </c>
      <c r="Q134" s="230">
        <f>+GETPIVOTDATA("Sum of Old-Total Undg CH FTE",'FTE Pivot for regular counts'!$A$2,"State","AL","Category","7","Category2","Two-Year")</f>
        <v>0</v>
      </c>
      <c r="R134" s="230">
        <f>+GETPIVOTDATA("Sum of Old-Total Undg CH FTE",'FTE Pivot for regular counts'!$A$2,"State","AL","Category","8","Category2","Two-Year")</f>
        <v>0</v>
      </c>
      <c r="S134" s="230">
        <f>+GETPIVOTDATA("Sum of Old-Total Undg CH FTE",'FTE Pivot for regular counts'!$A$2,"State","AL","Category",9,"Category2","Two-Year")</f>
        <v>0</v>
      </c>
      <c r="T134" s="230">
        <f>+GETPIVOTDATA("Sum of Old-Total Undg CH FTE",'FTE Pivot for regular counts'!$A$2,"State","AL","Category","10","Category2","Two-Year")</f>
        <v>0</v>
      </c>
      <c r="U134" s="231">
        <f>+GETPIVOTDATA("Sum of Old-Total Undg CH FTE",'FTE Pivot for regular counts'!$A$2,"State","AL","Category2","Two-Year")</f>
        <v>0</v>
      </c>
      <c r="V134" s="230">
        <f>+GETPIVOTDATA("Sum of Old-Total Undg CH FTE",'FTE Pivot for regular counts'!$A$2,"State","AL","Category","12","Category2","Technical")</f>
        <v>0</v>
      </c>
      <c r="W134" s="230">
        <f>+GETPIVOTDATA("Sum of Old-Total Undg CH FTE",'FTE Pivot for regular counts'!$A$2,"State","AL","Category","13","Category2","Technical")</f>
        <v>0</v>
      </c>
      <c r="X134" s="230">
        <f>+GETPIVOTDATA("Sum of Old-Total Undg CH FTE",'FTE Pivot for regular counts'!$A$2,"State","AL","Category2","Technical")</f>
        <v>0</v>
      </c>
      <c r="Y134" s="230"/>
    </row>
    <row r="135" spans="1:26" ht="15" customHeight="1">
      <c r="A135" s="1" t="s">
        <v>704</v>
      </c>
      <c r="B135" s="230">
        <f>+GETPIVOTDATA("Sum of New-Total Undg CH FTE",'FTE Pivot for regular counts'!$A$2,"State","AR","Category","7","Category2","Two-Year")</f>
        <v>0</v>
      </c>
      <c r="C135" s="230">
        <f>+GETPIVOTDATA("Sum of New-Total Undg CH FTE",'FTE Pivot for regular counts'!$A$2,"State","AR","Category","8","Category2","Two-Year")</f>
        <v>0</v>
      </c>
      <c r="D135" s="230">
        <f>+GETPIVOTDATA("Sum of New-Total Undg CH FTE",'FTE Pivot for regular counts'!$A$2,"State","AR","Category",9,"Category2","Two-Year")</f>
        <v>0</v>
      </c>
      <c r="E135" s="230">
        <f>+GETPIVOTDATA("Sum of New-Total Undg CH FTE",'FTE Pivot for regular counts'!$A$2,"State","AR","Category","10","Category2","Two-Year")</f>
        <v>0</v>
      </c>
      <c r="F135" s="231">
        <f>+GETPIVOTDATA("Sum of New-Total Undg CH FTE",'FTE Pivot for regular counts'!$A$2,"State","AR","Category2","Two-Year")</f>
        <v>0</v>
      </c>
      <c r="G135" s="230">
        <f>+GETPIVOTDATA("Sum of New-Total Undg CH FTE",'FTE Pivot for regular counts'!$A$2,"State","AR","Category","12","Category2","Technical")</f>
        <v>0</v>
      </c>
      <c r="H135" s="230">
        <f>+GETPIVOTDATA("Sum of New-Total Undg CH FTE",'FTE Pivot for regular counts'!$A$2,"State","AR","Category","13","Category2","Technical")</f>
        <v>0</v>
      </c>
      <c r="I135" s="230">
        <f>+GETPIVOTDATA("Sum of New-Total Undg CH FTE",'FTE Pivot for regular counts'!$A$2,"State","AR","Category2","Technical")</f>
        <v>0</v>
      </c>
      <c r="J135" s="230"/>
      <c r="K135" s="230"/>
      <c r="P135" s="1" t="s">
        <v>704</v>
      </c>
      <c r="Q135" s="230">
        <f>+GETPIVOTDATA("Sum of Old-Total Undg CH FTE",'FTE Pivot for regular counts'!$A$2,"State","AR","Category","7","Category2","Two-Year")</f>
        <v>0</v>
      </c>
      <c r="R135" s="230">
        <f>+GETPIVOTDATA("Sum of Old-Total Undg CH FTE",'FTE Pivot for regular counts'!$A$2,"State","AR","Category","8","Category2","Two-Year")</f>
        <v>0</v>
      </c>
      <c r="S135" s="230">
        <f>+GETPIVOTDATA("Sum of Old-Total Undg CH FTE",'FTE Pivot for regular counts'!$A$2,"State","AR","Category",9,"Category2","Two-Year")</f>
        <v>0</v>
      </c>
      <c r="T135" s="230">
        <f>+GETPIVOTDATA("Sum of Old-Total Undg CH FTE",'FTE Pivot for regular counts'!$A$2,"State","AR","Category","10","Category2","Two-Year")</f>
        <v>0</v>
      </c>
      <c r="U135" s="231">
        <f>+GETPIVOTDATA("Sum of Old-Total Undg CH FTE",'FTE Pivot for regular counts'!$A$2,"State","AR","Category2","Two-Year")</f>
        <v>0</v>
      </c>
      <c r="V135" s="230">
        <f>+GETPIVOTDATA("Sum of Old-Total Undg CH FTE",'FTE Pivot for regular counts'!$A$2,"State","AR","Category","12","Category2","Technical")</f>
        <v>0</v>
      </c>
      <c r="W135" s="230">
        <f>+GETPIVOTDATA("Sum of Old-Total Undg CH FTE",'FTE Pivot for regular counts'!$A$2,"State","AR","Category","13","Category2","Technical")</f>
        <v>0</v>
      </c>
      <c r="X135" s="230">
        <f>+GETPIVOTDATA("Sum of Old-Total Undg CH FTE",'FTE Pivot for regular counts'!$A$2,"State","AR","Category2","Technical")</f>
        <v>0</v>
      </c>
      <c r="Y135" s="230"/>
    </row>
    <row r="136" spans="1:26" ht="15" customHeight="1">
      <c r="A136" s="1" t="s">
        <v>705</v>
      </c>
      <c r="B136" s="230">
        <f>+GETPIVOTDATA("Sum of New-Total Undg CH FTE",'FTE Pivot for regular counts'!$A$2,"State","DE","Category","7","Category2","Two-Year")</f>
        <v>0</v>
      </c>
      <c r="C136" s="230">
        <f>+GETPIVOTDATA("Sum of New-Total Undg CH FTE",'FTE Pivot for regular counts'!$A$2,"State","DE","Category","8","Category2","Two-Year")</f>
        <v>0</v>
      </c>
      <c r="D136" s="230">
        <f>+GETPIVOTDATA("Sum of New-Total Undg CH FTE",'FTE Pivot for regular counts'!$A$2,"State","DE","Category",9,"Category2","Two-Year")</f>
        <v>0</v>
      </c>
      <c r="E136" s="230">
        <f>+GETPIVOTDATA("Sum of New-Total Undg CH FTE",'FTE Pivot for regular counts'!$A$2,"State","DE","Category","10","Category2","Two-Year")</f>
        <v>0</v>
      </c>
      <c r="F136" s="231">
        <f>+GETPIVOTDATA("Sum of New-Total Undg CH FTE",'FTE Pivot for regular counts'!$A$2,"State","DE","Category2","Two-Year")</f>
        <v>0</v>
      </c>
      <c r="G136" s="230">
        <f>+GETPIVOTDATA("Sum of New-Total Undg CH FTE",'FTE Pivot for regular counts'!$A$2,"State","DE","Category","12","Category2","Technical")</f>
        <v>0</v>
      </c>
      <c r="H136" s="230">
        <f>+GETPIVOTDATA("Sum of New-Total Undg CH FTE",'FTE Pivot for regular counts'!$A$2,"State","DE","Category","13","Category2","Technical")</f>
        <v>0</v>
      </c>
      <c r="I136" s="230">
        <f>+GETPIVOTDATA("Sum of New-Total Undg CH FTE",'FTE Pivot for regular counts'!$A$2,"State","DE","Category2","Technical")</f>
        <v>0</v>
      </c>
      <c r="J136" s="230"/>
      <c r="K136" s="230"/>
      <c r="P136" s="1" t="s">
        <v>705</v>
      </c>
      <c r="Q136" s="230">
        <f>+GETPIVOTDATA("Sum of Old-Total Undg CH FTE",'FTE Pivot for regular counts'!$A$2,"State","DE","Category","7","Category2","Two-Year")</f>
        <v>0</v>
      </c>
      <c r="R136" s="230">
        <f>+GETPIVOTDATA("Sum of Old-Total Undg CH FTE",'FTE Pivot for regular counts'!$A$2,"State","DE","Category","8","Category2","Two-Year")</f>
        <v>0</v>
      </c>
      <c r="S136" s="230">
        <f>+GETPIVOTDATA("Sum of Old-Total Undg CH FTE",'FTE Pivot for regular counts'!$A$2,"State","DE","Category",9,"Category2","Two-Year")</f>
        <v>0</v>
      </c>
      <c r="T136" s="230">
        <f>+GETPIVOTDATA("Sum of Old-Total Undg CH FTE",'FTE Pivot for regular counts'!$A$2,"State","DE","Category","10","Category2","Two-Year")</f>
        <v>0</v>
      </c>
      <c r="U136" s="231">
        <f>+GETPIVOTDATA("Sum of Old-Total Undg CH FTE",'FTE Pivot for regular counts'!$A$2,"State","DE","Category2","Two-Year")</f>
        <v>0</v>
      </c>
      <c r="V136" s="230">
        <f>+GETPIVOTDATA("Sum of Old-Total Undg CH FTE",'FTE Pivot for regular counts'!$A$2,"State","DE","Category","12","Category2","Technical")</f>
        <v>0</v>
      </c>
      <c r="W136" s="230">
        <f>+GETPIVOTDATA("Sum of Old-Total Undg CH FTE",'FTE Pivot for regular counts'!$A$2,"State","DE","Category","13","Category2","Technical")</f>
        <v>0</v>
      </c>
      <c r="X136" s="230">
        <f>+GETPIVOTDATA("Sum of Old-Total Undg CH FTE",'FTE Pivot for regular counts'!$A$2,"State","DE","Category2","Technical")</f>
        <v>0</v>
      </c>
      <c r="Y136" s="230"/>
    </row>
    <row r="137" spans="1:26" ht="15" customHeight="1">
      <c r="A137" s="1" t="s">
        <v>706</v>
      </c>
      <c r="B137" s="230">
        <f>+GETPIVOTDATA("Sum of New-Total Undg CH FTE",'FTE Pivot for regular counts'!$A$2,"State","FL","Category","7","Category2","Two-Year")</f>
        <v>12677.429999999998</v>
      </c>
      <c r="C137" s="230">
        <f>+GETPIVOTDATA("Sum of New-Total Undg CH FTE",'FTE Pivot for regular counts'!$A$2,"State","FL","Category","8","Category2","Two-Year")</f>
        <v>2282.5011111111112</v>
      </c>
      <c r="D137" s="230">
        <f>+GETPIVOTDATA("Sum of New-Total Undg CH FTE",'FTE Pivot for regular counts'!$A$2,"State","FL","Category",9,"Category2","Two-Year")</f>
        <v>0</v>
      </c>
      <c r="E137" s="230">
        <f>+GETPIVOTDATA("Sum of New-Total Undg CH FTE",'FTE Pivot for regular counts'!$A$2,"State","FL","Category","10","Category2","Two-Year")</f>
        <v>158.15777777777777</v>
      </c>
      <c r="F137" s="231">
        <f>+GETPIVOTDATA("Sum of New-Total Undg CH FTE",'FTE Pivot for regular counts'!$A$2,"State","FL","Category2","Two-Year")</f>
        <v>15118.088888888888</v>
      </c>
      <c r="G137" s="230">
        <f>+GETPIVOTDATA("Sum of New-Total Undg CH FTE",'FTE Pivot for regular counts'!$A$2,"State","FL","Category","12","Category2","Technical")</f>
        <v>0</v>
      </c>
      <c r="H137" s="230">
        <f>+GETPIVOTDATA("Sum of New-Total Undg CH FTE",'FTE Pivot for regular counts'!$A$2,"State","FL","Category","13","Category2","Technical")</f>
        <v>0</v>
      </c>
      <c r="I137" s="230">
        <f>+GETPIVOTDATA("Sum of New-Total Undg CH FTE",'FTE Pivot for regular counts'!$A$2,"State","FL","Category2","Technical")</f>
        <v>0</v>
      </c>
      <c r="J137" s="230"/>
      <c r="K137" s="230"/>
      <c r="P137" s="1" t="s">
        <v>706</v>
      </c>
      <c r="Q137" s="230">
        <f>+GETPIVOTDATA("Sum of Old-Total Undg CH FTE",'FTE Pivot for regular counts'!$A$2,"State","FL","Category","7","Category2","Two-Year")</f>
        <v>15263.280000000002</v>
      </c>
      <c r="R137" s="230">
        <f>+GETPIVOTDATA("Sum of Old-Total Undg CH FTE",'FTE Pivot for regular counts'!$A$2,"State","FL","Category","8","Category2","Two-Year")</f>
        <v>2568.4122222222222</v>
      </c>
      <c r="S137" s="230">
        <f>+GETPIVOTDATA("Sum of Old-Total Undg CH FTE",'FTE Pivot for regular counts'!$A$2,"State","FL","Category",9,"Category2","Two-Year")</f>
        <v>0</v>
      </c>
      <c r="T137" s="230">
        <f>+GETPIVOTDATA("Sum of Old-Total Undg CH FTE",'FTE Pivot for regular counts'!$A$2,"State","FL","Category","10","Category2","Two-Year")</f>
        <v>177.42000000000002</v>
      </c>
      <c r="U137" s="231">
        <f>+GETPIVOTDATA("Sum of Old-Total Undg CH FTE",'FTE Pivot for regular counts'!$A$2,"State","FL","Category2","Two-Year")</f>
        <v>18009.112222222222</v>
      </c>
      <c r="V137" s="230">
        <f>+GETPIVOTDATA("Sum of Old-Total Undg CH FTE",'FTE Pivot for regular counts'!$A$2,"State","FL","Category","12","Category2","Technical")</f>
        <v>0</v>
      </c>
      <c r="W137" s="230">
        <f>+GETPIVOTDATA("Sum of Old-Total Undg CH FTE",'FTE Pivot for regular counts'!$A$2,"State","FL","Category","13","Category2","Technical")</f>
        <v>0</v>
      </c>
      <c r="X137" s="230">
        <f>+GETPIVOTDATA("Sum of Old-Total Undg CH FTE",'FTE Pivot for regular counts'!$A$2,"State","FL","Category2","Technical")</f>
        <v>0</v>
      </c>
      <c r="Y137" s="230"/>
    </row>
    <row r="138" spans="1:26" ht="15" customHeight="1">
      <c r="B138" s="230"/>
      <c r="C138" s="230"/>
      <c r="D138" s="230"/>
      <c r="E138" s="230"/>
      <c r="F138" s="231"/>
      <c r="G138" s="230"/>
      <c r="H138" s="230"/>
      <c r="I138" s="230"/>
      <c r="J138" s="230"/>
      <c r="K138" s="230"/>
      <c r="Q138" s="230"/>
      <c r="R138" s="230"/>
      <c r="S138" s="230"/>
      <c r="T138" s="230"/>
      <c r="U138" s="231"/>
      <c r="V138" s="230"/>
      <c r="W138" s="230"/>
      <c r="X138" s="230"/>
      <c r="Y138" s="230"/>
    </row>
    <row r="139" spans="1:26" ht="15" customHeight="1">
      <c r="A139" s="1" t="s">
        <v>707</v>
      </c>
      <c r="B139" s="230">
        <f>+GETPIVOTDATA("Sum of New-Total Undg CH FTE",'FTE Pivot for regular counts'!$A$2,"State","GA","Category","7","Category2","Two-Year")</f>
        <v>0</v>
      </c>
      <c r="C139" s="230">
        <f>+GETPIVOTDATA("Sum of New-Total Undg CH FTE",'FTE Pivot for regular counts'!$A$2,"State","GA","Category","8","Category2","Two-Year")</f>
        <v>0</v>
      </c>
      <c r="D139" s="230">
        <f>+GETPIVOTDATA("Sum of New-Total Undg CH FTE",'FTE Pivot for regular counts'!$A$2,"State","GA","Category",9,"Category2","Two-Year")</f>
        <v>0</v>
      </c>
      <c r="E139" s="230">
        <f>+GETPIVOTDATA("Sum of New-Total Undg CH FTE",'FTE Pivot for regular counts'!$A$2,"State","GA","Category","10","Category2","Two-Year")</f>
        <v>0</v>
      </c>
      <c r="F139" s="231">
        <f>+GETPIVOTDATA("Sum of New-Total Undg CH FTE",'FTE Pivot for regular counts'!$A$2,"State","GA","Category2","Two-Year")</f>
        <v>0</v>
      </c>
      <c r="G139" s="230">
        <f>+GETPIVOTDATA("Sum of New-Total Undg CH FTE",'FTE Pivot for regular counts'!$A$2,"State","GA","Category","12","Category2","Technical")</f>
        <v>0</v>
      </c>
      <c r="H139" s="230">
        <f>+GETPIVOTDATA("Sum of New-Total Undg CH FTE",'FTE Pivot for regular counts'!$A$2,"State","GA","Category","13","Category2","Technical")</f>
        <v>0</v>
      </c>
      <c r="I139" s="230">
        <f>+GETPIVOTDATA("Sum of New-Total Undg CH FTE",'FTE Pivot for regular counts'!$A$2,"State","GA","Category2","Technical")</f>
        <v>0</v>
      </c>
      <c r="J139" s="230"/>
      <c r="K139" s="230"/>
      <c r="P139" s="1" t="s">
        <v>707</v>
      </c>
      <c r="Q139" s="230">
        <f>+GETPIVOTDATA("Sum of Old-Total Undg CH FTE",'FTE Pivot for regular counts'!$A$2,"State","GA","Category","7","Category2","Two-Year")</f>
        <v>0</v>
      </c>
      <c r="R139" s="230">
        <f>+GETPIVOTDATA("Sum of Old-Total Undg CH FTE",'FTE Pivot for regular counts'!$A$2,"State","GA","Category","8","Category2","Two-Year")</f>
        <v>0</v>
      </c>
      <c r="S139" s="230">
        <f>+GETPIVOTDATA("Sum of Old-Total Undg CH FTE",'FTE Pivot for regular counts'!$A$2,"State","GA","Category",9,"Category2","Two-Year")</f>
        <v>0</v>
      </c>
      <c r="T139" s="230">
        <f>+GETPIVOTDATA("Sum of Old-Total Undg CH FTE",'FTE Pivot for regular counts'!$A$2,"State","GA","Category","10","Category2","Two-Year")</f>
        <v>0</v>
      </c>
      <c r="U139" s="231">
        <f>+GETPIVOTDATA("Sum of Old-Total Undg CH FTE",'FTE Pivot for regular counts'!$A$2,"State","GA","Category2","Two-Year")</f>
        <v>0</v>
      </c>
      <c r="V139" s="230">
        <f>+GETPIVOTDATA("Sum of Old-Total Undg CH FTE",'FTE Pivot for regular counts'!$A$2,"State","GA","Category","12","Category2","Technical")</f>
        <v>0</v>
      </c>
      <c r="W139" s="230">
        <f>+GETPIVOTDATA("Sum of Old-Total Undg CH FTE",'FTE Pivot for regular counts'!$A$2,"State","GA","Category","13","Category2","Technical")</f>
        <v>0</v>
      </c>
      <c r="X139" s="230">
        <f>+GETPIVOTDATA("Sum of Old-Total Undg CH FTE",'FTE Pivot for regular counts'!$A$2,"State","GA","Category2","Technical")</f>
        <v>0</v>
      </c>
      <c r="Y139" s="230"/>
    </row>
    <row r="140" spans="1:26" ht="15" customHeight="1">
      <c r="A140" s="1" t="s">
        <v>708</v>
      </c>
      <c r="B140" s="230">
        <f>+GETPIVOTDATA("Sum of New-Total Undg CH FTE",'FTE Pivot for regular counts'!$A$2,"State","KY","Category","7","Category2","Two-Year")</f>
        <v>0</v>
      </c>
      <c r="C140" s="230">
        <f>+GETPIVOTDATA("Sum of New-Total Undg CH FTE",'FTE Pivot for regular counts'!$A$2,"State","KY","Category","8","Category2","Two-Year")</f>
        <v>0</v>
      </c>
      <c r="D140" s="230">
        <f>+GETPIVOTDATA("Sum of New-Total Undg CH FTE",'FTE Pivot for regular counts'!$A$2,"State","KY","Category",9,"Category2","Two-Year")</f>
        <v>0</v>
      </c>
      <c r="E140" s="230">
        <f>+GETPIVOTDATA("Sum of New-Total Undg CH FTE",'FTE Pivot for regular counts'!$A$2,"State","KY","Category","10","Category2","Two-Year")</f>
        <v>0</v>
      </c>
      <c r="F140" s="231">
        <f>+GETPIVOTDATA("Sum of New-Total Undg CH FTE",'FTE Pivot for regular counts'!$A$2,"State","KY","Category2","Two-Year")</f>
        <v>0</v>
      </c>
      <c r="G140" s="230">
        <f>+GETPIVOTDATA("Sum of New-Total Undg CH FTE",'FTE Pivot for regular counts'!$A$2,"State","KY","Category","12","Category2","Technical")</f>
        <v>0</v>
      </c>
      <c r="H140" s="230">
        <f>+GETPIVOTDATA("Sum of New-Total Undg CH FTE",'FTE Pivot for regular counts'!$A$2,"State","KY","Category","13","Category2","Technical")</f>
        <v>0</v>
      </c>
      <c r="I140" s="230">
        <f>+GETPIVOTDATA("Sum of New-Total Undg CH FTE",'FTE Pivot for regular counts'!$A$2,"State","KY","Category2","Technical")</f>
        <v>0</v>
      </c>
      <c r="J140" s="230"/>
      <c r="K140" s="230"/>
      <c r="P140" s="1" t="s">
        <v>708</v>
      </c>
      <c r="Q140" s="230">
        <f>+GETPIVOTDATA("Sum of Old-Total Undg CH FTE",'FTE Pivot for regular counts'!$A$2,"State","KY","Category","7","Category2","Two-Year")</f>
        <v>0</v>
      </c>
      <c r="R140" s="230">
        <f>+GETPIVOTDATA("Sum of Old-Total Undg CH FTE",'FTE Pivot for regular counts'!$A$2,"State","KY","Category","8","Category2","Two-Year")</f>
        <v>0</v>
      </c>
      <c r="S140" s="230">
        <f>+GETPIVOTDATA("Sum of Old-Total Undg CH FTE",'FTE Pivot for regular counts'!$A$2,"State","KY","Category",9,"Category2","Two-Year")</f>
        <v>0</v>
      </c>
      <c r="T140" s="230">
        <f>+GETPIVOTDATA("Sum of Old-Total Undg CH FTE",'FTE Pivot for regular counts'!$A$2,"State","KY","Category","10","Category2","Two-Year")</f>
        <v>0</v>
      </c>
      <c r="U140" s="231">
        <f>+GETPIVOTDATA("Sum of Old-Total Undg CH FTE",'FTE Pivot for regular counts'!$A$2,"State","KY","Category2","Two-Year")</f>
        <v>0</v>
      </c>
      <c r="V140" s="230">
        <f>+GETPIVOTDATA("Sum of Old-Total Undg CH FTE",'FTE Pivot for regular counts'!$A$2,"State","KY","Category","12","Category2","Technical")</f>
        <v>0</v>
      </c>
      <c r="W140" s="230">
        <f>+GETPIVOTDATA("Sum of Old-Total Undg CH FTE",'FTE Pivot for regular counts'!$A$2,"State","KY","Category","13","Category2","Technical")</f>
        <v>0</v>
      </c>
      <c r="X140" s="230">
        <f>+GETPIVOTDATA("Sum of Old-Total Undg CH FTE",'FTE Pivot for regular counts'!$A$2,"State","KY","Category2","Technical")</f>
        <v>0</v>
      </c>
      <c r="Y140" s="230"/>
    </row>
    <row r="141" spans="1:26" ht="15" customHeight="1">
      <c r="A141" s="1" t="s">
        <v>709</v>
      </c>
      <c r="B141" s="230">
        <f>+GETPIVOTDATA("Sum of New-Total Undg CH FTE",'FTE Pivot for regular counts'!$A$2,"State","LA","Category","7","Category2","Two-Year")</f>
        <v>0</v>
      </c>
      <c r="C141" s="230">
        <f>+GETPIVOTDATA("Sum of New-Total Undg CH FTE",'FTE Pivot for regular counts'!$A$2,"State","LA","Category","8","Category2","Two-Year")</f>
        <v>0</v>
      </c>
      <c r="D141" s="230">
        <f>+GETPIVOTDATA("Sum of New-Total Undg CH FTE",'FTE Pivot for regular counts'!$A$2,"State","LA","Category",9,"Category2","Two-Year")</f>
        <v>0</v>
      </c>
      <c r="E141" s="230">
        <f>+GETPIVOTDATA("Sum of New-Total Undg CH FTE",'FTE Pivot for regular counts'!$A$2,"State","LA","Category","10","Category2","Two-Year")</f>
        <v>0</v>
      </c>
      <c r="F141" s="231">
        <f>+GETPIVOTDATA("Sum of New-Total Undg CH FTE",'FTE Pivot for regular counts'!$A$2,"State","LA","Category2","Two-Year")</f>
        <v>0</v>
      </c>
      <c r="G141" s="230">
        <f>+GETPIVOTDATA("Sum of New-Total Undg CH FTE",'FTE Pivot for regular counts'!$A$2,"State","LA","Category","12","Category2","Technical")</f>
        <v>0</v>
      </c>
      <c r="H141" s="230">
        <f>+GETPIVOTDATA("Sum of New-Total Undg CH FTE",'FTE Pivot for regular counts'!$A$2,"State","LA","Category","13","Category2","Technical")</f>
        <v>0</v>
      </c>
      <c r="I141" s="230">
        <f>+GETPIVOTDATA("Sum of New-Total Undg CH FTE",'FTE Pivot for regular counts'!$A$2,"State","LA","Category2","Technical")</f>
        <v>0</v>
      </c>
      <c r="J141" s="230"/>
      <c r="K141" s="230"/>
      <c r="P141" s="1" t="s">
        <v>709</v>
      </c>
      <c r="Q141" s="230">
        <f>+GETPIVOTDATA("Sum of Old-Total Undg CH FTE",'FTE Pivot for regular counts'!$A$2,"State","LA","Category","7","Category2","Two-Year")</f>
        <v>0</v>
      </c>
      <c r="R141" s="230">
        <f>+GETPIVOTDATA("Sum of Old-Total Undg CH FTE",'FTE Pivot for regular counts'!$A$2,"State","LA","Category","8","Category2","Two-Year")</f>
        <v>0</v>
      </c>
      <c r="S141" s="232">
        <f>+GETPIVOTDATA("Sum of Old-Total Undg CH FTE",'FTE Pivot for regular counts'!$A$2,"State","LA","Category",9,"Category2","Two-Year")</f>
        <v>0</v>
      </c>
      <c r="T141" s="230">
        <f>+GETPIVOTDATA("Sum of Old-Total Undg CH FTE",'FTE Pivot for regular counts'!$A$2,"State","LA","Category","10","Category2","Two-Year")</f>
        <v>0</v>
      </c>
      <c r="U141" s="233">
        <f>+GETPIVOTDATA("Sum of Old-Total Undg CH FTE",'FTE Pivot for regular counts'!$A$2,"State","LA","Category2","Two-Year")</f>
        <v>0</v>
      </c>
      <c r="V141" s="230">
        <f>+GETPIVOTDATA("Sum of Old-Total Undg CH FTE",'FTE Pivot for regular counts'!$A$2,"State","LA","Category","12","Category2","Technical")</f>
        <v>0</v>
      </c>
      <c r="W141" s="230">
        <f>+GETPIVOTDATA("Sum of Old-Total Undg CH FTE",'FTE Pivot for regular counts'!$A$2,"State","LA","Category","13","Category2","Technical")</f>
        <v>0</v>
      </c>
      <c r="X141" s="230">
        <f>+GETPIVOTDATA("Sum of Old-Total Undg CH FTE",'FTE Pivot for regular counts'!$A$2,"State","LA","Category2","Technical")</f>
        <v>0</v>
      </c>
      <c r="Y141" s="230"/>
    </row>
    <row r="142" spans="1:26" ht="15" customHeight="1">
      <c r="A142" s="1" t="s">
        <v>710</v>
      </c>
      <c r="B142" s="230">
        <f>+GETPIVOTDATA("Sum of New-Total Undg CH FTE",'FTE Pivot for regular counts'!$A$2,"State","MD","Category","7","Category2","Two-Year")</f>
        <v>0</v>
      </c>
      <c r="C142" s="230">
        <f>+GETPIVOTDATA("Sum of New-Total Undg CH FTE",'FTE Pivot for regular counts'!$A$2,"State","MD","Category","8","Category2","Two-Year")</f>
        <v>0</v>
      </c>
      <c r="D142" s="230">
        <f>+GETPIVOTDATA("Sum of New-Total Undg CH FTE",'FTE Pivot for regular counts'!$A$2,"State","MD","Category",9,"Category2","Two-Year")</f>
        <v>0</v>
      </c>
      <c r="E142" s="230">
        <f>+GETPIVOTDATA("Sum of New-Total Undg CH FTE",'FTE Pivot for regular counts'!$A$2,"State","MD","Category","10","Category2","Two-Year")</f>
        <v>0</v>
      </c>
      <c r="F142" s="231">
        <f>+GETPIVOTDATA("Sum of New-Total Undg CH FTE",'FTE Pivot for regular counts'!$A$2,"State","MD","Category2","Two-Year")</f>
        <v>0</v>
      </c>
      <c r="G142" s="230">
        <f>+GETPIVOTDATA("Sum of New-Total Undg CH FTE",'FTE Pivot for regular counts'!$A$2,"State","MD","Category","12","Category2","Technical")</f>
        <v>0</v>
      </c>
      <c r="H142" s="230">
        <f>+GETPIVOTDATA("Sum of New-Total Undg CH FTE",'FTE Pivot for regular counts'!$A$2,"State","MD","Category","13","Category2","Technical")</f>
        <v>0</v>
      </c>
      <c r="I142" s="230">
        <f>+GETPIVOTDATA("Sum of New-Total Undg CH FTE",'FTE Pivot for regular counts'!$A$2,"State","MD","Category2","Technical")</f>
        <v>0</v>
      </c>
      <c r="J142" s="230"/>
      <c r="K142" s="230"/>
      <c r="P142" s="1" t="s">
        <v>710</v>
      </c>
      <c r="Q142" s="230">
        <f>+GETPIVOTDATA("Sum of Old-Total Undg CH FTE",'FTE Pivot for regular counts'!$A$2,"State","MD","Category","7","Category2","Two-Year")</f>
        <v>0</v>
      </c>
      <c r="R142" s="230">
        <f>+GETPIVOTDATA("Sum of Old-Total Undg CH FTE",'FTE Pivot for regular counts'!$A$2,"State","MD","Category","8","Category2","Two-Year")</f>
        <v>0</v>
      </c>
      <c r="S142" s="230">
        <f>+GETPIVOTDATA("Sum of Old-Total Undg CH FTE",'FTE Pivot for regular counts'!$A$2,"State","MD","Category",9,"Category2","Two-Year")</f>
        <v>0</v>
      </c>
      <c r="T142" s="230">
        <f>+GETPIVOTDATA("Sum of Old-Total Undg CH FTE",'FTE Pivot for regular counts'!$A$2,"State","MD","Category","10","Category2","Two-Year")</f>
        <v>0</v>
      </c>
      <c r="U142" s="231">
        <f>+GETPIVOTDATA("Sum of Old-Total Undg CH FTE",'FTE Pivot for regular counts'!$A$2,"State","MD","Category2","Two-Year")</f>
        <v>0</v>
      </c>
      <c r="V142" s="230">
        <f>+GETPIVOTDATA("Sum of Old-Total Undg CH FTE",'FTE Pivot for regular counts'!$A$2,"State","MD","Category","12","Category2","Technical")</f>
        <v>0</v>
      </c>
      <c r="W142" s="230">
        <f>+GETPIVOTDATA("Sum of Old-Total Undg CH FTE",'FTE Pivot for regular counts'!$A$2,"State","MD","Category","13","Category2","Technical")</f>
        <v>0</v>
      </c>
      <c r="X142" s="230">
        <f>+GETPIVOTDATA("Sum of Old-Total Undg CH FTE",'FTE Pivot for regular counts'!$A$2,"State","MD","Category2","Technical")</f>
        <v>0</v>
      </c>
      <c r="Y142" s="230"/>
    </row>
    <row r="143" spans="1:26" ht="15" customHeight="1">
      <c r="B143" s="230"/>
      <c r="C143" s="230"/>
      <c r="D143" s="230"/>
      <c r="E143" s="230"/>
      <c r="F143" s="231"/>
      <c r="G143" s="230"/>
      <c r="H143" s="230"/>
      <c r="I143" s="230"/>
      <c r="J143" s="230"/>
      <c r="K143" s="230"/>
      <c r="Q143" s="230"/>
      <c r="R143" s="230"/>
      <c r="S143" s="230"/>
      <c r="T143" s="230"/>
      <c r="U143" s="231"/>
      <c r="V143" s="230"/>
      <c r="W143" s="230"/>
      <c r="X143" s="230"/>
      <c r="Y143" s="230"/>
    </row>
    <row r="144" spans="1:26" ht="15" customHeight="1">
      <c r="A144" s="1" t="s">
        <v>711</v>
      </c>
      <c r="B144" s="230">
        <f>+GETPIVOTDATA("Sum of New-Total Undg CH FTE",'FTE Pivot for regular counts'!$A$2,"State","MS","Category","7","Category2","Two-Year")</f>
        <v>0</v>
      </c>
      <c r="C144" s="230">
        <f>+GETPIVOTDATA("Sum of New-Total Undg CH FTE",'FTE Pivot for regular counts'!$A$2,"State","MS","Category","8","Category2","Two-Year")</f>
        <v>0</v>
      </c>
      <c r="D144" s="230">
        <f>+GETPIVOTDATA("Sum of New-Total Undg CH FTE",'FTE Pivot for regular counts'!$A$2,"State","MS","Category",9,"Category2","Two-Year")</f>
        <v>0</v>
      </c>
      <c r="E144" s="230">
        <f>+GETPIVOTDATA("Sum of New-Total Undg CH FTE",'FTE Pivot for regular counts'!$A$2,"State","MS","Category","10","Category2","Two-Year")</f>
        <v>0</v>
      </c>
      <c r="F144" s="231">
        <f>+GETPIVOTDATA("Sum of New-Total Undg CH FTE",'FTE Pivot for regular counts'!$A$2,"State","MS","Category2","Two-Year")</f>
        <v>0</v>
      </c>
      <c r="G144" s="230">
        <f>+GETPIVOTDATA("Sum of New-Total Undg CH FTE",'FTE Pivot for regular counts'!$A$2,"State","MS","Category","12","Category2","Technical")</f>
        <v>0</v>
      </c>
      <c r="H144" s="230">
        <f>+GETPIVOTDATA("Sum of New-Total Undg CH FTE",'FTE Pivot for regular counts'!$A$2,"State","MS","Category","13","Category2","Technical")</f>
        <v>0</v>
      </c>
      <c r="I144" s="230">
        <f>+GETPIVOTDATA("Sum of New-Total Undg CH FTE",'FTE Pivot for regular counts'!$A$2,"State","MS","Category2","Technical")</f>
        <v>0</v>
      </c>
      <c r="J144" s="230"/>
      <c r="K144" s="230"/>
      <c r="P144" s="1" t="s">
        <v>711</v>
      </c>
      <c r="Q144" s="230">
        <f>+GETPIVOTDATA("Sum of Old-Total Undg CH FTE",'FTE Pivot for regular counts'!$A$2,"State","MS","Category","7","Category2","Two-Year")</f>
        <v>0</v>
      </c>
      <c r="R144" s="230">
        <f>+GETPIVOTDATA("Sum of Old-Total Undg CH FTE",'FTE Pivot for regular counts'!$A$2,"State","MS","Category","8","Category2","Two-Year")</f>
        <v>0</v>
      </c>
      <c r="S144" s="230">
        <f>+GETPIVOTDATA("Sum of Old-Total Undg CH FTE",'FTE Pivot for regular counts'!$A$2,"State","MS","Category",9,"Category2","Two-Year")</f>
        <v>0</v>
      </c>
      <c r="T144" s="230">
        <f>+GETPIVOTDATA("Sum of Old-Total Undg CH FTE",'FTE Pivot for regular counts'!$A$2,"State","MS","Category","10","Category2","Two-Year")</f>
        <v>0</v>
      </c>
      <c r="U144" s="231">
        <f>+GETPIVOTDATA("Sum of Old-Total Undg CH FTE",'FTE Pivot for regular counts'!$A$2,"State","MS","Category2","Two-Year")</f>
        <v>0</v>
      </c>
      <c r="V144" s="230">
        <f>+GETPIVOTDATA("Sum of Old-Total Undg CH FTE",'FTE Pivot for regular counts'!$A$2,"State","MS","Category","12","Category2","Technical")</f>
        <v>0</v>
      </c>
      <c r="W144" s="230">
        <f>+GETPIVOTDATA("Sum of Old-Total Undg CH FTE",'FTE Pivot for regular counts'!$A$2,"State","MS","Category","13","Category2","Technical")</f>
        <v>0</v>
      </c>
      <c r="X144" s="230">
        <f>+GETPIVOTDATA("Sum of Old-Total Undg CH FTE",'FTE Pivot for regular counts'!$A$2,"State","MS","Category2","Technical")</f>
        <v>0</v>
      </c>
      <c r="Y144" s="230"/>
    </row>
    <row r="145" spans="1:56" ht="15" customHeight="1">
      <c r="A145" s="1" t="s">
        <v>712</v>
      </c>
      <c r="B145" s="230">
        <f>+GETPIVOTDATA("Sum of New-Total Undg CH FTE",'FTE Pivot for regular counts'!$A$2,"State","NC","Category","7","Category2","Two-Year")</f>
        <v>0</v>
      </c>
      <c r="C145" s="230">
        <f>+GETPIVOTDATA("Sum of New-Total Undg CH FTE",'FTE Pivot for regular counts'!$A$2,"State","NC","Category","8","Category2","Two-Year")</f>
        <v>8401.4155555555553</v>
      </c>
      <c r="D145" s="230">
        <f>+GETPIVOTDATA("Sum of New-Total Undg CH FTE",'FTE Pivot for regular counts'!$A$2,"State","NC","Category",9,"Category2","Two-Year")</f>
        <v>9513.4866666666694</v>
      </c>
      <c r="E145" s="230">
        <f>+GETPIVOTDATA("Sum of New-Total Undg CH FTE",'FTE Pivot for regular counts'!$A$2,"State","NC","Category","10","Category2","Two-Year")</f>
        <v>5173.3033333333351</v>
      </c>
      <c r="F145" s="231">
        <f>+GETPIVOTDATA("Sum of New-Total Undg CH FTE",'FTE Pivot for regular counts'!$A$2,"State","NC","Category2","Two-Year")</f>
        <v>23088.205555555563</v>
      </c>
      <c r="G145" s="230">
        <f>+GETPIVOTDATA("Sum of New-Total Undg CH FTE",'FTE Pivot for regular counts'!$A$2,"State","NC","Category","12","Category2","Technical")</f>
        <v>0</v>
      </c>
      <c r="H145" s="230">
        <f>+GETPIVOTDATA("Sum of New-Total Undg CH FTE",'FTE Pivot for regular counts'!$A$2,"State","NC","Category","13","Category2","Technical")</f>
        <v>0</v>
      </c>
      <c r="I145" s="230">
        <f>+GETPIVOTDATA("Sum of New-Total Undg CH FTE",'FTE Pivot for regular counts'!$A$2,"State","NC","Category2","Technical")</f>
        <v>0</v>
      </c>
      <c r="J145" s="230"/>
      <c r="K145" s="230"/>
      <c r="P145" s="1" t="s">
        <v>712</v>
      </c>
      <c r="Q145" s="230">
        <f>+GETPIVOTDATA("Sum of Old-Total Undg CH FTE",'FTE Pivot for regular counts'!$A$2,"State","NC","Category","7","Category2","Two-Year")</f>
        <v>0</v>
      </c>
      <c r="R145" s="230">
        <f>+GETPIVOTDATA("Sum of Old-Total Undg CH FTE",'FTE Pivot for regular counts'!$A$2,"State","NC","Category","8","Category2","Two-Year")</f>
        <v>11853.945555555556</v>
      </c>
      <c r="S145" s="230">
        <f>+GETPIVOTDATA("Sum of Old-Total Undg CH FTE",'FTE Pivot for regular counts'!$A$2,"State","NC","Category",9,"Category2","Two-Year")</f>
        <v>12665.833333333334</v>
      </c>
      <c r="T145" s="230">
        <f>+GETPIVOTDATA("Sum of Old-Total Undg CH FTE",'FTE Pivot for regular counts'!$A$2,"State","NC","Category","10","Category2","Two-Year")</f>
        <v>7569.2344444444434</v>
      </c>
      <c r="U145" s="231">
        <f>+GETPIVOTDATA("Sum of Old-Total Undg CH FTE",'FTE Pivot for regular counts'!$A$2,"State","NC","Category2","Two-Year")</f>
        <v>32089.013333333332</v>
      </c>
      <c r="V145" s="230">
        <f>+GETPIVOTDATA("Sum of Old-Total Undg CH FTE",'FTE Pivot for regular counts'!$A$2,"State","NC","Category","12","Category2","Technical")</f>
        <v>0</v>
      </c>
      <c r="W145" s="230">
        <f>+GETPIVOTDATA("Sum of Old-Total Undg CH FTE",'FTE Pivot for regular counts'!$A$2,"State","NC","Category","13","Category2","Technical")</f>
        <v>0</v>
      </c>
      <c r="X145" s="230">
        <f>+GETPIVOTDATA("Sum of Old-Total Undg CH FTE",'FTE Pivot for regular counts'!$A$2,"State","NC","Category2","Technical")</f>
        <v>0</v>
      </c>
      <c r="Y145" s="230"/>
    </row>
    <row r="146" spans="1:56" ht="15" customHeight="1">
      <c r="A146" s="1" t="s">
        <v>713</v>
      </c>
      <c r="B146" s="230">
        <f>+GETPIVOTDATA("Sum of New-Total Undg CH FTE",'FTE Pivot for regular counts'!$A$2,"State","OK","Category","7","Category2","Two-Year")</f>
        <v>0</v>
      </c>
      <c r="C146" s="230">
        <f>+GETPIVOTDATA("Sum of New-Total Undg CH FTE",'FTE Pivot for regular counts'!$A$2,"State","OK","Category","8","Category2","Two-Year")</f>
        <v>0</v>
      </c>
      <c r="D146" s="230">
        <f>+GETPIVOTDATA("Sum of New-Total Undg CH FTE",'FTE Pivot for regular counts'!$A$2,"State","OK","Category",9,"Category2","Two-Year")</f>
        <v>0</v>
      </c>
      <c r="E146" s="230">
        <f>+GETPIVOTDATA("Sum of New-Total Undg CH FTE",'FTE Pivot for regular counts'!$A$2,"State","OK","Category","10","Category2","Two-Year")</f>
        <v>0</v>
      </c>
      <c r="F146" s="231">
        <f>+GETPIVOTDATA("Sum of New-Total Undg CH FTE",'FTE Pivot for regular counts'!$A$2,"State","OK","Category2","Two-Year")</f>
        <v>0</v>
      </c>
      <c r="G146" s="230">
        <f>+GETPIVOTDATA("Sum of New-Total Undg CH FTE",'FTE Pivot for regular counts'!$A$2,"State","OK","Category","12","Category2","Technical")</f>
        <v>4216.6121111111115</v>
      </c>
      <c r="H146" s="230">
        <f>+GETPIVOTDATA("Sum of New-Total Undg CH FTE",'FTE Pivot for regular counts'!$A$2,"State","OK","Category","13","Category2","Technical")</f>
        <v>18113.878999999997</v>
      </c>
      <c r="I146" s="230">
        <f>+GETPIVOTDATA("Sum of New-Total Undg CH FTE",'FTE Pivot for regular counts'!$A$2,"State","OK","Category2","Technical")</f>
        <v>22330.491111111107</v>
      </c>
      <c r="J146" s="230"/>
      <c r="K146" s="230"/>
      <c r="P146" s="1" t="s">
        <v>713</v>
      </c>
      <c r="Q146" s="230">
        <f>+GETPIVOTDATA("Sum of Old-Total Undg CH FTE",'FTE Pivot for regular counts'!$A$2,"State","OK","Category","7","Category2","Two-Year")</f>
        <v>0</v>
      </c>
      <c r="R146" s="230">
        <f>+GETPIVOTDATA("Sum of Old-Total Undg CH FTE",'FTE Pivot for regular counts'!$A$2,"State","OK","Category","8","Category2","Two-Year")</f>
        <v>0</v>
      </c>
      <c r="S146" s="230">
        <f>+GETPIVOTDATA("Sum of Old-Total Undg CH FTE",'FTE Pivot for regular counts'!$A$2,"State","OK","Category",9,"Category2","Two-Year")</f>
        <v>0</v>
      </c>
      <c r="T146" s="230">
        <f>+GETPIVOTDATA("Sum of Old-Total Undg CH FTE",'FTE Pivot for regular counts'!$A$2,"State","OK","Category","10","Category2","Two-Year")</f>
        <v>0</v>
      </c>
      <c r="U146" s="231">
        <f>+GETPIVOTDATA("Sum of Old-Total Undg CH FTE",'FTE Pivot for regular counts'!$A$2,"State","OK","Category2","Two-Year")</f>
        <v>0</v>
      </c>
      <c r="V146" s="230">
        <f>+GETPIVOTDATA("Sum of Old-Total Undg CH FTE",'FTE Pivot for regular counts'!$A$2,"State","OK","Category","12","Category2","Technical")</f>
        <v>3714.7210444444445</v>
      </c>
      <c r="W146" s="230">
        <f>+GETPIVOTDATA("Sum of Old-Total Undg CH FTE",'FTE Pivot for regular counts'!$A$2,"State","OK","Category","13","Category2","Technical")</f>
        <v>15335.873522222222</v>
      </c>
      <c r="X146" s="230">
        <f>+GETPIVOTDATA("Sum of Old-Total Undg CH FTE",'FTE Pivot for regular counts'!$A$2,"State","OK","Category2","Technical")</f>
        <v>19050.594566666667</v>
      </c>
      <c r="Y146" s="230"/>
    </row>
    <row r="147" spans="1:56" ht="15" customHeight="1">
      <c r="A147" s="1" t="s">
        <v>714</v>
      </c>
      <c r="B147" s="230">
        <f>+GETPIVOTDATA("Sum of New-Total Undg CH FTE",'FTE Pivot for regular counts'!$A$2,"State","SC","Category","7","Category2","Two-Year")</f>
        <v>0</v>
      </c>
      <c r="C147" s="230">
        <f>+GETPIVOTDATA("Sum of New-Total Undg CH FTE",'FTE Pivot for regular counts'!$A$2,"State","SC","Category","8","Category2","Two-Year")</f>
        <v>0</v>
      </c>
      <c r="D147" s="230">
        <f>+GETPIVOTDATA("Sum of New-Total Undg CH FTE",'FTE Pivot for regular counts'!$A$2,"State","SC","Category",9,"Category2","Two-Year")</f>
        <v>0</v>
      </c>
      <c r="E147" s="230">
        <f>+GETPIVOTDATA("Sum of New-Total Undg CH FTE",'FTE Pivot for regular counts'!$A$2,"State","SC","Category","10","Category2","Two-Year")</f>
        <v>0</v>
      </c>
      <c r="F147" s="231">
        <f>+GETPIVOTDATA("Sum of New-Total Undg CH FTE",'FTE Pivot for regular counts'!$A$2,"State","SC","Category2","Two-Year")</f>
        <v>0</v>
      </c>
      <c r="G147" s="230">
        <f>+GETPIVOTDATA("Sum of New-Total Undg CH FTE",'FTE Pivot for regular counts'!$A$2,"State","SC","Category","12","Category2","Technical")</f>
        <v>0</v>
      </c>
      <c r="H147" s="230">
        <f>+GETPIVOTDATA("Sum of New-Total Undg CH FTE",'FTE Pivot for regular counts'!$A$2,"State","SC","Category","13","Category2","Technical")</f>
        <v>0</v>
      </c>
      <c r="I147" s="230">
        <f>+GETPIVOTDATA("Sum of New-Total Undg CH FTE",'FTE Pivot for regular counts'!$A$2,"State","SC","Category2","Technical")</f>
        <v>0</v>
      </c>
      <c r="J147" s="230"/>
      <c r="K147" s="230"/>
      <c r="P147" s="1" t="s">
        <v>714</v>
      </c>
      <c r="Q147" s="230">
        <f>+GETPIVOTDATA("Sum of Old-Total Undg CH FTE",'FTE Pivot for regular counts'!$A$2,"State","SC","Category","7","Category2","Two-Year")</f>
        <v>0</v>
      </c>
      <c r="R147" s="230">
        <f>+GETPIVOTDATA("Sum of Old-Total Undg CH FTE",'FTE Pivot for regular counts'!$A$2,"State","SC","Category","8","Category2","Two-Year")</f>
        <v>0</v>
      </c>
      <c r="S147" s="230">
        <f>+GETPIVOTDATA("Sum of Old-Total Undg CH FTE",'FTE Pivot for regular counts'!$A$2,"State","SC","Category",9,"Category2","Two-Year")</f>
        <v>0</v>
      </c>
      <c r="T147" s="230">
        <f>+GETPIVOTDATA("Sum of Old-Total Undg CH FTE",'FTE Pivot for regular counts'!$A$2,"State","SC","Category","10","Category2","Two-Year")</f>
        <v>0</v>
      </c>
      <c r="U147" s="231">
        <f>+GETPIVOTDATA("Sum of Old-Total Undg CH FTE",'FTE Pivot for regular counts'!$A$2,"State","SC","Category2","Two-Year")</f>
        <v>0</v>
      </c>
      <c r="V147" s="230">
        <f>+GETPIVOTDATA("Sum of Old-Total Undg CH FTE",'FTE Pivot for regular counts'!$A$2,"State","SC","Category","12","Category2","Technical")</f>
        <v>0</v>
      </c>
      <c r="W147" s="230">
        <f>+GETPIVOTDATA("Sum of Old-Total Undg CH FTE",'FTE Pivot for regular counts'!$A$2,"State","SC","Category","13","Category2","Technical")</f>
        <v>0</v>
      </c>
      <c r="X147" s="230">
        <f>+GETPIVOTDATA("Sum of Old-Total Undg CH FTE",'FTE Pivot for regular counts'!$A$2,"State","SC","Category2","Technical")</f>
        <v>0</v>
      </c>
      <c r="Y147" s="230"/>
    </row>
    <row r="148" spans="1:56" ht="15" customHeight="1">
      <c r="B148" s="230"/>
      <c r="C148" s="230"/>
      <c r="D148" s="230"/>
      <c r="E148" s="230"/>
      <c r="F148" s="231"/>
      <c r="G148" s="230"/>
      <c r="H148" s="230"/>
      <c r="I148" s="230"/>
      <c r="J148" s="230"/>
      <c r="K148" s="230"/>
      <c r="Q148" s="230"/>
      <c r="R148" s="230"/>
      <c r="S148" s="230"/>
      <c r="T148" s="230"/>
      <c r="U148" s="231"/>
      <c r="V148" s="230"/>
      <c r="W148" s="230"/>
      <c r="X148" s="230"/>
      <c r="Y148" s="230"/>
    </row>
    <row r="149" spans="1:56" ht="15" customHeight="1">
      <c r="A149" s="1" t="s">
        <v>715</v>
      </c>
      <c r="B149" s="230">
        <f>+GETPIVOTDATA("Sum of New-Total Undg CH FTE",'FTE Pivot for regular counts'!$A$2,"State","TN","Category","7","Category2","Two-Year")</f>
        <v>0</v>
      </c>
      <c r="C149" s="230">
        <f>+GETPIVOTDATA("Sum of New-Total Undg CH FTE",'FTE Pivot for regular counts'!$A$2,"State","TN","Category","8","Category2","Two-Year")</f>
        <v>0</v>
      </c>
      <c r="D149" s="230">
        <f>+GETPIVOTDATA("Sum of New-Total Undg CH FTE",'FTE Pivot for regular counts'!$A$2,"State","TN","Category",9,"Category2","Two-Year")</f>
        <v>0</v>
      </c>
      <c r="E149" s="230">
        <f>+GETPIVOTDATA("Sum of New-Total Undg CH FTE",'FTE Pivot for regular counts'!$A$2,"State","TN","Category","10","Category2","Two-Year")</f>
        <v>0</v>
      </c>
      <c r="F149" s="231">
        <f>+GETPIVOTDATA("Sum of New-Total Undg CH FTE",'FTE Pivot for regular counts'!$A$2,"State","TN","Category2","Two-Year")</f>
        <v>0</v>
      </c>
      <c r="G149" s="230">
        <f>+GETPIVOTDATA("Sum of New-Total Undg CH FTE",'FTE Pivot for regular counts'!$A$2,"State","TN","Category","12","Category2","Technical")</f>
        <v>0</v>
      </c>
      <c r="H149" s="230">
        <f>+GETPIVOTDATA("Sum of New-Total Undg CH FTE",'FTE Pivot for regular counts'!$A$2,"State","TN","Category","13","Category2","Technical")</f>
        <v>12630.868888888888</v>
      </c>
      <c r="I149" s="230">
        <f>+GETPIVOTDATA("Sum of New-Total Undg CH FTE",'FTE Pivot for regular counts'!$A$2,"State","TN","Category2","Technical")</f>
        <v>12630.868888888888</v>
      </c>
      <c r="J149" s="230"/>
      <c r="K149" s="230"/>
      <c r="P149" s="1" t="s">
        <v>715</v>
      </c>
      <c r="Q149" s="230">
        <f>+GETPIVOTDATA("Sum of Old-Total Undg CH FTE",'FTE Pivot for regular counts'!$A$2,"State","TN","Category","7","Category2","Two-Year")</f>
        <v>0</v>
      </c>
      <c r="R149" s="230">
        <f>+GETPIVOTDATA("Sum of Old-Total Undg CH FTE",'FTE Pivot for regular counts'!$A$2,"State","TN","Category","8","Category2","Two-Year")</f>
        <v>0</v>
      </c>
      <c r="S149" s="230">
        <f>+GETPIVOTDATA("Sum of Old-Total Undg CH FTE",'FTE Pivot for regular counts'!$A$2,"State","TN","Category",9,"Category2","Two-Year")</f>
        <v>0</v>
      </c>
      <c r="T149" s="230">
        <f>+GETPIVOTDATA("Sum of Old-Total Undg CH FTE",'FTE Pivot for regular counts'!$A$2,"State","TN","Category","10","Category2","Two-Year")</f>
        <v>0</v>
      </c>
      <c r="U149" s="231">
        <f>+GETPIVOTDATA("Sum of Old-Total Undg CH FTE",'FTE Pivot for regular counts'!$A$2,"State","TN","Category2","Two-Year")</f>
        <v>0</v>
      </c>
      <c r="V149" s="230">
        <f>+GETPIVOTDATA("Sum of Old-Total Undg CH FTE",'FTE Pivot for regular counts'!$A$2,"State","TN","Category","12","Category2","Technical")</f>
        <v>0</v>
      </c>
      <c r="W149" s="230">
        <f>+GETPIVOTDATA("Sum of Old-Total Undg CH FTE",'FTE Pivot for regular counts'!$A$2,"State","TN","Category","13","Category2","Technical")</f>
        <v>12858.136666666669</v>
      </c>
      <c r="X149" s="230">
        <f>+GETPIVOTDATA("Sum of Old-Total Undg CH FTE",'FTE Pivot for regular counts'!$A$2,"State","TN","Category2","Technical")</f>
        <v>12858.136666666669</v>
      </c>
      <c r="Y149" s="230"/>
    </row>
    <row r="150" spans="1:56" ht="15" customHeight="1">
      <c r="A150" s="1" t="s">
        <v>716</v>
      </c>
      <c r="B150" s="230">
        <f>+GETPIVOTDATA("Sum of New-Total Undg CH FTE",'FTE Pivot for regular counts'!$A$2,"State","TX","Category","7","Category2","Two-Year")</f>
        <v>304.15000000000003</v>
      </c>
      <c r="C150" s="230">
        <f>+GETPIVOTDATA("Sum of New-Total Undg CH FTE",'FTE Pivot for regular counts'!$A$2,"State","TX","Category","8","Category2","Two-Year")</f>
        <v>6913.4622222222233</v>
      </c>
      <c r="D150" s="230">
        <f>+GETPIVOTDATA("Sum of New-Total Undg CH FTE",'FTE Pivot for regular counts'!$A$2,"State","TX","Category",9,"Category2","Two-Year")</f>
        <v>2452.4933333333329</v>
      </c>
      <c r="E150" s="230">
        <f>+GETPIVOTDATA("Sum of New-Total Undg CH FTE",'FTE Pivot for regular counts'!$A$2,"State","TX","Category","10","Category2","Two-Year")</f>
        <v>724.49888888888881</v>
      </c>
      <c r="F150" s="231">
        <f>+GETPIVOTDATA("Sum of New-Total Undg CH FTE",'FTE Pivot for regular counts'!$A$2,"State","TX","Category2","Two-Year")</f>
        <v>10394.604444444445</v>
      </c>
      <c r="G150" s="230">
        <f>+GETPIVOTDATA("Sum of New-Total Undg CH FTE",'FTE Pivot for regular counts'!$A$2,"State","TX","Category","12","Category2","Technical")</f>
        <v>0</v>
      </c>
      <c r="H150" s="230">
        <f>+GETPIVOTDATA("Sum of New-Total Undg CH FTE",'FTE Pivot for regular counts'!$A$2,"State","TX","Category","13","Category2","Technical")</f>
        <v>0</v>
      </c>
      <c r="I150" s="230">
        <f>+GETPIVOTDATA("Sum of New-Total Undg CH FTE",'FTE Pivot for regular counts'!$A$2,"State","TX","Category2","Technical")</f>
        <v>0</v>
      </c>
      <c r="J150" s="230"/>
      <c r="K150" s="230"/>
      <c r="P150" s="1" t="s">
        <v>716</v>
      </c>
      <c r="Q150" s="230">
        <f>+GETPIVOTDATA("Sum of Old-Total Undg CH FTE",'FTE Pivot for regular counts'!$A$2,"State","TX","Category","7","Category2","Two-Year")</f>
        <v>407.12555555555559</v>
      </c>
      <c r="R150" s="230">
        <f>+GETPIVOTDATA("Sum of Old-Total Undg CH FTE",'FTE Pivot for regular counts'!$A$2,"State","TX","Category","8","Category2","Two-Year")</f>
        <v>10292.454444444447</v>
      </c>
      <c r="S150" s="230">
        <f>+GETPIVOTDATA("Sum of Old-Total Undg CH FTE",'FTE Pivot for regular counts'!$A$2,"State","TX","Category",9,"Category2","Two-Year")</f>
        <v>3707.14</v>
      </c>
      <c r="T150" s="230">
        <f>+GETPIVOTDATA("Sum of Old-Total Undg CH FTE",'FTE Pivot for regular counts'!$A$2,"State","TX","Category","10","Category2","Two-Year")</f>
        <v>692.92222222222222</v>
      </c>
      <c r="U150" s="231">
        <f>+GETPIVOTDATA("Sum of Old-Total Undg CH FTE",'FTE Pivot for regular counts'!$A$2,"State","TX","Category2","Two-Year")</f>
        <v>15099.642222222225</v>
      </c>
      <c r="V150" s="230">
        <f>+GETPIVOTDATA("Sum of Old-Total Undg CH FTE",'FTE Pivot for regular counts'!$A$2,"State","TX","Category","12","Category2","Technical")</f>
        <v>0</v>
      </c>
      <c r="W150" s="230">
        <f>+GETPIVOTDATA("Sum of Old-Total Undg CH FTE",'FTE Pivot for regular counts'!$A$2,"State","TX","Category","13","Category2","Technical")</f>
        <v>0</v>
      </c>
      <c r="X150" s="230">
        <f>+GETPIVOTDATA("Sum of Old-Total Undg CH FTE",'FTE Pivot for regular counts'!$A$2,"State","TX","Category2","Technical")</f>
        <v>0</v>
      </c>
      <c r="Y150" s="230"/>
    </row>
    <row r="151" spans="1:56" ht="15" customHeight="1">
      <c r="A151" s="1" t="s">
        <v>717</v>
      </c>
      <c r="B151" s="230">
        <f>+GETPIVOTDATA("Sum of New-Total Undg CH FTE",'FTE Pivot for regular counts'!$A$2,"State","VA","Category","7","Category2","Two-Year")</f>
        <v>0</v>
      </c>
      <c r="C151" s="230">
        <f>+GETPIVOTDATA("Sum of New-Total Undg CH FTE",'FTE Pivot for regular counts'!$A$2,"State","VA","Category","8","Category2","Two-Year")</f>
        <v>0</v>
      </c>
      <c r="D151" s="230">
        <f>+GETPIVOTDATA("Sum of New-Total Undg CH FTE",'FTE Pivot for regular counts'!$A$2,"State","VA","Category",9,"Category2","Two-Year")</f>
        <v>0</v>
      </c>
      <c r="E151" s="230">
        <f>+GETPIVOTDATA("Sum of New-Total Undg CH FTE",'FTE Pivot for regular counts'!$A$2,"State","VA","Category","10","Category2","Two-Year")</f>
        <v>0</v>
      </c>
      <c r="F151" s="231">
        <f>+GETPIVOTDATA("Sum of New-Total Undg CH FTE",'FTE Pivot for regular counts'!$A$2,"State","VA","Category2","Two-Year")</f>
        <v>0</v>
      </c>
      <c r="G151" s="230">
        <f>+GETPIVOTDATA("Sum of New-Total Undg CH FTE",'FTE Pivot for regular counts'!$A$2,"State","VA","Category","12","Category2","Technical")</f>
        <v>0</v>
      </c>
      <c r="H151" s="230">
        <f>+GETPIVOTDATA("Sum of New-Total Undg CH FTE",'FTE Pivot for regular counts'!$A$2,"State","VA","Category","13","Category2","Technical")</f>
        <v>0</v>
      </c>
      <c r="I151" s="230">
        <f>+GETPIVOTDATA("Sum of New-Total Undg CH FTE",'FTE Pivot for regular counts'!$A$2,"State","VA","Category2","Technical")</f>
        <v>0</v>
      </c>
      <c r="J151" s="230"/>
      <c r="K151" s="230"/>
      <c r="P151" s="1" t="s">
        <v>717</v>
      </c>
      <c r="Q151" s="230">
        <f>+GETPIVOTDATA("Sum of Old-Total Undg CH FTE",'FTE Pivot for regular counts'!$A$2,"State","VA","Category","7","Category2","Two-Year")</f>
        <v>0</v>
      </c>
      <c r="R151" s="230">
        <f>+GETPIVOTDATA("Sum of Old-Total Undg CH FTE",'FTE Pivot for regular counts'!$A$2,"State","VA","Category","8","Category2","Two-Year")</f>
        <v>0</v>
      </c>
      <c r="S151" s="230">
        <f>+GETPIVOTDATA("Sum of Old-Total Undg CH FTE",'FTE Pivot for regular counts'!$A$2,"State","VA","Category",9,"Category2","Two-Year")</f>
        <v>0</v>
      </c>
      <c r="T151" s="230">
        <f>+GETPIVOTDATA("Sum of Old-Total Undg CH FTE",'FTE Pivot for regular counts'!$A$2,"State","VA","Category","10","Category2","Two-Year")</f>
        <v>0</v>
      </c>
      <c r="U151" s="231">
        <f>+GETPIVOTDATA("Sum of Old-Total Undg CH FTE",'FTE Pivot for regular counts'!$A$2,"State","VA","Category2","Two-Year")</f>
        <v>0</v>
      </c>
      <c r="V151" s="230">
        <f>+GETPIVOTDATA("Sum of Old-Total Undg CH FTE",'FTE Pivot for regular counts'!$A$2,"State","VA","Category","12","Category2","Technical")</f>
        <v>0</v>
      </c>
      <c r="W151" s="230">
        <f>+GETPIVOTDATA("Sum of Old-Total Undg CH FTE",'FTE Pivot for regular counts'!$A$2,"State","VA","Category","13","Category2","Technical")</f>
        <v>0</v>
      </c>
      <c r="X151" s="230">
        <f>+GETPIVOTDATA("Sum of Old-Total Undg CH FTE",'FTE Pivot for regular counts'!$A$2,"State","VA","Category2","Technical")</f>
        <v>0</v>
      </c>
      <c r="Y151" s="230"/>
    </row>
    <row r="152" spans="1:56" ht="15" customHeight="1">
      <c r="A152" s="166" t="s">
        <v>718</v>
      </c>
      <c r="B152" s="234">
        <f>+GETPIVOTDATA("Sum of New-Total Undg CH FTE",'FTE Pivot for regular counts'!$A$2,"State","WV","Category","7","Category2","Two-Year")</f>
        <v>0</v>
      </c>
      <c r="C152" s="234">
        <f>+GETPIVOTDATA("Sum of New-Total Undg CH FTE",'FTE Pivot for regular counts'!$A$2,"State","WV","Category","8","Category2","Two-Year")</f>
        <v>0</v>
      </c>
      <c r="D152" s="234">
        <f>+GETPIVOTDATA("Sum of New-Total Undg CH FTE",'FTE Pivot for regular counts'!$A$2,"State","WV","Category",9,"Category2","Two-Year")</f>
        <v>0</v>
      </c>
      <c r="E152" s="234">
        <f>+GETPIVOTDATA("Sum of New-Total Undg CH FTE",'FTE Pivot for regular counts'!$A$2,"State","WV","Category","10","Category2","Two-Year")</f>
        <v>0</v>
      </c>
      <c r="F152" s="235">
        <f>+GETPIVOTDATA("Sum of New-Total Undg CH FTE",'FTE Pivot for regular counts'!$A$2,"State","WV","Category2","Two-Year")</f>
        <v>0</v>
      </c>
      <c r="G152" s="234">
        <f>+GETPIVOTDATA("Sum of New-Total Undg CH FTE",'FTE Pivot for regular counts'!$A$2,"State","WV","Category","12","Category2","Technical")</f>
        <v>0</v>
      </c>
      <c r="H152" s="234">
        <f>+GETPIVOTDATA("Sum of New-Total Undg CH FTE",'FTE Pivot for regular counts'!$A$2,"State","WV","Category","13","Category2","Technical")</f>
        <v>0</v>
      </c>
      <c r="I152" s="234">
        <f>+GETPIVOTDATA("Sum of New-Total Undg CH FTE",'FTE Pivot for regular counts'!$A$2,"State","WV","Category2","Technical")</f>
        <v>0</v>
      </c>
      <c r="J152" s="230"/>
      <c r="K152" s="230"/>
      <c r="P152" s="166" t="s">
        <v>718</v>
      </c>
      <c r="Q152" s="234">
        <f>+GETPIVOTDATA("Sum of Old-Total Undg CH FTE",'FTE Pivot for regular counts'!$A$2,"State","WV","Category","7","Category2","Two-Year")</f>
        <v>0</v>
      </c>
      <c r="R152" s="234">
        <f>+GETPIVOTDATA("Sum of Old-Total Undg CH FTE",'FTE Pivot for regular counts'!$A$2,"State","WV","Category","8","Category2","Two-Year")</f>
        <v>0</v>
      </c>
      <c r="S152" s="234">
        <f>+GETPIVOTDATA("Sum of Old-Total Undg CH FTE",'FTE Pivot for regular counts'!$A$2,"State","WV","Category",9,"Category2","Two-Year")</f>
        <v>0</v>
      </c>
      <c r="T152" s="234">
        <f>+GETPIVOTDATA("Sum of Old-Total Undg CH FTE",'FTE Pivot for regular counts'!$A$2,"State","WV","Category","10","Category2","Two-Year")</f>
        <v>0</v>
      </c>
      <c r="U152" s="235">
        <f>+GETPIVOTDATA("Sum of Old-Total Undg CH FTE",'FTE Pivot for regular counts'!$A$2,"State","WV","Category2","Two-Year")</f>
        <v>0</v>
      </c>
      <c r="V152" s="234">
        <f>+GETPIVOTDATA("Sum of Old-Total Undg CH FTE",'FTE Pivot for regular counts'!$A$2,"State","WV","Category","12","Category2","Technical")</f>
        <v>0</v>
      </c>
      <c r="W152" s="234">
        <f>+GETPIVOTDATA("Sum of Old-Total Undg CH FTE",'FTE Pivot for regular counts'!$A$2,"State","WV","Category","13","Category2","Technical")</f>
        <v>0</v>
      </c>
      <c r="X152" s="234">
        <f>+GETPIVOTDATA("Sum of Old-Total Undg CH FTE",'FTE Pivot for regular counts'!$A$2,"State","WV","Category2","Technical")</f>
        <v>0</v>
      </c>
      <c r="Y152" s="230"/>
    </row>
    <row r="153" spans="1:56" ht="36" customHeight="1">
      <c r="A153" s="610" t="s">
        <v>878</v>
      </c>
      <c r="B153" s="610"/>
      <c r="C153" s="610"/>
      <c r="D153" s="610"/>
      <c r="E153" s="610"/>
      <c r="F153" s="610"/>
      <c r="G153" s="610"/>
      <c r="H153" s="610"/>
      <c r="I153" s="610"/>
      <c r="J153" s="190"/>
      <c r="K153" s="159"/>
      <c r="L153" s="159"/>
    </row>
    <row r="154" spans="1:56" ht="10.5" customHeight="1">
      <c r="I154" s="179" t="s">
        <v>879</v>
      </c>
      <c r="J154" s="192"/>
      <c r="K154" s="221"/>
      <c r="L154" s="221"/>
    </row>
    <row r="155" spans="1:56" ht="18">
      <c r="A155" s="116" t="s">
        <v>733</v>
      </c>
      <c r="B155" s="116"/>
      <c r="C155" s="116"/>
      <c r="D155" s="116"/>
      <c r="E155" s="116"/>
      <c r="F155" s="116"/>
      <c r="G155" s="116"/>
      <c r="H155" s="116"/>
      <c r="I155" s="116"/>
      <c r="J155" s="116"/>
      <c r="K155" s="116"/>
      <c r="L155" s="192"/>
      <c r="AD155" s="61"/>
      <c r="AE155" s="3"/>
      <c r="AF155" s="3"/>
      <c r="AG155" s="3"/>
      <c r="AH155" s="3"/>
    </row>
    <row r="156" spans="1:56" ht="15.75" customHeight="1">
      <c r="A156" s="120"/>
      <c r="B156" s="120"/>
      <c r="C156" s="120"/>
      <c r="D156" s="120"/>
      <c r="E156" s="120"/>
      <c r="F156" s="120"/>
      <c r="G156" s="120"/>
      <c r="H156" s="120"/>
      <c r="I156" s="120"/>
      <c r="J156" s="120"/>
      <c r="K156" s="120"/>
      <c r="L156" s="200"/>
      <c r="AC156" s="3"/>
      <c r="AI156" s="3"/>
    </row>
    <row r="157" spans="1:56" ht="18.75" customHeight="1">
      <c r="A157" s="122" t="s">
        <v>722</v>
      </c>
      <c r="B157" s="122"/>
      <c r="C157" s="122"/>
      <c r="D157" s="122"/>
      <c r="E157" s="122"/>
      <c r="F157" s="122"/>
      <c r="G157" s="122"/>
      <c r="H157" s="122"/>
      <c r="I157" s="122"/>
      <c r="J157" s="122"/>
      <c r="K157" s="122"/>
      <c r="L157" s="120"/>
      <c r="AC157" s="236"/>
      <c r="AD157" s="236"/>
      <c r="AE157" s="236"/>
      <c r="AF157" s="236"/>
      <c r="AG157" s="236"/>
      <c r="AH157" s="236"/>
      <c r="AI157" s="236"/>
      <c r="AR157" s="61" t="s">
        <v>684</v>
      </c>
      <c r="AY157" s="61" t="s">
        <v>684</v>
      </c>
    </row>
    <row r="158" spans="1:56" ht="15.5">
      <c r="A158" s="122" t="s">
        <v>870</v>
      </c>
      <c r="B158" s="122"/>
      <c r="C158" s="122"/>
      <c r="D158" s="122"/>
      <c r="E158" s="122"/>
      <c r="F158" s="122"/>
      <c r="G158" s="122"/>
      <c r="H158" s="122"/>
      <c r="I158" s="122"/>
      <c r="J158" s="122"/>
      <c r="K158" s="122"/>
      <c r="L158" s="201"/>
      <c r="Q158" s="3" t="s">
        <v>683</v>
      </c>
      <c r="AC158" s="236"/>
      <c r="AD158" s="236"/>
      <c r="AE158" s="236"/>
      <c r="AF158" s="236"/>
      <c r="AG158" s="236"/>
      <c r="AH158" s="236"/>
      <c r="AI158" s="236"/>
      <c r="AR158" s="4" t="s">
        <v>686</v>
      </c>
      <c r="AY158" s="4" t="s">
        <v>683</v>
      </c>
    </row>
    <row r="159" spans="1:56" ht="15.5">
      <c r="E159" s="166"/>
      <c r="G159" s="166"/>
      <c r="H159" s="166"/>
      <c r="I159" s="166"/>
      <c r="J159" s="166"/>
      <c r="K159" s="166"/>
      <c r="L159" s="201"/>
      <c r="M159" s="201"/>
      <c r="P159" s="166"/>
      <c r="Q159" s="237" t="s">
        <v>685</v>
      </c>
      <c r="R159" s="166"/>
      <c r="S159" s="166"/>
      <c r="T159" s="166"/>
      <c r="U159" s="166"/>
      <c r="V159" s="166"/>
      <c r="W159" s="166"/>
      <c r="X159" s="166"/>
      <c r="Y159" s="166"/>
      <c r="Z159" s="166"/>
      <c r="AA159" s="166"/>
      <c r="AC159" s="236"/>
      <c r="AD159" s="238" t="s">
        <v>734</v>
      </c>
      <c r="AE159" s="236"/>
      <c r="AF159" s="236"/>
      <c r="AG159" s="236"/>
      <c r="AH159" s="236"/>
      <c r="AI159" s="236"/>
      <c r="AJ159" s="239"/>
      <c r="AK159" s="240" t="s">
        <v>734</v>
      </c>
      <c r="AL159" s="241"/>
      <c r="AM159" s="241"/>
      <c r="AN159" s="241"/>
      <c r="AO159" s="241"/>
      <c r="AP159" s="241"/>
      <c r="AR159" s="166"/>
      <c r="AS159" s="166" t="s">
        <v>735</v>
      </c>
      <c r="AT159" s="166">
        <v>1</v>
      </c>
      <c r="AU159" s="166">
        <v>2</v>
      </c>
      <c r="AV159" s="166">
        <v>3</v>
      </c>
      <c r="AW159" s="166" t="s">
        <v>687</v>
      </c>
      <c r="AY159" s="166"/>
      <c r="AZ159" s="166" t="s">
        <v>735</v>
      </c>
      <c r="BA159" s="166">
        <v>1</v>
      </c>
      <c r="BB159" s="166">
        <v>2</v>
      </c>
      <c r="BC159" s="166">
        <v>3</v>
      </c>
      <c r="BD159" s="166" t="s">
        <v>687</v>
      </c>
    </row>
    <row r="160" spans="1:56" ht="12.75" customHeight="1" thickBot="1">
      <c r="A160" s="129"/>
      <c r="B160" s="242" t="s">
        <v>730</v>
      </c>
      <c r="C160" s="132"/>
      <c r="D160" s="243">
        <v>1</v>
      </c>
      <c r="F160" s="244">
        <v>2</v>
      </c>
      <c r="H160" s="244">
        <v>3</v>
      </c>
      <c r="J160" s="244" t="s">
        <v>687</v>
      </c>
      <c r="K160" s="245"/>
      <c r="P160" s="134"/>
      <c r="Q160" s="134"/>
      <c r="R160" s="134" t="s">
        <v>736</v>
      </c>
      <c r="S160" s="134"/>
      <c r="T160" s="135" t="s">
        <v>737</v>
      </c>
      <c r="U160" s="134"/>
      <c r="V160" s="135">
        <v>2</v>
      </c>
      <c r="W160" s="134"/>
      <c r="X160" s="135">
        <v>3</v>
      </c>
      <c r="Y160" s="134"/>
      <c r="Z160" s="135" t="s">
        <v>738</v>
      </c>
      <c r="AA160" s="134"/>
      <c r="AC160" s="236"/>
      <c r="AD160" s="246" t="s">
        <v>727</v>
      </c>
      <c r="AE160" s="246"/>
      <c r="AF160" s="247"/>
      <c r="AG160" s="247"/>
      <c r="AH160" s="247"/>
      <c r="AI160" s="247"/>
      <c r="AJ160" s="248"/>
      <c r="AK160" s="249" t="s">
        <v>727</v>
      </c>
      <c r="AL160" s="249"/>
      <c r="AM160" s="250"/>
      <c r="AN160" s="250"/>
      <c r="AO160" s="250"/>
      <c r="AP160" s="250"/>
    </row>
    <row r="161" spans="1:88" ht="78" customHeight="1" thickBot="1">
      <c r="A161" s="251"/>
      <c r="B161" s="245" t="s">
        <v>690</v>
      </c>
      <c r="C161" s="139" t="s">
        <v>691</v>
      </c>
      <c r="D161" s="252" t="s">
        <v>690</v>
      </c>
      <c r="E161" s="139" t="s">
        <v>691</v>
      </c>
      <c r="F161" s="252" t="s">
        <v>690</v>
      </c>
      <c r="G161" s="139" t="s">
        <v>691</v>
      </c>
      <c r="H161" s="252" t="s">
        <v>690</v>
      </c>
      <c r="I161" s="139" t="s">
        <v>691</v>
      </c>
      <c r="J161" s="252" t="s">
        <v>690</v>
      </c>
      <c r="K161" s="139" t="s">
        <v>691</v>
      </c>
      <c r="Q161" s="166"/>
      <c r="R161" s="142" t="s">
        <v>739</v>
      </c>
      <c r="S161" s="142" t="s">
        <v>693</v>
      </c>
      <c r="T161" s="143" t="s">
        <v>739</v>
      </c>
      <c r="U161" s="142" t="s">
        <v>693</v>
      </c>
      <c r="V161" s="143" t="s">
        <v>739</v>
      </c>
      <c r="W161" s="142" t="s">
        <v>693</v>
      </c>
      <c r="X161" s="143" t="s">
        <v>739</v>
      </c>
      <c r="Y161" s="142" t="s">
        <v>693</v>
      </c>
      <c r="Z161" s="143" t="s">
        <v>739</v>
      </c>
      <c r="AA161" s="142" t="s">
        <v>693</v>
      </c>
      <c r="AC161" s="253" t="s">
        <v>686</v>
      </c>
      <c r="AD161" s="254" t="s">
        <v>730</v>
      </c>
      <c r="AE161" s="255">
        <v>1</v>
      </c>
      <c r="AF161" s="256">
        <v>2</v>
      </c>
      <c r="AG161" s="256">
        <v>3</v>
      </c>
      <c r="AH161" s="254" t="s">
        <v>740</v>
      </c>
      <c r="AI161" s="256" t="s">
        <v>687</v>
      </c>
      <c r="AJ161" s="257" t="s">
        <v>683</v>
      </c>
      <c r="AK161" s="258" t="s">
        <v>730</v>
      </c>
      <c r="AL161" s="259">
        <v>1</v>
      </c>
      <c r="AM161" s="259">
        <v>2</v>
      </c>
      <c r="AN161" s="259">
        <v>3</v>
      </c>
      <c r="AO161" s="259" t="s">
        <v>740</v>
      </c>
      <c r="AP161" s="259" t="s">
        <v>687</v>
      </c>
      <c r="AR161" s="166"/>
      <c r="AS161" s="144" t="s">
        <v>694</v>
      </c>
      <c r="AT161" s="144" t="s">
        <v>694</v>
      </c>
      <c r="AU161" s="144" t="s">
        <v>694</v>
      </c>
      <c r="AV161" s="144" t="s">
        <v>694</v>
      </c>
      <c r="AW161" s="144" t="s">
        <v>694</v>
      </c>
      <c r="AY161" s="166"/>
      <c r="AZ161" s="144" t="s">
        <v>694</v>
      </c>
      <c r="BA161" s="144" t="s">
        <v>694</v>
      </c>
      <c r="BB161" s="144" t="s">
        <v>694</v>
      </c>
      <c r="BC161" s="144" t="s">
        <v>694</v>
      </c>
      <c r="BD161" s="144" t="s">
        <v>694</v>
      </c>
    </row>
    <row r="162" spans="1:88" ht="12.75" customHeight="1">
      <c r="A162" s="1" t="s">
        <v>695</v>
      </c>
      <c r="B162" s="230">
        <f>+'NEW-Tables 80-86'!B101+'NEW-Tables 80-86'!B132</f>
        <v>312875.21333333338</v>
      </c>
      <c r="D162" s="260">
        <f>+'NEW-Tables 80-86'!C101+'NEW-Tables 80-86'!C132</f>
        <v>652186.82888888894</v>
      </c>
      <c r="F162" s="260">
        <f>+'NEW-Tables 80-86'!D101+'NEW-Tables 80-86'!D132</f>
        <v>304485.87000000005</v>
      </c>
      <c r="H162" s="260">
        <f>+'NEW-Tables 80-86'!E101+'NEW-Tables 80-86'!E132</f>
        <v>137905.51833333334</v>
      </c>
      <c r="J162" s="260">
        <f>+'NEW-Tables 80-86'!F101+'NEW-Tables 80-86'!F132</f>
        <v>1407453.4305555557</v>
      </c>
      <c r="Q162" s="1" t="s">
        <v>695</v>
      </c>
      <c r="R162" s="261"/>
      <c r="S162" s="262">
        <f>C162-R162</f>
        <v>0</v>
      </c>
      <c r="T162" s="151"/>
      <c r="U162" s="262">
        <f>E162-T162</f>
        <v>0</v>
      </c>
      <c r="V162" s="151"/>
      <c r="W162" s="262">
        <f>G162-V162</f>
        <v>0</v>
      </c>
      <c r="X162" s="151"/>
      <c r="Y162" s="262">
        <f>I162-X162</f>
        <v>0</v>
      </c>
      <c r="Z162" s="151"/>
      <c r="AA162" s="262">
        <f>K162-Z162</f>
        <v>0</v>
      </c>
      <c r="AC162" s="236" t="s">
        <v>695</v>
      </c>
      <c r="AD162" s="263">
        <f t="shared" ref="AD162:AI162" si="20">SUM(AD164:AD182)</f>
        <v>287710.63</v>
      </c>
      <c r="AE162" s="263">
        <f t="shared" si="20"/>
        <v>328145.36666666664</v>
      </c>
      <c r="AF162" s="263">
        <f t="shared" si="20"/>
        <v>223055.97666666665</v>
      </c>
      <c r="AG162" s="263">
        <f t="shared" si="20"/>
        <v>134439.9738888889</v>
      </c>
      <c r="AH162" s="263">
        <f t="shared" si="20"/>
        <v>165412.4011111111</v>
      </c>
      <c r="AI162" s="263">
        <f t="shared" si="20"/>
        <v>1407453.4305555555</v>
      </c>
      <c r="AJ162" s="248" t="s">
        <v>695</v>
      </c>
      <c r="AK162" s="264">
        <f t="shared" ref="AK162:AP162" si="21">SUM(AK164:AK182)</f>
        <v>301090.1133333334</v>
      </c>
      <c r="AL162" s="264">
        <f t="shared" si="21"/>
        <v>280377.24777777772</v>
      </c>
      <c r="AM162" s="264">
        <f t="shared" si="21"/>
        <v>209995.23333333331</v>
      </c>
      <c r="AN162" s="264">
        <f t="shared" si="21"/>
        <v>128404.08333333333</v>
      </c>
      <c r="AO162" s="264">
        <f t="shared" si="21"/>
        <v>175961.87111111113</v>
      </c>
      <c r="AP162" s="264">
        <f t="shared" si="21"/>
        <v>1474349.4577777777</v>
      </c>
      <c r="AR162" s="1" t="s">
        <v>695</v>
      </c>
      <c r="AY162" s="1" t="s">
        <v>695</v>
      </c>
      <c r="BH162" s="6"/>
      <c r="BI162" s="6"/>
      <c r="BJ162" s="6"/>
    </row>
    <row r="163" spans="1:88" ht="12.75" customHeight="1">
      <c r="A163" s="265"/>
      <c r="B163" s="266"/>
      <c r="C163" s="267" t="s">
        <v>741</v>
      </c>
      <c r="D163" s="268" t="s">
        <v>729</v>
      </c>
      <c r="E163" s="267" t="s">
        <v>742</v>
      </c>
      <c r="F163" s="268" t="s">
        <v>729</v>
      </c>
      <c r="G163" s="267" t="s">
        <v>743</v>
      </c>
      <c r="H163" s="269" t="s">
        <v>729</v>
      </c>
      <c r="I163" s="267" t="s">
        <v>744</v>
      </c>
      <c r="J163" s="269" t="s">
        <v>729</v>
      </c>
      <c r="K163" s="267" t="s">
        <v>745</v>
      </c>
      <c r="L163" s="1" t="s">
        <v>729</v>
      </c>
      <c r="P163" s="6"/>
      <c r="R163" s="156" t="s">
        <v>746</v>
      </c>
      <c r="S163" s="270"/>
      <c r="T163" s="158" t="s">
        <v>747</v>
      </c>
      <c r="U163" s="270"/>
      <c r="V163" s="158" t="s">
        <v>748</v>
      </c>
      <c r="W163" s="270"/>
      <c r="X163" s="158" t="s">
        <v>749</v>
      </c>
      <c r="Y163" s="270"/>
      <c r="Z163" s="158" t="s">
        <v>750</v>
      </c>
      <c r="AA163" s="270"/>
      <c r="AB163" s="6"/>
      <c r="AC163" s="236"/>
      <c r="AD163" s="263"/>
      <c r="AE163" s="263"/>
      <c r="AF163" s="263"/>
      <c r="AG163" s="263"/>
      <c r="AH163" s="263"/>
      <c r="AI163" s="263"/>
      <c r="AJ163" s="248"/>
      <c r="AK163" s="264"/>
      <c r="AL163" s="264"/>
      <c r="AM163" s="264"/>
      <c r="AN163" s="241"/>
      <c r="AO163" s="241"/>
      <c r="AP163" s="241"/>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row>
    <row r="164" spans="1:88" s="6" customFormat="1" ht="15" customHeight="1">
      <c r="A164" s="1" t="s">
        <v>703</v>
      </c>
      <c r="B164" s="230">
        <f>+'NEW-Tables 80-86'!B103+'NEW-Tables 80-86'!B134</f>
        <v>0</v>
      </c>
      <c r="C164" s="271">
        <f>+GETPIVOTDATA("Sum of New-HS % of Total",'Pivot-HS Student % of Undergrad'!$A$3,"State","AL","Category",7,"Category2","Two-Year")</f>
        <v>0</v>
      </c>
      <c r="D164" s="260">
        <f>+'NEW-Tables 80-86'!C103+'NEW-Tables 80-86'!C134</f>
        <v>16464.533333333333</v>
      </c>
      <c r="E164" s="271">
        <f>+GETPIVOTDATA("Sum of New-HS % of Total",'Pivot-HS Student % of Undergrad'!$A$3,"State","AL","Category",8,"Category2","Two-Year")</f>
        <v>9.3370396164685301E-2</v>
      </c>
      <c r="F164" s="260">
        <f>+'NEW-Tables 80-86'!D103+'NEW-Tables 80-86'!D134</f>
        <v>25167.600000000002</v>
      </c>
      <c r="G164" s="271">
        <f>+GETPIVOTDATA("Sum of New-HS % of Total",'Pivot-HS Student % of Undergrad'!$A$3,"State","AL","Category",9,"Category2","Two-Year")</f>
        <v>6.7931255529596252E-2</v>
      </c>
      <c r="H164" s="260">
        <f>+'NEW-Tables 80-86'!E103+'NEW-Tables 80-86'!E134</f>
        <v>9671.4333333333343</v>
      </c>
      <c r="I164" s="271">
        <f>+GETPIVOTDATA("Sum of New-HS % of Total",'Pivot-HS Student % of Undergrad'!$A$3,"State","AL","Category",10,"Category2","Two-Year")</f>
        <v>0.12860210310088474</v>
      </c>
      <c r="J164" s="260">
        <f>+'NEW-Tables 80-86'!F103+'NEW-Tables 80-86'!F134</f>
        <v>51303.566666666666</v>
      </c>
      <c r="K164" s="271">
        <f>+GETPIVOTDATA("Sum of New-HS % of Total",'Pivot-HS Student % of Undergrad'!$A$3,"State","AL","Category2","Group2")</f>
        <v>8.7532575707861771E-2</v>
      </c>
      <c r="L164" s="6" t="s">
        <v>729</v>
      </c>
      <c r="P164" s="1"/>
      <c r="Q164" s="1" t="s">
        <v>703</v>
      </c>
      <c r="R164" s="161">
        <f>+GETPIVOTDATA("Sum of Old-HS % of Total",'Pivot-HS Student % of Undergrad'!$A$3,"State","AL","Category",7,"Category2","Two-Year")</f>
        <v>0</v>
      </c>
      <c r="S164" s="272">
        <f>(C164-R164)*100</f>
        <v>0</v>
      </c>
      <c r="T164" s="151">
        <f>+GETPIVOTDATA("Sum of Old-HS % of Total",'Pivot-HS Student % of Undergrad'!$A$3,"State","AL","Category",8,"Category2","Two-Year")</f>
        <v>8.5308217821221777E-2</v>
      </c>
      <c r="U164" s="272">
        <f>(E164-T164)*100</f>
        <v>0.80621783434635241</v>
      </c>
      <c r="V164" s="151">
        <f>+GETPIVOTDATA("Sum of Old-HS % of Total",'Pivot-HS Student % of Undergrad'!$A$3,"State","AL","Category",9,"Category2","Two-Year")</f>
        <v>6.1848315091751482E-2</v>
      </c>
      <c r="W164" s="272">
        <f>(G164-V164)*100</f>
        <v>0.60829404378447693</v>
      </c>
      <c r="X164" s="151">
        <f>+GETPIVOTDATA("Sum of Old-HS % of Total",'Pivot-HS Student % of Undergrad'!$A$3,"State","AL","Category",10,"Category2","Two-Year")</f>
        <v>0.1154703279391894</v>
      </c>
      <c r="Y164" s="272">
        <f>(I164-X164)*100</f>
        <v>1.3131775161695336</v>
      </c>
      <c r="Z164" s="151">
        <f>+GETPIVOTDATA("Sum of Old-HS % of Total",'Pivot-HS Student % of Undergrad'!$A$3,"State","AL","Category2","Two-Year")</f>
        <v>7.9256140024350719E-2</v>
      </c>
      <c r="AA164" s="272">
        <f>(K164-Z164)*100</f>
        <v>0.8276435683511052</v>
      </c>
      <c r="AB164" s="1"/>
      <c r="AC164" s="236" t="s">
        <v>703</v>
      </c>
      <c r="AD164" s="263">
        <f>+B164</f>
        <v>0</v>
      </c>
      <c r="AE164" s="263">
        <f>+D164</f>
        <v>16464.533333333333</v>
      </c>
      <c r="AF164" s="263">
        <f>+F164</f>
        <v>25167.600000000002</v>
      </c>
      <c r="AG164" s="263">
        <f>+H164</f>
        <v>9671.4333333333343</v>
      </c>
      <c r="AH164" s="263"/>
      <c r="AI164" s="263">
        <f>+J164</f>
        <v>51303.566666666666</v>
      </c>
      <c r="AJ164" s="248" t="s">
        <v>703</v>
      </c>
      <c r="AK164" s="264">
        <f>+'NEW-Tables 80-86'!R103+'NEW-Tables 80-86'!Q134</f>
        <v>0</v>
      </c>
      <c r="AL164" s="264">
        <f>+'NEW-Tables 80-86'!S103+'NEW-Tables 80-86'!R134</f>
        <v>17667.7</v>
      </c>
      <c r="AM164" s="264">
        <f>+'NEW-Tables 80-86'!T103+'NEW-Tables 80-86'!S134</f>
        <v>27799.73333333333</v>
      </c>
      <c r="AN164" s="264">
        <f>+'NEW-Tables 80-86'!U103+'NEW-Tables 80-86'!T134</f>
        <v>10410.466666666667</v>
      </c>
      <c r="AO164" s="264"/>
      <c r="AP164" s="273">
        <f>+'NEW-Tables 80-86'!V103+'NEW-Tables 80-86'!U134</f>
        <v>55877.9</v>
      </c>
      <c r="AQ164" s="1"/>
      <c r="AR164" s="1" t="s">
        <v>703</v>
      </c>
      <c r="AS164" s="274">
        <f>C164*100</f>
        <v>0</v>
      </c>
      <c r="AT164" s="274">
        <f>E164*100</f>
        <v>9.3370396164685303</v>
      </c>
      <c r="AU164" s="274">
        <f>G164*100</f>
        <v>6.7931255529596255</v>
      </c>
      <c r="AV164" s="274">
        <f>I164*100</f>
        <v>12.860210310088474</v>
      </c>
      <c r="AW164" s="274">
        <f>K164*100</f>
        <v>8.7532575707861771</v>
      </c>
      <c r="AY164" s="1" t="s">
        <v>703</v>
      </c>
      <c r="AZ164" s="274">
        <f>R164*100</f>
        <v>0</v>
      </c>
      <c r="BA164" s="274">
        <f>T164*100</f>
        <v>8.5308217821221781</v>
      </c>
      <c r="BB164" s="274">
        <f>V164*100</f>
        <v>6.1848315091751482</v>
      </c>
      <c r="BC164" s="274">
        <f>X164*100</f>
        <v>11.547032793918941</v>
      </c>
      <c r="BD164" s="274">
        <f>Z164*100</f>
        <v>7.9256140024350721</v>
      </c>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row>
    <row r="165" spans="1:88" ht="15" customHeight="1">
      <c r="A165" s="1" t="s">
        <v>704</v>
      </c>
      <c r="B165" s="230">
        <f>+'NEW-Tables 80-86'!B104+'NEW-Tables 80-86'!B135</f>
        <v>0</v>
      </c>
      <c r="C165" s="271">
        <f>+GETPIVOTDATA("Sum of New-HS % of Total",'Pivot-HS Student % of Undergrad'!$A$3,"State","AR","Category",7,"Category2","Two-Year")</f>
        <v>0</v>
      </c>
      <c r="D165" s="260">
        <f>+'NEW-Tables 80-86'!C104+'NEW-Tables 80-86'!C135</f>
        <v>4698.7</v>
      </c>
      <c r="E165" s="271">
        <f>+GETPIVOTDATA("Sum of New-HS % of Total",'Pivot-HS Student % of Undergrad'!$A$3,"State","AR","Category",8,"Category2","Two-Year")</f>
        <v>0.16916026418654806</v>
      </c>
      <c r="F165" s="260">
        <f>+'NEW-Tables 80-86'!D104+'NEW-Tables 80-86'!D135</f>
        <v>6060.5333333333328</v>
      </c>
      <c r="G165" s="271">
        <f>+GETPIVOTDATA("Sum of New-HS % of Total",'Pivot-HS Student % of Undergrad'!$A$3,"State","AR","Category",9,"Category2","Two-Year")</f>
        <v>7.1643859726316719E-2</v>
      </c>
      <c r="H165" s="260">
        <f>+'NEW-Tables 80-86'!E104+'NEW-Tables 80-86'!E135</f>
        <v>18490.266666666666</v>
      </c>
      <c r="I165" s="271">
        <f>+GETPIVOTDATA("Sum of New-HS % of Total",'Pivot-HS Student % of Undergrad'!$A$3,"State","AR","Category",10,"Category2","Two-Year")</f>
        <v>0.15649314594345132</v>
      </c>
      <c r="J165" s="260">
        <f>+'NEW-Tables 80-86'!F104+'NEW-Tables 80-86'!F135</f>
        <v>29249.5</v>
      </c>
      <c r="K165" s="271">
        <f>+GETPIVOTDATA("Sum of New-HS % of Total",'Pivot-HS Student % of Undergrad'!$A$3,"State","AR","Category2","Group2")</f>
        <v>0.14094713869752759</v>
      </c>
      <c r="Q165" s="1" t="s">
        <v>704</v>
      </c>
      <c r="R165" s="161">
        <f>+GETPIVOTDATA("Sum of Old-HS % of Total",'Pivot-HS Student % of Undergrad'!$A$3,"State","AR","Category",7,"Category2","Two-Year")</f>
        <v>0</v>
      </c>
      <c r="S165" s="272">
        <f t="shared" ref="S165:S182" si="22">(C165-R165)*100</f>
        <v>0</v>
      </c>
      <c r="T165" s="151">
        <f>+GETPIVOTDATA("Sum of Old-HS % of Total",'Pivot-HS Student % of Undergrad'!$A$3,"State","AR","Category",8,"Category2","Two-Year")</f>
        <v>0.15957969034004219</v>
      </c>
      <c r="U165" s="272">
        <f t="shared" ref="U165:U182" si="23">(E165-T165)*100</f>
        <v>0.95805738465058743</v>
      </c>
      <c r="V165" s="151">
        <f>+GETPIVOTDATA("Sum of Old-HS % of Total",'Pivot-HS Student % of Undergrad'!$A$3,"State","AR","Category",9,"Category2","Two-Year")</f>
        <v>8.5675817506215113E-2</v>
      </c>
      <c r="W165" s="272">
        <f t="shared" ref="W165:W182" si="24">(G165-V165)*100</f>
        <v>-1.4031957779898394</v>
      </c>
      <c r="X165" s="151">
        <f>+GETPIVOTDATA("Sum of Old-HS % of Total",'Pivot-HS Student % of Undergrad'!$A$3,"State","AR","Category",10,"Category2","Two-Year")</f>
        <v>0.15709911848666189</v>
      </c>
      <c r="Y165" s="272">
        <f t="shared" ref="Y165:Y182" si="25">(I165-X165)*100</f>
        <v>-6.0597254321057004E-2</v>
      </c>
      <c r="Z165" s="151">
        <f>+GETPIVOTDATA("Sum of Old-HS % of Total",'Pivot-HS Student % of Undergrad'!$A$3,"State","AR","Category2","Two-Year")</f>
        <v>0.14299175221540081</v>
      </c>
      <c r="AA165" s="272">
        <f t="shared" ref="AA165:AA182" si="26">(K165-Z165)*100</f>
        <v>-0.20446135178732172</v>
      </c>
      <c r="AB165" s="275"/>
      <c r="AC165" s="236" t="s">
        <v>704</v>
      </c>
      <c r="AD165" s="263">
        <f>+B165</f>
        <v>0</v>
      </c>
      <c r="AE165" s="263">
        <f>+D165</f>
        <v>4698.7</v>
      </c>
      <c r="AF165" s="263">
        <f>+F165</f>
        <v>6060.5333333333328</v>
      </c>
      <c r="AG165" s="263">
        <f>+H165</f>
        <v>18490.266666666666</v>
      </c>
      <c r="AH165" s="263"/>
      <c r="AI165" s="263">
        <f>+J165</f>
        <v>29249.5</v>
      </c>
      <c r="AJ165" s="248" t="s">
        <v>704</v>
      </c>
      <c r="AK165" s="264">
        <f>+'NEW-Tables 80-86'!R104+'NEW-Tables 80-86'!Q135</f>
        <v>0</v>
      </c>
      <c r="AL165" s="264">
        <f>+'NEW-Tables 80-86'!S104+'NEW-Tables 80-86'!R135</f>
        <v>5024.8666666666668</v>
      </c>
      <c r="AM165" s="264">
        <f>+'NEW-Tables 80-86'!T104+'NEW-Tables 80-86'!S135</f>
        <v>6288.4333333333334</v>
      </c>
      <c r="AN165" s="264">
        <f>+'NEW-Tables 80-86'!U104+'NEW-Tables 80-86'!T135</f>
        <v>19640.466666666671</v>
      </c>
      <c r="AO165" s="264"/>
      <c r="AP165" s="273">
        <f>+'NEW-Tables 80-86'!V104+'NEW-Tables 80-86'!U135</f>
        <v>30953.76666666667</v>
      </c>
      <c r="AR165" s="1" t="s">
        <v>704</v>
      </c>
      <c r="AS165" s="274">
        <f t="shared" ref="AS165:AS182" si="27">C165*100</f>
        <v>0</v>
      </c>
      <c r="AT165" s="274">
        <f t="shared" ref="AT165:AT182" si="28">E165*100</f>
        <v>16.916026418654805</v>
      </c>
      <c r="AU165" s="274">
        <f t="shared" ref="AU165:AU182" si="29">G165*100</f>
        <v>7.1643859726316723</v>
      </c>
      <c r="AV165" s="274">
        <f t="shared" ref="AV165:AV182" si="30">I165*100</f>
        <v>15.649314594345132</v>
      </c>
      <c r="AW165" s="274">
        <f t="shared" ref="AW165:AW182" si="31">K165*100</f>
        <v>14.094713869752759</v>
      </c>
      <c r="AY165" s="1" t="s">
        <v>704</v>
      </c>
      <c r="AZ165" s="274">
        <f t="shared" ref="AZ165:AZ182" si="32">R165*100</f>
        <v>0</v>
      </c>
      <c r="BA165" s="274">
        <f t="shared" ref="BA165:BA182" si="33">T165*100</f>
        <v>15.957969034004218</v>
      </c>
      <c r="BB165" s="274">
        <f t="shared" ref="BB165:BB182" si="34">V165*100</f>
        <v>8.5675817506215104</v>
      </c>
      <c r="BC165" s="274">
        <f t="shared" ref="BC165:BC182" si="35">X165*100</f>
        <v>15.709911848666188</v>
      </c>
      <c r="BD165" s="274">
        <f t="shared" ref="BD165:BD182" si="36">Z165*100</f>
        <v>14.29917522154008</v>
      </c>
    </row>
    <row r="166" spans="1:88" ht="15" customHeight="1">
      <c r="A166" s="1" t="s">
        <v>705</v>
      </c>
      <c r="B166" s="230">
        <f>+'NEW-Tables 80-86'!B105+'NEW-Tables 80-86'!B136</f>
        <v>0</v>
      </c>
      <c r="C166" s="271">
        <f>+GETPIVOTDATA("Sum of New-HS % of Total",'Pivot-HS Student % of Undergrad'!$A$3,"State","DE","Category",7,"Category2","Two-Year")</f>
        <v>0</v>
      </c>
      <c r="D166" s="260">
        <f>+'NEW-Tables 80-86'!C105+'NEW-Tables 80-86'!C136</f>
        <v>0</v>
      </c>
      <c r="E166" s="271">
        <f>+GETPIVOTDATA("Sum of New-HS % of Total",'Pivot-HS Student % of Undergrad'!$A$3,"State","DE","Category",8,"Category2","Two-Year")</f>
        <v>0</v>
      </c>
      <c r="F166" s="260">
        <f>+'NEW-Tables 80-86'!D105+'NEW-Tables 80-86'!D136</f>
        <v>8302.7000000000007</v>
      </c>
      <c r="G166" s="271">
        <f>+GETPIVOTDATA("Sum of New-HS % of Total",'Pivot-HS Student % of Undergrad'!$A$3,"State","DE","Category",9,"Category2","Two-Year")</f>
        <v>0</v>
      </c>
      <c r="H166" s="260">
        <f>+'NEW-Tables 80-86'!E105+'NEW-Tables 80-86'!E136</f>
        <v>0</v>
      </c>
      <c r="I166" s="271">
        <f>+GETPIVOTDATA("Sum of New-HS % of Total",'Pivot-HS Student % of Undergrad'!$A$3,"State","DE","Category",10,"Category2","Two-Year")</f>
        <v>0</v>
      </c>
      <c r="J166" s="260">
        <f>+'NEW-Tables 80-86'!F105+'NEW-Tables 80-86'!F136</f>
        <v>8302.7000000000007</v>
      </c>
      <c r="K166" s="271">
        <f>+GETPIVOTDATA("Sum of New-HS % of Total",'Pivot-HS Student % of Undergrad'!$A$3,"State","DE","Category2","Group2")</f>
        <v>0</v>
      </c>
      <c r="Q166" s="1" t="s">
        <v>705</v>
      </c>
      <c r="R166" s="161">
        <f>+GETPIVOTDATA("Sum of Old-HS % of Total",'Pivot-HS Student % of Undergrad'!$A$3,"State","DE","Category",7,"Category2","Two-Year")</f>
        <v>0</v>
      </c>
      <c r="S166" s="272">
        <f t="shared" si="22"/>
        <v>0</v>
      </c>
      <c r="T166" s="151">
        <f>+GETPIVOTDATA("Sum of Old-HS % of Total",'Pivot-HS Student % of Undergrad'!$A$3,"State","DE","Category",8,"Category2","Two-Year")</f>
        <v>0</v>
      </c>
      <c r="U166" s="272">
        <f t="shared" si="23"/>
        <v>0</v>
      </c>
      <c r="V166" s="151">
        <f>+GETPIVOTDATA("Sum of Old-HS % of Total",'Pivot-HS Student % of Undergrad'!$A$3,"State","DE","Category",9,"Category2","Two-Year")</f>
        <v>0</v>
      </c>
      <c r="W166" s="272">
        <f t="shared" si="24"/>
        <v>0</v>
      </c>
      <c r="X166" s="151">
        <f>+GETPIVOTDATA("Sum of Old-HS % of Total",'Pivot-HS Student % of Undergrad'!$A$3,"State","DE","Category",10,"Category2","Two-Year")</f>
        <v>0</v>
      </c>
      <c r="Y166" s="272">
        <f t="shared" si="25"/>
        <v>0</v>
      </c>
      <c r="Z166" s="151">
        <f>+GETPIVOTDATA("Sum of Old-HS % of Total",'Pivot-HS Student % of Undergrad'!$A$3,"State","DE","Category2","Two-Year")</f>
        <v>0</v>
      </c>
      <c r="AA166" s="272">
        <f t="shared" si="26"/>
        <v>0</v>
      </c>
      <c r="AC166" s="236" t="s">
        <v>705</v>
      </c>
      <c r="AD166" s="263">
        <f>+B166</f>
        <v>0</v>
      </c>
      <c r="AE166" s="263">
        <f>+D166</f>
        <v>0</v>
      </c>
      <c r="AF166" s="263">
        <f>+F166</f>
        <v>8302.7000000000007</v>
      </c>
      <c r="AG166" s="263">
        <f>+H166</f>
        <v>0</v>
      </c>
      <c r="AH166" s="263"/>
      <c r="AI166" s="263">
        <f>+J166</f>
        <v>8302.7000000000007</v>
      </c>
      <c r="AJ166" s="248" t="s">
        <v>705</v>
      </c>
      <c r="AK166" s="264">
        <f>+'NEW-Tables 80-86'!R105+'NEW-Tables 80-86'!Q136</f>
        <v>0</v>
      </c>
      <c r="AL166" s="264">
        <f>+'NEW-Tables 80-86'!S105+'NEW-Tables 80-86'!R136</f>
        <v>0</v>
      </c>
      <c r="AM166" s="264">
        <f>+'NEW-Tables 80-86'!T105+'NEW-Tables 80-86'!S136</f>
        <v>8659.5666666666675</v>
      </c>
      <c r="AN166" s="264">
        <f>+'NEW-Tables 80-86'!U105+'NEW-Tables 80-86'!T136</f>
        <v>0</v>
      </c>
      <c r="AO166" s="264"/>
      <c r="AP166" s="273">
        <f>+'NEW-Tables 80-86'!V105+'NEW-Tables 80-86'!U136</f>
        <v>8659.5666666666675</v>
      </c>
      <c r="AR166" s="1" t="s">
        <v>705</v>
      </c>
      <c r="AS166" s="274">
        <f t="shared" si="27"/>
        <v>0</v>
      </c>
      <c r="AT166" s="274">
        <f t="shared" si="28"/>
        <v>0</v>
      </c>
      <c r="AU166" s="274">
        <f t="shared" si="29"/>
        <v>0</v>
      </c>
      <c r="AV166" s="274">
        <f t="shared" si="30"/>
        <v>0</v>
      </c>
      <c r="AW166" s="274">
        <f t="shared" si="31"/>
        <v>0</v>
      </c>
      <c r="AY166" s="1" t="s">
        <v>705</v>
      </c>
      <c r="AZ166" s="274">
        <f t="shared" si="32"/>
        <v>0</v>
      </c>
      <c r="BA166" s="274">
        <f t="shared" si="33"/>
        <v>0</v>
      </c>
      <c r="BB166" s="274">
        <f t="shared" si="34"/>
        <v>0</v>
      </c>
      <c r="BC166" s="274">
        <f t="shared" si="35"/>
        <v>0</v>
      </c>
      <c r="BD166" s="274">
        <f t="shared" si="36"/>
        <v>0</v>
      </c>
    </row>
    <row r="167" spans="1:88" ht="15" customHeight="1">
      <c r="A167" s="1" t="s">
        <v>706</v>
      </c>
      <c r="B167" s="230">
        <f>+'NEW-Tables 80-86'!B106+'NEW-Tables 80-86'!B137</f>
        <v>275621.4966666667</v>
      </c>
      <c r="C167" s="271">
        <f>+GETPIVOTDATA("Sum of New-HS % of Total",'Pivot-HS Student % of Undergrad'!$A$3,"State","FL","Category",7,"Category2","Two-Year")</f>
        <v>5.1696317480212597E-2</v>
      </c>
      <c r="D167" s="260">
        <f>+'NEW-Tables 80-86'!C106+'NEW-Tables 80-86'!C137</f>
        <v>29592.867777777781</v>
      </c>
      <c r="E167" s="271">
        <f>+GETPIVOTDATA("Sum of New-HS % of Total",'Pivot-HS Student % of Undergrad'!$A$3,"State","FL","Category",8,"Category2","Two-Year")</f>
        <v>2.876395219591573E-2</v>
      </c>
      <c r="F167" s="260">
        <f>+'NEW-Tables 80-86'!D106+'NEW-Tables 80-86'!D137</f>
        <v>0</v>
      </c>
      <c r="G167" s="271">
        <f>+GETPIVOTDATA("Sum of New-HS % of Total",'Pivot-HS Student % of Undergrad'!$A$3,"State","FL","Category",9,"Category2","Two-Year")</f>
        <v>0</v>
      </c>
      <c r="H167" s="260">
        <f>+'NEW-Tables 80-86'!E106+'NEW-Tables 80-86'!E137</f>
        <v>1582.8911111111111</v>
      </c>
      <c r="I167" s="271">
        <f>+GETPIVOTDATA("Sum of New-HS % of Total",'Pivot-HS Student % of Undergrad'!$A$3,"State","FL","Category",10,"Category2","Two-Year")</f>
        <v>5.8233018521320047E-2</v>
      </c>
      <c r="J167" s="260">
        <f>+'NEW-Tables 80-86'!F106+'NEW-Tables 80-86'!F137</f>
        <v>306797.25555555557</v>
      </c>
      <c r="K167" s="271">
        <f>+GETPIVOTDATA("Sum of New-HS % of Total",'Pivot-HS Student % of Undergrad'!$A$3,"State","FL","Category2","Group2")</f>
        <v>4.8802873238416034E-2</v>
      </c>
      <c r="Q167" s="1" t="s">
        <v>706</v>
      </c>
      <c r="R167" s="161">
        <f>+GETPIVOTDATA("Sum of Old-HS % of Total",'Pivot-HS Student % of Undergrad'!$A$3,"State","FL","Category",7,"Category2","Two-Year")</f>
        <v>4.586934750385506E-2</v>
      </c>
      <c r="S167" s="272">
        <f t="shared" si="22"/>
        <v>0.58269699763575378</v>
      </c>
      <c r="T167" s="276">
        <f>+GETPIVOTDATA("Sum of Old-HS % of Total",'Pivot-HS Student % of Undergrad'!$A$3,"State","FL","Category",8,"Category2","Two-Year")</f>
        <v>2.4349748865907312E-2</v>
      </c>
      <c r="U167" s="272">
        <f t="shared" si="23"/>
        <v>0.44142033300084182</v>
      </c>
      <c r="V167" s="151">
        <f>+GETPIVOTDATA("Sum of Old-HS % of Total",'Pivot-HS Student % of Undergrad'!$A$3,"State","FL","Category",9,"Category2","Two-Year")</f>
        <v>0</v>
      </c>
      <c r="W167" s="272">
        <f t="shared" si="24"/>
        <v>0</v>
      </c>
      <c r="X167" s="151">
        <f>+GETPIVOTDATA("Sum of Old-HS % of Total",'Pivot-HS Student % of Undergrad'!$A$3,"State","FL","Category",10,"Category2","Two-Year")</f>
        <v>7.2526433636024387E-2</v>
      </c>
      <c r="Y167" s="272">
        <f t="shared" si="25"/>
        <v>-1.429341511470434</v>
      </c>
      <c r="Z167" s="151">
        <f>+GETPIVOTDATA("Sum of Old-HS % of Total",'Pivot-HS Student % of Undergrad'!$A$3,"State","FL","Category2","Two-Year")</f>
        <v>4.3392812390435673E-2</v>
      </c>
      <c r="AA167" s="272">
        <f t="shared" si="26"/>
        <v>0.54100608479803602</v>
      </c>
      <c r="AC167" s="236" t="s">
        <v>706</v>
      </c>
      <c r="AD167" s="263">
        <f>+B167</f>
        <v>275621.4966666667</v>
      </c>
      <c r="AE167" s="263">
        <f>+D167</f>
        <v>29592.867777777781</v>
      </c>
      <c r="AF167" s="263">
        <f>+F167</f>
        <v>0</v>
      </c>
      <c r="AG167" s="263">
        <f>+H167</f>
        <v>1582.8911111111111</v>
      </c>
      <c r="AH167" s="263"/>
      <c r="AI167" s="263">
        <f>+J167</f>
        <v>306797.25555555557</v>
      </c>
      <c r="AJ167" s="248" t="s">
        <v>706</v>
      </c>
      <c r="AK167" s="264">
        <f>+'NEW-Tables 80-86'!R106+'NEW-Tables 80-86'!Q137</f>
        <v>288115.04666666669</v>
      </c>
      <c r="AL167" s="264">
        <f>+'NEW-Tables 80-86'!S106+'NEW-Tables 80-86'!R137</f>
        <v>30798.445555555554</v>
      </c>
      <c r="AM167" s="264">
        <f>+'NEW-Tables 80-86'!T106+'NEW-Tables 80-86'!S137</f>
        <v>0</v>
      </c>
      <c r="AN167" s="264">
        <f>+'NEW-Tables 80-86'!U106+'NEW-Tables 80-86'!T137</f>
        <v>1553.9866666666667</v>
      </c>
      <c r="AO167" s="264"/>
      <c r="AP167" s="273">
        <f>+'NEW-Tables 80-86'!V106+'NEW-Tables 80-86'!U137</f>
        <v>320467.47888888884</v>
      </c>
      <c r="AR167" s="1" t="s">
        <v>706</v>
      </c>
      <c r="AS167" s="274">
        <f t="shared" si="27"/>
        <v>5.1696317480212599</v>
      </c>
      <c r="AT167" s="274">
        <f t="shared" si="28"/>
        <v>2.876395219591573</v>
      </c>
      <c r="AU167" s="274">
        <f t="shared" si="29"/>
        <v>0</v>
      </c>
      <c r="AV167" s="274">
        <f t="shared" si="30"/>
        <v>5.8233018521320048</v>
      </c>
      <c r="AW167" s="274">
        <f t="shared" si="31"/>
        <v>4.8802873238416034</v>
      </c>
      <c r="AY167" s="1" t="s">
        <v>706</v>
      </c>
      <c r="AZ167" s="274">
        <f t="shared" si="32"/>
        <v>4.586934750385506</v>
      </c>
      <c r="BA167" s="274">
        <f t="shared" si="33"/>
        <v>2.434974886590731</v>
      </c>
      <c r="BB167" s="274">
        <f t="shared" si="34"/>
        <v>0</v>
      </c>
      <c r="BC167" s="274">
        <f t="shared" si="35"/>
        <v>7.2526433636024388</v>
      </c>
      <c r="BD167" s="274">
        <f t="shared" si="36"/>
        <v>4.3392812390435669</v>
      </c>
    </row>
    <row r="168" spans="1:88" ht="15" customHeight="1">
      <c r="B168" s="230"/>
      <c r="C168" s="271"/>
      <c r="D168" s="260"/>
      <c r="E168" s="271"/>
      <c r="F168" s="260"/>
      <c r="G168" s="271"/>
      <c r="H168" s="260"/>
      <c r="I168" s="271"/>
      <c r="J168" s="260"/>
      <c r="K168" s="271"/>
      <c r="R168" s="161"/>
      <c r="S168" s="272"/>
      <c r="T168" s="276"/>
      <c r="U168" s="272"/>
      <c r="V168" s="151"/>
      <c r="W168" s="272"/>
      <c r="X168" s="151"/>
      <c r="Y168" s="272"/>
      <c r="Z168" s="151"/>
      <c r="AA168" s="272"/>
      <c r="AC168" s="236"/>
      <c r="AD168" s="263"/>
      <c r="AE168" s="263"/>
      <c r="AF168" s="263"/>
      <c r="AG168" s="263"/>
      <c r="AH168" s="263"/>
      <c r="AI168" s="263"/>
      <c r="AJ168" s="248"/>
      <c r="AK168" s="264"/>
      <c r="AL168" s="264"/>
      <c r="AM168" s="264"/>
      <c r="AN168" s="264"/>
      <c r="AO168" s="264"/>
      <c r="AP168" s="273"/>
      <c r="AS168" s="274">
        <f t="shared" si="27"/>
        <v>0</v>
      </c>
      <c r="AT168" s="274">
        <f t="shared" si="28"/>
        <v>0</v>
      </c>
      <c r="AU168" s="274">
        <f t="shared" si="29"/>
        <v>0</v>
      </c>
      <c r="AV168" s="274">
        <f t="shared" si="30"/>
        <v>0</v>
      </c>
      <c r="AW168" s="274">
        <f t="shared" si="31"/>
        <v>0</v>
      </c>
      <c r="AZ168" s="274">
        <f t="shared" si="32"/>
        <v>0</v>
      </c>
      <c r="BA168" s="274">
        <f t="shared" si="33"/>
        <v>0</v>
      </c>
      <c r="BB168" s="274">
        <f t="shared" si="34"/>
        <v>0</v>
      </c>
      <c r="BC168" s="274">
        <f t="shared" si="35"/>
        <v>0</v>
      </c>
      <c r="BD168" s="274">
        <f t="shared" si="36"/>
        <v>0</v>
      </c>
    </row>
    <row r="169" spans="1:88" ht="15" customHeight="1">
      <c r="A169" s="1" t="s">
        <v>707</v>
      </c>
      <c r="B169" s="230">
        <f>+'NEW-Tables 80-86'!B108+'NEW-Tables 80-86'!B139</f>
        <v>9231.1</v>
      </c>
      <c r="C169" s="271">
        <f>+GETPIVOTDATA("Sum of New-HS % of Total",'Pivot-HS Student % of Undergrad'!$A$3,"State","GA","Category",7,"Category2","Two-Year")</f>
        <v>6.4015483889605068E-2</v>
      </c>
      <c r="D169" s="260">
        <f>+'NEW-Tables 80-86'!C108+'NEW-Tables 80-86'!C139</f>
        <v>0</v>
      </c>
      <c r="E169" s="271">
        <f>+GETPIVOTDATA("Sum of New-HS % of Total",'Pivot-HS Student % of Undergrad'!$A$3,"State","GA","Category",8,"Category2","Two-Year")</f>
        <v>0</v>
      </c>
      <c r="F169" s="260">
        <f>+'NEW-Tables 80-86'!D108+'NEW-Tables 80-86'!D139</f>
        <v>0</v>
      </c>
      <c r="G169" s="271">
        <f>+GETPIVOTDATA("Sum of New-HS % of Total",'Pivot-HS Student % of Undergrad'!$A$3,"State","GA","Category",9,"Category2","Two-Year")</f>
        <v>0</v>
      </c>
      <c r="H169" s="260">
        <f>+'NEW-Tables 80-86'!E108+'NEW-Tables 80-86'!E139</f>
        <v>0</v>
      </c>
      <c r="I169" s="271">
        <f>+GETPIVOTDATA("Sum of New-HS % of Total",'Pivot-HS Student % of Undergrad'!$A$3,"State","GA","Category",10,"Category2","Two-Year")</f>
        <v>0</v>
      </c>
      <c r="J169" s="260">
        <f>+'NEW-Tables 80-86'!F108+'NEW-Tables 80-86'!F139</f>
        <v>9231.1</v>
      </c>
      <c r="K169" s="271">
        <f>+GETPIVOTDATA("Sum of New-HS % of Total",'Pivot-HS Student % of Undergrad'!$A$3,"State","GA","Category2","Group2")</f>
        <v>6.4015483889605068E-2</v>
      </c>
      <c r="Q169" s="1" t="s">
        <v>707</v>
      </c>
      <c r="R169" s="161">
        <f>+GETPIVOTDATA("Sum of Old-HS % of Total",'Pivot-HS Student % of Undergrad'!$A$3,"State","GA","Category",7,"Category2","Two-Year")</f>
        <v>6.744170684985798E-2</v>
      </c>
      <c r="S169" s="272">
        <f t="shared" si="22"/>
        <v>-0.34262229602529115</v>
      </c>
      <c r="T169" s="151">
        <f>+GETPIVOTDATA("Sum of Old-HS % of Total",'Pivot-HS Student % of Undergrad'!$A$3,"State","GA","Category",8,"Category2","Two-Year")</f>
        <v>0</v>
      </c>
      <c r="U169" s="272">
        <f t="shared" si="23"/>
        <v>0</v>
      </c>
      <c r="V169" s="151">
        <f>+GETPIVOTDATA("Sum of Old-HS % of Total",'Pivot-HS Student % of Undergrad'!$A$3,"State","GA","Category",9,"Category2","Two-Year")</f>
        <v>0</v>
      </c>
      <c r="W169" s="272">
        <f t="shared" si="24"/>
        <v>0</v>
      </c>
      <c r="X169" s="151">
        <f>+GETPIVOTDATA("Sum of Old-HS % of Total",'Pivot-HS Student % of Undergrad'!$A$3,"State","GA","Category",10,"Category2","Two-Year")</f>
        <v>0</v>
      </c>
      <c r="Y169" s="272">
        <f t="shared" si="25"/>
        <v>0</v>
      </c>
      <c r="Z169" s="151">
        <f>+GETPIVOTDATA("Sum of Old-HS % of Total",'Pivot-HS Student % of Undergrad'!$A$3,"State","GA","Category2","Two-Year")</f>
        <v>6.744170684985798E-2</v>
      </c>
      <c r="AA169" s="272">
        <f t="shared" si="26"/>
        <v>-0.34262229602529115</v>
      </c>
      <c r="AC169" s="236" t="s">
        <v>707</v>
      </c>
      <c r="AD169" s="263">
        <f>+B169</f>
        <v>9231.1</v>
      </c>
      <c r="AE169" s="263">
        <f>+D169</f>
        <v>0</v>
      </c>
      <c r="AF169" s="263">
        <f>+F169</f>
        <v>0</v>
      </c>
      <c r="AG169" s="263">
        <f>+H169</f>
        <v>0</v>
      </c>
      <c r="AH169" s="263"/>
      <c r="AI169" s="263">
        <f>+J169</f>
        <v>9231.1</v>
      </c>
      <c r="AJ169" s="248" t="s">
        <v>707</v>
      </c>
      <c r="AK169" s="264">
        <f>+'NEW-Tables 80-86'!R108+'NEW-Tables 80-86'!Q139</f>
        <v>10092.666666666666</v>
      </c>
      <c r="AL169" s="264">
        <f>+'NEW-Tables 80-86'!S108+'NEW-Tables 80-86'!R139</f>
        <v>0</v>
      </c>
      <c r="AM169" s="264">
        <f>+'NEW-Tables 80-86'!T108+'NEW-Tables 80-86'!S139</f>
        <v>0</v>
      </c>
      <c r="AN169" s="264">
        <f>+'NEW-Tables 80-86'!U108+'NEW-Tables 80-86'!T139</f>
        <v>0</v>
      </c>
      <c r="AO169" s="264"/>
      <c r="AP169" s="273">
        <f>+'NEW-Tables 80-86'!V108+'NEW-Tables 80-86'!U139</f>
        <v>10092.666666666666</v>
      </c>
      <c r="AR169" s="1" t="s">
        <v>707</v>
      </c>
      <c r="AS169" s="274">
        <f t="shared" si="27"/>
        <v>6.4015483889605065</v>
      </c>
      <c r="AT169" s="274">
        <f t="shared" si="28"/>
        <v>0</v>
      </c>
      <c r="AU169" s="274">
        <f t="shared" si="29"/>
        <v>0</v>
      </c>
      <c r="AV169" s="274">
        <f t="shared" si="30"/>
        <v>0</v>
      </c>
      <c r="AW169" s="274">
        <f t="shared" si="31"/>
        <v>6.4015483889605065</v>
      </c>
      <c r="AY169" s="1" t="s">
        <v>707</v>
      </c>
      <c r="AZ169" s="274">
        <f t="shared" si="32"/>
        <v>6.7441706849857983</v>
      </c>
      <c r="BA169" s="274">
        <f t="shared" si="33"/>
        <v>0</v>
      </c>
      <c r="BB169" s="274">
        <f t="shared" si="34"/>
        <v>0</v>
      </c>
      <c r="BC169" s="274">
        <f t="shared" si="35"/>
        <v>0</v>
      </c>
      <c r="BD169" s="274">
        <f t="shared" si="36"/>
        <v>6.7441706849857983</v>
      </c>
    </row>
    <row r="170" spans="1:88" ht="15" customHeight="1">
      <c r="A170" s="1" t="s">
        <v>708</v>
      </c>
      <c r="B170" s="230">
        <f>+'NEW-Tables 80-86'!B109+'NEW-Tables 80-86'!B140</f>
        <v>0</v>
      </c>
      <c r="C170" s="271">
        <f>+GETPIVOTDATA("Sum of New-HS % of Total",'Pivot-HS Student % of Undergrad'!$A$3,"State","KY","Category",7,"Category2","Two-Year")</f>
        <v>0</v>
      </c>
      <c r="D170" s="260">
        <f>+'NEW-Tables 80-86'!C109+'NEW-Tables 80-86'!C140</f>
        <v>13026.133333333333</v>
      </c>
      <c r="E170" s="271">
        <f>+GETPIVOTDATA("Sum of New-HS % of Total",'Pivot-HS Student % of Undergrad'!$A$3,"State","KY","Category",8,"Category2","Two-Year")</f>
        <v>0.12171429741238127</v>
      </c>
      <c r="F170" s="260">
        <f>+'NEW-Tables 80-86'!D109+'NEW-Tables 80-86'!D140</f>
        <v>15528.9</v>
      </c>
      <c r="G170" s="271">
        <f>+GETPIVOTDATA("Sum of New-HS % of Total",'Pivot-HS Student % of Undergrad'!$A$3,"State","KY","Category",9,"Category2","Two-Year")</f>
        <v>0.13770883106122564</v>
      </c>
      <c r="H170" s="260">
        <f>+'NEW-Tables 80-86'!E109+'NEW-Tables 80-86'!E140</f>
        <v>8989.2999999999993</v>
      </c>
      <c r="I170" s="271">
        <f>+GETPIVOTDATA("Sum of New-HS % of Total",'Pivot-HS Student % of Undergrad'!$A$3,"State","KY","Category",10,"Category2","Two-Year")</f>
        <v>0.13818280251706658</v>
      </c>
      <c r="J170" s="260">
        <f>+'NEW-Tables 80-86'!F109+'NEW-Tables 80-86'!F140</f>
        <v>37544.333333333328</v>
      </c>
      <c r="K170" s="271">
        <f>+GETPIVOTDATA("Sum of New-HS % of Total",'Pivot-HS Student % of Undergrad'!$A$3,"State","KY","Category2","Group2")</f>
        <v>0.13227295730380972</v>
      </c>
      <c r="Q170" s="1" t="s">
        <v>708</v>
      </c>
      <c r="R170" s="161">
        <f>+GETPIVOTDATA("Sum of Old-HS % of Total",'Pivot-HS Student % of Undergrad'!$A$3,"State","KY","Category",7,"Category2","Two-Year")</f>
        <v>0</v>
      </c>
      <c r="S170" s="272">
        <f t="shared" si="22"/>
        <v>0</v>
      </c>
      <c r="T170" s="151">
        <f>+GETPIVOTDATA("Sum of Old-HS % of Total",'Pivot-HS Student % of Undergrad'!$A$3,"State","KY","Category",8,"Category2","Two-Year")</f>
        <v>0.10188767467370888</v>
      </c>
      <c r="U170" s="272">
        <f t="shared" si="23"/>
        <v>1.982662273867239</v>
      </c>
      <c r="V170" s="151">
        <f>+GETPIVOTDATA("Sum of Old-HS % of Total",'Pivot-HS Student % of Undergrad'!$A$3,"State","KY","Category",9,"Category2","Two-Year")</f>
        <v>0.12295701729774845</v>
      </c>
      <c r="W170" s="272">
        <f t="shared" si="24"/>
        <v>1.4751813763477186</v>
      </c>
      <c r="X170" s="151">
        <f>+GETPIVOTDATA("Sum of Old-HS % of Total",'Pivot-HS Student % of Undergrad'!$A$3,"State","KY","Category",10,"Category2","Two-Year")</f>
        <v>0.12771161230174979</v>
      </c>
      <c r="Y170" s="272">
        <f t="shared" si="25"/>
        <v>1.0471190215316784</v>
      </c>
      <c r="Z170" s="151">
        <f>+GETPIVOTDATA("Sum of Old-HS % of Total",'Pivot-HS Student % of Undergrad'!$A$3,"State","KY","Category2","Two-Year")</f>
        <v>0.11717348990239165</v>
      </c>
      <c r="AA170" s="272">
        <f t="shared" si="26"/>
        <v>1.5099467401418072</v>
      </c>
      <c r="AC170" s="236" t="s">
        <v>708</v>
      </c>
      <c r="AD170" s="263">
        <f>+B170</f>
        <v>0</v>
      </c>
      <c r="AE170" s="263">
        <f>+D170</f>
        <v>13026.133333333333</v>
      </c>
      <c r="AF170" s="263">
        <f>+F170</f>
        <v>15528.9</v>
      </c>
      <c r="AG170" s="263">
        <f>+H170</f>
        <v>8989.2999999999993</v>
      </c>
      <c r="AH170" s="263"/>
      <c r="AI170" s="263">
        <f>+J170</f>
        <v>37544.333333333328</v>
      </c>
      <c r="AJ170" s="248" t="s">
        <v>708</v>
      </c>
      <c r="AK170" s="264">
        <f>+'NEW-Tables 80-86'!R109+'NEW-Tables 80-86'!Q140</f>
        <v>0</v>
      </c>
      <c r="AL170" s="264">
        <f>+'NEW-Tables 80-86'!S109+'NEW-Tables 80-86'!R140</f>
        <v>12917.656666666666</v>
      </c>
      <c r="AM170" s="264">
        <f>+'NEW-Tables 80-86'!T109+'NEW-Tables 80-86'!S140</f>
        <v>16668.643333333333</v>
      </c>
      <c r="AN170" s="264">
        <f>+'NEW-Tables 80-86'!U109+'NEW-Tables 80-86'!T140</f>
        <v>9589.3133333333335</v>
      </c>
      <c r="AO170" s="264"/>
      <c r="AP170" s="273">
        <f>+'NEW-Tables 80-86'!V109+'NEW-Tables 80-86'!U140</f>
        <v>39175.613333333335</v>
      </c>
      <c r="AR170" s="1" t="s">
        <v>708</v>
      </c>
      <c r="AS170" s="274">
        <f t="shared" si="27"/>
        <v>0</v>
      </c>
      <c r="AT170" s="274">
        <f t="shared" si="28"/>
        <v>12.171429741238127</v>
      </c>
      <c r="AU170" s="274">
        <f t="shared" si="29"/>
        <v>13.770883106122564</v>
      </c>
      <c r="AV170" s="274">
        <f t="shared" si="30"/>
        <v>13.818280251706657</v>
      </c>
      <c r="AW170" s="274">
        <f t="shared" si="31"/>
        <v>13.227295730380973</v>
      </c>
      <c r="AY170" s="1" t="s">
        <v>708</v>
      </c>
      <c r="AZ170" s="274">
        <f t="shared" si="32"/>
        <v>0</v>
      </c>
      <c r="BA170" s="274">
        <f t="shared" si="33"/>
        <v>10.188767467370887</v>
      </c>
      <c r="BB170" s="274">
        <f t="shared" si="34"/>
        <v>12.295701729774846</v>
      </c>
      <c r="BC170" s="274">
        <f t="shared" si="35"/>
        <v>12.771161230174979</v>
      </c>
      <c r="BD170" s="274">
        <f t="shared" si="36"/>
        <v>11.717348990239165</v>
      </c>
    </row>
    <row r="171" spans="1:88" ht="15" customHeight="1">
      <c r="A171" s="1" t="s">
        <v>709</v>
      </c>
      <c r="B171" s="230">
        <f>+'NEW-Tables 80-86'!B110+'NEW-Tables 80-86'!B141</f>
        <v>0</v>
      </c>
      <c r="C171" s="271">
        <f>+GETPIVOTDATA("Sum of New-HS % of Total",'Pivot-HS Student % of Undergrad'!$A$3,"State","LA","Category",7,"Category2","Two-Year")</f>
        <v>0</v>
      </c>
      <c r="D171" s="260">
        <f>+'NEW-Tables 80-86'!C110+'NEW-Tables 80-86'!C141</f>
        <v>14350.5</v>
      </c>
      <c r="E171" s="271">
        <f>+GETPIVOTDATA("Sum of New-HS % of Total",'Pivot-HS Student % of Undergrad'!$A$3,"State","LA","Category",8,"Category2","Two-Year")</f>
        <v>1.9639269247296844E-2</v>
      </c>
      <c r="F171" s="260">
        <f>+'NEW-Tables 80-86'!D110+'NEW-Tables 80-86'!D141</f>
        <v>15872.166666666668</v>
      </c>
      <c r="G171" s="271">
        <f>+GETPIVOTDATA("Sum of New-HS % of Total",'Pivot-HS Student % of Undergrad'!$A$3,"State","LA","Category",9,"Category2","Two-Year")</f>
        <v>6.3570401016454378E-2</v>
      </c>
      <c r="H171" s="260">
        <f>+'NEW-Tables 80-86'!E110+'NEW-Tables 80-86'!E141</f>
        <v>3439.0333333333333</v>
      </c>
      <c r="I171" s="271">
        <f>+GETPIVOTDATA("Sum of New-HS % of Total",'Pivot-HS Student % of Undergrad'!$A$3,"State","LA","Category",10,"Category2","Two-Year")</f>
        <v>0.12845663994727199</v>
      </c>
      <c r="J171" s="260">
        <f>+'NEW-Tables 80-86'!F110+'NEW-Tables 80-86'!F141</f>
        <v>33661.700000000004</v>
      </c>
      <c r="K171" s="271">
        <f>+GETPIVOTDATA("Sum of New-HS % of Total",'Pivot-HS Student % of Undergrad'!$A$3,"State","LA","Category2","Group2")</f>
        <v>5.1470959577204954E-2</v>
      </c>
      <c r="Q171" s="1" t="s">
        <v>709</v>
      </c>
      <c r="R171" s="161">
        <f>+GETPIVOTDATA("Sum of Old-HS % of Total",'Pivot-HS Student % of Undergrad'!$A$3,"State","LA","Category",7,"Category2","Two-Year")</f>
        <v>0</v>
      </c>
      <c r="S171" s="272">
        <f t="shared" si="22"/>
        <v>0</v>
      </c>
      <c r="T171" s="151">
        <f>+GETPIVOTDATA("Sum of Old-HS % of Total",'Pivot-HS Student % of Undergrad'!$A$3,"State","LA","Category",8,"Category2","Two-Year")</f>
        <v>2.4078490154663758E-2</v>
      </c>
      <c r="U171" s="272">
        <f t="shared" si="23"/>
        <v>-0.44392209073669148</v>
      </c>
      <c r="V171" s="151">
        <f>+GETPIVOTDATA("Sum of Old-HS % of Total",'Pivot-HS Student % of Undergrad'!$A$3,"State","LA","Category",9,"Category2","Two-Year")</f>
        <v>6.3457821396840794E-2</v>
      </c>
      <c r="W171" s="272">
        <f t="shared" si="24"/>
        <v>1.125796196135842E-2</v>
      </c>
      <c r="X171" s="151">
        <f>+GETPIVOTDATA("Sum of Old-HS % of Total",'Pivot-HS Student % of Undergrad'!$A$3,"State","LA","Category",10,"Category2","Two-Year")</f>
        <v>0.13111237661351557</v>
      </c>
      <c r="Y171" s="272">
        <f t="shared" si="25"/>
        <v>-0.265573666624358</v>
      </c>
      <c r="Z171" s="151">
        <f>+GETPIVOTDATA("Sum of Old-HS % of Total",'Pivot-HS Student % of Undergrad'!$A$3,"State","LA","Category2","Two-Year")</f>
        <v>5.3663994337225691E-2</v>
      </c>
      <c r="AA171" s="272">
        <f t="shared" si="26"/>
        <v>-0.21930347600207373</v>
      </c>
      <c r="AC171" s="236" t="s">
        <v>709</v>
      </c>
      <c r="AD171" s="263">
        <f>+B171</f>
        <v>0</v>
      </c>
      <c r="AE171" s="263">
        <f>+D171</f>
        <v>14350.5</v>
      </c>
      <c r="AF171" s="263">
        <f>+F171</f>
        <v>15872.166666666668</v>
      </c>
      <c r="AG171" s="263">
        <f>+H171</f>
        <v>3439.0333333333333</v>
      </c>
      <c r="AH171" s="263"/>
      <c r="AI171" s="263">
        <f>+J171</f>
        <v>33661.700000000004</v>
      </c>
      <c r="AJ171" s="248" t="s">
        <v>709</v>
      </c>
      <c r="AK171" s="264">
        <f>+'NEW-Tables 80-86'!R110+'NEW-Tables 80-86'!Q141</f>
        <v>0</v>
      </c>
      <c r="AL171" s="264">
        <f>+'NEW-Tables 80-86'!S110+'NEW-Tables 80-86'!R141</f>
        <v>14677</v>
      </c>
      <c r="AM171" s="264">
        <f>+'NEW-Tables 80-86'!T110+'NEW-Tables 80-86'!S141</f>
        <v>16564.283333333333</v>
      </c>
      <c r="AN171" s="264">
        <f>+'NEW-Tables 80-86'!U110+'NEW-Tables 80-86'!T141</f>
        <v>3512</v>
      </c>
      <c r="AO171" s="264"/>
      <c r="AP171" s="273">
        <f>+'NEW-Tables 80-86'!V110+'NEW-Tables 80-86'!U141</f>
        <v>34753.283333333333</v>
      </c>
      <c r="AR171" s="1" t="s">
        <v>709</v>
      </c>
      <c r="AS171" s="274">
        <f t="shared" si="27"/>
        <v>0</v>
      </c>
      <c r="AT171" s="274">
        <f t="shared" si="28"/>
        <v>1.9639269247296844</v>
      </c>
      <c r="AU171" s="274">
        <f t="shared" si="29"/>
        <v>6.3570401016454374</v>
      </c>
      <c r="AV171" s="274">
        <f t="shared" si="30"/>
        <v>12.8456639947272</v>
      </c>
      <c r="AW171" s="274">
        <f t="shared" si="31"/>
        <v>5.1470959577204951</v>
      </c>
      <c r="AY171" s="1" t="s">
        <v>709</v>
      </c>
      <c r="AZ171" s="274">
        <f t="shared" si="32"/>
        <v>0</v>
      </c>
      <c r="BA171" s="274">
        <f t="shared" si="33"/>
        <v>2.4078490154663759</v>
      </c>
      <c r="BB171" s="274">
        <f t="shared" si="34"/>
        <v>6.3457821396840792</v>
      </c>
      <c r="BC171" s="274">
        <f t="shared" si="35"/>
        <v>13.111237661351558</v>
      </c>
      <c r="BD171" s="274">
        <f t="shared" si="36"/>
        <v>5.3663994337225693</v>
      </c>
    </row>
    <row r="172" spans="1:88" ht="15" customHeight="1">
      <c r="A172" s="1" t="s">
        <v>849</v>
      </c>
      <c r="B172" s="230">
        <f>+'NEW-Tables 80-86'!B111+'NEW-Tables 80-86'!B142</f>
        <v>0</v>
      </c>
      <c r="C172" s="271">
        <f>+GETPIVOTDATA("Sum of New-HS % of Total",'Pivot-HS Student % of Undergrad'!$A$3,"State","MD","Category",7,"Category2","Two-Year")</f>
        <v>0</v>
      </c>
      <c r="D172" s="260">
        <f>+'NEW-Tables 80-86'!C111+'NEW-Tables 80-86'!C142</f>
        <v>58575.316666666666</v>
      </c>
      <c r="E172" s="271">
        <f>+GETPIVOTDATA("Sum of New-HS % of Total",'Pivot-HS Student % of Undergrad'!$A$3,"State","MD","Category",8,"Category2","Two-Year")</f>
        <v>0</v>
      </c>
      <c r="F172" s="260">
        <f>+'NEW-Tables 80-86'!D111+'NEW-Tables 80-86'!D142</f>
        <v>18163.383333333331</v>
      </c>
      <c r="G172" s="271">
        <f>+GETPIVOTDATA("Sum of New-HS % of Total",'Pivot-HS Student % of Undergrad'!$A$3,"State","MD","Category",9,"Category2","Two-Year")</f>
        <v>0</v>
      </c>
      <c r="H172" s="260">
        <f>+'NEW-Tables 80-86'!E111+'NEW-Tables 80-86'!E142</f>
        <v>5960.6416666666664</v>
      </c>
      <c r="I172" s="271">
        <f>+GETPIVOTDATA("Sum of New-HS % of Total",'Pivot-HS Student % of Undergrad'!$A$3,"State","MD","Category",10,"Category2","Two-Year")</f>
        <v>0</v>
      </c>
      <c r="J172" s="260">
        <f>+'NEW-Tables 80-86'!F111+'NEW-Tables 80-86'!F142</f>
        <v>82699.34166666666</v>
      </c>
      <c r="K172" s="271">
        <f>+GETPIVOTDATA("Sum of New-HS % of Total",'Pivot-HS Student % of Undergrad'!$A$3,"State","MD","Category2","Group2")</f>
        <v>0</v>
      </c>
      <c r="Q172" s="1" t="s">
        <v>710</v>
      </c>
      <c r="R172" s="161">
        <f>+GETPIVOTDATA("Sum of Old-HS % of Total",'Pivot-HS Student % of Undergrad'!$A$3,"State","MD","Category",7,"Category2","Two-Year")</f>
        <v>0</v>
      </c>
      <c r="S172" s="272">
        <f t="shared" si="22"/>
        <v>0</v>
      </c>
      <c r="T172" s="151">
        <f>+GETPIVOTDATA("Sum of Old-HS % of Total",'Pivot-HS Student % of Undergrad'!$A$3,"State","MD","Category",8,"Category2","Two-Year")</f>
        <v>0</v>
      </c>
      <c r="U172" s="272">
        <f t="shared" si="23"/>
        <v>0</v>
      </c>
      <c r="V172" s="151">
        <f>+GETPIVOTDATA("Sum of Old-HS % of Total",'Pivot-HS Student % of Undergrad'!$A$3,"State","MD","Category",9,"Category2","Two-Year")</f>
        <v>0</v>
      </c>
      <c r="W172" s="272">
        <f t="shared" si="24"/>
        <v>0</v>
      </c>
      <c r="X172" s="151">
        <f>+GETPIVOTDATA("Sum of Old-HS % of Total",'Pivot-HS Student % of Undergrad'!$A$3,"State","MD","Category",10,"Category2","Two-Year")</f>
        <v>0</v>
      </c>
      <c r="Y172" s="272">
        <f t="shared" si="25"/>
        <v>0</v>
      </c>
      <c r="Z172" s="151">
        <f>+GETPIVOTDATA("Sum of Old-HS % of Total",'Pivot-HS Student % of Undergrad'!$A$3,"State","MD","Category2","Two-Year")</f>
        <v>0</v>
      </c>
      <c r="AA172" s="272">
        <f t="shared" si="26"/>
        <v>0</v>
      </c>
      <c r="AC172" s="236" t="s">
        <v>710</v>
      </c>
      <c r="AD172" s="263">
        <f>+B172</f>
        <v>0</v>
      </c>
      <c r="AE172" s="263">
        <f>+D172</f>
        <v>58575.316666666666</v>
      </c>
      <c r="AF172" s="263">
        <f>+F172</f>
        <v>18163.383333333331</v>
      </c>
      <c r="AG172" s="263">
        <f>+H172</f>
        <v>5960.6416666666664</v>
      </c>
      <c r="AH172" s="263"/>
      <c r="AI172" s="263">
        <f>+J172</f>
        <v>82699.34166666666</v>
      </c>
      <c r="AJ172" s="248" t="s">
        <v>710</v>
      </c>
      <c r="AK172" s="264">
        <f>+'NEW-Tables 80-86'!R111+'NEW-Tables 80-86'!Q142</f>
        <v>0</v>
      </c>
      <c r="AL172" s="264">
        <f>+'NEW-Tables 80-86'!S111+'NEW-Tables 80-86'!R142</f>
        <v>59201.116666666669</v>
      </c>
      <c r="AM172" s="264">
        <f>+'NEW-Tables 80-86'!T111+'NEW-Tables 80-86'!S142</f>
        <v>18232.45</v>
      </c>
      <c r="AN172" s="264">
        <f>+'NEW-Tables 80-86'!U111+'NEW-Tables 80-86'!T142</f>
        <v>6247.0166666666664</v>
      </c>
      <c r="AO172" s="264"/>
      <c r="AP172" s="273">
        <f>+'NEW-Tables 80-86'!V111+'NEW-Tables 80-86'!U142</f>
        <v>83680.583333333328</v>
      </c>
      <c r="AR172" s="1" t="s">
        <v>710</v>
      </c>
      <c r="AS172" s="274">
        <f t="shared" si="27"/>
        <v>0</v>
      </c>
      <c r="AT172" s="274">
        <f t="shared" si="28"/>
        <v>0</v>
      </c>
      <c r="AU172" s="274">
        <f t="shared" si="29"/>
        <v>0</v>
      </c>
      <c r="AV172" s="274">
        <f t="shared" si="30"/>
        <v>0</v>
      </c>
      <c r="AW172" s="274">
        <f t="shared" si="31"/>
        <v>0</v>
      </c>
      <c r="AY172" s="1" t="s">
        <v>710</v>
      </c>
      <c r="AZ172" s="274">
        <f t="shared" si="32"/>
        <v>0</v>
      </c>
      <c r="BA172" s="274">
        <f t="shared" si="33"/>
        <v>0</v>
      </c>
      <c r="BB172" s="274">
        <f t="shared" si="34"/>
        <v>0</v>
      </c>
      <c r="BC172" s="274">
        <f t="shared" si="35"/>
        <v>0</v>
      </c>
      <c r="BD172" s="274">
        <f t="shared" si="36"/>
        <v>0</v>
      </c>
    </row>
    <row r="173" spans="1:88" ht="15" customHeight="1">
      <c r="B173" s="230"/>
      <c r="C173" s="271"/>
      <c r="D173" s="260"/>
      <c r="E173" s="271"/>
      <c r="F173" s="260"/>
      <c r="G173" s="271"/>
      <c r="H173" s="260"/>
      <c r="I173" s="271"/>
      <c r="J173" s="260"/>
      <c r="K173" s="271"/>
      <c r="R173" s="161"/>
      <c r="S173" s="272"/>
      <c r="T173" s="151"/>
      <c r="U173" s="272"/>
      <c r="V173" s="151"/>
      <c r="W173" s="272"/>
      <c r="X173" s="151"/>
      <c r="Y173" s="272"/>
      <c r="Z173" s="151"/>
      <c r="AA173" s="272"/>
      <c r="AC173" s="236"/>
      <c r="AD173" s="263"/>
      <c r="AE173" s="263"/>
      <c r="AF173" s="263"/>
      <c r="AG173" s="263"/>
      <c r="AH173" s="263"/>
      <c r="AI173" s="263"/>
      <c r="AJ173" s="248"/>
      <c r="AK173" s="264"/>
      <c r="AL173" s="264"/>
      <c r="AM173" s="264"/>
      <c r="AN173" s="264"/>
      <c r="AO173" s="264"/>
      <c r="AP173" s="273"/>
      <c r="AS173" s="274">
        <f t="shared" si="27"/>
        <v>0</v>
      </c>
      <c r="AT173" s="274">
        <f t="shared" si="28"/>
        <v>0</v>
      </c>
      <c r="AU173" s="274">
        <f t="shared" si="29"/>
        <v>0</v>
      </c>
      <c r="AV173" s="274">
        <f t="shared" si="30"/>
        <v>0</v>
      </c>
      <c r="AW173" s="274">
        <f t="shared" si="31"/>
        <v>0</v>
      </c>
      <c r="AZ173" s="274">
        <f t="shared" si="32"/>
        <v>0</v>
      </c>
      <c r="BA173" s="274">
        <f t="shared" si="33"/>
        <v>0</v>
      </c>
      <c r="BB173" s="274">
        <f t="shared" si="34"/>
        <v>0</v>
      </c>
      <c r="BC173" s="274">
        <f t="shared" si="35"/>
        <v>0</v>
      </c>
      <c r="BD173" s="274">
        <f t="shared" si="36"/>
        <v>0</v>
      </c>
    </row>
    <row r="174" spans="1:88" ht="15" customHeight="1">
      <c r="A174" s="1" t="s">
        <v>711</v>
      </c>
      <c r="B174" s="230">
        <f>+'NEW-Tables 80-86'!B113+'NEW-Tables 80-86'!B144</f>
        <v>0</v>
      </c>
      <c r="C174" s="271">
        <f>+GETPIVOTDATA("Sum of New-HS % of Total",'Pivot-HS Student % of Undergrad'!$A$3,"State","MS","Category",7,"Category2","Two-Year")</f>
        <v>0</v>
      </c>
      <c r="D174" s="260">
        <f>+'NEW-Tables 80-86'!C113+'NEW-Tables 80-86'!C144</f>
        <v>0</v>
      </c>
      <c r="E174" s="271">
        <f>+GETPIVOTDATA("Sum of New-HS % of Total",'Pivot-HS Student % of Undergrad'!$A$3,"State","MS","Category",8,"Category2","Two-Year")</f>
        <v>0</v>
      </c>
      <c r="F174" s="260">
        <f>+'NEW-Tables 80-86'!D113+'NEW-Tables 80-86'!D144</f>
        <v>0</v>
      </c>
      <c r="G174" s="271">
        <f>+GETPIVOTDATA("Sum of New-HS % of Total",'Pivot-HS Student % of Undergrad'!$A$3,"State","MS","Category",9,"Category2","Two-Year")</f>
        <v>0</v>
      </c>
      <c r="H174" s="260">
        <f>+'NEW-Tables 80-86'!E113+'NEW-Tables 80-86'!E144</f>
        <v>0</v>
      </c>
      <c r="I174" s="271">
        <f>+GETPIVOTDATA("Sum of New-HS % of Total",'Pivot-HS Student % of Undergrad'!$A$3,"State","MS","Category",10,"Category2","Two-Year")</f>
        <v>0</v>
      </c>
      <c r="J174" s="260">
        <f>+'NEW-Tables 80-86'!F113+'NEW-Tables 80-86'!F144</f>
        <v>0</v>
      </c>
      <c r="K174" s="271">
        <f>+GETPIVOTDATA("Sum of New-HS % of Total",'Pivot-HS Student % of Undergrad'!$A$3,"State","MS","Category2","Group2")</f>
        <v>0</v>
      </c>
      <c r="Q174" s="1" t="s">
        <v>711</v>
      </c>
      <c r="R174" s="161">
        <f>+GETPIVOTDATA("Sum of Old-HS % of Total",'Pivot-HS Student % of Undergrad'!$A$3,"State","MS","Category",7,"Category2","Two-Year")</f>
        <v>0</v>
      </c>
      <c r="S174" s="272">
        <f t="shared" si="22"/>
        <v>0</v>
      </c>
      <c r="T174" s="151">
        <f>+GETPIVOTDATA("Sum of Old-HS % of Total",'Pivot-HS Student % of Undergrad'!$A$3,"State","MS","Category",8,"Category2","Two-Year")</f>
        <v>0</v>
      </c>
      <c r="U174" s="272">
        <f t="shared" si="23"/>
        <v>0</v>
      </c>
      <c r="V174" s="151">
        <f>+GETPIVOTDATA("Sum of Old-HS % of Total",'Pivot-HS Student % of Undergrad'!$A$3,"State","MS","Category",9,"Category2","Two-Year")</f>
        <v>0</v>
      </c>
      <c r="W174" s="272">
        <f t="shared" si="24"/>
        <v>0</v>
      </c>
      <c r="X174" s="151">
        <f>+GETPIVOTDATA("Sum of Old-HS % of Total",'Pivot-HS Student % of Undergrad'!$A$3,"State","MS","Category",10,"Category2","Two-Year")</f>
        <v>0</v>
      </c>
      <c r="Y174" s="272">
        <f t="shared" si="25"/>
        <v>0</v>
      </c>
      <c r="Z174" s="151">
        <f>+GETPIVOTDATA("Sum of Old-HS % of Total",'Pivot-HS Student % of Undergrad'!$A$3,"State","MS","Category2","Two-Year")</f>
        <v>0</v>
      </c>
      <c r="AA174" s="272">
        <f t="shared" si="26"/>
        <v>0</v>
      </c>
      <c r="AC174" s="236" t="s">
        <v>711</v>
      </c>
      <c r="AD174" s="263">
        <f>+B174</f>
        <v>0</v>
      </c>
      <c r="AE174" s="263">
        <f>+D174</f>
        <v>0</v>
      </c>
      <c r="AF174" s="263">
        <f>+F174</f>
        <v>0</v>
      </c>
      <c r="AG174" s="263">
        <f>+H174</f>
        <v>0</v>
      </c>
      <c r="AH174" s="263"/>
      <c r="AI174" s="263">
        <f>+J174</f>
        <v>0</v>
      </c>
      <c r="AJ174" s="248" t="s">
        <v>711</v>
      </c>
      <c r="AK174" s="264">
        <f>+'NEW-Tables 80-86'!R113+'NEW-Tables 80-86'!Q144</f>
        <v>0</v>
      </c>
      <c r="AL174" s="264">
        <f>+'NEW-Tables 80-86'!S113+'NEW-Tables 80-86'!R144</f>
        <v>0</v>
      </c>
      <c r="AM174" s="264">
        <f>+'NEW-Tables 80-86'!T113+'NEW-Tables 80-86'!S144</f>
        <v>0</v>
      </c>
      <c r="AN174" s="264">
        <f>+'NEW-Tables 80-86'!U113+'NEW-Tables 80-86'!T144</f>
        <v>0</v>
      </c>
      <c r="AO174" s="264"/>
      <c r="AP174" s="273">
        <f>+'NEW-Tables 80-86'!V113+'NEW-Tables 80-86'!U144</f>
        <v>0</v>
      </c>
      <c r="AR174" s="1" t="s">
        <v>711</v>
      </c>
      <c r="AS174" s="274">
        <f t="shared" si="27"/>
        <v>0</v>
      </c>
      <c r="AT174" s="274">
        <f t="shared" si="28"/>
        <v>0</v>
      </c>
      <c r="AU174" s="274">
        <f t="shared" si="29"/>
        <v>0</v>
      </c>
      <c r="AV174" s="274">
        <f t="shared" si="30"/>
        <v>0</v>
      </c>
      <c r="AW174" s="274">
        <f t="shared" si="31"/>
        <v>0</v>
      </c>
      <c r="AY174" s="1" t="s">
        <v>711</v>
      </c>
      <c r="AZ174" s="274">
        <f t="shared" si="32"/>
        <v>0</v>
      </c>
      <c r="BA174" s="274">
        <f t="shared" si="33"/>
        <v>0</v>
      </c>
      <c r="BB174" s="274">
        <f t="shared" si="34"/>
        <v>0</v>
      </c>
      <c r="BC174" s="274">
        <f t="shared" si="35"/>
        <v>0</v>
      </c>
      <c r="BD174" s="274">
        <f t="shared" si="36"/>
        <v>0</v>
      </c>
    </row>
    <row r="175" spans="1:88" ht="15" customHeight="1">
      <c r="A175" s="1" t="s">
        <v>712</v>
      </c>
      <c r="B175" s="230">
        <f>+'NEW-Tables 80-86'!B114+'NEW-Tables 80-86'!B145</f>
        <v>0</v>
      </c>
      <c r="C175" s="271">
        <f>+GETPIVOTDATA("Sum of New-HS % of Total",'Pivot-HS Student % of Undergrad'!$A$3,"State","NC","Category",7,"Category2","Two-Year")</f>
        <v>0</v>
      </c>
      <c r="D175" s="260">
        <f>+'NEW-Tables 80-86'!C114+'NEW-Tables 80-86'!C145</f>
        <v>78091.832222222234</v>
      </c>
      <c r="E175" s="271">
        <f>+GETPIVOTDATA("Sum of New-HS % of Total",'Pivot-HS Student % of Undergrad'!$A$3,"State","NC","Category",8,"Category2","Two-Year")</f>
        <v>0.11472596064738695</v>
      </c>
      <c r="F175" s="260">
        <f>+'NEW-Tables 80-86'!D114+'NEW-Tables 80-86'!D145</f>
        <v>64149.21333333334</v>
      </c>
      <c r="G175" s="271">
        <f>+GETPIVOTDATA("Sum of New-HS % of Total",'Pivot-HS Student % of Undergrad'!$A$3,"State","NC","Category",9,"Category2","Two-Year")</f>
        <v>0.22943686786631312</v>
      </c>
      <c r="H175" s="260">
        <f>+'NEW-Tables 80-86'!E114+'NEW-Tables 80-86'!E145</f>
        <v>31269.253333333334</v>
      </c>
      <c r="I175" s="271">
        <f>+GETPIVOTDATA("Sum of New-HS % of Total",'Pivot-HS Student % of Undergrad'!$A$3,"State","NC","Category",10,"Category2","Two-Year")</f>
        <v>0.29536511732024828</v>
      </c>
      <c r="J175" s="260">
        <f>+'NEW-Tables 80-86'!F114+'NEW-Tables 80-86'!F145</f>
        <v>173510.29888888891</v>
      </c>
      <c r="K175" s="271">
        <f>+GETPIVOTDATA("Sum of New-HS % of Total",'Pivot-HS Student % of Undergrad'!$A$3,"State","NC","Category2","Group2")</f>
        <v>0.18772896126872143</v>
      </c>
      <c r="Q175" s="1" t="s">
        <v>712</v>
      </c>
      <c r="R175" s="161">
        <f>+GETPIVOTDATA("Sum of Old-HS % of Total",'Pivot-HS Student % of Undergrad'!$A$3,"State","NC","Category",7,"Category2","Two-Year")</f>
        <v>0</v>
      </c>
      <c r="S175" s="272">
        <f t="shared" si="22"/>
        <v>0</v>
      </c>
      <c r="T175" s="151">
        <f>+GETPIVOTDATA("Sum of Old-HS % of Total",'Pivot-HS Student % of Undergrad'!$A$3,"State","NC","Category",8,"Category2","Two-Year")</f>
        <v>9.7325333497650504E-2</v>
      </c>
      <c r="U175" s="272">
        <f t="shared" si="23"/>
        <v>1.7400627149736447</v>
      </c>
      <c r="V175" s="151">
        <f>+GETPIVOTDATA("Sum of Old-HS % of Total",'Pivot-HS Student % of Undergrad'!$A$3,"State","NC","Category",9,"Category2","Two-Year")</f>
        <v>0.21461751043687893</v>
      </c>
      <c r="W175" s="272">
        <f t="shared" si="24"/>
        <v>1.4819357429434188</v>
      </c>
      <c r="X175" s="151">
        <f>+GETPIVOTDATA("Sum of Old-HS % of Total",'Pivot-HS Student % of Undergrad'!$A$3,"State","NC","Category",10,"Category2","Two-Year")</f>
        <v>0.25733461667871649</v>
      </c>
      <c r="Y175" s="272">
        <f t="shared" si="25"/>
        <v>3.8030500641531795</v>
      </c>
      <c r="Z175" s="151">
        <f>+GETPIVOTDATA("Sum of Old-HS % of Total",'Pivot-HS Student % of Undergrad'!$A$3,"State","NC","Category2","Two-Year")</f>
        <v>0.1675737313364204</v>
      </c>
      <c r="AA175" s="272">
        <f t="shared" si="26"/>
        <v>2.0155229932301038</v>
      </c>
      <c r="AC175" s="236" t="s">
        <v>712</v>
      </c>
      <c r="AD175" s="263">
        <f>+B175</f>
        <v>0</v>
      </c>
      <c r="AE175" s="263">
        <f>+D175</f>
        <v>78091.832222222234</v>
      </c>
      <c r="AF175" s="263">
        <f>+F175</f>
        <v>64149.21333333334</v>
      </c>
      <c r="AG175" s="263">
        <f>+H175</f>
        <v>31269.253333333334</v>
      </c>
      <c r="AH175" s="263"/>
      <c r="AI175" s="263">
        <f>+J175</f>
        <v>173510.29888888891</v>
      </c>
      <c r="AJ175" s="248" t="s">
        <v>712</v>
      </c>
      <c r="AK175" s="264">
        <f>+'NEW-Tables 80-86'!R114+'NEW-Tables 80-86'!Q145</f>
        <v>0</v>
      </c>
      <c r="AL175" s="264">
        <f>+'NEW-Tables 80-86'!S114+'NEW-Tables 80-86'!R145</f>
        <v>81908.162222222221</v>
      </c>
      <c r="AM175" s="264">
        <f>+'NEW-Tables 80-86'!T114+'NEW-Tables 80-86'!S145</f>
        <v>67088.233333333337</v>
      </c>
      <c r="AN175" s="264">
        <f>+'NEW-Tables 80-86'!U114+'NEW-Tables 80-86'!T145</f>
        <v>33872.017777777779</v>
      </c>
      <c r="AO175" s="264"/>
      <c r="AP175" s="273">
        <f>+'NEW-Tables 80-86'!V114+'NEW-Tables 80-86'!U145</f>
        <v>182868.41333333333</v>
      </c>
      <c r="AR175" s="1" t="s">
        <v>712</v>
      </c>
      <c r="AS175" s="274">
        <f t="shared" si="27"/>
        <v>0</v>
      </c>
      <c r="AT175" s="274">
        <f t="shared" si="28"/>
        <v>11.472596064738696</v>
      </c>
      <c r="AU175" s="274">
        <f t="shared" si="29"/>
        <v>22.943686786631311</v>
      </c>
      <c r="AV175" s="274">
        <f t="shared" si="30"/>
        <v>29.536511732024827</v>
      </c>
      <c r="AW175" s="274">
        <f t="shared" si="31"/>
        <v>18.772896126872144</v>
      </c>
      <c r="AY175" s="1" t="s">
        <v>712</v>
      </c>
      <c r="AZ175" s="274">
        <f t="shared" si="32"/>
        <v>0</v>
      </c>
      <c r="BA175" s="274">
        <f t="shared" si="33"/>
        <v>9.7325333497650508</v>
      </c>
      <c r="BB175" s="274">
        <f t="shared" si="34"/>
        <v>21.461751043687894</v>
      </c>
      <c r="BC175" s="274">
        <f t="shared" si="35"/>
        <v>25.733461667871648</v>
      </c>
      <c r="BD175" s="274">
        <f t="shared" si="36"/>
        <v>16.757373133642041</v>
      </c>
    </row>
    <row r="176" spans="1:88" ht="15" customHeight="1">
      <c r="A176" s="1" t="s">
        <v>713</v>
      </c>
      <c r="B176" s="230">
        <f>+'NEW-Tables 80-86'!B115+'NEW-Tables 80-86'!B146</f>
        <v>0</v>
      </c>
      <c r="C176" s="271">
        <f>+GETPIVOTDATA("Sum of New-HS % of Total",'Pivot-HS Student % of Undergrad'!$A$3,"State","OK","Category",7,"Category2","Two-Year")</f>
        <v>0</v>
      </c>
      <c r="D176" s="260">
        <f>+'NEW-Tables 80-86'!C115+'NEW-Tables 80-86'!C146</f>
        <v>0</v>
      </c>
      <c r="E176" s="271">
        <f>+GETPIVOTDATA("Sum of New-HS % of Total",'Pivot-HS Student % of Undergrad'!$A$3,"State","OK","Category",8,"Category2","Two-Year")</f>
        <v>0</v>
      </c>
      <c r="F176" s="260">
        <f>+'NEW-Tables 80-86'!D115+'NEW-Tables 80-86'!D146</f>
        <v>0</v>
      </c>
      <c r="G176" s="271">
        <f>+GETPIVOTDATA("Sum of New-HS % of Total",'Pivot-HS Student % of Undergrad'!$A$3,"State","OK","Category",9,"Category2","Two-Year")</f>
        <v>0</v>
      </c>
      <c r="H176" s="260">
        <f>+'NEW-Tables 80-86'!E115+'NEW-Tables 80-86'!E146</f>
        <v>0</v>
      </c>
      <c r="I176" s="271">
        <f>+GETPIVOTDATA("Sum of New-HS % of Total",'Pivot-HS Student % of Undergrad'!$A$3,"State","OK","Category",10,"Category2","Two-Year")</f>
        <v>0</v>
      </c>
      <c r="J176" s="260">
        <f>+'NEW-Tables 80-86'!F115+'NEW-Tables 80-86'!F146</f>
        <v>0</v>
      </c>
      <c r="K176" s="271">
        <f>+GETPIVOTDATA("Sum of New-HS % of Total",'Pivot-HS Student % of Undergrad'!$A$3,"State","OK","Category2","Group2")</f>
        <v>0</v>
      </c>
      <c r="Q176" s="1" t="s">
        <v>713</v>
      </c>
      <c r="R176" s="161">
        <f>+GETPIVOTDATA("Sum of Old-HS % of Total",'Pivot-HS Student % of Undergrad'!$A$3,"State","OK","Category",7,"Category2","Two-Year")</f>
        <v>0</v>
      </c>
      <c r="S176" s="272">
        <f t="shared" si="22"/>
        <v>0</v>
      </c>
      <c r="T176" s="151">
        <f>+GETPIVOTDATA("Sum of Old-HS % of Total",'Pivot-HS Student % of Undergrad'!$A$3,"State","OK","Category",8,"Category2","Two-Year")</f>
        <v>0</v>
      </c>
      <c r="U176" s="272">
        <f t="shared" si="23"/>
        <v>0</v>
      </c>
      <c r="V176" s="151">
        <f>+GETPIVOTDATA("Sum of Old-HS % of Total",'Pivot-HS Student % of Undergrad'!$A$3,"State","OK","Category",9,"Category2","Two-Year")</f>
        <v>0</v>
      </c>
      <c r="W176" s="272">
        <f t="shared" si="24"/>
        <v>0</v>
      </c>
      <c r="X176" s="151">
        <f>+GETPIVOTDATA("Sum of Old-HS % of Total",'Pivot-HS Student % of Undergrad'!$A$3,"State","OK","Category",10,"Category2","Two-Year")</f>
        <v>0</v>
      </c>
      <c r="Y176" s="272">
        <f t="shared" si="25"/>
        <v>0</v>
      </c>
      <c r="Z176" s="151">
        <f>+GETPIVOTDATA("Sum of Old-HS % of Total",'Pivot-HS Student % of Undergrad'!$A$3,"State","OK","Category2","Two-Year")</f>
        <v>0</v>
      </c>
      <c r="AA176" s="272">
        <f t="shared" si="26"/>
        <v>0</v>
      </c>
      <c r="AC176" s="236" t="s">
        <v>713</v>
      </c>
      <c r="AD176" s="263">
        <f>+B176</f>
        <v>0</v>
      </c>
      <c r="AE176" s="263">
        <f>+D176</f>
        <v>0</v>
      </c>
      <c r="AF176" s="263">
        <f>+F176</f>
        <v>0</v>
      </c>
      <c r="AG176" s="263">
        <f>+H176</f>
        <v>0</v>
      </c>
      <c r="AH176" s="263"/>
      <c r="AI176" s="263">
        <f>+J176</f>
        <v>0</v>
      </c>
      <c r="AJ176" s="248" t="s">
        <v>713</v>
      </c>
      <c r="AK176" s="264">
        <f>+'NEW-Tables 80-86'!R115+'NEW-Tables 80-86'!Q146</f>
        <v>0</v>
      </c>
      <c r="AL176" s="264">
        <f>+'NEW-Tables 80-86'!S115+'NEW-Tables 80-86'!R146</f>
        <v>0</v>
      </c>
      <c r="AM176" s="264">
        <f>+'NEW-Tables 80-86'!T115+'NEW-Tables 80-86'!S146</f>
        <v>0</v>
      </c>
      <c r="AN176" s="264">
        <f>+'NEW-Tables 80-86'!U115+'NEW-Tables 80-86'!T146</f>
        <v>0</v>
      </c>
      <c r="AO176" s="264"/>
      <c r="AP176" s="273">
        <f>+'NEW-Tables 80-86'!V115+'NEW-Tables 80-86'!U146</f>
        <v>0</v>
      </c>
      <c r="AR176" s="1" t="s">
        <v>713</v>
      </c>
      <c r="AS176" s="274">
        <f t="shared" si="27"/>
        <v>0</v>
      </c>
      <c r="AT176" s="274">
        <f t="shared" si="28"/>
        <v>0</v>
      </c>
      <c r="AU176" s="274">
        <f t="shared" si="29"/>
        <v>0</v>
      </c>
      <c r="AV176" s="274">
        <f t="shared" si="30"/>
        <v>0</v>
      </c>
      <c r="AW176" s="274">
        <f t="shared" si="31"/>
        <v>0</v>
      </c>
      <c r="AY176" s="1" t="s">
        <v>713</v>
      </c>
      <c r="AZ176" s="274">
        <f t="shared" si="32"/>
        <v>0</v>
      </c>
      <c r="BA176" s="274">
        <f t="shared" si="33"/>
        <v>0</v>
      </c>
      <c r="BB176" s="274">
        <f t="shared" si="34"/>
        <v>0</v>
      </c>
      <c r="BC176" s="274">
        <f t="shared" si="35"/>
        <v>0</v>
      </c>
      <c r="BD176" s="274">
        <f t="shared" si="36"/>
        <v>0</v>
      </c>
    </row>
    <row r="177" spans="1:56" ht="15" customHeight="1">
      <c r="A177" s="1" t="s">
        <v>714</v>
      </c>
      <c r="B177" s="230">
        <f>+'NEW-Tables 80-86'!B116+'NEW-Tables 80-86'!B147</f>
        <v>0</v>
      </c>
      <c r="C177" s="271">
        <f>+GETPIVOTDATA("Sum of New-HS % of Total",'Pivot-HS Student % of Undergrad'!$A$3,"State","SC","Category",7,"Category2","Two-Year")</f>
        <v>0</v>
      </c>
      <c r="D177" s="260">
        <f>+'NEW-Tables 80-86'!C116+'NEW-Tables 80-86'!C147</f>
        <v>27210.300000000003</v>
      </c>
      <c r="E177" s="271">
        <f>+GETPIVOTDATA("Sum of New-HS % of Total",'Pivot-HS Student % of Undergrad'!$A$3,"State","SC","Category",8,"Category2","Two-Year")</f>
        <v>8.7488928824746515E-2</v>
      </c>
      <c r="F177" s="260">
        <f>+'NEW-Tables 80-86'!D116+'NEW-Tables 80-86'!D147</f>
        <v>19132.266666666666</v>
      </c>
      <c r="G177" s="271">
        <f>+GETPIVOTDATA("Sum of New-HS % of Total",'Pivot-HS Student % of Undergrad'!$A$3,"State","SC","Category",9,"Category2","Two-Year")</f>
        <v>9.8981127867755689E-2</v>
      </c>
      <c r="H177" s="260">
        <f>+'NEW-Tables 80-86'!E116+'NEW-Tables 80-86'!E147</f>
        <v>9627.6666666666661</v>
      </c>
      <c r="I177" s="271">
        <f>+GETPIVOTDATA("Sum of New-HS % of Total",'Pivot-HS Student % of Undergrad'!$A$3,"State","SC","Category",10,"Category2","Two-Year")</f>
        <v>0.2421216632621265</v>
      </c>
      <c r="J177" s="260">
        <f>+'NEW-Tables 80-86'!F116+'NEW-Tables 80-86'!F147</f>
        <v>55970.23333333333</v>
      </c>
      <c r="K177" s="271">
        <f>+GETPIVOTDATA("Sum of New-HS % of Total",'Pivot-HS Student % of Undergrad'!$A$3,"State","SC","Category2","Group2")</f>
        <v>0.11801630271328747</v>
      </c>
      <c r="Q177" s="1" t="s">
        <v>714</v>
      </c>
      <c r="R177" s="161">
        <f>+GETPIVOTDATA("Sum of Old-HS % of Total",'Pivot-HS Student % of Undergrad'!$A$3,"State","SC","Category",7,"Category2","Two-Year")</f>
        <v>0</v>
      </c>
      <c r="S177" s="272">
        <f t="shared" si="22"/>
        <v>0</v>
      </c>
      <c r="T177" s="151">
        <f>+GETPIVOTDATA("Sum of Old-HS % of Total",'Pivot-HS Student % of Undergrad'!$A$3,"State","SC","Category",8,"Category2","Two-Year")</f>
        <v>7.0790510152169084E-2</v>
      </c>
      <c r="U177" s="272">
        <f t="shared" si="23"/>
        <v>1.6698418672577431</v>
      </c>
      <c r="V177" s="151">
        <f>+GETPIVOTDATA("Sum of Old-HS % of Total",'Pivot-HS Student % of Undergrad'!$A$3,"State","SC","Category",9,"Category2","Two-Year")</f>
        <v>8.4064682126761173E-2</v>
      </c>
      <c r="W177" s="272">
        <f t="shared" si="24"/>
        <v>1.4916445740994515</v>
      </c>
      <c r="X177" s="151">
        <f>+GETPIVOTDATA("Sum of Old-HS % of Total",'Pivot-HS Student % of Undergrad'!$A$3,"State","SC","Category",10,"Category2","Two-Year")</f>
        <v>0.21478770131771596</v>
      </c>
      <c r="Y177" s="272">
        <f t="shared" si="25"/>
        <v>2.7333961944410539</v>
      </c>
      <c r="Z177" s="151">
        <f>+GETPIVOTDATA("Sum of Old-HS % of Total",'Pivot-HS Student % of Undergrad'!$A$3,"State","SC","Category2","Two-Year")</f>
        <v>9.9842549927637747E-2</v>
      </c>
      <c r="AA177" s="272">
        <f t="shared" si="26"/>
        <v>1.8173752785649726</v>
      </c>
      <c r="AC177" s="236" t="s">
        <v>714</v>
      </c>
      <c r="AD177" s="263">
        <f>+B177</f>
        <v>0</v>
      </c>
      <c r="AE177" s="263">
        <f>+D177</f>
        <v>27210.300000000003</v>
      </c>
      <c r="AF177" s="263">
        <f>+F177</f>
        <v>19132.266666666666</v>
      </c>
      <c r="AG177" s="263">
        <f>+H177</f>
        <v>9627.6666666666661</v>
      </c>
      <c r="AH177" s="263"/>
      <c r="AI177" s="263">
        <f>+J177</f>
        <v>55970.23333333333</v>
      </c>
      <c r="AJ177" s="248" t="s">
        <v>714</v>
      </c>
      <c r="AK177" s="264">
        <f>+'NEW-Tables 80-86'!R116+'NEW-Tables 80-86'!Q147</f>
        <v>0</v>
      </c>
      <c r="AL177" s="264">
        <f>+'NEW-Tables 80-86'!S116+'NEW-Tables 80-86'!R147</f>
        <v>27911.933333333334</v>
      </c>
      <c r="AM177" s="264">
        <f>+'NEW-Tables 80-86'!T116+'NEW-Tables 80-86'!S147</f>
        <v>19925.133333333335</v>
      </c>
      <c r="AN177" s="264">
        <f>+'NEW-Tables 80-86'!U116+'NEW-Tables 80-86'!T147</f>
        <v>9789.6666666666679</v>
      </c>
      <c r="AO177" s="264"/>
      <c r="AP177" s="273">
        <f>+'NEW-Tables 80-86'!V116+'NEW-Tables 80-86'!U147</f>
        <v>57626.733333333337</v>
      </c>
      <c r="AR177" s="1" t="s">
        <v>714</v>
      </c>
      <c r="AS177" s="274">
        <f t="shared" si="27"/>
        <v>0</v>
      </c>
      <c r="AT177" s="274">
        <f t="shared" si="28"/>
        <v>8.7488928824746512</v>
      </c>
      <c r="AU177" s="274">
        <f t="shared" si="29"/>
        <v>9.8981127867755685</v>
      </c>
      <c r="AV177" s="274">
        <f t="shared" si="30"/>
        <v>24.21216632621265</v>
      </c>
      <c r="AW177" s="274">
        <f t="shared" si="31"/>
        <v>11.801630271328747</v>
      </c>
      <c r="AY177" s="1" t="s">
        <v>714</v>
      </c>
      <c r="AZ177" s="274">
        <f t="shared" si="32"/>
        <v>0</v>
      </c>
      <c r="BA177" s="274">
        <f t="shared" si="33"/>
        <v>7.0790510152169084</v>
      </c>
      <c r="BB177" s="274">
        <f t="shared" si="34"/>
        <v>8.406468212676117</v>
      </c>
      <c r="BC177" s="274">
        <f t="shared" si="35"/>
        <v>21.478770131771597</v>
      </c>
      <c r="BD177" s="274">
        <f t="shared" si="36"/>
        <v>9.9842549927637751</v>
      </c>
    </row>
    <row r="178" spans="1:56" ht="15" customHeight="1">
      <c r="B178" s="230"/>
      <c r="C178" s="271"/>
      <c r="D178" s="260"/>
      <c r="E178" s="271"/>
      <c r="F178" s="260"/>
      <c r="G178" s="271"/>
      <c r="H178" s="260"/>
      <c r="I178" s="271"/>
      <c r="J178" s="260"/>
      <c r="K178" s="271"/>
      <c r="R178" s="161"/>
      <c r="S178" s="272"/>
      <c r="T178" s="151"/>
      <c r="U178" s="272"/>
      <c r="V178" s="151"/>
      <c r="W178" s="272"/>
      <c r="X178" s="151"/>
      <c r="Y178" s="272"/>
      <c r="Z178" s="151"/>
      <c r="AA178" s="272"/>
      <c r="AC178" s="236"/>
      <c r="AD178" s="263"/>
      <c r="AE178" s="263"/>
      <c r="AF178" s="263"/>
      <c r="AG178" s="263"/>
      <c r="AH178" s="263"/>
      <c r="AI178" s="263"/>
      <c r="AJ178" s="248"/>
      <c r="AK178" s="264"/>
      <c r="AL178" s="264"/>
      <c r="AM178" s="264"/>
      <c r="AN178" s="264"/>
      <c r="AO178" s="264"/>
      <c r="AP178" s="273"/>
      <c r="AS178" s="274">
        <f t="shared" si="27"/>
        <v>0</v>
      </c>
      <c r="AT178" s="274">
        <f t="shared" si="28"/>
        <v>0</v>
      </c>
      <c r="AU178" s="274">
        <f t="shared" si="29"/>
        <v>0</v>
      </c>
      <c r="AV178" s="274">
        <f t="shared" si="30"/>
        <v>0</v>
      </c>
      <c r="AW178" s="274">
        <f t="shared" si="31"/>
        <v>0</v>
      </c>
      <c r="AZ178" s="274">
        <f t="shared" si="32"/>
        <v>0</v>
      </c>
      <c r="BA178" s="274">
        <f t="shared" si="33"/>
        <v>0</v>
      </c>
      <c r="BB178" s="274">
        <f t="shared" si="34"/>
        <v>0</v>
      </c>
      <c r="BC178" s="274">
        <f t="shared" si="35"/>
        <v>0</v>
      </c>
      <c r="BD178" s="274">
        <f t="shared" si="36"/>
        <v>0</v>
      </c>
    </row>
    <row r="179" spans="1:56" ht="11.25" customHeight="1">
      <c r="A179" s="1" t="s">
        <v>715</v>
      </c>
      <c r="B179" s="230">
        <f>+'NEW-Tables 80-86'!B118+'NEW-Tables 80-86'!B149</f>
        <v>0</v>
      </c>
      <c r="C179" s="271">
        <f>+GETPIVOTDATA("Sum of New-HS % of Total",'Pivot-HS Student % of Undergrad'!$A$3,"State","TN","Category",7,"Category2","Two-Year")</f>
        <v>0</v>
      </c>
      <c r="D179" s="260">
        <f>+'NEW-Tables 80-86'!C118+'NEW-Tables 80-86'!C149</f>
        <v>28409.85</v>
      </c>
      <c r="E179" s="271">
        <f>+GETPIVOTDATA("Sum of New-HS % of Total",'Pivot-HS Student % of Undergrad'!$A$3,"State","TN","Category",8,"Category2","Two-Year")</f>
        <v>6.5751256459760724E-2</v>
      </c>
      <c r="F179" s="260">
        <f>+'NEW-Tables 80-86'!D118+'NEW-Tables 80-86'!D149</f>
        <v>25486.266666666663</v>
      </c>
      <c r="G179" s="271">
        <f>+GETPIVOTDATA("Sum of New-HS % of Total",'Pivot-HS Student % of Undergrad'!$A$3,"State","TN","Category",9,"Category2","Two-Year")</f>
        <v>0.11195833573113886</v>
      </c>
      <c r="H179" s="260">
        <f>+'NEW-Tables 80-86'!E118+'NEW-Tables 80-86'!E149</f>
        <v>1717.9666666666667</v>
      </c>
      <c r="I179" s="271">
        <f>+GETPIVOTDATA("Sum of New-HS % of Total",'Pivot-HS Student % of Undergrad'!$A$3,"State","TN","Category",10,"Category2","Two-Year")</f>
        <v>0.1067929141038825</v>
      </c>
      <c r="J179" s="260">
        <f>+'NEW-Tables 80-86'!F118+'NEW-Tables 80-86'!F149</f>
        <v>55614.083333333328</v>
      </c>
      <c r="K179" s="271">
        <f>+GETPIVOTDATA("Sum of New-HS % of Total",'Pivot-HS Student % of Undergrad'!$A$3,"State","TN","Category2","Group2")</f>
        <v>8.8194387213071032E-2</v>
      </c>
      <c r="Q179" s="1" t="s">
        <v>715</v>
      </c>
      <c r="R179" s="161">
        <f>+GETPIVOTDATA("Sum of Old-HS % of Total",'Pivot-HS Student % of Undergrad'!$A$3,"State","TN","Category",7,"Category2","Two-Year")</f>
        <v>0</v>
      </c>
      <c r="S179" s="272">
        <f t="shared" si="22"/>
        <v>0</v>
      </c>
      <c r="T179" s="151">
        <f>+GETPIVOTDATA("Sum of Old-HS % of Total",'Pivot-HS Student % of Undergrad'!$A$3,"State","TN","Category",8,"Category2","Two-Year")</f>
        <v>6.2212659025163222E-2</v>
      </c>
      <c r="U179" s="272">
        <f t="shared" si="23"/>
        <v>0.35385974345975013</v>
      </c>
      <c r="V179" s="151">
        <f>+GETPIVOTDATA("Sum of Old-HS % of Total",'Pivot-HS Student % of Undergrad'!$A$3,"State","TN","Category",9,"Category2","Two-Year")</f>
        <v>0.10878918100357525</v>
      </c>
      <c r="W179" s="272">
        <f t="shared" si="24"/>
        <v>0.31691547275636139</v>
      </c>
      <c r="X179" s="151">
        <f>+GETPIVOTDATA("Sum of Old-HS % of Total",'Pivot-HS Student % of Undergrad'!$A$3,"State","TN","Category",10,"Category2","Two-Year")</f>
        <v>0.1132032838743692</v>
      </c>
      <c r="Y179" s="272">
        <f t="shared" si="25"/>
        <v>-0.64103697704867013</v>
      </c>
      <c r="Z179" s="151">
        <f>+GETPIVOTDATA("Sum of Old-HS % of Total",'Pivot-HS Student % of Undergrad'!$A$3,"State","TN","Category2","Two-Year")</f>
        <v>8.4875608822878951E-2</v>
      </c>
      <c r="AA179" s="272">
        <f t="shared" si="26"/>
        <v>0.33187783901920814</v>
      </c>
      <c r="AC179" s="236" t="s">
        <v>715</v>
      </c>
      <c r="AD179" s="263">
        <f>+B179</f>
        <v>0</v>
      </c>
      <c r="AE179" s="263">
        <f>+D179</f>
        <v>28409.85</v>
      </c>
      <c r="AF179" s="263">
        <f>+F179</f>
        <v>25486.266666666663</v>
      </c>
      <c r="AG179" s="263">
        <f>+H179</f>
        <v>1717.9666666666667</v>
      </c>
      <c r="AH179" s="263"/>
      <c r="AI179" s="263">
        <f>+J179</f>
        <v>55614.083333333328</v>
      </c>
      <c r="AJ179" s="248" t="s">
        <v>715</v>
      </c>
      <c r="AK179" s="264">
        <f>+'NEW-Tables 80-86'!R118+'NEW-Tables 80-86'!Q149</f>
        <v>0</v>
      </c>
      <c r="AL179" s="264">
        <f>+'NEW-Tables 80-86'!S118+'NEW-Tables 80-86'!R149</f>
        <v>30270.366666666669</v>
      </c>
      <c r="AM179" s="264">
        <f>+'NEW-Tables 80-86'!T118+'NEW-Tables 80-86'!S149</f>
        <v>26590.26666666667</v>
      </c>
      <c r="AN179" s="264">
        <f>+'NEW-Tables 80-86'!U118+'NEW-Tables 80-86'!T149</f>
        <v>1770.2666666666667</v>
      </c>
      <c r="AO179" s="264"/>
      <c r="AP179" s="273">
        <f>+'NEW-Tables 80-86'!V118+'NEW-Tables 80-86'!U149</f>
        <v>58630.900000000009</v>
      </c>
      <c r="AR179" s="1" t="s">
        <v>715</v>
      </c>
      <c r="AS179" s="274">
        <f t="shared" si="27"/>
        <v>0</v>
      </c>
      <c r="AT179" s="274">
        <f t="shared" si="28"/>
        <v>6.5751256459760725</v>
      </c>
      <c r="AU179" s="274">
        <f t="shared" si="29"/>
        <v>11.195833573113886</v>
      </c>
      <c r="AV179" s="274">
        <f t="shared" si="30"/>
        <v>10.679291410388251</v>
      </c>
      <c r="AW179" s="274">
        <f t="shared" si="31"/>
        <v>8.8194387213071028</v>
      </c>
      <c r="AY179" s="1" t="s">
        <v>715</v>
      </c>
      <c r="AZ179" s="274">
        <f t="shared" si="32"/>
        <v>0</v>
      </c>
      <c r="BA179" s="274">
        <f t="shared" si="33"/>
        <v>6.2212659025163219</v>
      </c>
      <c r="BB179" s="274">
        <f t="shared" si="34"/>
        <v>10.878918100357525</v>
      </c>
      <c r="BC179" s="274">
        <f t="shared" si="35"/>
        <v>11.32032838743692</v>
      </c>
      <c r="BD179" s="274">
        <f t="shared" si="36"/>
        <v>8.4875608822878945</v>
      </c>
    </row>
    <row r="180" spans="1:56" ht="15" customHeight="1">
      <c r="A180" s="1" t="s">
        <v>716</v>
      </c>
      <c r="B180" s="230">
        <f>+'NEW-Tables 80-86'!B119+'NEW-Tables 80-86'!B150</f>
        <v>25164.583333333336</v>
      </c>
      <c r="C180" s="271">
        <f>+GETPIVOTDATA("Sum of New-HS % of Total",'Pivot-HS Student % of Undergrad'!$A$3,"State","TX","Category",7,"Category2","Two-Year")</f>
        <v>0.32301528667373725</v>
      </c>
      <c r="D180" s="260">
        <f>+'NEW-Tables 80-86'!C119+'NEW-Tables 80-86'!C150</f>
        <v>324041.4622222223</v>
      </c>
      <c r="E180" s="271">
        <f>+GETPIVOTDATA("Sum of New-HS % of Total",'Pivot-HS Student % of Undergrad'!$A$3,"State","TX","Category",8,"Category2","Two-Year")</f>
        <v>0.1527903559446028</v>
      </c>
      <c r="F180" s="260">
        <f>+'NEW-Tables 80-86'!D119+'NEW-Tables 80-86'!D150</f>
        <v>81429.893333333341</v>
      </c>
      <c r="G180" s="271">
        <f>+GETPIVOTDATA("Sum of New-HS % of Total",'Pivot-HS Student % of Undergrad'!$A$3,"State","TX","Category",9,"Category2","Two-Year")</f>
        <v>0.20006440661083635</v>
      </c>
      <c r="H180" s="260">
        <f>+'NEW-Tables 80-86'!E119+'NEW-Tables 80-86'!E150</f>
        <v>26707.79888888889</v>
      </c>
      <c r="I180" s="271">
        <f>+GETPIVOTDATA("Sum of New-HS % of Total",'Pivot-HS Student % of Undergrad'!$A$3,"State","TX","Category",10,"Category2","Two-Year")</f>
        <v>0.17383986380996</v>
      </c>
      <c r="J180" s="260">
        <f>+'NEW-Tables 80-86'!F119+'NEW-Tables 80-86'!F150</f>
        <v>457343.73777777789</v>
      </c>
      <c r="K180" s="271">
        <f>+GETPIVOTDATA("Sum of New-HS % of Total",'Pivot-HS Student % of Undergrad'!$A$3,"State","TX","Category2","Group2")</f>
        <v>0.17183588527672874</v>
      </c>
      <c r="Q180" s="1" t="s">
        <v>716</v>
      </c>
      <c r="R180" s="161">
        <f>+GETPIVOTDATA("Sum of Old-HS % of Total",'Pivot-HS Student % of Undergrad'!$A$3,"State","TX","Category",7,"Category2","Two-Year")</f>
        <v>0.29811420178299469</v>
      </c>
      <c r="S180" s="272">
        <f t="shared" si="22"/>
        <v>2.4901084890742551</v>
      </c>
      <c r="T180" s="151">
        <f>+GETPIVOTDATA("Sum of Old-HS % of Total",'Pivot-HS Student % of Undergrad'!$A$3,"State","TX","Category",8,"Category2","Two-Year")</f>
        <v>0.14784896803650127</v>
      </c>
      <c r="U180" s="272">
        <f t="shared" si="23"/>
        <v>0.49413879081015299</v>
      </c>
      <c r="V180" s="151">
        <f>+GETPIVOTDATA("Sum of Old-HS % of Total",'Pivot-HS Student % of Undergrad'!$A$3,"State","TX","Category",9,"Category2","Two-Year")</f>
        <v>0.19262618296529968</v>
      </c>
      <c r="W180" s="272">
        <f t="shared" si="24"/>
        <v>0.74382236455366735</v>
      </c>
      <c r="X180" s="151">
        <f>+GETPIVOTDATA("Sum of Old-HS % of Total",'Pivot-HS Student % of Undergrad'!$A$3,"State","TX","Category",10,"Category2","Two-Year")</f>
        <v>0.19302832640963974</v>
      </c>
      <c r="Y180" s="272">
        <f t="shared" si="25"/>
        <v>-1.9188462599679741</v>
      </c>
      <c r="Z180" s="151">
        <f>+GETPIVOTDATA("Sum of Old-HS % of Total",'Pivot-HS Student % of Undergrad'!$A$3,"State","TX","Category2","Two-Year")</f>
        <v>0.16562690829324664</v>
      </c>
      <c r="AA180" s="272">
        <f t="shared" si="26"/>
        <v>0.62089769834821062</v>
      </c>
      <c r="AC180" s="236" t="s">
        <v>716</v>
      </c>
      <c r="AD180" s="277">
        <f>+'FTE Pivot for regular counts'!AF171</f>
        <v>0</v>
      </c>
      <c r="AE180" s="277">
        <f>+'FTE Pivot for regular counts'!AG171</f>
        <v>0</v>
      </c>
      <c r="AF180" s="277">
        <f>+'FTE Pivot for regular counts'!AH171</f>
        <v>0</v>
      </c>
      <c r="AG180" s="277">
        <f>+'FTE Pivot for regular counts'!AI171</f>
        <v>23242.254444444447</v>
      </c>
      <c r="AH180" s="277">
        <f>+'FTE Pivot for regular counts'!AJ171</f>
        <v>71613.201111111121</v>
      </c>
      <c r="AI180" s="263">
        <f>+J180</f>
        <v>457343.73777777789</v>
      </c>
      <c r="AJ180" s="248" t="s">
        <v>716</v>
      </c>
      <c r="AK180" s="264">
        <f>+'FTE Pivot for regular counts'!AF170</f>
        <v>0</v>
      </c>
      <c r="AL180" s="278">
        <f>+'FTE Pivot for regular counts'!AG170</f>
        <v>0</v>
      </c>
      <c r="AM180" s="278">
        <f>+'FTE Pivot for regular counts'!AH170</f>
        <v>0</v>
      </c>
      <c r="AN180" s="278">
        <f>+'FTE Pivot for regular counts'!AI170</f>
        <v>10592.328888888887</v>
      </c>
      <c r="AO180" s="278">
        <f>+'FTE Pivot for regular counts'!AJ170</f>
        <v>78296.671111111122</v>
      </c>
      <c r="AP180" s="273">
        <f>+'NEW-Tables 80-86'!V119+'NEW-Tables 80-86'!U150</f>
        <v>480475.34222222219</v>
      </c>
      <c r="AR180" s="1" t="s">
        <v>716</v>
      </c>
      <c r="AS180" s="274">
        <f t="shared" si="27"/>
        <v>32.301528667373724</v>
      </c>
      <c r="AT180" s="274">
        <f t="shared" si="28"/>
        <v>15.27903559446028</v>
      </c>
      <c r="AU180" s="274">
        <f t="shared" si="29"/>
        <v>20.006440661083637</v>
      </c>
      <c r="AV180" s="274">
        <f t="shared" si="30"/>
        <v>17.383986380995999</v>
      </c>
      <c r="AW180" s="274">
        <f t="shared" si="31"/>
        <v>17.183588527672875</v>
      </c>
      <c r="AY180" s="1" t="s">
        <v>716</v>
      </c>
      <c r="AZ180" s="274">
        <f t="shared" si="32"/>
        <v>29.811420178299468</v>
      </c>
      <c r="BA180" s="274">
        <f t="shared" si="33"/>
        <v>14.784896803650128</v>
      </c>
      <c r="BB180" s="274">
        <f t="shared" si="34"/>
        <v>19.262618296529968</v>
      </c>
      <c r="BC180" s="274">
        <f t="shared" si="35"/>
        <v>19.302832640963974</v>
      </c>
      <c r="BD180" s="274">
        <f t="shared" si="36"/>
        <v>16.562690829324662</v>
      </c>
    </row>
    <row r="181" spans="1:56" ht="15" customHeight="1">
      <c r="A181" s="1" t="s">
        <v>717</v>
      </c>
      <c r="B181" s="230">
        <f>+'NEW-Tables 80-86'!B120+'NEW-Tables 80-86'!B151</f>
        <v>0</v>
      </c>
      <c r="C181" s="271">
        <f>+GETPIVOTDATA("Sum of New-HS % of Total",'Pivot-HS Student % of Undergrad'!$A$3,"State","VA","Category",7,"Category2","Two-Year")</f>
        <v>0</v>
      </c>
      <c r="D181" s="260">
        <f>+'NEW-Tables 80-86'!C120+'NEW-Tables 80-86'!C151</f>
        <v>57725.333333333336</v>
      </c>
      <c r="E181" s="271">
        <f>+GETPIVOTDATA("Sum of New-HS % of Total",'Pivot-HS Student % of Undergrad'!$A$3,"State","VA","Category",8,"Category2","Two-Year")</f>
        <v>0.22009343096041023</v>
      </c>
      <c r="F181" s="260">
        <f>+'NEW-Tables 80-86'!D120+'NEW-Tables 80-86'!D151</f>
        <v>23497.866666666669</v>
      </c>
      <c r="G181" s="271">
        <f>+GETPIVOTDATA("Sum of New-HS % of Total",'Pivot-HS Student % of Undergrad'!$A$3,"State","VA","Category",9,"Category2","Two-Year")</f>
        <v>0.46822122859380144</v>
      </c>
      <c r="H181" s="260">
        <f>+'NEW-Tables 80-86'!E120+'NEW-Tables 80-86'!E151</f>
        <v>13804.266666666666</v>
      </c>
      <c r="I181" s="271">
        <f>+GETPIVOTDATA("Sum of New-HS % of Total",'Pivot-HS Student % of Undergrad'!$A$3,"State","VA","Category",10,"Category2","Two-Year")</f>
        <v>0.56126849669667345</v>
      </c>
      <c r="J181" s="260">
        <f>+'NEW-Tables 80-86'!F120+'NEW-Tables 80-86'!F151</f>
        <v>95027.466666666674</v>
      </c>
      <c r="K181" s="271">
        <f>+GETPIVOTDATA("Sum of New-HS % of Total",'Pivot-HS Student % of Undergrad'!$A$3,"State","VA","Category2","Group2")</f>
        <v>0.33101026229609404</v>
      </c>
      <c r="Q181" s="1" t="s">
        <v>717</v>
      </c>
      <c r="R181" s="161">
        <f>+GETPIVOTDATA("Sum of Old-HS % of Total",'Pivot-HS Student % of Undergrad'!$A$3,"State","VA","Category",7,"Category2","Two-Year")</f>
        <v>0</v>
      </c>
      <c r="S181" s="272">
        <f t="shared" si="22"/>
        <v>0</v>
      </c>
      <c r="T181" s="151">
        <f>+GETPIVOTDATA("Sum of Old-HS % of Total",'Pivot-HS Student % of Undergrad'!$A$3,"State","VA","Category",8,"Category2","Two-Year")</f>
        <v>0.18568047785954442</v>
      </c>
      <c r="U181" s="272">
        <f t="shared" si="23"/>
        <v>3.4412953100865811</v>
      </c>
      <c r="V181" s="151">
        <f>+GETPIVOTDATA("Sum of Old-HS % of Total",'Pivot-HS Student % of Undergrad'!$A$3,"State","VA","Category",9,"Category2","Two-Year")</f>
        <v>0.46870943841881557</v>
      </c>
      <c r="W181" s="272">
        <f t="shared" si="24"/>
        <v>-4.8820982501412979E-2</v>
      </c>
      <c r="X181" s="151">
        <f>+GETPIVOTDATA("Sum of Old-HS % of Total",'Pivot-HS Student % of Undergrad'!$A$3,"State","VA","Category",10,"Category2","Two-Year")</f>
        <v>0.56447950642329037</v>
      </c>
      <c r="Y181" s="272">
        <f t="shared" si="25"/>
        <v>-0.32110097266169202</v>
      </c>
      <c r="Z181" s="151">
        <f>+GETPIVOTDATA("Sum of Old-HS % of Total",'Pivot-HS Student % of Undergrad'!$A$3,"State","VA","Category2","Two-Year")</f>
        <v>0.30901987475718834</v>
      </c>
      <c r="AA181" s="272">
        <f t="shared" si="26"/>
        <v>2.1990387538905698</v>
      </c>
      <c r="AC181" s="263" t="s">
        <v>717</v>
      </c>
      <c r="AD181" s="263"/>
      <c r="AE181" s="263">
        <f>+D181</f>
        <v>57725.333333333336</v>
      </c>
      <c r="AF181" s="263">
        <f>+F181</f>
        <v>23497.866666666669</v>
      </c>
      <c r="AG181" s="277">
        <f>'FTE Pivot for regular counts'!AI183</f>
        <v>13804.266666666666</v>
      </c>
      <c r="AH181" s="277">
        <f>+'FTE Pivot for regular counts'!AJ183</f>
        <v>93799.2</v>
      </c>
      <c r="AI181" s="263">
        <f>+J181</f>
        <v>95027.466666666674</v>
      </c>
      <c r="AJ181" s="248" t="s">
        <v>717</v>
      </c>
      <c r="AK181" s="264"/>
      <c r="AL181" s="264"/>
      <c r="AM181" s="264"/>
      <c r="AN181" s="278">
        <f>'FTE Pivot for regular counts'!AI182</f>
        <v>14328.066666666666</v>
      </c>
      <c r="AO181" s="278">
        <f>+'FTE Pivot for regular counts'!AJ182</f>
        <v>97665.2</v>
      </c>
      <c r="AP181" s="273">
        <f>+'NEW-Tables 80-86'!V120+'NEW-Tables 80-86'!U151</f>
        <v>98927.833333333328</v>
      </c>
      <c r="AR181" s="1" t="s">
        <v>717</v>
      </c>
      <c r="AS181" s="274">
        <f t="shared" si="27"/>
        <v>0</v>
      </c>
      <c r="AT181" s="274">
        <f t="shared" si="28"/>
        <v>22.009343096041022</v>
      </c>
      <c r="AU181" s="274">
        <f t="shared" si="29"/>
        <v>46.822122859380144</v>
      </c>
      <c r="AV181" s="274">
        <f t="shared" si="30"/>
        <v>56.126849669667344</v>
      </c>
      <c r="AW181" s="274">
        <f t="shared" si="31"/>
        <v>33.101026229609403</v>
      </c>
      <c r="AY181" s="1" t="s">
        <v>717</v>
      </c>
      <c r="AZ181" s="274">
        <f t="shared" si="32"/>
        <v>0</v>
      </c>
      <c r="BA181" s="274">
        <f t="shared" si="33"/>
        <v>18.568047785954441</v>
      </c>
      <c r="BB181" s="274">
        <f t="shared" si="34"/>
        <v>46.870943841881555</v>
      </c>
      <c r="BC181" s="274">
        <f t="shared" si="35"/>
        <v>56.447950642329033</v>
      </c>
      <c r="BD181" s="274">
        <f t="shared" si="36"/>
        <v>30.901987475718833</v>
      </c>
    </row>
    <row r="182" spans="1:56" ht="15" customHeight="1">
      <c r="A182" s="166" t="s">
        <v>718</v>
      </c>
      <c r="B182" s="234">
        <f>+'NEW-Tables 80-86'!B121+'NEW-Tables 80-86'!B152</f>
        <v>2858.0333333333333</v>
      </c>
      <c r="C182" s="279">
        <f>+GETPIVOTDATA("Sum of New-HS % of Total",'Pivot-HS Student % of Undergrad'!$A$3,"State","WV","Category",7,"Category2","Two-Year")</f>
        <v>0.13982808691291215</v>
      </c>
      <c r="D182" s="280">
        <f>+'NEW-Tables 80-86'!C121+'NEW-Tables 80-86'!C152</f>
        <v>0</v>
      </c>
      <c r="E182" s="279">
        <f>+GETPIVOTDATA("Sum of New-HS % of Total",'Pivot-HS Student % of Undergrad'!$A$3,"State","WV","Category",8,"Category2","Two-Year")</f>
        <v>0</v>
      </c>
      <c r="F182" s="280">
        <f>+'NEW-Tables 80-86'!D121+'NEW-Tables 80-86'!D152</f>
        <v>1695.0799999999997</v>
      </c>
      <c r="G182" s="279">
        <f>+GETPIVOTDATA("Sum of New-HS % of Total",'Pivot-HS Student % of Undergrad'!$A$3,"State","WV","Category",9,"Category2","Two-Year")</f>
        <v>0.15360336975246008</v>
      </c>
      <c r="H182" s="280">
        <f>+'NEW-Tables 80-86'!E121+'NEW-Tables 80-86'!E152</f>
        <v>6645</v>
      </c>
      <c r="I182" s="279">
        <f>+GETPIVOTDATA("Sum of New-HS % of Total",'Pivot-HS Student % of Undergrad'!$A$3,"State","WV","Category",10,"Category2","Two-Year")</f>
        <v>7.6824680210684726E-2</v>
      </c>
      <c r="J182" s="280">
        <f>+'NEW-Tables 80-86'!F121+'NEW-Tables 80-86'!F152</f>
        <v>11198.113333333333</v>
      </c>
      <c r="K182" s="279">
        <f>+GETPIVOTDATA("Sum of New-HS % of Total",'Pivot-HS Student % of Undergrad'!$A$3,"State","WV","Category2","Group2")</f>
        <v>0.10452683398453429</v>
      </c>
      <c r="Q182" s="166" t="s">
        <v>718</v>
      </c>
      <c r="R182" s="171">
        <f>+GETPIVOTDATA("Sum of Old-HS % of Total",'Pivot-HS Student % of Undergrad'!$A$3,"State","WV","Category",7,"Category2","Two-Year")</f>
        <v>0.11951845684152096</v>
      </c>
      <c r="S182" s="272">
        <f t="shared" si="22"/>
        <v>2.0309630071391194</v>
      </c>
      <c r="T182" s="173">
        <f>+GETPIVOTDATA("Sum of Old-HS % of Total",'Pivot-HS Student % of Undergrad'!$A$3,"State","WV","Category",8,"Category2","Two-Year")</f>
        <v>0</v>
      </c>
      <c r="U182" s="272">
        <f t="shared" si="23"/>
        <v>0</v>
      </c>
      <c r="V182" s="173">
        <f>+GETPIVOTDATA("Sum of Old-HS % of Total",'Pivot-HS Student % of Undergrad'!$A$3,"State","WV","Category",9,"Category2","Two-Year")</f>
        <v>0.12721349803457135</v>
      </c>
      <c r="W182" s="272">
        <f t="shared" si="24"/>
        <v>2.6389871717888731</v>
      </c>
      <c r="X182" s="173">
        <f>+GETPIVOTDATA("Sum of Old-HS % of Total",'Pivot-HS Student % of Undergrad'!$A$3,"State","WV","Category",10,"Category2","Two-Year")</f>
        <v>7.8664654344165377E-2</v>
      </c>
      <c r="Y182" s="272">
        <f t="shared" si="25"/>
        <v>-0.18399741334806513</v>
      </c>
      <c r="Z182" s="173">
        <f>+GETPIVOTDATA("Sum of Old-HS % of Total",'Pivot-HS Student % of Undergrad'!$A$3,"State","WV","Category2","Two-Year")</f>
        <v>9.7047189644863932E-2</v>
      </c>
      <c r="AA182" s="272">
        <f t="shared" si="26"/>
        <v>0.74796443396703549</v>
      </c>
      <c r="AC182" s="263" t="s">
        <v>718</v>
      </c>
      <c r="AD182" s="263">
        <f>+B182</f>
        <v>2858.0333333333333</v>
      </c>
      <c r="AE182" s="263">
        <f>+D182</f>
        <v>0</v>
      </c>
      <c r="AF182" s="263">
        <f>+F182</f>
        <v>1695.0799999999997</v>
      </c>
      <c r="AG182" s="263">
        <f>+H182</f>
        <v>6645</v>
      </c>
      <c r="AH182" s="236"/>
      <c r="AI182" s="263">
        <f>+J182</f>
        <v>11198.113333333333</v>
      </c>
      <c r="AJ182" s="281" t="s">
        <v>718</v>
      </c>
      <c r="AK182" s="282">
        <f>+'NEW-Tables 80-86'!R121+'NEW-Tables 80-86'!Q152</f>
        <v>2882.4</v>
      </c>
      <c r="AL182" s="282">
        <f>+'NEW-Tables 80-86'!S121+'NEW-Tables 80-86'!R152</f>
        <v>0</v>
      </c>
      <c r="AM182" s="282">
        <f>+'NEW-Tables 80-86'!T121+'NEW-Tables 80-86'!S152</f>
        <v>2178.4899999999998</v>
      </c>
      <c r="AN182" s="282">
        <f>+'NEW-Tables 80-86'!U121+'NEW-Tables 80-86'!T152</f>
        <v>7098.4866666666667</v>
      </c>
      <c r="AO182" s="282"/>
      <c r="AP182" s="283">
        <f>+'NEW-Tables 80-86'!V121+'NEW-Tables 80-86'!U152</f>
        <v>12159.376666666667</v>
      </c>
      <c r="AR182" s="166" t="s">
        <v>718</v>
      </c>
      <c r="AS182" s="284">
        <f t="shared" si="27"/>
        <v>13.982808691291215</v>
      </c>
      <c r="AT182" s="284">
        <f t="shared" si="28"/>
        <v>0</v>
      </c>
      <c r="AU182" s="284">
        <f t="shared" si="29"/>
        <v>15.360336975246009</v>
      </c>
      <c r="AV182" s="284">
        <f t="shared" si="30"/>
        <v>7.6824680210684724</v>
      </c>
      <c r="AW182" s="284">
        <f t="shared" si="31"/>
        <v>10.452683398453429</v>
      </c>
      <c r="AY182" s="166" t="s">
        <v>718</v>
      </c>
      <c r="AZ182" s="284">
        <f t="shared" si="32"/>
        <v>11.951845684152095</v>
      </c>
      <c r="BA182" s="284">
        <f t="shared" si="33"/>
        <v>0</v>
      </c>
      <c r="BB182" s="284">
        <f t="shared" si="34"/>
        <v>12.721349803457136</v>
      </c>
      <c r="BC182" s="284">
        <f t="shared" si="35"/>
        <v>7.8664654344165381</v>
      </c>
      <c r="BD182" s="284">
        <f t="shared" si="36"/>
        <v>9.7047189644863927</v>
      </c>
    </row>
    <row r="183" spans="1:56" ht="34.5" customHeight="1">
      <c r="A183" s="610" t="s">
        <v>881</v>
      </c>
      <c r="B183" s="610"/>
      <c r="C183" s="610"/>
      <c r="D183" s="610"/>
      <c r="E183" s="610"/>
      <c r="F183" s="610"/>
      <c r="G183" s="610"/>
      <c r="H183" s="610"/>
      <c r="I183" s="610"/>
      <c r="J183" s="610"/>
      <c r="K183" s="610"/>
    </row>
    <row r="184" spans="1:56">
      <c r="A184" s="607" t="s">
        <v>850</v>
      </c>
      <c r="B184" s="607"/>
      <c r="C184" s="607"/>
      <c r="D184" s="607"/>
      <c r="E184" s="607"/>
      <c r="F184" s="607"/>
      <c r="G184" s="607"/>
      <c r="H184" s="607"/>
      <c r="I184" s="607"/>
      <c r="J184" s="407"/>
      <c r="K184" s="407"/>
    </row>
    <row r="185" spans="1:56" ht="10.5" customHeight="1">
      <c r="K185" s="179" t="s">
        <v>879</v>
      </c>
      <c r="L185" s="159"/>
      <c r="M185" s="159"/>
    </row>
    <row r="186" spans="1:56" ht="18" customHeight="1">
      <c r="A186" s="116" t="s">
        <v>751</v>
      </c>
      <c r="B186" s="119"/>
      <c r="C186" s="119"/>
      <c r="D186" s="119"/>
      <c r="E186" s="119"/>
      <c r="F186" s="119"/>
      <c r="G186" s="119"/>
      <c r="H186" s="119"/>
      <c r="I186" s="119"/>
      <c r="M186" s="222"/>
      <c r="S186" s="192"/>
    </row>
    <row r="187" spans="1:56" ht="15.5">
      <c r="A187" s="120"/>
      <c r="B187" s="119"/>
      <c r="C187" s="119"/>
      <c r="D187" s="119"/>
      <c r="E187" s="119"/>
      <c r="F187" s="119"/>
      <c r="G187" s="119"/>
      <c r="H187" s="119"/>
      <c r="I187" s="119"/>
      <c r="M187" s="222"/>
      <c r="S187" s="192"/>
      <c r="AA187" s="3"/>
      <c r="AB187" s="61"/>
      <c r="AC187" s="236"/>
      <c r="AD187" s="238" t="s">
        <v>734</v>
      </c>
      <c r="AE187" s="236"/>
      <c r="AF187" s="236"/>
      <c r="AG187" s="236"/>
      <c r="AH187" s="236"/>
      <c r="AI187" s="236"/>
      <c r="AJ187" s="238" t="s">
        <v>734</v>
      </c>
      <c r="AK187" s="236"/>
      <c r="AL187" s="236"/>
      <c r="AO187" s="61" t="s">
        <v>684</v>
      </c>
      <c r="AT187" s="61" t="s">
        <v>684</v>
      </c>
    </row>
    <row r="188" spans="1:56" ht="15.75" customHeight="1">
      <c r="A188" s="122" t="s">
        <v>722</v>
      </c>
      <c r="B188" s="119"/>
      <c r="C188" s="119"/>
      <c r="D188" s="119"/>
      <c r="E188" s="119"/>
      <c r="F188" s="119"/>
      <c r="G188" s="119"/>
      <c r="H188" s="119"/>
      <c r="I188" s="119"/>
      <c r="M188" s="222"/>
      <c r="S188" s="192"/>
      <c r="AA188" s="3"/>
      <c r="AB188" s="3"/>
      <c r="AC188" s="236"/>
      <c r="AD188" s="285" t="s">
        <v>686</v>
      </c>
      <c r="AE188" s="236"/>
      <c r="AF188" s="236"/>
      <c r="AG188" s="236"/>
      <c r="AH188" s="236"/>
      <c r="AI188" s="236"/>
      <c r="AJ188" s="285" t="s">
        <v>683</v>
      </c>
      <c r="AK188" s="236"/>
      <c r="AL188" s="236"/>
      <c r="AO188" s="4" t="s">
        <v>686</v>
      </c>
      <c r="AT188" s="4" t="s">
        <v>683</v>
      </c>
    </row>
    <row r="189" spans="1:56" ht="15.5">
      <c r="A189" s="122" t="s">
        <v>871</v>
      </c>
      <c r="B189" s="119"/>
      <c r="C189" s="119"/>
      <c r="D189" s="119"/>
      <c r="E189" s="119"/>
      <c r="F189" s="119"/>
      <c r="G189" s="119"/>
      <c r="H189" s="119"/>
      <c r="I189" s="119"/>
      <c r="M189" s="222"/>
      <c r="Q189" s="3" t="s">
        <v>683</v>
      </c>
      <c r="S189" s="192"/>
      <c r="AA189" s="3"/>
      <c r="AB189" s="3"/>
      <c r="AC189" s="236"/>
      <c r="AD189" s="236"/>
      <c r="AE189" s="236"/>
      <c r="AF189" s="236"/>
      <c r="AG189" s="236"/>
      <c r="AH189" s="236"/>
      <c r="AI189" s="236"/>
      <c r="AJ189" s="236"/>
      <c r="AK189" s="236"/>
      <c r="AL189" s="236"/>
    </row>
    <row r="190" spans="1:56" ht="13">
      <c r="C190" s="166"/>
      <c r="D190" s="166"/>
      <c r="E190" s="166"/>
      <c r="F190" s="166"/>
      <c r="G190" s="166"/>
      <c r="M190" s="222"/>
      <c r="Q190" s="237" t="s">
        <v>685</v>
      </c>
      <c r="R190" s="166"/>
      <c r="S190" s="166"/>
      <c r="T190" s="166"/>
      <c r="U190" s="166"/>
      <c r="V190" s="166"/>
      <c r="W190" s="166"/>
      <c r="AA190" s="3"/>
      <c r="AB190" s="3"/>
      <c r="AC190" s="236"/>
      <c r="AD190" s="286" t="s">
        <v>734</v>
      </c>
      <c r="AE190" s="236"/>
      <c r="AF190" s="236"/>
      <c r="AG190" s="236"/>
      <c r="AH190" s="236"/>
      <c r="AI190" s="236"/>
      <c r="AJ190" s="286" t="s">
        <v>734</v>
      </c>
      <c r="AK190" s="236"/>
      <c r="AL190" s="236"/>
    </row>
    <row r="191" spans="1:56" ht="28.5" customHeight="1">
      <c r="A191" s="129"/>
      <c r="B191" s="287">
        <v>1</v>
      </c>
      <c r="D191" s="288">
        <v>2</v>
      </c>
      <c r="F191" s="289" t="s">
        <v>687</v>
      </c>
      <c r="M191" s="222"/>
      <c r="Q191" s="72"/>
      <c r="R191" s="72" t="s">
        <v>752</v>
      </c>
      <c r="T191" s="290">
        <v>2</v>
      </c>
      <c r="V191" s="290" t="s">
        <v>753</v>
      </c>
      <c r="AA191" s="3"/>
      <c r="AB191" s="3"/>
      <c r="AC191" s="236"/>
      <c r="AD191" s="291" t="s">
        <v>728</v>
      </c>
      <c r="AE191" s="292"/>
      <c r="AF191" s="293"/>
      <c r="AG191" s="294"/>
      <c r="AH191" s="236"/>
      <c r="AI191" s="236"/>
      <c r="AJ191" s="291" t="s">
        <v>728</v>
      </c>
      <c r="AK191" s="292"/>
      <c r="AL191" s="293"/>
      <c r="AP191" s="291">
        <v>1</v>
      </c>
      <c r="AQ191" s="292">
        <v>2</v>
      </c>
      <c r="AR191" s="293" t="s">
        <v>687</v>
      </c>
      <c r="AU191" s="291">
        <v>1</v>
      </c>
      <c r="AV191" s="292">
        <v>2</v>
      </c>
      <c r="AW191" s="293" t="s">
        <v>687</v>
      </c>
    </row>
    <row r="192" spans="1:56" ht="78" customHeight="1">
      <c r="A192" s="251"/>
      <c r="B192" s="245" t="s">
        <v>690</v>
      </c>
      <c r="C192" s="139" t="s">
        <v>691</v>
      </c>
      <c r="D192" s="252" t="s">
        <v>690</v>
      </c>
      <c r="E192" s="139" t="s">
        <v>691</v>
      </c>
      <c r="F192" s="252" t="s">
        <v>690</v>
      </c>
      <c r="G192" s="139" t="s">
        <v>691</v>
      </c>
      <c r="M192" s="222"/>
      <c r="Q192" s="166"/>
      <c r="R192" s="142" t="s">
        <v>739</v>
      </c>
      <c r="S192" s="142" t="s">
        <v>693</v>
      </c>
      <c r="T192" s="143" t="s">
        <v>739</v>
      </c>
      <c r="U192" s="142" t="s">
        <v>693</v>
      </c>
      <c r="V192" s="143" t="s">
        <v>739</v>
      </c>
      <c r="W192" s="142" t="s">
        <v>693</v>
      </c>
      <c r="X192" s="295"/>
      <c r="Y192" s="295"/>
      <c r="AA192" s="3"/>
      <c r="AB192" s="3"/>
      <c r="AC192" s="236"/>
      <c r="AD192" s="296">
        <v>1</v>
      </c>
      <c r="AE192" s="297">
        <v>2</v>
      </c>
      <c r="AF192" s="256" t="s">
        <v>687</v>
      </c>
      <c r="AG192" s="256"/>
      <c r="AH192" s="236"/>
      <c r="AI192" s="236"/>
      <c r="AJ192" s="296">
        <v>1</v>
      </c>
      <c r="AK192" s="297">
        <v>2</v>
      </c>
      <c r="AL192" s="256" t="s">
        <v>687</v>
      </c>
      <c r="AP192" s="144" t="s">
        <v>694</v>
      </c>
      <c r="AQ192" s="144" t="s">
        <v>694</v>
      </c>
      <c r="AR192" s="144" t="s">
        <v>694</v>
      </c>
      <c r="AU192" s="144" t="s">
        <v>694</v>
      </c>
      <c r="AV192" s="144" t="s">
        <v>694</v>
      </c>
      <c r="AW192" s="144" t="s">
        <v>694</v>
      </c>
    </row>
    <row r="193" spans="1:49" ht="12.75" customHeight="1">
      <c r="A193" s="1" t="s">
        <v>695</v>
      </c>
      <c r="B193" s="230">
        <f>+'NEW-Tables 80-86'!G101+'NEW-Tables 80-86'!G132</f>
        <v>83245.695444444456</v>
      </c>
      <c r="D193" s="260">
        <f>+'NEW-Tables 80-86'!H101+'NEW-Tables 80-86'!H132</f>
        <v>32744.78122222222</v>
      </c>
      <c r="F193" s="260">
        <f>+'NEW-Tables 80-86'!I101+'NEW-Tables 80-86'!I132</f>
        <v>115990.47666666668</v>
      </c>
      <c r="M193" s="222"/>
      <c r="Q193" s="1" t="s">
        <v>695</v>
      </c>
      <c r="R193" s="149"/>
      <c r="S193" s="262">
        <f>C193-R193</f>
        <v>0</v>
      </c>
      <c r="T193" s="151"/>
      <c r="U193" s="262">
        <f>E193-T193</f>
        <v>0</v>
      </c>
      <c r="V193" s="151"/>
      <c r="W193" s="262">
        <f>G193-V193</f>
        <v>0</v>
      </c>
      <c r="X193" s="271"/>
      <c r="Y193" s="298"/>
      <c r="AA193" s="3"/>
      <c r="AB193" s="3"/>
      <c r="AC193" s="236" t="s">
        <v>695</v>
      </c>
      <c r="AD193" s="299">
        <f>SUM(AD195:AD213)</f>
        <v>83245.695444444456</v>
      </c>
      <c r="AE193" s="263">
        <f>SUM(AE195:AE213)</f>
        <v>32744.78122222222</v>
      </c>
      <c r="AF193" s="263">
        <f>SUM(AF195:AF213)</f>
        <v>115990.47666666668</v>
      </c>
      <c r="AG193" s="263"/>
      <c r="AH193" s="236"/>
      <c r="AI193" s="236" t="s">
        <v>695</v>
      </c>
      <c r="AJ193" s="263">
        <f>SUM(AJ195:AJ213)</f>
        <v>86195.101044444455</v>
      </c>
      <c r="AK193" s="263">
        <f>SUM(AK195:AK213)</f>
        <v>30518.443522222224</v>
      </c>
      <c r="AL193" s="263">
        <f>SUM(AL195:AL213)</f>
        <v>116713.54456666668</v>
      </c>
      <c r="AO193" s="236" t="s">
        <v>695</v>
      </c>
      <c r="AT193" s="236" t="s">
        <v>695</v>
      </c>
    </row>
    <row r="194" spans="1:49" ht="10.5" customHeight="1">
      <c r="A194" s="265"/>
      <c r="B194" s="265"/>
      <c r="C194" s="267" t="s">
        <v>754</v>
      </c>
      <c r="D194" s="269" t="s">
        <v>729</v>
      </c>
      <c r="E194" s="267" t="s">
        <v>755</v>
      </c>
      <c r="F194" s="269" t="s">
        <v>729</v>
      </c>
      <c r="G194" s="267" t="s">
        <v>756</v>
      </c>
      <c r="J194" s="1" t="s">
        <v>729</v>
      </c>
      <c r="M194" s="222"/>
      <c r="R194" s="156"/>
      <c r="S194" s="262"/>
      <c r="T194" s="158"/>
      <c r="U194" s="262"/>
      <c r="V194" s="158"/>
      <c r="W194" s="262"/>
      <c r="X194" s="271"/>
      <c r="Y194" s="300"/>
      <c r="AA194" s="3"/>
      <c r="AB194" s="3"/>
      <c r="AC194" s="236"/>
      <c r="AD194" s="263"/>
      <c r="AE194" s="263"/>
      <c r="AF194" s="263"/>
      <c r="AG194" s="263"/>
      <c r="AH194" s="236"/>
      <c r="AI194" s="236"/>
      <c r="AJ194" s="263"/>
      <c r="AK194" s="263"/>
      <c r="AL194" s="263"/>
      <c r="AO194" s="236"/>
      <c r="AT194" s="236"/>
    </row>
    <row r="195" spans="1:49">
      <c r="A195" s="1" t="s">
        <v>703</v>
      </c>
      <c r="B195" s="230">
        <f>+'NEW-Tables 80-86'!G103+'NEW-Tables 80-86'!G134</f>
        <v>1357.8666666666666</v>
      </c>
      <c r="C195" s="271">
        <f>+GETPIVOTDATA("Sum of New-HS % of Total",'Pivot-HS Student % of Undergrad'!$A$3,"State","AL","Category",12,"Category2","Technical")</f>
        <v>4.2444029850746266E-2</v>
      </c>
      <c r="D195" s="260">
        <f>+'NEW-Tables 80-86'!H103+'NEW-Tables 80-86'!H134</f>
        <v>1239.2666666666667</v>
      </c>
      <c r="E195" s="271">
        <f>+GETPIVOTDATA("Sum of New-HS % of Total",'Pivot-HS Student % of Undergrad'!$A$3,"State","AL","Category",13,"Category2","Technical")</f>
        <v>6.3021141535316585E-2</v>
      </c>
      <c r="F195" s="260">
        <f>+'NEW-Tables 80-86'!I103+'NEW-Tables 80-86'!I134</f>
        <v>2597.1333333333332</v>
      </c>
      <c r="G195" s="271">
        <f>+GETPIVOTDATA("Sum of New-HS % of Total",'Pivot-HS Student % of Undergrad'!$A$3,"State","AL","Category2","Group3")</f>
        <v>5.2262751238545062E-2</v>
      </c>
      <c r="M195" s="222"/>
      <c r="Q195" s="1" t="s">
        <v>703</v>
      </c>
      <c r="R195" s="161">
        <f>+GETPIVOTDATA("Sum of Old-HS % of Total",'Pivot-HS Student % of Undergrad'!$A$3,"State","AL","Category",12,"Category2","Technical")</f>
        <v>4.4951169452150573E-2</v>
      </c>
      <c r="S195" s="272">
        <f>(C195-R195)*100</f>
        <v>-0.25071396014043068</v>
      </c>
      <c r="T195" s="151">
        <f>+GETPIVOTDATA("Sum of Old-HS % of Total",'Pivot-HS Student % of Undergrad'!$A$3,"State","AL","Category",13,"Category2","Technical")</f>
        <v>5.0692674276848058E-2</v>
      </c>
      <c r="U195" s="272">
        <f>(E195-T195)*100</f>
        <v>1.2328467258468527</v>
      </c>
      <c r="V195" s="151">
        <f>+GETPIVOTDATA("Sum of Old-HS % of Total",'Pivot-HS Student % of Undergrad'!$A$3,"State","AL","Category2","Technical")</f>
        <v>4.784688995215311E-2</v>
      </c>
      <c r="W195" s="272">
        <f>(G195-V195)*100</f>
        <v>0.44158612863919522</v>
      </c>
      <c r="X195" s="271"/>
      <c r="Y195" s="300"/>
      <c r="AA195" s="3"/>
      <c r="AB195" s="3"/>
      <c r="AC195" s="236" t="s">
        <v>703</v>
      </c>
      <c r="AD195" s="299">
        <f>+B195</f>
        <v>1357.8666666666666</v>
      </c>
      <c r="AE195" s="263">
        <f>+D195</f>
        <v>1239.2666666666667</v>
      </c>
      <c r="AF195" s="263">
        <f>+F195</f>
        <v>2597.1333333333332</v>
      </c>
      <c r="AG195" s="263"/>
      <c r="AH195" s="236"/>
      <c r="AI195" s="236" t="s">
        <v>703</v>
      </c>
      <c r="AJ195" s="301">
        <f>+'NEW-Tables 80-86'!W103+'NEW-Tables 80-86'!V134</f>
        <v>1477.9</v>
      </c>
      <c r="AK195" s="263">
        <f>+'NEW-Tables 80-86'!X103+'NEW-Tables 80-86'!W134</f>
        <v>1503.8333333333333</v>
      </c>
      <c r="AL195" s="263">
        <f>+'NEW-Tables 80-86'!Y103+'NEW-Tables 80-86'!X134</f>
        <v>2981.7333333333336</v>
      </c>
      <c r="AO195" s="236" t="s">
        <v>703</v>
      </c>
      <c r="AP195" s="302">
        <f>C195*100</f>
        <v>4.2444029850746263</v>
      </c>
      <c r="AQ195" s="302">
        <f>E195*100</f>
        <v>6.3021141535316589</v>
      </c>
      <c r="AR195" s="302">
        <f>G195*100</f>
        <v>5.2262751238545064</v>
      </c>
      <c r="AT195" s="236" t="s">
        <v>703</v>
      </c>
      <c r="AU195" s="302">
        <f>R195*100</f>
        <v>4.4951169452150577</v>
      </c>
      <c r="AV195" s="302">
        <f>T195*100</f>
        <v>5.0692674276848058</v>
      </c>
      <c r="AW195" s="302">
        <f>V195*100</f>
        <v>4.7846889952153111</v>
      </c>
    </row>
    <row r="196" spans="1:49">
      <c r="A196" s="1" t="s">
        <v>704</v>
      </c>
      <c r="B196" s="230">
        <f>+'NEW-Tables 80-86'!G104+'NEW-Tables 80-86'!G135</f>
        <v>0</v>
      </c>
      <c r="C196" s="271">
        <f>+GETPIVOTDATA("Sum of New-HS % of Total",'Pivot-HS Student % of Undergrad'!$A$3,"State","AR","Category",12,"Category2","Technical")</f>
        <v>0</v>
      </c>
      <c r="D196" s="260">
        <f>+'NEW-Tables 80-86'!H104+'NEW-Tables 80-86'!H135</f>
        <v>0</v>
      </c>
      <c r="E196" s="271">
        <f>+GETPIVOTDATA("Sum of New-HS % of Total",'Pivot-HS Student % of Undergrad'!$A$3,"State","AR","Category",13,"Category2","Technical")</f>
        <v>0</v>
      </c>
      <c r="F196" s="260">
        <f>+'NEW-Tables 80-86'!I104+'NEW-Tables 80-86'!I135</f>
        <v>0</v>
      </c>
      <c r="G196" s="271">
        <f>+GETPIVOTDATA("Sum of New-HS % of Total",'Pivot-HS Student % of Undergrad'!$A$3,"State","AR","Category2","Group3")</f>
        <v>0</v>
      </c>
      <c r="M196" s="222"/>
      <c r="Q196" s="1" t="s">
        <v>704</v>
      </c>
      <c r="R196" s="161">
        <f>+GETPIVOTDATA("Sum of Old-HS % of Total",'Pivot-HS Student % of Undergrad'!$A$3,"State","AR","Category",12,"Category2","Technical")</f>
        <v>0</v>
      </c>
      <c r="S196" s="272">
        <f t="shared" ref="S196:S213" si="37">(C196-R196)*100</f>
        <v>0</v>
      </c>
      <c r="T196" s="151">
        <f>+GETPIVOTDATA("Sum of Old-HS % of Total",'Pivot-HS Student % of Undergrad'!$A$3,"State","AR","Category",13,"Category2","Technical")</f>
        <v>0</v>
      </c>
      <c r="U196" s="272">
        <f t="shared" ref="U196:U213" si="38">(E196-T196)*100</f>
        <v>0</v>
      </c>
      <c r="V196" s="151">
        <f>+GETPIVOTDATA("Sum of Old-HS % of Total",'Pivot-HS Student % of Undergrad'!$A$3,"State","AR","Category2","Technical")</f>
        <v>0</v>
      </c>
      <c r="W196" s="272">
        <f t="shared" ref="W196:W213" si="39">(G196-V196)*100</f>
        <v>0</v>
      </c>
      <c r="X196" s="271"/>
      <c r="Y196" s="303"/>
      <c r="AA196" s="3"/>
      <c r="AB196" s="3"/>
      <c r="AC196" s="236" t="s">
        <v>704</v>
      </c>
      <c r="AD196" s="299">
        <f>+B196</f>
        <v>0</v>
      </c>
      <c r="AE196" s="263">
        <f>+D196</f>
        <v>0</v>
      </c>
      <c r="AF196" s="263">
        <f>+F196</f>
        <v>0</v>
      </c>
      <c r="AG196" s="263"/>
      <c r="AH196" s="236"/>
      <c r="AI196" s="236" t="s">
        <v>704</v>
      </c>
      <c r="AJ196" s="301">
        <f>+'NEW-Tables 80-86'!W104+'NEW-Tables 80-86'!V135</f>
        <v>0</v>
      </c>
      <c r="AK196" s="263">
        <f>+'NEW-Tables 80-86'!X104+'NEW-Tables 80-86'!W135</f>
        <v>0</v>
      </c>
      <c r="AL196" s="263">
        <f>+'NEW-Tables 80-86'!Y104+'NEW-Tables 80-86'!X135</f>
        <v>0</v>
      </c>
      <c r="AO196" s="236" t="s">
        <v>704</v>
      </c>
      <c r="AP196" s="302">
        <f t="shared" ref="AP196:AP213" si="40">C196*100</f>
        <v>0</v>
      </c>
      <c r="AQ196" s="302">
        <f t="shared" ref="AQ196:AQ213" si="41">E196*100</f>
        <v>0</v>
      </c>
      <c r="AR196" s="302">
        <f t="shared" ref="AR196:AR213" si="42">G196*100</f>
        <v>0</v>
      </c>
      <c r="AT196" s="236" t="s">
        <v>704</v>
      </c>
      <c r="AU196" s="302">
        <f t="shared" ref="AU196:AU213" si="43">R196*100</f>
        <v>0</v>
      </c>
      <c r="AV196" s="302">
        <f t="shared" ref="AV196:AV213" si="44">T196*100</f>
        <v>0</v>
      </c>
      <c r="AW196" s="302">
        <f t="shared" ref="AW196:AW213" si="45">V196*100</f>
        <v>0</v>
      </c>
    </row>
    <row r="197" spans="1:49">
      <c r="A197" s="1" t="s">
        <v>705</v>
      </c>
      <c r="B197" s="230">
        <f>+'NEW-Tables 80-86'!G105+'NEW-Tables 80-86'!G136</f>
        <v>0</v>
      </c>
      <c r="C197" s="271">
        <f>+GETPIVOTDATA("Sum of New-HS % of Total",'Pivot-HS Student % of Undergrad'!$A$3,"State","DE","Category",12,"Category2","Technical")</f>
        <v>0</v>
      </c>
      <c r="D197" s="260">
        <f>+'NEW-Tables 80-86'!H105+'NEW-Tables 80-86'!H136</f>
        <v>0</v>
      </c>
      <c r="E197" s="271">
        <f>+GETPIVOTDATA("Sum of New-HS % of Total",'Pivot-HS Student % of Undergrad'!$A$3,"State","DE","Category",13,"Category2","Technical")</f>
        <v>0</v>
      </c>
      <c r="F197" s="260">
        <f>+'NEW-Tables 80-86'!I105+'NEW-Tables 80-86'!I136</f>
        <v>0</v>
      </c>
      <c r="G197" s="271">
        <f>+GETPIVOTDATA("Sum of New-HS % of Total",'Pivot-HS Student % of Undergrad'!$A$3,"State","DE","Category2","Group3")</f>
        <v>0</v>
      </c>
      <c r="M197" s="222"/>
      <c r="Q197" s="1" t="s">
        <v>705</v>
      </c>
      <c r="R197" s="161">
        <f>+GETPIVOTDATA("Sum of Old-HS % of Total",'Pivot-HS Student % of Undergrad'!$A$3,"State","DE","Category",12,"Category2","Technical")</f>
        <v>0</v>
      </c>
      <c r="S197" s="272">
        <f t="shared" si="37"/>
        <v>0</v>
      </c>
      <c r="T197" s="151">
        <f>+GETPIVOTDATA("Sum of Old-HS % of Total",'Pivot-HS Student % of Undergrad'!$A$3,"State","DE","Category",13,"Category2","Technical")</f>
        <v>0</v>
      </c>
      <c r="U197" s="272">
        <f t="shared" si="38"/>
        <v>0</v>
      </c>
      <c r="V197" s="151">
        <f>+GETPIVOTDATA("Sum of Old-HS % of Total",'Pivot-HS Student % of Undergrad'!$A$3,"State","DE","Category2","Technical")</f>
        <v>0</v>
      </c>
      <c r="W197" s="272">
        <f t="shared" si="39"/>
        <v>0</v>
      </c>
      <c r="X197" s="271"/>
      <c r="Y197" s="300"/>
      <c r="AA197" s="3"/>
      <c r="AB197" s="3"/>
      <c r="AC197" s="236" t="s">
        <v>705</v>
      </c>
      <c r="AD197" s="299">
        <f>+B197</f>
        <v>0</v>
      </c>
      <c r="AE197" s="263">
        <f>+D197</f>
        <v>0</v>
      </c>
      <c r="AF197" s="263">
        <f>+F197</f>
        <v>0</v>
      </c>
      <c r="AG197" s="263"/>
      <c r="AH197" s="236"/>
      <c r="AI197" s="236" t="s">
        <v>705</v>
      </c>
      <c r="AJ197" s="301">
        <f>+'NEW-Tables 80-86'!W105+'NEW-Tables 80-86'!V136</f>
        <v>0</v>
      </c>
      <c r="AK197" s="263">
        <f>+'NEW-Tables 80-86'!X105+'NEW-Tables 80-86'!W136</f>
        <v>0</v>
      </c>
      <c r="AL197" s="263">
        <f>+'NEW-Tables 80-86'!Y105+'NEW-Tables 80-86'!X136</f>
        <v>0</v>
      </c>
      <c r="AO197" s="236" t="s">
        <v>705</v>
      </c>
      <c r="AP197" s="302">
        <f t="shared" si="40"/>
        <v>0</v>
      </c>
      <c r="AQ197" s="302">
        <f t="shared" si="41"/>
        <v>0</v>
      </c>
      <c r="AR197" s="302">
        <f t="shared" si="42"/>
        <v>0</v>
      </c>
      <c r="AT197" s="236" t="s">
        <v>705</v>
      </c>
      <c r="AU197" s="302">
        <f t="shared" si="43"/>
        <v>0</v>
      </c>
      <c r="AV197" s="302">
        <f t="shared" si="44"/>
        <v>0</v>
      </c>
      <c r="AW197" s="302">
        <f t="shared" si="45"/>
        <v>0</v>
      </c>
    </row>
    <row r="198" spans="1:49">
      <c r="A198" s="1" t="s">
        <v>706</v>
      </c>
      <c r="B198" s="230">
        <f>+'NEW-Tables 80-86'!G106+'NEW-Tables 80-86'!G137</f>
        <v>0</v>
      </c>
      <c r="C198" s="271">
        <f>+GETPIVOTDATA("Sum of New-HS % of Total",'Pivot-HS Student % of Undergrad'!$A$3,"State","FL","Category",12,"Category2","Technical")</f>
        <v>0</v>
      </c>
      <c r="D198" s="260">
        <f>+'NEW-Tables 80-86'!H106+'NEW-Tables 80-86'!H137</f>
        <v>0</v>
      </c>
      <c r="E198" s="271">
        <f>+GETPIVOTDATA("Sum of New-HS % of Total",'Pivot-HS Student % of Undergrad'!$A$3,"State","FL","Category",13,"Category2","Technical")</f>
        <v>0</v>
      </c>
      <c r="F198" s="260">
        <f>+'NEW-Tables 80-86'!I106+'NEW-Tables 80-86'!I137</f>
        <v>0</v>
      </c>
      <c r="G198" s="271">
        <f>+GETPIVOTDATA("Sum of New-HS % of Total",'Pivot-HS Student % of Undergrad'!$A$3,"State","FL","Category2","Group3")</f>
        <v>0</v>
      </c>
      <c r="M198" s="222"/>
      <c r="Q198" s="1" t="s">
        <v>706</v>
      </c>
      <c r="R198" s="161">
        <f>+GETPIVOTDATA("Sum of Old-HS % of Total",'Pivot-HS Student % of Undergrad'!$A$3,"State","FL","Category",12,"Category2","Technical")</f>
        <v>0</v>
      </c>
      <c r="S198" s="272">
        <f t="shared" si="37"/>
        <v>0</v>
      </c>
      <c r="T198" s="151">
        <f>+GETPIVOTDATA("Sum of Old-HS % of Total",'Pivot-HS Student % of Undergrad'!$A$3,"State","FL","Category",13,"Category2","Technical")</f>
        <v>0</v>
      </c>
      <c r="U198" s="272">
        <f t="shared" si="38"/>
        <v>0</v>
      </c>
      <c r="V198" s="151">
        <f>+GETPIVOTDATA("Sum of Old-HS % of Total",'Pivot-HS Student % of Undergrad'!$A$3,"State","FL","Category2","Technical")</f>
        <v>0</v>
      </c>
      <c r="W198" s="272">
        <f t="shared" si="39"/>
        <v>0</v>
      </c>
      <c r="X198" s="271"/>
      <c r="Y198" s="300"/>
      <c r="AA198" s="3"/>
      <c r="AB198" s="3"/>
      <c r="AC198" s="236" t="s">
        <v>706</v>
      </c>
      <c r="AD198" s="299">
        <f>+B198</f>
        <v>0</v>
      </c>
      <c r="AE198" s="263">
        <f>+D198</f>
        <v>0</v>
      </c>
      <c r="AF198" s="263">
        <f>+F198</f>
        <v>0</v>
      </c>
      <c r="AG198" s="263"/>
      <c r="AH198" s="236"/>
      <c r="AI198" s="236" t="s">
        <v>706</v>
      </c>
      <c r="AJ198" s="301">
        <f>+'NEW-Tables 80-86'!W106+'NEW-Tables 80-86'!V137</f>
        <v>0</v>
      </c>
      <c r="AK198" s="263">
        <f>+'NEW-Tables 80-86'!X106+'NEW-Tables 80-86'!W137</f>
        <v>0</v>
      </c>
      <c r="AL198" s="263">
        <f>+'NEW-Tables 80-86'!Y106+'NEW-Tables 80-86'!X137</f>
        <v>0</v>
      </c>
      <c r="AO198" s="236" t="s">
        <v>706</v>
      </c>
      <c r="AP198" s="302">
        <f t="shared" si="40"/>
        <v>0</v>
      </c>
      <c r="AQ198" s="302">
        <f t="shared" si="41"/>
        <v>0</v>
      </c>
      <c r="AR198" s="302">
        <f t="shared" si="42"/>
        <v>0</v>
      </c>
      <c r="AT198" s="236" t="s">
        <v>706</v>
      </c>
      <c r="AU198" s="302">
        <f t="shared" si="43"/>
        <v>0</v>
      </c>
      <c r="AV198" s="302">
        <f t="shared" si="44"/>
        <v>0</v>
      </c>
      <c r="AW198" s="302">
        <f t="shared" si="45"/>
        <v>0</v>
      </c>
    </row>
    <row r="199" spans="1:49">
      <c r="B199" s="230"/>
      <c r="C199" s="271"/>
      <c r="D199" s="260"/>
      <c r="E199" s="271"/>
      <c r="F199" s="260"/>
      <c r="G199" s="271"/>
      <c r="M199" s="222"/>
      <c r="R199" s="161"/>
      <c r="S199" s="272"/>
      <c r="T199" s="151"/>
      <c r="U199" s="272"/>
      <c r="V199" s="151"/>
      <c r="W199" s="272"/>
      <c r="X199" s="271"/>
      <c r="Y199" s="300"/>
      <c r="AA199" s="3"/>
      <c r="AB199" s="3"/>
      <c r="AC199" s="236"/>
      <c r="AD199" s="299"/>
      <c r="AE199" s="263"/>
      <c r="AF199" s="263"/>
      <c r="AG199" s="263"/>
      <c r="AH199" s="236"/>
      <c r="AI199" s="236"/>
      <c r="AJ199" s="301"/>
      <c r="AK199" s="263"/>
      <c r="AL199" s="263"/>
      <c r="AO199" s="236"/>
      <c r="AP199" s="302">
        <f t="shared" si="40"/>
        <v>0</v>
      </c>
      <c r="AQ199" s="302">
        <f t="shared" si="41"/>
        <v>0</v>
      </c>
      <c r="AR199" s="302">
        <f t="shared" si="42"/>
        <v>0</v>
      </c>
      <c r="AT199" s="236"/>
      <c r="AU199" s="302">
        <f t="shared" si="43"/>
        <v>0</v>
      </c>
      <c r="AV199" s="302">
        <f t="shared" si="44"/>
        <v>0</v>
      </c>
      <c r="AW199" s="302">
        <f t="shared" si="45"/>
        <v>0</v>
      </c>
    </row>
    <row r="200" spans="1:49">
      <c r="A200" s="1" t="s">
        <v>707</v>
      </c>
      <c r="B200" s="230">
        <f>+'NEW-Tables 80-86'!G108+'NEW-Tables 80-86'!G139</f>
        <v>65212.350000000013</v>
      </c>
      <c r="C200" s="271">
        <f>+GETPIVOTDATA("Sum of New-HS % of Total",'Pivot-HS Student % of Undergrad'!$A$3,"State","GA","Category",12,"Category2","Technical")</f>
        <v>0.16323671819831673</v>
      </c>
      <c r="D200" s="260">
        <f>+'NEW-Tables 80-86'!H108+'NEW-Tables 80-86'!H139</f>
        <v>0</v>
      </c>
      <c r="E200" s="271">
        <f>+GETPIVOTDATA("Sum of New-HS % of Total",'Pivot-HS Student % of Undergrad'!$A$3,"State","GA","Category",13,"Category2","Technical")</f>
        <v>0</v>
      </c>
      <c r="F200" s="260">
        <f>+'NEW-Tables 80-86'!I108+'NEW-Tables 80-86'!I139</f>
        <v>65212.350000000013</v>
      </c>
      <c r="G200" s="271">
        <f>+GETPIVOTDATA("Sum of New-HS % of Total",'Pivot-HS Student % of Undergrad'!$A$3,"State","GA","Category2","Group3")</f>
        <v>0.16323671819831673</v>
      </c>
      <c r="M200" s="222"/>
      <c r="Q200" s="1" t="s">
        <v>707</v>
      </c>
      <c r="R200" s="161">
        <f>+GETPIVOTDATA("Sum of Old-HS % of Total",'Pivot-HS Student % of Undergrad'!$A$3,"State","GA","Category",12,"Category2","Technical")</f>
        <v>0.17114266613760687</v>
      </c>
      <c r="S200" s="272">
        <f t="shared" si="37"/>
        <v>-0.79059479392901422</v>
      </c>
      <c r="T200" s="151">
        <f>+GETPIVOTDATA("Sum of Old-HS % of Total",'Pivot-HS Student % of Undergrad'!$A$3,"State","GA","Category",13,"Category2","Technical")</f>
        <v>0</v>
      </c>
      <c r="U200" s="272">
        <f t="shared" si="38"/>
        <v>0</v>
      </c>
      <c r="V200" s="151">
        <f>+GETPIVOTDATA("Sum of Old-HS % of Total",'Pivot-HS Student % of Undergrad'!$A$3,"State","GA","Category2","Technical")</f>
        <v>0.17114266613760687</v>
      </c>
      <c r="W200" s="272">
        <f t="shared" si="39"/>
        <v>-0.79059479392901422</v>
      </c>
      <c r="X200" s="271"/>
      <c r="Y200" s="300"/>
      <c r="AA200" s="3"/>
      <c r="AB200" s="3"/>
      <c r="AC200" s="236" t="s">
        <v>707</v>
      </c>
      <c r="AD200" s="299">
        <f>+B200</f>
        <v>65212.350000000013</v>
      </c>
      <c r="AE200" s="263">
        <f>+D200</f>
        <v>0</v>
      </c>
      <c r="AF200" s="263">
        <f>+F200</f>
        <v>65212.350000000013</v>
      </c>
      <c r="AG200" s="263"/>
      <c r="AH200" s="236"/>
      <c r="AI200" s="236" t="s">
        <v>707</v>
      </c>
      <c r="AJ200" s="301">
        <f>+'NEW-Tables 80-86'!W108+'NEW-Tables 80-86'!V139</f>
        <v>67961.233333333337</v>
      </c>
      <c r="AK200" s="263">
        <f>+'NEW-Tables 80-86'!X108+'NEW-Tables 80-86'!W139</f>
        <v>0</v>
      </c>
      <c r="AL200" s="263">
        <f>+'NEW-Tables 80-86'!Y108+'NEW-Tables 80-86'!X139</f>
        <v>67961.233333333337</v>
      </c>
      <c r="AO200" s="236" t="s">
        <v>707</v>
      </c>
      <c r="AP200" s="302">
        <f t="shared" si="40"/>
        <v>16.323671819831674</v>
      </c>
      <c r="AQ200" s="302">
        <f t="shared" si="41"/>
        <v>0</v>
      </c>
      <c r="AR200" s="302">
        <f t="shared" si="42"/>
        <v>16.323671819831674</v>
      </c>
      <c r="AT200" s="236" t="s">
        <v>707</v>
      </c>
      <c r="AU200" s="302">
        <f t="shared" si="43"/>
        <v>17.114266613760687</v>
      </c>
      <c r="AV200" s="302">
        <f t="shared" si="44"/>
        <v>0</v>
      </c>
      <c r="AW200" s="302">
        <f t="shared" si="45"/>
        <v>17.114266613760687</v>
      </c>
    </row>
    <row r="201" spans="1:49">
      <c r="A201" s="1" t="s">
        <v>708</v>
      </c>
      <c r="B201" s="230">
        <f>+'NEW-Tables 80-86'!G109+'NEW-Tables 80-86'!G140</f>
        <v>5040.7</v>
      </c>
      <c r="C201" s="271">
        <f>+GETPIVOTDATA("Sum of New-HS % of Total",'Pivot-HS Student % of Undergrad'!$A$3,"State","KY","Category",12,"Category2","Technical")</f>
        <v>0.16373387294092751</v>
      </c>
      <c r="D201" s="260">
        <f>+'NEW-Tables 80-86'!H109+'NEW-Tables 80-86'!H140</f>
        <v>0</v>
      </c>
      <c r="E201" s="271">
        <f>+GETPIVOTDATA("Sum of New-HS % of Total",'Pivot-HS Student % of Undergrad'!$A$3,"State","KY","Category",13,"Category2","Technical")</f>
        <v>0</v>
      </c>
      <c r="F201" s="260">
        <f>+'NEW-Tables 80-86'!I109+'NEW-Tables 80-86'!I140</f>
        <v>5040.7</v>
      </c>
      <c r="G201" s="271">
        <f>+GETPIVOTDATA("Sum of New-HS % of Total",'Pivot-HS Student % of Undergrad'!$A$3,"State","KY","Category2","Group3")</f>
        <v>0.16373387294092751</v>
      </c>
      <c r="M201" s="222"/>
      <c r="Q201" s="1" t="s">
        <v>708</v>
      </c>
      <c r="R201" s="161">
        <f>+GETPIVOTDATA("Sum of Old-HS % of Total",'Pivot-HS Student % of Undergrad'!$A$3,"State","KY","Category",12,"Category2","Technical")</f>
        <v>0.13124761763619033</v>
      </c>
      <c r="S201" s="272">
        <f t="shared" si="37"/>
        <v>3.248625530473717</v>
      </c>
      <c r="T201" s="151">
        <f>+GETPIVOTDATA("Sum of Old-HS % of Total",'Pivot-HS Student % of Undergrad'!$A$3,"State","KY","Category",13,"Category2","Technical")</f>
        <v>0</v>
      </c>
      <c r="U201" s="272">
        <f t="shared" si="38"/>
        <v>0</v>
      </c>
      <c r="V201" s="151">
        <f>+GETPIVOTDATA("Sum of Old-HS % of Total",'Pivot-HS Student % of Undergrad'!$A$3,"State","KY","Category2","Technical")</f>
        <v>0.13124761763619033</v>
      </c>
      <c r="W201" s="272">
        <f t="shared" si="39"/>
        <v>3.248625530473717</v>
      </c>
      <c r="X201" s="271"/>
      <c r="Y201" s="300"/>
      <c r="AA201" s="3"/>
      <c r="AB201" s="3"/>
      <c r="AC201" s="236" t="s">
        <v>708</v>
      </c>
      <c r="AD201" s="299">
        <f>+B201</f>
        <v>5040.7</v>
      </c>
      <c r="AE201" s="263">
        <f>+D201</f>
        <v>0</v>
      </c>
      <c r="AF201" s="263">
        <f>+F201</f>
        <v>5040.7</v>
      </c>
      <c r="AG201" s="263"/>
      <c r="AH201" s="236"/>
      <c r="AI201" s="236" t="s">
        <v>708</v>
      </c>
      <c r="AJ201" s="301">
        <f>+'NEW-Tables 80-86'!W109+'NEW-Tables 80-86'!V140</f>
        <v>5150.6966666666667</v>
      </c>
      <c r="AK201" s="263">
        <f>+'NEW-Tables 80-86'!X109+'NEW-Tables 80-86'!W140</f>
        <v>0</v>
      </c>
      <c r="AL201" s="263">
        <f>+'NEW-Tables 80-86'!Y109+'NEW-Tables 80-86'!X140</f>
        <v>5150.6966666666667</v>
      </c>
      <c r="AO201" s="236" t="s">
        <v>708</v>
      </c>
      <c r="AP201" s="302">
        <f t="shared" si="40"/>
        <v>16.373387294092751</v>
      </c>
      <c r="AQ201" s="302">
        <f t="shared" si="41"/>
        <v>0</v>
      </c>
      <c r="AR201" s="302">
        <f t="shared" si="42"/>
        <v>16.373387294092751</v>
      </c>
      <c r="AT201" s="236" t="s">
        <v>708</v>
      </c>
      <c r="AU201" s="302">
        <f t="shared" si="43"/>
        <v>13.124761763619034</v>
      </c>
      <c r="AV201" s="302">
        <f t="shared" si="44"/>
        <v>0</v>
      </c>
      <c r="AW201" s="302">
        <f t="shared" si="45"/>
        <v>13.124761763619034</v>
      </c>
    </row>
    <row r="202" spans="1:49">
      <c r="A202" s="1" t="s">
        <v>709</v>
      </c>
      <c r="B202" s="230">
        <f>+'NEW-Tables 80-86'!G110+'NEW-Tables 80-86'!G141</f>
        <v>7418.1666666666661</v>
      </c>
      <c r="C202" s="271">
        <f>+GETPIVOTDATA("Sum of New-HS % of Total",'Pivot-HS Student % of Undergrad'!$A$3,"State","LA","Category",12,"Category2","Technical")</f>
        <v>8.4216675279157022E-2</v>
      </c>
      <c r="D202" s="260">
        <f>+'NEW-Tables 80-86'!H110+'NEW-Tables 80-86'!H141</f>
        <v>760.76666666666665</v>
      </c>
      <c r="E202" s="271">
        <f>+GETPIVOTDATA("Sum of New-HS % of Total",'Pivot-HS Student % of Undergrad'!$A$3,"State","LA","Category",13,"Category2","Technical")</f>
        <v>5.9063225693379483E-2</v>
      </c>
      <c r="F202" s="260">
        <f>+'NEW-Tables 80-86'!I110+'NEW-Tables 80-86'!I141</f>
        <v>8178.9333333333325</v>
      </c>
      <c r="G202" s="271">
        <f>+GETPIVOTDATA("Sum of New-HS % of Total",'Pivot-HS Student % of Undergrad'!$A$3,"State","LA","Category2","Group3")</f>
        <v>8.18770173779792E-2</v>
      </c>
      <c r="M202" s="222"/>
      <c r="Q202" s="1" t="s">
        <v>709</v>
      </c>
      <c r="R202" s="161">
        <f>+GETPIVOTDATA("Sum of Old-HS % of Total",'Pivot-HS Student % of Undergrad'!$A$3,"State","LA","Category",12,"Category2","Technical")</f>
        <v>0.10058022993749907</v>
      </c>
      <c r="S202" s="272">
        <f t="shared" si="37"/>
        <v>-1.636355465834205</v>
      </c>
      <c r="T202" s="151">
        <f>+GETPIVOTDATA("Sum of Old-HS % of Total",'Pivot-HS Student % of Undergrad'!$A$3,"State","LA","Category",13,"Category2","Technical")</f>
        <v>5.8453164351287674E-2</v>
      </c>
      <c r="U202" s="272">
        <f t="shared" si="38"/>
        <v>6.1006134209180829E-2</v>
      </c>
      <c r="V202" s="151">
        <f>+GETPIVOTDATA("Sum of Old-HS % of Total",'Pivot-HS Student % of Undergrad'!$A$3,"State","LA","Category2","Technical")</f>
        <v>9.661181359521992E-2</v>
      </c>
      <c r="W202" s="272">
        <f t="shared" si="39"/>
        <v>-1.473479621724072</v>
      </c>
      <c r="X202" s="271"/>
      <c r="Y202" s="300"/>
      <c r="AA202" s="3"/>
      <c r="AB202" s="3"/>
      <c r="AC202" s="236" t="s">
        <v>709</v>
      </c>
      <c r="AD202" s="299">
        <f>+B202</f>
        <v>7418.1666666666661</v>
      </c>
      <c r="AE202" s="263">
        <f>+D202</f>
        <v>760.76666666666665</v>
      </c>
      <c r="AF202" s="263">
        <f>+F202</f>
        <v>8178.9333333333325</v>
      </c>
      <c r="AG202" s="263"/>
      <c r="AH202" s="236"/>
      <c r="AI202" s="236" t="s">
        <v>709</v>
      </c>
      <c r="AJ202" s="301">
        <f>+'NEW-Tables 80-86'!W110+'NEW-Tables 80-86'!V141</f>
        <v>7890.55</v>
      </c>
      <c r="AK202" s="263">
        <f>+'NEW-Tables 80-86'!X110+'NEW-Tables 80-86'!W141</f>
        <v>820.6</v>
      </c>
      <c r="AL202" s="263">
        <f>+'NEW-Tables 80-86'!Y110+'NEW-Tables 80-86'!X141</f>
        <v>8711.15</v>
      </c>
      <c r="AO202" s="236" t="s">
        <v>709</v>
      </c>
      <c r="AP202" s="302">
        <f t="shared" si="40"/>
        <v>8.4216675279157016</v>
      </c>
      <c r="AQ202" s="302">
        <f t="shared" si="41"/>
        <v>5.9063225693379486</v>
      </c>
      <c r="AR202" s="302">
        <f t="shared" si="42"/>
        <v>8.1877017377979193</v>
      </c>
      <c r="AT202" s="236" t="s">
        <v>709</v>
      </c>
      <c r="AU202" s="302">
        <f t="shared" si="43"/>
        <v>10.058022993749907</v>
      </c>
      <c r="AV202" s="302">
        <f t="shared" si="44"/>
        <v>5.8453164351287672</v>
      </c>
      <c r="AW202" s="302">
        <f t="shared" si="45"/>
        <v>9.6611813595219918</v>
      </c>
    </row>
    <row r="203" spans="1:49">
      <c r="A203" s="1" t="s">
        <v>710</v>
      </c>
      <c r="B203" s="230">
        <f>+'NEW-Tables 80-86'!G111+'NEW-Tables 80-86'!G142</f>
        <v>0</v>
      </c>
      <c r="C203" s="271">
        <f>+GETPIVOTDATA("Sum of New-HS % of Total",'Pivot-HS Student % of Undergrad'!$A$3,"State","MD","Category",12,"Category2","Technical")</f>
        <v>0</v>
      </c>
      <c r="D203" s="260">
        <f>+'NEW-Tables 80-86'!H111+'NEW-Tables 80-86'!H142</f>
        <v>0</v>
      </c>
      <c r="E203" s="271">
        <f>+GETPIVOTDATA("Sum of New-HS % of Total",'Pivot-HS Student % of Undergrad'!$A$3,"State","MD","Category",13,"Category2","Technical")</f>
        <v>0</v>
      </c>
      <c r="F203" s="260">
        <f>+'NEW-Tables 80-86'!I111+'NEW-Tables 80-86'!I142</f>
        <v>0</v>
      </c>
      <c r="G203" s="271">
        <f>+GETPIVOTDATA("Sum of New-HS % of Total",'Pivot-HS Student % of Undergrad'!$A$3,"State","MD","Category2","Group3")</f>
        <v>0</v>
      </c>
      <c r="M203" s="222"/>
      <c r="Q203" s="1" t="s">
        <v>710</v>
      </c>
      <c r="R203" s="161">
        <f>+GETPIVOTDATA("Sum of Old-HS % of Total",'Pivot-HS Student % of Undergrad'!$A$3,"State","MD","Category",12,"Category2","Technical")</f>
        <v>0</v>
      </c>
      <c r="S203" s="272">
        <f t="shared" si="37"/>
        <v>0</v>
      </c>
      <c r="T203" s="151">
        <f>+GETPIVOTDATA("Sum of Old-HS % of Total",'Pivot-HS Student % of Undergrad'!$A$3,"State","MD","Category",13,"Category2","Technical")</f>
        <v>0</v>
      </c>
      <c r="U203" s="272">
        <f t="shared" si="38"/>
        <v>0</v>
      </c>
      <c r="V203" s="151">
        <f>+GETPIVOTDATA("Sum of Old-HS % of Total",'Pivot-HS Student % of Undergrad'!$A$3,"State","MD","Category2","Technical")</f>
        <v>0</v>
      </c>
      <c r="W203" s="272">
        <f t="shared" si="39"/>
        <v>0</v>
      </c>
      <c r="X203" s="271"/>
      <c r="Y203" s="300"/>
      <c r="AA203" s="3"/>
      <c r="AB203" s="3"/>
      <c r="AC203" s="236" t="s">
        <v>710</v>
      </c>
      <c r="AD203" s="299">
        <f>+B203</f>
        <v>0</v>
      </c>
      <c r="AE203" s="263">
        <f>+D203</f>
        <v>0</v>
      </c>
      <c r="AF203" s="263">
        <f>+F203</f>
        <v>0</v>
      </c>
      <c r="AG203" s="263"/>
      <c r="AH203" s="236"/>
      <c r="AI203" s="236" t="s">
        <v>710</v>
      </c>
      <c r="AJ203" s="301">
        <f>+'NEW-Tables 80-86'!W111+'NEW-Tables 80-86'!V142</f>
        <v>0</v>
      </c>
      <c r="AK203" s="263">
        <f>+'NEW-Tables 80-86'!X111+'NEW-Tables 80-86'!W142</f>
        <v>0</v>
      </c>
      <c r="AL203" s="263">
        <f>+'NEW-Tables 80-86'!Y111+'NEW-Tables 80-86'!X142</f>
        <v>0</v>
      </c>
      <c r="AO203" s="236" t="s">
        <v>710</v>
      </c>
      <c r="AP203" s="302">
        <f t="shared" si="40"/>
        <v>0</v>
      </c>
      <c r="AQ203" s="302">
        <f t="shared" si="41"/>
        <v>0</v>
      </c>
      <c r="AR203" s="302">
        <f t="shared" si="42"/>
        <v>0</v>
      </c>
      <c r="AT203" s="236" t="s">
        <v>710</v>
      </c>
      <c r="AU203" s="302">
        <f t="shared" si="43"/>
        <v>0</v>
      </c>
      <c r="AV203" s="302">
        <f t="shared" si="44"/>
        <v>0</v>
      </c>
      <c r="AW203" s="302">
        <f t="shared" si="45"/>
        <v>0</v>
      </c>
    </row>
    <row r="204" spans="1:49">
      <c r="B204" s="230"/>
      <c r="C204" s="271"/>
      <c r="D204" s="260"/>
      <c r="E204" s="271"/>
      <c r="F204" s="260"/>
      <c r="G204" s="271"/>
      <c r="M204" s="222"/>
      <c r="R204" s="161"/>
      <c r="S204" s="272"/>
      <c r="T204" s="151"/>
      <c r="U204" s="272"/>
      <c r="V204" s="151"/>
      <c r="W204" s="272"/>
      <c r="X204" s="271"/>
      <c r="Y204" s="300"/>
      <c r="AA204" s="3"/>
      <c r="AB204" s="3"/>
      <c r="AC204" s="236"/>
      <c r="AD204" s="299"/>
      <c r="AE204" s="263"/>
      <c r="AF204" s="263"/>
      <c r="AG204" s="263"/>
      <c r="AH204" s="236"/>
      <c r="AI204" s="236"/>
      <c r="AJ204" s="301"/>
      <c r="AK204" s="263"/>
      <c r="AL204" s="263"/>
      <c r="AO204" s="236"/>
      <c r="AP204" s="302">
        <f t="shared" si="40"/>
        <v>0</v>
      </c>
      <c r="AQ204" s="302">
        <f t="shared" si="41"/>
        <v>0</v>
      </c>
      <c r="AR204" s="302">
        <f t="shared" si="42"/>
        <v>0</v>
      </c>
      <c r="AT204" s="236"/>
      <c r="AU204" s="302">
        <f t="shared" si="43"/>
        <v>0</v>
      </c>
      <c r="AV204" s="302">
        <f t="shared" si="44"/>
        <v>0</v>
      </c>
      <c r="AW204" s="302">
        <f t="shared" si="45"/>
        <v>0</v>
      </c>
    </row>
    <row r="205" spans="1:49">
      <c r="A205" s="1" t="s">
        <v>711</v>
      </c>
      <c r="B205" s="230">
        <f>+'NEW-Tables 80-86'!G113+'NEW-Tables 80-86'!G144</f>
        <v>0</v>
      </c>
      <c r="C205" s="271">
        <f>+GETPIVOTDATA("Sum of New-HS % of Total",'Pivot-HS Student % of Undergrad'!$A$3,"State","MS","Category",12,"Category2","Technical")</f>
        <v>0</v>
      </c>
      <c r="D205" s="260">
        <f>+'NEW-Tables 80-86'!H113+'NEW-Tables 80-86'!H144</f>
        <v>0</v>
      </c>
      <c r="E205" s="271">
        <f>+GETPIVOTDATA("Sum of New-HS % of Total",'Pivot-HS Student % of Undergrad'!$A$3,"State","MS","Category",13,"Category2","Technical")</f>
        <v>0</v>
      </c>
      <c r="F205" s="260">
        <f>+'NEW-Tables 80-86'!I113+'NEW-Tables 80-86'!I144</f>
        <v>0</v>
      </c>
      <c r="G205" s="271">
        <f>+GETPIVOTDATA("Sum of New-HS % of Total",'Pivot-HS Student % of Undergrad'!$A$3,"State","MS","Category2","Group3")</f>
        <v>0</v>
      </c>
      <c r="M205" s="222"/>
      <c r="Q205" s="1" t="s">
        <v>711</v>
      </c>
      <c r="R205" s="161">
        <f>+GETPIVOTDATA("Sum of Old-HS % of Total",'Pivot-HS Student % of Undergrad'!$A$3,"State","MS","Category",12,"Category2","Technical")</f>
        <v>0</v>
      </c>
      <c r="S205" s="272">
        <f t="shared" si="37"/>
        <v>0</v>
      </c>
      <c r="T205" s="151">
        <f>+GETPIVOTDATA("Sum of Old-HS % of Total",'Pivot-HS Student % of Undergrad'!$A$3,"State","MS","Category",13,"Category2","Technical")</f>
        <v>0</v>
      </c>
      <c r="U205" s="272">
        <f t="shared" si="38"/>
        <v>0</v>
      </c>
      <c r="V205" s="151">
        <f>+GETPIVOTDATA("Sum of Old-HS % of Total",'Pivot-HS Student % of Undergrad'!$A$3,"State","MS","Category2","Technical")</f>
        <v>0</v>
      </c>
      <c r="W205" s="272">
        <f t="shared" si="39"/>
        <v>0</v>
      </c>
      <c r="X205" s="271"/>
      <c r="Y205" s="300"/>
      <c r="AA205" s="3"/>
      <c r="AB205" s="3"/>
      <c r="AC205" s="236" t="s">
        <v>711</v>
      </c>
      <c r="AD205" s="299">
        <f>+B205</f>
        <v>0</v>
      </c>
      <c r="AE205" s="263">
        <f>+D205</f>
        <v>0</v>
      </c>
      <c r="AF205" s="263">
        <f>+F205</f>
        <v>0</v>
      </c>
      <c r="AG205" s="263"/>
      <c r="AH205" s="236"/>
      <c r="AI205" s="236" t="s">
        <v>711</v>
      </c>
      <c r="AJ205" s="301">
        <f>+'NEW-Tables 80-86'!W113+'NEW-Tables 80-86'!V144</f>
        <v>0</v>
      </c>
      <c r="AK205" s="263">
        <f>+'NEW-Tables 80-86'!X113+'NEW-Tables 80-86'!W144</f>
        <v>0</v>
      </c>
      <c r="AL205" s="263">
        <f>+'NEW-Tables 80-86'!Y113+'NEW-Tables 80-86'!X144</f>
        <v>0</v>
      </c>
      <c r="AO205" s="236" t="s">
        <v>711</v>
      </c>
      <c r="AP205" s="302">
        <f t="shared" si="40"/>
        <v>0</v>
      </c>
      <c r="AQ205" s="302">
        <f t="shared" si="41"/>
        <v>0</v>
      </c>
      <c r="AR205" s="302">
        <f t="shared" si="42"/>
        <v>0</v>
      </c>
      <c r="AT205" s="236" t="s">
        <v>711</v>
      </c>
      <c r="AU205" s="302">
        <f t="shared" si="43"/>
        <v>0</v>
      </c>
      <c r="AV205" s="302">
        <f t="shared" si="44"/>
        <v>0</v>
      </c>
      <c r="AW205" s="302">
        <f t="shared" si="45"/>
        <v>0</v>
      </c>
    </row>
    <row r="206" spans="1:49">
      <c r="A206" s="1" t="s">
        <v>712</v>
      </c>
      <c r="B206" s="230">
        <f>+'NEW-Tables 80-86'!G114+'NEW-Tables 80-86'!G145</f>
        <v>0</v>
      </c>
      <c r="C206" s="271">
        <f>+GETPIVOTDATA("Sum of New-HS % of Total",'Pivot-HS Student % of Undergrad'!$A$3,"State","NC","Category",12,"Category2","Technical")</f>
        <v>0</v>
      </c>
      <c r="D206" s="260">
        <f>+'NEW-Tables 80-86'!H114+'NEW-Tables 80-86'!H145</f>
        <v>0</v>
      </c>
      <c r="E206" s="271">
        <f>+GETPIVOTDATA("Sum of New-HS % of Total",'Pivot-HS Student % of Undergrad'!$A$3,"State","NC","Category",13,"Category2","Technical")</f>
        <v>0</v>
      </c>
      <c r="F206" s="260">
        <f>+'NEW-Tables 80-86'!I114+'NEW-Tables 80-86'!I145</f>
        <v>0</v>
      </c>
      <c r="G206" s="271">
        <f>+GETPIVOTDATA("Sum of New-HS % of Total",'Pivot-HS Student % of Undergrad'!$A$3,"State","NC","Category2","Group3")</f>
        <v>0</v>
      </c>
      <c r="M206" s="222"/>
      <c r="Q206" s="1" t="s">
        <v>712</v>
      </c>
      <c r="R206" s="161">
        <f>+GETPIVOTDATA("Sum of Old-HS % of Total",'Pivot-HS Student % of Undergrad'!$A$3,"State","NC","Category",12,"Category2","Technical")</f>
        <v>0</v>
      </c>
      <c r="S206" s="272">
        <f t="shared" si="37"/>
        <v>0</v>
      </c>
      <c r="T206" s="151">
        <f>+GETPIVOTDATA("Sum of Old-HS % of Total",'Pivot-HS Student % of Undergrad'!$A$3,"State","NC","Category",13,"Category2","Technical")</f>
        <v>0</v>
      </c>
      <c r="U206" s="272">
        <f t="shared" si="38"/>
        <v>0</v>
      </c>
      <c r="V206" s="151">
        <f>+GETPIVOTDATA("Sum of Old-HS % of Total",'Pivot-HS Student % of Undergrad'!$A$3,"State","NC","Category2","Technical")</f>
        <v>0</v>
      </c>
      <c r="W206" s="272">
        <f t="shared" si="39"/>
        <v>0</v>
      </c>
      <c r="X206" s="271"/>
      <c r="Y206" s="303"/>
      <c r="AA206" s="3"/>
      <c r="AB206" s="3"/>
      <c r="AC206" s="236" t="s">
        <v>712</v>
      </c>
      <c r="AD206" s="299">
        <f>+B206</f>
        <v>0</v>
      </c>
      <c r="AE206" s="263">
        <f>+D206</f>
        <v>0</v>
      </c>
      <c r="AF206" s="263">
        <f>+F206</f>
        <v>0</v>
      </c>
      <c r="AG206" s="263"/>
      <c r="AH206" s="236"/>
      <c r="AI206" s="236" t="s">
        <v>712</v>
      </c>
      <c r="AJ206" s="301">
        <f>+'NEW-Tables 80-86'!W114+'NEW-Tables 80-86'!V145</f>
        <v>0</v>
      </c>
      <c r="AK206" s="263">
        <f>+'NEW-Tables 80-86'!X114+'NEW-Tables 80-86'!W145</f>
        <v>0</v>
      </c>
      <c r="AL206" s="263">
        <f>+'NEW-Tables 80-86'!Y114+'NEW-Tables 80-86'!X145</f>
        <v>0</v>
      </c>
      <c r="AO206" s="236" t="s">
        <v>712</v>
      </c>
      <c r="AP206" s="302">
        <f t="shared" si="40"/>
        <v>0</v>
      </c>
      <c r="AQ206" s="302">
        <f t="shared" si="41"/>
        <v>0</v>
      </c>
      <c r="AR206" s="302">
        <f t="shared" si="42"/>
        <v>0</v>
      </c>
      <c r="AT206" s="236" t="s">
        <v>712</v>
      </c>
      <c r="AU206" s="302">
        <f t="shared" si="43"/>
        <v>0</v>
      </c>
      <c r="AV206" s="302">
        <f t="shared" si="44"/>
        <v>0</v>
      </c>
      <c r="AW206" s="302">
        <f t="shared" si="45"/>
        <v>0</v>
      </c>
    </row>
    <row r="207" spans="1:49">
      <c r="A207" s="1" t="s">
        <v>713</v>
      </c>
      <c r="B207" s="230">
        <f>+'NEW-Tables 80-86'!G115+'NEW-Tables 80-86'!G146</f>
        <v>4216.6121111111115</v>
      </c>
      <c r="C207" s="271">
        <f>+GETPIVOTDATA("Sum of New-HS % of Total",'Pivot-HS Student % of Undergrad'!$A$3,"State","OK","Category",12,"Category2","Technical")</f>
        <v>0</v>
      </c>
      <c r="D207" s="260">
        <f>+'NEW-Tables 80-86'!H115+'NEW-Tables 80-86'!H146</f>
        <v>18113.878999999997</v>
      </c>
      <c r="E207" s="271">
        <f>+GETPIVOTDATA("Sum of New-HS % of Total",'Pivot-HS Student % of Undergrad'!$A$3,"State","OK","Category",13,"Category2","Technical")</f>
        <v>0</v>
      </c>
      <c r="F207" s="260">
        <f>+'NEW-Tables 80-86'!I115+'NEW-Tables 80-86'!I146</f>
        <v>22330.491111111107</v>
      </c>
      <c r="G207" s="271">
        <f>+GETPIVOTDATA("Sum of New-HS % of Total",'Pivot-HS Student % of Undergrad'!$A$3,"State","OK","Category2","Group3")</f>
        <v>0</v>
      </c>
      <c r="M207" s="222"/>
      <c r="Q207" s="1" t="s">
        <v>713</v>
      </c>
      <c r="R207" s="161">
        <f>+GETPIVOTDATA("Sum of Old-HS % of Total",'Pivot-HS Student % of Undergrad'!$A$3,"State","OK","Category",12,"Category2","Technical")</f>
        <v>0</v>
      </c>
      <c r="S207" s="272">
        <f t="shared" si="37"/>
        <v>0</v>
      </c>
      <c r="T207" s="151">
        <f>+GETPIVOTDATA("Sum of Old-HS % of Total",'Pivot-HS Student % of Undergrad'!$A$3,"State","OK","Category",13,"Category2","Technical")</f>
        <v>0</v>
      </c>
      <c r="U207" s="272">
        <f t="shared" si="38"/>
        <v>0</v>
      </c>
      <c r="V207" s="151">
        <f>+GETPIVOTDATA("Sum of Old-HS % of Total",'Pivot-HS Student % of Undergrad'!$A$3,"State","OK","Category2","Technical")</f>
        <v>0</v>
      </c>
      <c r="W207" s="272">
        <f t="shared" si="39"/>
        <v>0</v>
      </c>
      <c r="X207" s="271"/>
      <c r="Y207" s="300"/>
      <c r="AA207" s="3"/>
      <c r="AB207" s="3"/>
      <c r="AC207" s="236" t="s">
        <v>713</v>
      </c>
      <c r="AD207" s="299">
        <f>+B207</f>
        <v>4216.6121111111115</v>
      </c>
      <c r="AE207" s="263">
        <f>+D207</f>
        <v>18113.878999999997</v>
      </c>
      <c r="AF207" s="263">
        <f>+F207</f>
        <v>22330.491111111107</v>
      </c>
      <c r="AG207" s="263"/>
      <c r="AH207" s="236"/>
      <c r="AI207" s="236" t="s">
        <v>713</v>
      </c>
      <c r="AJ207" s="301">
        <f>+'NEW-Tables 80-86'!W115+'NEW-Tables 80-86'!V146</f>
        <v>3714.7210444444445</v>
      </c>
      <c r="AK207" s="263">
        <f>+'NEW-Tables 80-86'!X115+'NEW-Tables 80-86'!W146</f>
        <v>15335.873522222222</v>
      </c>
      <c r="AL207" s="263">
        <f>+'NEW-Tables 80-86'!Y115+'NEW-Tables 80-86'!X146</f>
        <v>19050.594566666667</v>
      </c>
      <c r="AO207" s="236" t="s">
        <v>713</v>
      </c>
      <c r="AP207" s="302">
        <f t="shared" si="40"/>
        <v>0</v>
      </c>
      <c r="AQ207" s="302">
        <f t="shared" si="41"/>
        <v>0</v>
      </c>
      <c r="AR207" s="302">
        <f t="shared" si="42"/>
        <v>0</v>
      </c>
      <c r="AT207" s="236" t="s">
        <v>713</v>
      </c>
      <c r="AU207" s="302">
        <f t="shared" si="43"/>
        <v>0</v>
      </c>
      <c r="AV207" s="302">
        <f t="shared" si="44"/>
        <v>0</v>
      </c>
      <c r="AW207" s="302">
        <f t="shared" si="45"/>
        <v>0</v>
      </c>
    </row>
    <row r="208" spans="1:49">
      <c r="A208" s="1" t="s">
        <v>714</v>
      </c>
      <c r="B208" s="230">
        <f>+'NEW-Tables 80-86'!G116+'NEW-Tables 80-86'!G147</f>
        <v>0</v>
      </c>
      <c r="C208" s="271">
        <f>+GETPIVOTDATA("Sum of New-HS % of Total",'Pivot-HS Student % of Undergrad'!$A$3,"State","SC","Category",12,"Category2","Technical")</f>
        <v>0</v>
      </c>
      <c r="D208" s="260">
        <f>+'NEW-Tables 80-86'!H116+'NEW-Tables 80-86'!H147</f>
        <v>0</v>
      </c>
      <c r="E208" s="271">
        <f>+GETPIVOTDATA("Sum of New-HS % of Total",'Pivot-HS Student % of Undergrad'!$A$3,"State","SC","Category",13,"Category2","Technical")</f>
        <v>0</v>
      </c>
      <c r="F208" s="260">
        <f>+'NEW-Tables 80-86'!I116+'NEW-Tables 80-86'!I147</f>
        <v>0</v>
      </c>
      <c r="G208" s="271">
        <f>+GETPIVOTDATA("Sum of New-HS % of Total",'Pivot-HS Student % of Undergrad'!$A$3,"State","SC","Category2","Group3")</f>
        <v>0</v>
      </c>
      <c r="M208" s="222"/>
      <c r="Q208" s="1" t="s">
        <v>714</v>
      </c>
      <c r="R208" s="161">
        <f>+GETPIVOTDATA("Sum of Old-HS % of Total",'Pivot-HS Student % of Undergrad'!$A$3,"State","SC","Category",12,"Category2","Technical")</f>
        <v>0</v>
      </c>
      <c r="S208" s="272">
        <f t="shared" si="37"/>
        <v>0</v>
      </c>
      <c r="T208" s="151">
        <f>+GETPIVOTDATA("Sum of Old-HS % of Total",'Pivot-HS Student % of Undergrad'!$A$3,"State","SC","Category",13,"Category2","Technical")</f>
        <v>0</v>
      </c>
      <c r="U208" s="272">
        <f t="shared" si="38"/>
        <v>0</v>
      </c>
      <c r="V208" s="151">
        <f>+GETPIVOTDATA("Sum of Old-HS % of Total",'Pivot-HS Student % of Undergrad'!$A$3,"State","SC","Category2","Technical")</f>
        <v>0</v>
      </c>
      <c r="W208" s="272">
        <f t="shared" si="39"/>
        <v>0</v>
      </c>
      <c r="X208" s="271"/>
      <c r="Y208" s="300"/>
      <c r="AA208" s="3"/>
      <c r="AB208" s="3"/>
      <c r="AC208" s="236" t="s">
        <v>714</v>
      </c>
      <c r="AD208" s="299">
        <f>+B208</f>
        <v>0</v>
      </c>
      <c r="AE208" s="263">
        <f>+D208</f>
        <v>0</v>
      </c>
      <c r="AF208" s="263">
        <f>+F208</f>
        <v>0</v>
      </c>
      <c r="AG208" s="263"/>
      <c r="AH208" s="236"/>
      <c r="AI208" s="236" t="s">
        <v>714</v>
      </c>
      <c r="AJ208" s="301">
        <f>+'NEW-Tables 80-86'!W116+'NEW-Tables 80-86'!V147</f>
        <v>0</v>
      </c>
      <c r="AK208" s="263">
        <f>+'NEW-Tables 80-86'!X116+'NEW-Tables 80-86'!W147</f>
        <v>0</v>
      </c>
      <c r="AL208" s="263">
        <f>+'NEW-Tables 80-86'!Y116+'NEW-Tables 80-86'!X147</f>
        <v>0</v>
      </c>
      <c r="AO208" s="236" t="s">
        <v>714</v>
      </c>
      <c r="AP208" s="302">
        <f t="shared" si="40"/>
        <v>0</v>
      </c>
      <c r="AQ208" s="302">
        <f t="shared" si="41"/>
        <v>0</v>
      </c>
      <c r="AR208" s="302">
        <f t="shared" si="42"/>
        <v>0</v>
      </c>
      <c r="AT208" s="236" t="s">
        <v>714</v>
      </c>
      <c r="AU208" s="302">
        <f t="shared" si="43"/>
        <v>0</v>
      </c>
      <c r="AV208" s="302">
        <f t="shared" si="44"/>
        <v>0</v>
      </c>
      <c r="AW208" s="302">
        <f t="shared" si="45"/>
        <v>0</v>
      </c>
    </row>
    <row r="209" spans="1:49" ht="11.25" customHeight="1">
      <c r="B209" s="230"/>
      <c r="C209" s="271"/>
      <c r="D209" s="260"/>
      <c r="E209" s="271"/>
      <c r="F209" s="260"/>
      <c r="G209" s="271"/>
      <c r="M209" s="222"/>
      <c r="R209" s="161"/>
      <c r="S209" s="272">
        <f t="shared" si="37"/>
        <v>0</v>
      </c>
      <c r="T209" s="151"/>
      <c r="U209" s="272">
        <f t="shared" si="38"/>
        <v>0</v>
      </c>
      <c r="V209" s="151"/>
      <c r="W209" s="272">
        <f t="shared" si="39"/>
        <v>0</v>
      </c>
      <c r="X209" s="271"/>
      <c r="Y209" s="300"/>
      <c r="AA209" s="3"/>
      <c r="AB209" s="3"/>
      <c r="AC209" s="236"/>
      <c r="AD209" s="299"/>
      <c r="AE209" s="263"/>
      <c r="AF209" s="263"/>
      <c r="AG209" s="263"/>
      <c r="AH209" s="236"/>
      <c r="AI209" s="236"/>
      <c r="AJ209" s="301"/>
      <c r="AK209" s="263"/>
      <c r="AL209" s="263"/>
      <c r="AO209" s="236"/>
      <c r="AP209" s="302">
        <f t="shared" si="40"/>
        <v>0</v>
      </c>
      <c r="AQ209" s="302">
        <f t="shared" si="41"/>
        <v>0</v>
      </c>
      <c r="AR209" s="302">
        <f t="shared" si="42"/>
        <v>0</v>
      </c>
      <c r="AT209" s="236"/>
      <c r="AU209" s="302">
        <f t="shared" si="43"/>
        <v>0</v>
      </c>
      <c r="AV209" s="302">
        <f t="shared" si="44"/>
        <v>0</v>
      </c>
      <c r="AW209" s="302">
        <f t="shared" si="45"/>
        <v>0</v>
      </c>
    </row>
    <row r="210" spans="1:49" ht="11.25" customHeight="1">
      <c r="A210" s="1" t="s">
        <v>715</v>
      </c>
      <c r="B210" s="230">
        <f>+'NEW-Tables 80-86'!G118+'NEW-Tables 80-86'!G149</f>
        <v>0</v>
      </c>
      <c r="C210" s="271">
        <f>+GETPIVOTDATA("Sum of New-HS % of Total",'Pivot-HS Student % of Undergrad'!$A$3,"State","TN","Category",12,"Category2","Technical")</f>
        <v>0</v>
      </c>
      <c r="D210" s="260">
        <f>+'NEW-Tables 80-86'!H118+'NEW-Tables 80-86'!H149</f>
        <v>12630.868888888888</v>
      </c>
      <c r="E210" s="271">
        <f>+GETPIVOTDATA("Sum of New-HS % of Total",'Pivot-HS Student % of Undergrad'!$A$3,"State","TN","Category",13,"Category2","Technical")</f>
        <v>0</v>
      </c>
      <c r="F210" s="260">
        <f>+'NEW-Tables 80-86'!I118+'NEW-Tables 80-86'!I149</f>
        <v>12630.868888888888</v>
      </c>
      <c r="G210" s="271">
        <f>+GETPIVOTDATA("Sum of New-HS % of Total",'Pivot-HS Student % of Undergrad'!$A$3,"State","TN","Category2","Group3")</f>
        <v>0</v>
      </c>
      <c r="M210" s="222"/>
      <c r="Q210" s="1" t="s">
        <v>715</v>
      </c>
      <c r="R210" s="161">
        <f>+GETPIVOTDATA("Sum of Old-HS % of Total",'Pivot-HS Student % of Undergrad'!$A$3,"State","TN","Category",12,"Category2","Technical")</f>
        <v>0</v>
      </c>
      <c r="S210" s="272">
        <f t="shared" si="37"/>
        <v>0</v>
      </c>
      <c r="T210" s="151">
        <f>+GETPIVOTDATA("Sum of Old-HS % of Total",'Pivot-HS Student % of Undergrad'!$A$3,"State","TN","Category",13,"Category2","Technical")</f>
        <v>0</v>
      </c>
      <c r="U210" s="272">
        <f t="shared" si="38"/>
        <v>0</v>
      </c>
      <c r="V210" s="151">
        <f>+GETPIVOTDATA("Sum of Old-HS % of Total",'Pivot-HS Student % of Undergrad'!$A$3,"State","TN","Category2","Technical")</f>
        <v>0</v>
      </c>
      <c r="W210" s="272">
        <f t="shared" si="39"/>
        <v>0</v>
      </c>
      <c r="X210" s="271"/>
      <c r="Y210" s="300"/>
      <c r="AA210" s="3"/>
      <c r="AB210" s="3"/>
      <c r="AC210" s="236" t="s">
        <v>715</v>
      </c>
      <c r="AD210" s="299">
        <f>+B210</f>
        <v>0</v>
      </c>
      <c r="AE210" s="263">
        <f>+D210</f>
        <v>12630.868888888888</v>
      </c>
      <c r="AF210" s="263">
        <f>+F210</f>
        <v>12630.868888888888</v>
      </c>
      <c r="AG210" s="263"/>
      <c r="AH210" s="236"/>
      <c r="AI210" s="236" t="s">
        <v>715</v>
      </c>
      <c r="AJ210" s="301">
        <f>+'NEW-Tables 80-86'!W118+'NEW-Tables 80-86'!V149</f>
        <v>0</v>
      </c>
      <c r="AK210" s="263">
        <f>+'NEW-Tables 80-86'!X118+'NEW-Tables 80-86'!W149</f>
        <v>12858.136666666669</v>
      </c>
      <c r="AL210" s="263">
        <f>+'NEW-Tables 80-86'!Y118+'NEW-Tables 80-86'!X149</f>
        <v>12858.136666666669</v>
      </c>
      <c r="AO210" s="236" t="s">
        <v>715</v>
      </c>
      <c r="AP210" s="302">
        <f t="shared" si="40"/>
        <v>0</v>
      </c>
      <c r="AQ210" s="302">
        <f t="shared" si="41"/>
        <v>0</v>
      </c>
      <c r="AR210" s="302">
        <f t="shared" si="42"/>
        <v>0</v>
      </c>
      <c r="AT210" s="236" t="s">
        <v>715</v>
      </c>
      <c r="AU210" s="302">
        <f t="shared" si="43"/>
        <v>0</v>
      </c>
      <c r="AV210" s="302">
        <f t="shared" si="44"/>
        <v>0</v>
      </c>
      <c r="AW210" s="302">
        <f t="shared" si="45"/>
        <v>0</v>
      </c>
    </row>
    <row r="211" spans="1:49">
      <c r="A211" s="1" t="s">
        <v>716</v>
      </c>
      <c r="B211" s="230">
        <f>+'NEW-Tables 80-86'!G119+'NEW-Tables 80-86'!G150</f>
        <v>0</v>
      </c>
      <c r="C211" s="271">
        <f>+GETPIVOTDATA("Sum of New-HS % of Total",'Pivot-HS Student % of Undergrad'!$A$3,"State","TX","Category",12,"Category2","Technical")</f>
        <v>0</v>
      </c>
      <c r="D211" s="260">
        <f>+'NEW-Tables 80-86'!H119+'NEW-Tables 80-86'!H150</f>
        <v>0</v>
      </c>
      <c r="E211" s="271">
        <f>+GETPIVOTDATA("Sum of New-HS % of Total",'Pivot-HS Student % of Undergrad'!$A$3,"State","TX","Category",13,"Category2","Technical")</f>
        <v>0</v>
      </c>
      <c r="F211" s="260">
        <f>+'NEW-Tables 80-86'!I119+'NEW-Tables 80-86'!I150</f>
        <v>0</v>
      </c>
      <c r="G211" s="271">
        <f>+GETPIVOTDATA("Sum of New-HS % of Total",'Pivot-HS Student % of Undergrad'!$A$3,"State","TX","Category2","Group3")</f>
        <v>0</v>
      </c>
      <c r="M211" s="222"/>
      <c r="Q211" s="1" t="s">
        <v>716</v>
      </c>
      <c r="R211" s="161">
        <f>+GETPIVOTDATA("Sum of Old-HS % of Total",'Pivot-HS Student % of Undergrad'!$A$3,"State","TX","Category",12,"Category2","Technical")</f>
        <v>0</v>
      </c>
      <c r="S211" s="272">
        <f t="shared" si="37"/>
        <v>0</v>
      </c>
      <c r="T211" s="151">
        <f>+GETPIVOTDATA("Sum of Old-HS % of Total",'Pivot-HS Student % of Undergrad'!$A$3,"State","TX","Category",13,"Category2","Technical")</f>
        <v>0</v>
      </c>
      <c r="U211" s="272">
        <f t="shared" si="38"/>
        <v>0</v>
      </c>
      <c r="V211" s="151">
        <f>+GETPIVOTDATA("Sum of Old-HS % of Total",'Pivot-HS Student % of Undergrad'!$A$3,"State","TX","Category2","Technical")</f>
        <v>0</v>
      </c>
      <c r="W211" s="272">
        <f t="shared" si="39"/>
        <v>0</v>
      </c>
      <c r="X211" s="271"/>
      <c r="Y211" s="303"/>
      <c r="AA211" s="3"/>
      <c r="AB211" s="3"/>
      <c r="AC211" s="236" t="s">
        <v>716</v>
      </c>
      <c r="AD211" s="299">
        <f>+B211</f>
        <v>0</v>
      </c>
      <c r="AE211" s="263">
        <f>+D211</f>
        <v>0</v>
      </c>
      <c r="AF211" s="263">
        <f>+F211</f>
        <v>0</v>
      </c>
      <c r="AG211" s="263"/>
      <c r="AH211" s="236"/>
      <c r="AI211" s="236" t="s">
        <v>716</v>
      </c>
      <c r="AJ211" s="301">
        <f>+'NEW-Tables 80-86'!W119+'NEW-Tables 80-86'!V150</f>
        <v>0</v>
      </c>
      <c r="AK211" s="263">
        <f>+'NEW-Tables 80-86'!X119+'NEW-Tables 80-86'!W150</f>
        <v>0</v>
      </c>
      <c r="AL211" s="263">
        <f>+'NEW-Tables 80-86'!Y119+'NEW-Tables 80-86'!X150</f>
        <v>0</v>
      </c>
      <c r="AO211" s="236" t="s">
        <v>716</v>
      </c>
      <c r="AP211" s="302">
        <f t="shared" si="40"/>
        <v>0</v>
      </c>
      <c r="AQ211" s="302">
        <f t="shared" si="41"/>
        <v>0</v>
      </c>
      <c r="AR211" s="302">
        <f t="shared" si="42"/>
        <v>0</v>
      </c>
      <c r="AT211" s="236" t="s">
        <v>716</v>
      </c>
      <c r="AU211" s="302">
        <f t="shared" si="43"/>
        <v>0</v>
      </c>
      <c r="AV211" s="302">
        <f t="shared" si="44"/>
        <v>0</v>
      </c>
      <c r="AW211" s="302">
        <f t="shared" si="45"/>
        <v>0</v>
      </c>
    </row>
    <row r="212" spans="1:49">
      <c r="A212" s="1" t="s">
        <v>717</v>
      </c>
      <c r="B212" s="230">
        <f>+'NEW-Tables 80-86'!G120+'NEW-Tables 80-86'!G151</f>
        <v>0</v>
      </c>
      <c r="C212" s="271">
        <f>+GETPIVOTDATA("Sum of New-HS % of Total",'Pivot-HS Student % of Undergrad'!$A$3,"State","VA","Category",12,"Category2","Technical")</f>
        <v>0</v>
      </c>
      <c r="D212" s="260">
        <f>+'NEW-Tables 80-86'!H120+'NEW-Tables 80-86'!H151</f>
        <v>0</v>
      </c>
      <c r="E212" s="271">
        <f>+GETPIVOTDATA("Sum of New-HS % of Total",'Pivot-HS Student % of Undergrad'!$A$3,"State","VA","Category",13,"Category2","Technical")</f>
        <v>0</v>
      </c>
      <c r="F212" s="260">
        <f>+'NEW-Tables 80-86'!I120+'NEW-Tables 80-86'!I151</f>
        <v>0</v>
      </c>
      <c r="G212" s="271">
        <f>+GETPIVOTDATA("Sum of New-HS % of Total",'Pivot-HS Student % of Undergrad'!$A$3,"State","VA","Category2","Group3")</f>
        <v>0</v>
      </c>
      <c r="M212" s="222"/>
      <c r="Q212" s="1" t="s">
        <v>717</v>
      </c>
      <c r="R212" s="161">
        <f>+GETPIVOTDATA("Sum of Old-HS % of Total",'Pivot-HS Student % of Undergrad'!$A$3,"State","VA","Category",12,"Category2","Technical")</f>
        <v>0</v>
      </c>
      <c r="S212" s="272">
        <f t="shared" si="37"/>
        <v>0</v>
      </c>
      <c r="T212" s="151">
        <f>+GETPIVOTDATA("Sum of Old-HS % of Total",'Pivot-HS Student % of Undergrad'!$A$3,"State","VA","Category",13,"Category2","Technical")</f>
        <v>0</v>
      </c>
      <c r="U212" s="272">
        <f t="shared" si="38"/>
        <v>0</v>
      </c>
      <c r="V212" s="151">
        <f>+GETPIVOTDATA("Sum of Old-HS % of Total",'Pivot-HS Student % of Undergrad'!$A$3,"State","VA","Category2","Technical")</f>
        <v>0</v>
      </c>
      <c r="W212" s="272">
        <f t="shared" si="39"/>
        <v>0</v>
      </c>
      <c r="X212" s="271"/>
      <c r="Y212" s="300"/>
      <c r="AA212" s="3"/>
      <c r="AB212" s="3"/>
      <c r="AC212" s="236" t="s">
        <v>717</v>
      </c>
      <c r="AD212" s="299">
        <f>+B212</f>
        <v>0</v>
      </c>
      <c r="AE212" s="263">
        <f>+D212</f>
        <v>0</v>
      </c>
      <c r="AF212" s="263">
        <f>+F212</f>
        <v>0</v>
      </c>
      <c r="AG212" s="263"/>
      <c r="AH212" s="236"/>
      <c r="AI212" s="236" t="s">
        <v>717</v>
      </c>
      <c r="AJ212" s="301">
        <f>+'NEW-Tables 80-86'!W120+'NEW-Tables 80-86'!V151</f>
        <v>0</v>
      </c>
      <c r="AK212" s="263">
        <f>+'NEW-Tables 80-86'!X120+'NEW-Tables 80-86'!W151</f>
        <v>0</v>
      </c>
      <c r="AL212" s="263">
        <f>+'NEW-Tables 80-86'!Y120+'NEW-Tables 80-86'!X151</f>
        <v>0</v>
      </c>
      <c r="AO212" s="236" t="s">
        <v>717</v>
      </c>
      <c r="AP212" s="302">
        <f t="shared" si="40"/>
        <v>0</v>
      </c>
      <c r="AQ212" s="302">
        <f t="shared" si="41"/>
        <v>0</v>
      </c>
      <c r="AR212" s="302">
        <f t="shared" si="42"/>
        <v>0</v>
      </c>
      <c r="AT212" s="236" t="s">
        <v>717</v>
      </c>
      <c r="AU212" s="302">
        <f t="shared" si="43"/>
        <v>0</v>
      </c>
      <c r="AV212" s="302">
        <f t="shared" si="44"/>
        <v>0</v>
      </c>
      <c r="AW212" s="302">
        <f t="shared" si="45"/>
        <v>0</v>
      </c>
    </row>
    <row r="213" spans="1:49">
      <c r="A213" s="166" t="s">
        <v>718</v>
      </c>
      <c r="B213" s="234">
        <f>+'NEW-Tables 80-86'!G121+'NEW-Tables 80-86'!G152</f>
        <v>0</v>
      </c>
      <c r="C213" s="279">
        <f>+GETPIVOTDATA("Sum of New-HS % of Total",'Pivot-HS Student % of Undergrad'!$A$3,"State","WV","Category",12,"Category2","Technical")</f>
        <v>0</v>
      </c>
      <c r="D213" s="280">
        <f>+'NEW-Tables 80-86'!H121+'NEW-Tables 80-86'!H152</f>
        <v>0</v>
      </c>
      <c r="E213" s="279">
        <f>+GETPIVOTDATA("Sum of New-HS % of Total",'Pivot-HS Student % of Undergrad'!$A$3,"State","WV","Category",13,"Category2","Technical")</f>
        <v>0</v>
      </c>
      <c r="F213" s="280">
        <f>+'NEW-Tables 80-86'!I121+'NEW-Tables 80-86'!I152</f>
        <v>0</v>
      </c>
      <c r="G213" s="279">
        <f>+GETPIVOTDATA("Sum of New-HS % of Total",'Pivot-HS Student % of Undergrad'!$A$3,"State","WV","Category2","Group3")</f>
        <v>0</v>
      </c>
      <c r="M213" s="222"/>
      <c r="Q213" s="166" t="s">
        <v>718</v>
      </c>
      <c r="R213" s="171">
        <f>+GETPIVOTDATA("Sum of Old-HS % of Total",'Pivot-HS Student % of Undergrad'!$A$3,"State","WV","Category",12,"Category2","Technical")</f>
        <v>0</v>
      </c>
      <c r="S213" s="272">
        <f t="shared" si="37"/>
        <v>0</v>
      </c>
      <c r="T213" s="173">
        <f>+GETPIVOTDATA("Sum of Old-HS % of Total",'Pivot-HS Student % of Undergrad'!$A$3,"State","WV","Category",13,"Category2","Technical")</f>
        <v>0</v>
      </c>
      <c r="U213" s="272">
        <f t="shared" si="38"/>
        <v>0</v>
      </c>
      <c r="V213" s="173">
        <f>+GETPIVOTDATA("Sum of Old-HS % of Total",'Pivot-HS Student % of Undergrad'!$A$3,"State","WV","Category2","Technical")</f>
        <v>0</v>
      </c>
      <c r="W213" s="272">
        <f t="shared" si="39"/>
        <v>0</v>
      </c>
      <c r="X213" s="271"/>
      <c r="Y213" s="300"/>
      <c r="AA213" s="3"/>
      <c r="AB213" s="3"/>
      <c r="AC213" s="304" t="s">
        <v>718</v>
      </c>
      <c r="AD213" s="305">
        <f>+B213</f>
        <v>0</v>
      </c>
      <c r="AE213" s="306">
        <f>+D213</f>
        <v>0</v>
      </c>
      <c r="AF213" s="306">
        <f>+F213</f>
        <v>0</v>
      </c>
      <c r="AG213" s="306"/>
      <c r="AH213" s="236"/>
      <c r="AI213" s="304" t="s">
        <v>718</v>
      </c>
      <c r="AJ213" s="307">
        <f>+'NEW-Tables 80-86'!W121+'NEW-Tables 80-86'!V152</f>
        <v>0</v>
      </c>
      <c r="AK213" s="306">
        <f>+'NEW-Tables 80-86'!X121+'NEW-Tables 80-86'!W152</f>
        <v>0</v>
      </c>
      <c r="AL213" s="306">
        <f>+'NEW-Tables 80-86'!Y121+'NEW-Tables 80-86'!X152</f>
        <v>0</v>
      </c>
      <c r="AO213" s="304" t="s">
        <v>718</v>
      </c>
      <c r="AP213" s="302">
        <f t="shared" si="40"/>
        <v>0</v>
      </c>
      <c r="AQ213" s="302">
        <f t="shared" si="41"/>
        <v>0</v>
      </c>
      <c r="AR213" s="302">
        <f t="shared" si="42"/>
        <v>0</v>
      </c>
      <c r="AT213" s="304" t="s">
        <v>718</v>
      </c>
      <c r="AU213" s="302">
        <f t="shared" si="43"/>
        <v>0</v>
      </c>
      <c r="AV213" s="302">
        <f t="shared" si="44"/>
        <v>0</v>
      </c>
      <c r="AW213" s="302">
        <f t="shared" si="45"/>
        <v>0</v>
      </c>
    </row>
    <row r="214" spans="1:49" ht="57.75" customHeight="1">
      <c r="A214" s="610" t="s">
        <v>882</v>
      </c>
      <c r="B214" s="610"/>
      <c r="C214" s="610"/>
      <c r="D214" s="610"/>
      <c r="E214" s="610"/>
      <c r="F214" s="610"/>
      <c r="G214" s="610"/>
      <c r="H214" s="190"/>
      <c r="I214" s="190"/>
      <c r="M214" s="222"/>
      <c r="AA214" s="3"/>
      <c r="AB214" s="3"/>
      <c r="AC214" s="3"/>
      <c r="AD214" s="3"/>
      <c r="AE214" s="3"/>
      <c r="AF214" s="3"/>
    </row>
    <row r="215" spans="1:49" ht="10.5" customHeight="1">
      <c r="B215" s="221"/>
      <c r="C215" s="221"/>
      <c r="D215" s="221"/>
      <c r="E215" s="221"/>
      <c r="F215" s="221"/>
      <c r="G215" s="179" t="s">
        <v>879</v>
      </c>
      <c r="H215" s="221"/>
      <c r="I215" s="192"/>
      <c r="M215" s="222"/>
      <c r="AA215" s="3"/>
      <c r="AB215" s="3"/>
      <c r="AC215" s="3"/>
      <c r="AD215" s="3"/>
      <c r="AE215" s="3"/>
    </row>
    <row r="216" spans="1:49" ht="13.5" customHeight="1">
      <c r="A216" s="221"/>
      <c r="B216" s="221"/>
      <c r="C216" s="221"/>
      <c r="D216" s="221"/>
      <c r="E216" s="221"/>
      <c r="F216" s="221"/>
      <c r="G216" s="221"/>
      <c r="H216" s="221"/>
      <c r="M216" s="222"/>
      <c r="S216" s="192"/>
    </row>
    <row r="217" spans="1:49" ht="24" customHeight="1">
      <c r="A217" s="308" t="s">
        <v>757</v>
      </c>
      <c r="B217" s="117"/>
      <c r="C217" s="117"/>
      <c r="D217" s="117"/>
      <c r="E217" s="118"/>
      <c r="F217" s="119"/>
      <c r="G217" s="119"/>
      <c r="H217" s="119"/>
      <c r="M217" s="222"/>
      <c r="AK217" s="3"/>
    </row>
    <row r="218" spans="1:49" ht="15.5">
      <c r="A218" s="120"/>
      <c r="B218" s="120"/>
      <c r="C218" s="120"/>
      <c r="D218" s="120"/>
      <c r="E218" s="118"/>
      <c r="F218" s="119"/>
      <c r="G218" s="119"/>
      <c r="H218" s="119"/>
    </row>
    <row r="219" spans="1:49" ht="18" customHeight="1">
      <c r="A219" s="122" t="s">
        <v>722</v>
      </c>
      <c r="B219" s="122"/>
      <c r="C219" s="122"/>
      <c r="D219" s="122"/>
      <c r="E219" s="118"/>
      <c r="F219" s="119"/>
      <c r="G219" s="119"/>
      <c r="H219" s="119"/>
    </row>
    <row r="220" spans="1:49" ht="15.5">
      <c r="A220" s="122" t="s">
        <v>758</v>
      </c>
      <c r="B220" s="122"/>
      <c r="C220" s="122"/>
      <c r="D220" s="122"/>
      <c r="E220" s="118"/>
      <c r="F220" s="119"/>
      <c r="G220" s="119"/>
      <c r="H220" s="119"/>
      <c r="Q220" s="1" t="s">
        <v>683</v>
      </c>
    </row>
    <row r="221" spans="1:49" ht="15.5">
      <c r="A221" s="122" t="s">
        <v>872</v>
      </c>
      <c r="B221" s="122"/>
      <c r="C221" s="122"/>
      <c r="D221" s="122"/>
      <c r="E221" s="118"/>
      <c r="F221" s="119"/>
      <c r="G221" s="119"/>
      <c r="H221" s="119"/>
      <c r="Q221" s="61" t="s">
        <v>759</v>
      </c>
      <c r="R221" s="61"/>
    </row>
    <row r="222" spans="1:49" ht="13">
      <c r="Q222" s="309" t="s">
        <v>760</v>
      </c>
      <c r="R222" s="309"/>
      <c r="S222" s="310"/>
      <c r="T222" s="310"/>
      <c r="U222" s="311"/>
      <c r="V222" s="312" t="s">
        <v>761</v>
      </c>
      <c r="W222" s="310"/>
      <c r="X222" s="310"/>
      <c r="Y222" s="310"/>
      <c r="Z222" s="312" t="s">
        <v>762</v>
      </c>
      <c r="AA222" s="310"/>
      <c r="AB222" s="310"/>
      <c r="AC222" s="310"/>
    </row>
    <row r="223" spans="1:49" ht="39.75" customHeight="1">
      <c r="A223" s="313"/>
      <c r="B223" s="314" t="s">
        <v>675</v>
      </c>
      <c r="C223" s="134"/>
      <c r="D223" s="314" t="s">
        <v>727</v>
      </c>
      <c r="E223" s="132" t="s">
        <v>729</v>
      </c>
      <c r="F223" s="132" t="s">
        <v>728</v>
      </c>
      <c r="G223" s="315" t="s">
        <v>729</v>
      </c>
      <c r="H223" s="139" t="s">
        <v>5</v>
      </c>
      <c r="I223" s="316"/>
      <c r="Q223" s="317"/>
      <c r="R223" s="317" t="s">
        <v>675</v>
      </c>
      <c r="S223" s="317" t="s">
        <v>727</v>
      </c>
      <c r="T223" s="318" t="s">
        <v>728</v>
      </c>
      <c r="U223" s="319" t="s">
        <v>763</v>
      </c>
      <c r="V223" s="320" t="s">
        <v>675</v>
      </c>
      <c r="W223" s="317" t="s">
        <v>727</v>
      </c>
      <c r="X223" s="318" t="s">
        <v>728</v>
      </c>
      <c r="Y223" s="318" t="s">
        <v>763</v>
      </c>
      <c r="Z223" s="320" t="s">
        <v>675</v>
      </c>
      <c r="AA223" s="317" t="s">
        <v>727</v>
      </c>
      <c r="AB223" s="318" t="s">
        <v>728</v>
      </c>
      <c r="AC223" s="318" t="s">
        <v>763</v>
      </c>
    </row>
    <row r="224" spans="1:49" ht="11.25" customHeight="1">
      <c r="A224" s="1" t="s">
        <v>695</v>
      </c>
      <c r="B224" s="145">
        <f>+GETPIVOTDATA("Sum of New Grand Total FTE",'FTE Pivot for regular counts'!$A$2,"Category2","Four-Year")</f>
        <v>2186121.8110833336</v>
      </c>
      <c r="D224" s="159">
        <f>+GETPIVOTDATA("Sum of New Grand Total FTE",'FTE Pivot for regular counts'!$A$2,"Category2","Two-Year")</f>
        <v>1407453.4305555555</v>
      </c>
      <c r="F224" s="321">
        <f>+GETPIVOTDATA("Sum of New Grand Total FTE",'FTE Pivot for regular counts'!$A$2,"Category2","Technical")</f>
        <v>115990.47666666668</v>
      </c>
      <c r="G224" s="322"/>
      <c r="H224" s="230">
        <f>+F224+D224+B224</f>
        <v>3709565.7183055556</v>
      </c>
      <c r="Q224" s="1" t="s">
        <v>695</v>
      </c>
      <c r="R224" s="145">
        <f>+GETPIVOTDATA("Sum of Old Grand Total FTE",'FTE Pivot for regular counts'!$A$2,"Category2","Four-Year")</f>
        <v>2157832.0085</v>
      </c>
      <c r="S224" s="159">
        <f>+GETPIVOTDATA("Sum of Old Grand Total FTE",'FTE Pivot for regular counts'!$A$2,"Category2","Two-Year")</f>
        <v>1474349.4577777779</v>
      </c>
      <c r="T224" s="159">
        <f>+GETPIVOTDATA("Sum of Old Grand Total FTE",'FTE Pivot for regular counts'!$A$2,"Category2","Technical")</f>
        <v>116713.54456666668</v>
      </c>
      <c r="U224" s="323">
        <f>SUM(R224:T224)</f>
        <v>3748895.0108444449</v>
      </c>
      <c r="V224" s="324">
        <f>+B224-R224</f>
        <v>28289.802583333571</v>
      </c>
      <c r="W224" s="325">
        <f>+D224-S224</f>
        <v>-66896.027222222416</v>
      </c>
      <c r="X224" s="325">
        <f>+F224-T224</f>
        <v>-723.06789999999455</v>
      </c>
      <c r="Y224" s="325">
        <f>+H224-U224</f>
        <v>-39329.292538889218</v>
      </c>
      <c r="Z224" s="326">
        <f>(B224-R224)/R224</f>
        <v>1.3110289620274475E-2</v>
      </c>
      <c r="AA224" s="327">
        <f>(D224-S224)/S224</f>
        <v>-4.5373250466040703E-2</v>
      </c>
      <c r="AB224" s="327">
        <f t="shared" ref="AB224:AB241" si="46">IF(T224&gt;0,((F224-T224)/T224),)</f>
        <v>-6.1952355460079336E-3</v>
      </c>
      <c r="AC224" s="327">
        <f>(H224-U224)/U224</f>
        <v>-1.0490902632674749E-2</v>
      </c>
      <c r="AI224" s="271"/>
      <c r="AJ224" s="271"/>
      <c r="AK224" s="271"/>
      <c r="AL224" s="271"/>
    </row>
    <row r="225" spans="1:38" ht="15" customHeight="1">
      <c r="B225" s="159"/>
      <c r="D225" s="159"/>
      <c r="F225" s="159"/>
      <c r="G225" s="322"/>
      <c r="H225" s="159"/>
      <c r="R225" s="159"/>
      <c r="S225" s="159"/>
      <c r="T225" s="159"/>
      <c r="U225" s="159"/>
      <c r="V225" s="324"/>
      <c r="W225" s="325"/>
      <c r="X225" s="325"/>
      <c r="Y225" s="325"/>
      <c r="Z225" s="326"/>
      <c r="AA225" s="327"/>
      <c r="AB225" s="327">
        <f t="shared" si="46"/>
        <v>0</v>
      </c>
      <c r="AC225" s="327"/>
      <c r="AI225" s="271"/>
      <c r="AJ225" s="271"/>
      <c r="AK225" s="271"/>
      <c r="AL225" s="271"/>
    </row>
    <row r="226" spans="1:38" ht="13.5" customHeight="1">
      <c r="A226" s="1" t="s">
        <v>703</v>
      </c>
      <c r="B226" s="159">
        <f>+GETPIVOTDATA("Sum of New Grand Total FTE",'FTE Pivot for regular counts'!$A$2,"State","AL","Category2","Four-Year")</f>
        <v>144646.89166666666</v>
      </c>
      <c r="D226" s="159">
        <f>+GETPIVOTDATA("Sum of New Grand Total FTE",'FTE Pivot for regular counts'!$A$2,"State","AL","Category2","Two-Year")</f>
        <v>51303.566666666666</v>
      </c>
      <c r="F226" s="321">
        <f>+GETPIVOTDATA("Sum of New Grand Total FTE",'FTE Pivot for regular counts'!$A$2,"State","AL","Category2","Technical")</f>
        <v>2597.1333333333332</v>
      </c>
      <c r="G226" s="322"/>
      <c r="H226" s="230">
        <f t="shared" ref="H226:H241" si="47">+F226+D226+B226</f>
        <v>198547.59166666667</v>
      </c>
      <c r="Q226" s="1" t="s">
        <v>703</v>
      </c>
      <c r="R226" s="159">
        <f>+GETPIVOTDATA("Sum of Old Grand Total FTE",'FTE Pivot for regular counts'!$A$2,"State","AL","Category2","Four-Year")</f>
        <v>143682.71666666665</v>
      </c>
      <c r="S226" s="159">
        <f>+GETPIVOTDATA("Sum of Old Grand Total FTE",'FTE Pivot for regular counts'!$A$2,"State","AL","Category2","Two-Year")</f>
        <v>55877.9</v>
      </c>
      <c r="T226" s="159">
        <f>+GETPIVOTDATA("Sum of Old Grand Total FTE",'FTE Pivot for regular counts'!$A$2,"State","AL","Category2","Technical")</f>
        <v>2981.7333333333336</v>
      </c>
      <c r="U226" s="328">
        <f t="shared" ref="U226:U241" si="48">SUM(R226:T226)</f>
        <v>202542.34999999998</v>
      </c>
      <c r="V226" s="324">
        <f t="shared" ref="V226:V241" si="49">+B226-R226</f>
        <v>964.17500000001746</v>
      </c>
      <c r="W226" s="325">
        <f t="shared" ref="W226:W241" si="50">+D226-S226</f>
        <v>-4574.3333333333358</v>
      </c>
      <c r="X226" s="325">
        <f t="shared" ref="X226:X241" si="51">+F226-T226</f>
        <v>-384.60000000000036</v>
      </c>
      <c r="Y226" s="325">
        <f t="shared" ref="Y226:Y241" si="52">+H226-U226</f>
        <v>-3994.7583333333023</v>
      </c>
      <c r="Z226" s="326">
        <f t="shared" ref="Z226:Z241" si="53">(B226-R226)/R226</f>
        <v>6.7104452252029221E-3</v>
      </c>
      <c r="AA226" s="327">
        <f t="shared" ref="AA226:AA241" si="54">(D226-S226)/S226</f>
        <v>-8.1863014417745406E-2</v>
      </c>
      <c r="AB226" s="327">
        <f t="shared" si="46"/>
        <v>-0.12898537763269699</v>
      </c>
      <c r="AC226" s="327">
        <f t="shared" ref="AC226:AC241" si="55">(H226-U226)/U226</f>
        <v>-1.972307684458733E-2</v>
      </c>
      <c r="AI226" s="271"/>
      <c r="AJ226" s="271"/>
      <c r="AK226" s="271"/>
      <c r="AL226" s="271"/>
    </row>
    <row r="227" spans="1:38" ht="15" customHeight="1">
      <c r="A227" s="1" t="s">
        <v>704</v>
      </c>
      <c r="B227" s="159">
        <f>+GETPIVOTDATA("Sum of New Grand Total FTE",'FTE Pivot for regular counts'!$A$2,"State","AR","Category2","Four-Year")</f>
        <v>79391.28333333334</v>
      </c>
      <c r="D227" s="159">
        <f>+GETPIVOTDATA("Sum of New Grand Total FTE",'FTE Pivot for regular counts'!$A$2,"State","AR","Category2","Two-Year")</f>
        <v>29249.5</v>
      </c>
      <c r="F227" s="321">
        <f>+GETPIVOTDATA("Sum of New Grand Total FTE",'FTE Pivot for regular counts'!$A$2,"State","AR","Category2","Technical")</f>
        <v>0</v>
      </c>
      <c r="G227" s="322"/>
      <c r="H227" s="230">
        <f t="shared" si="47"/>
        <v>108640.78333333334</v>
      </c>
      <c r="Q227" s="1" t="s">
        <v>704</v>
      </c>
      <c r="R227" s="159">
        <f>+GETPIVOTDATA("Sum of Old Grand Total FTE",'FTE Pivot for regular counts'!$A$2,"State","AR","Category2","Four-Year")</f>
        <v>81346.833333333343</v>
      </c>
      <c r="S227" s="159">
        <f>+GETPIVOTDATA("Sum of Old Grand Total FTE",'FTE Pivot for regular counts'!$A$2,"State","AR","Category2","Two-Year")</f>
        <v>30953.76666666667</v>
      </c>
      <c r="T227" s="159">
        <f>+GETPIVOTDATA("Sum of Old Grand Total FTE",'FTE Pivot for regular counts'!$A$2,"State","AR","Category2","Technical")</f>
        <v>0</v>
      </c>
      <c r="U227" s="328">
        <f t="shared" si="48"/>
        <v>112300.6</v>
      </c>
      <c r="V227" s="324">
        <f t="shared" si="49"/>
        <v>-1955.5500000000029</v>
      </c>
      <c r="W227" s="325">
        <f t="shared" si="50"/>
        <v>-1704.2666666666701</v>
      </c>
      <c r="X227" s="325">
        <f t="shared" si="51"/>
        <v>0</v>
      </c>
      <c r="Y227" s="325">
        <f t="shared" si="52"/>
        <v>-3659.8166666666657</v>
      </c>
      <c r="Z227" s="326">
        <f t="shared" si="53"/>
        <v>-2.403965735195596E-2</v>
      </c>
      <c r="AA227" s="327">
        <f t="shared" si="54"/>
        <v>-5.5058458152104368E-2</v>
      </c>
      <c r="AB227" s="327">
        <f t="shared" si="46"/>
        <v>0</v>
      </c>
      <c r="AC227" s="327">
        <f t="shared" si="55"/>
        <v>-3.2589466722944181E-2</v>
      </c>
      <c r="AI227" s="271"/>
      <c r="AJ227" s="271"/>
      <c r="AK227" s="271"/>
      <c r="AL227" s="271"/>
    </row>
    <row r="228" spans="1:38" ht="15" customHeight="1">
      <c r="A228" s="1" t="s">
        <v>705</v>
      </c>
      <c r="B228" s="159">
        <f>+GETPIVOTDATA("Sum of New Grand Total FTE",'FTE Pivot for regular counts'!$A$2,"State","DE","Category2","Four-Year")</f>
        <v>27909.01666666667</v>
      </c>
      <c r="D228" s="159">
        <f>+GETPIVOTDATA("Sum of New Grand Total FTE",'FTE Pivot for regular counts'!$A$2,"State","DE","Category2","Two-Year")</f>
        <v>8302.7000000000007</v>
      </c>
      <c r="F228" s="321">
        <f>+GETPIVOTDATA("Sum of New Grand Total FTE",'FTE Pivot for regular counts'!$A$2,"State","DE","Category2","Technical")</f>
        <v>0</v>
      </c>
      <c r="G228" s="322"/>
      <c r="H228" s="230">
        <f t="shared" si="47"/>
        <v>36211.716666666674</v>
      </c>
      <c r="Q228" s="1" t="s">
        <v>705</v>
      </c>
      <c r="R228" s="159">
        <f>+GETPIVOTDATA("Sum of Old Grand Total FTE",'FTE Pivot for regular counts'!$A$2,"State","DE","Category2","Four-Year")</f>
        <v>27711.35833333333</v>
      </c>
      <c r="S228" s="159">
        <f>+GETPIVOTDATA("Sum of Old Grand Total FTE",'FTE Pivot for regular counts'!$A$2,"State","DE","Category2","Two-Year")</f>
        <v>8659.5666666666675</v>
      </c>
      <c r="T228" s="159">
        <f>+GETPIVOTDATA("Sum of Old Grand Total FTE",'FTE Pivot for regular counts'!$A$2,"State","DE","Category2","Technical")</f>
        <v>0</v>
      </c>
      <c r="U228" s="328">
        <f t="shared" si="48"/>
        <v>36370.924999999996</v>
      </c>
      <c r="V228" s="324">
        <f t="shared" si="49"/>
        <v>197.65833333334012</v>
      </c>
      <c r="W228" s="325">
        <f t="shared" si="50"/>
        <v>-356.86666666666679</v>
      </c>
      <c r="X228" s="325">
        <f t="shared" si="51"/>
        <v>0</v>
      </c>
      <c r="Y228" s="325">
        <f t="shared" si="52"/>
        <v>-159.20833333332121</v>
      </c>
      <c r="Z228" s="326">
        <f t="shared" si="53"/>
        <v>7.1327551307934856E-3</v>
      </c>
      <c r="AA228" s="327">
        <f t="shared" si="54"/>
        <v>-4.1210684137389486E-2</v>
      </c>
      <c r="AB228" s="327">
        <f t="shared" si="46"/>
        <v>0</v>
      </c>
      <c r="AC228" s="327">
        <f t="shared" si="55"/>
        <v>-4.3773517812186859E-3</v>
      </c>
      <c r="AI228" s="271"/>
      <c r="AJ228" s="271"/>
      <c r="AK228" s="271"/>
      <c r="AL228" s="271"/>
    </row>
    <row r="229" spans="1:38" ht="15" customHeight="1">
      <c r="A229" s="1" t="s">
        <v>706</v>
      </c>
      <c r="B229" s="159">
        <f>+GETPIVOTDATA("Sum of New Grand Total FTE",'FTE Pivot for regular counts'!$A$2,"State","FL","Category2","Four-Year")</f>
        <v>0</v>
      </c>
      <c r="D229" s="159">
        <f>+GETPIVOTDATA("Sum of New Grand Total FTE",'FTE Pivot for regular counts'!$A$2,"State","FL","Category2","Two-Year")</f>
        <v>306797.25555555552</v>
      </c>
      <c r="F229" s="321">
        <f>+GETPIVOTDATA("Sum of New Grand Total FTE",'FTE Pivot for regular counts'!$A$2,"State","FL","Category2","Technical")</f>
        <v>0</v>
      </c>
      <c r="G229" s="322"/>
      <c r="H229" s="230">
        <f t="shared" si="47"/>
        <v>306797.25555555552</v>
      </c>
      <c r="Q229" s="1" t="s">
        <v>706</v>
      </c>
      <c r="R229" s="159">
        <f>+GETPIVOTDATA("Sum of Old Grand Total FTE",'FTE Pivot for regular counts'!$A$2,"State","FL","Category2","Four-Year")</f>
        <v>0</v>
      </c>
      <c r="S229" s="159">
        <f>+GETPIVOTDATA("Sum of Old Grand Total FTE",'FTE Pivot for regular counts'!$A$2,"State","FL","Category2","Two-Year")</f>
        <v>320467.47888888896</v>
      </c>
      <c r="T229" s="159">
        <f>+GETPIVOTDATA("Sum of Old Grand Total FTE",'FTE Pivot for regular counts'!$A$2,"State","FL","Category2","Technical")</f>
        <v>0</v>
      </c>
      <c r="U229" s="328">
        <f t="shared" si="48"/>
        <v>320467.47888888896</v>
      </c>
      <c r="V229" s="324">
        <f t="shared" si="49"/>
        <v>0</v>
      </c>
      <c r="W229" s="325">
        <f t="shared" si="50"/>
        <v>-13670.223333333444</v>
      </c>
      <c r="X229" s="325">
        <f t="shared" si="51"/>
        <v>0</v>
      </c>
      <c r="Y229" s="325">
        <f t="shared" si="52"/>
        <v>-13670.223333333444</v>
      </c>
      <c r="Z229" s="326" t="e">
        <f t="shared" si="53"/>
        <v>#DIV/0!</v>
      </c>
      <c r="AA229" s="327">
        <f t="shared" si="54"/>
        <v>-4.2657131328053176E-2</v>
      </c>
      <c r="AB229" s="327">
        <f t="shared" si="46"/>
        <v>0</v>
      </c>
      <c r="AC229" s="327">
        <f t="shared" si="55"/>
        <v>-4.2657131328053176E-2</v>
      </c>
      <c r="AI229" s="271"/>
      <c r="AJ229" s="271"/>
      <c r="AK229" s="271"/>
      <c r="AL229" s="271"/>
    </row>
    <row r="230" spans="1:38" ht="15" customHeight="1">
      <c r="A230" s="1" t="s">
        <v>707</v>
      </c>
      <c r="B230" s="159">
        <f>+GETPIVOTDATA("Sum of New Grand Total FTE",'FTE Pivot for regular counts'!$A$2,"State","GA","Category2","Four-Year")</f>
        <v>288605.06566666666</v>
      </c>
      <c r="D230" s="159">
        <f>+GETPIVOTDATA("Sum of New Grand Total FTE",'FTE Pivot for regular counts'!$A$2,"State","GA","Category2","Two-Year")</f>
        <v>9231.1</v>
      </c>
      <c r="F230" s="321">
        <f>+GETPIVOTDATA("Sum of New Grand Total FTE",'FTE Pivot for regular counts'!$A$2,"State","GA","Category2","Technical")</f>
        <v>65212.350000000013</v>
      </c>
      <c r="G230" s="322"/>
      <c r="H230" s="230">
        <f t="shared" si="47"/>
        <v>363048.51566666667</v>
      </c>
      <c r="Q230" s="1" t="s">
        <v>707</v>
      </c>
      <c r="R230" s="159">
        <f>+GETPIVOTDATA("Sum of Old Grand Total FTE",'FTE Pivot for regular counts'!$A$2,"State","GA","Category2","Four-Year")</f>
        <v>282872.40100000001</v>
      </c>
      <c r="S230" s="159">
        <f>+GETPIVOTDATA("Sum of Old Grand Total FTE",'FTE Pivot for regular counts'!$A$2,"State","GA","Category2","Two-Year")</f>
        <v>10092.666666666666</v>
      </c>
      <c r="T230" s="159">
        <f>+GETPIVOTDATA("Sum of Old Grand Total FTE",'FTE Pivot for regular counts'!$A$2,"State","GA","Category2","Technical")</f>
        <v>67961.233333333337</v>
      </c>
      <c r="U230" s="328">
        <f t="shared" si="48"/>
        <v>360926.30100000004</v>
      </c>
      <c r="V230" s="324">
        <f t="shared" si="49"/>
        <v>5732.6646666666493</v>
      </c>
      <c r="W230" s="325">
        <f t="shared" si="50"/>
        <v>-861.5666666666657</v>
      </c>
      <c r="X230" s="325">
        <f t="shared" si="51"/>
        <v>-2748.8833333333241</v>
      </c>
      <c r="Y230" s="325">
        <f t="shared" si="52"/>
        <v>2122.2146666666376</v>
      </c>
      <c r="Z230" s="326">
        <f t="shared" si="53"/>
        <v>2.0265903094118569E-2</v>
      </c>
      <c r="AA230" s="327">
        <f t="shared" si="54"/>
        <v>-8.5365611995508198E-2</v>
      </c>
      <c r="AB230" s="327">
        <f t="shared" si="46"/>
        <v>-4.0447814121481865E-2</v>
      </c>
      <c r="AC230" s="327">
        <f t="shared" si="55"/>
        <v>5.8799113857502935E-3</v>
      </c>
      <c r="AI230" s="271"/>
      <c r="AJ230" s="271"/>
      <c r="AK230" s="271"/>
      <c r="AL230" s="271"/>
    </row>
    <row r="231" spans="1:38" ht="15" customHeight="1">
      <c r="A231" s="1" t="s">
        <v>708</v>
      </c>
      <c r="B231" s="159">
        <f>+GETPIVOTDATA("Sum of New Grand Total FTE",'FTE Pivot for regular counts'!$A$2,"State","KY","Category2","Four-Year")</f>
        <v>94954.674999999988</v>
      </c>
      <c r="D231" s="159">
        <f>+GETPIVOTDATA("Sum of New Grand Total FTE",'FTE Pivot for regular counts'!$A$2,"State","KY","Category2","Two-Year")</f>
        <v>37544.333333333328</v>
      </c>
      <c r="F231" s="321">
        <f>+GETPIVOTDATA("Sum of New Grand Total FTE",'FTE Pivot for regular counts'!$A$2,"State","KY","Category2","Technical")</f>
        <v>5040.7</v>
      </c>
      <c r="G231" s="322"/>
      <c r="H231" s="230">
        <f t="shared" si="47"/>
        <v>137539.70833333331</v>
      </c>
      <c r="Q231" s="1" t="s">
        <v>708</v>
      </c>
      <c r="R231" s="159">
        <f>+GETPIVOTDATA("Sum of Old Grand Total FTE",'FTE Pivot for regular counts'!$A$2,"State","KY","Category2","Four-Year")</f>
        <v>90757.89999999998</v>
      </c>
      <c r="S231" s="159">
        <f>+GETPIVOTDATA("Sum of Old Grand Total FTE",'FTE Pivot for regular counts'!$A$2,"State","KY","Category2","Two-Year")</f>
        <v>39175.613333333335</v>
      </c>
      <c r="T231" s="159">
        <f>+GETPIVOTDATA("Sum of Old Grand Total FTE",'FTE Pivot for regular counts'!$A$2,"State","KY","Category2","Technical")</f>
        <v>5150.6966666666667</v>
      </c>
      <c r="U231" s="328">
        <f t="shared" si="48"/>
        <v>135084.20999999996</v>
      </c>
      <c r="V231" s="324">
        <f t="shared" si="49"/>
        <v>4196.7750000000087</v>
      </c>
      <c r="W231" s="325">
        <f t="shared" si="50"/>
        <v>-1631.2800000000061</v>
      </c>
      <c r="X231" s="325">
        <f t="shared" si="51"/>
        <v>-109.9966666666669</v>
      </c>
      <c r="Y231" s="325">
        <f t="shared" si="52"/>
        <v>2455.4983333333512</v>
      </c>
      <c r="Z231" s="326">
        <f t="shared" si="53"/>
        <v>4.6241429120770859E-2</v>
      </c>
      <c r="AA231" s="327">
        <f t="shared" si="54"/>
        <v>-4.1640190445008288E-2</v>
      </c>
      <c r="AB231" s="327">
        <f t="shared" si="46"/>
        <v>-2.1355687159471677E-2</v>
      </c>
      <c r="AC231" s="327">
        <f t="shared" si="55"/>
        <v>1.8177537799076233E-2</v>
      </c>
      <c r="AI231" s="271"/>
      <c r="AJ231" s="271"/>
      <c r="AK231" s="271"/>
      <c r="AL231" s="271"/>
    </row>
    <row r="232" spans="1:38" ht="15" customHeight="1">
      <c r="A232" s="1" t="s">
        <v>709</v>
      </c>
      <c r="B232" s="159">
        <f>+GETPIVOTDATA("Sum of New Grand Total FTE",'FTE Pivot for regular counts'!$A$2,"State","LA","Category2","Four-Year")</f>
        <v>123639.00833333333</v>
      </c>
      <c r="D232" s="159">
        <f>+GETPIVOTDATA("Sum of New Grand Total FTE",'FTE Pivot for regular counts'!$A$2,"State","LA","Category2","Two-Year")</f>
        <v>33661.700000000004</v>
      </c>
      <c r="F232" s="321">
        <f>+GETPIVOTDATA("Sum of New Grand Total FTE",'FTE Pivot for regular counts'!$A$2,"State","LA","Category2","Technical")</f>
        <v>8178.9333333333325</v>
      </c>
      <c r="G232" s="322"/>
      <c r="H232" s="230">
        <f t="shared" si="47"/>
        <v>165479.64166666666</v>
      </c>
      <c r="Q232" s="1" t="s">
        <v>709</v>
      </c>
      <c r="R232" s="159">
        <f>+GETPIVOTDATA("Sum of Old Grand Total FTE",'FTE Pivot for regular counts'!$A$2,"State","LA","Category2","Four-Year")</f>
        <v>121465.32916666666</v>
      </c>
      <c r="S232" s="159">
        <f>+GETPIVOTDATA("Sum of Old Grand Total FTE",'FTE Pivot for regular counts'!$A$2,"State","LA","Category2","Two-Year")</f>
        <v>34753.283333333333</v>
      </c>
      <c r="T232" s="159">
        <f>+GETPIVOTDATA("Sum of Old Grand Total FTE",'FTE Pivot for regular counts'!$A$2,"State","LA","Category2","Technical")</f>
        <v>8711.15</v>
      </c>
      <c r="U232" s="328">
        <f t="shared" si="48"/>
        <v>164929.76249999998</v>
      </c>
      <c r="V232" s="324">
        <f t="shared" si="49"/>
        <v>2173.6791666666686</v>
      </c>
      <c r="W232" s="325">
        <f t="shared" si="50"/>
        <v>-1091.5833333333285</v>
      </c>
      <c r="X232" s="325">
        <f t="shared" si="51"/>
        <v>-532.21666666666715</v>
      </c>
      <c r="Y232" s="325">
        <f t="shared" si="52"/>
        <v>549.87916666668025</v>
      </c>
      <c r="Z232" s="326">
        <f t="shared" si="53"/>
        <v>1.7895470103111401E-2</v>
      </c>
      <c r="AA232" s="327">
        <f t="shared" si="54"/>
        <v>-3.1409502315608413E-2</v>
      </c>
      <c r="AB232" s="327">
        <f t="shared" si="46"/>
        <v>-6.1096028270282016E-2</v>
      </c>
      <c r="AC232" s="327">
        <f t="shared" si="55"/>
        <v>3.3340202418995196E-3</v>
      </c>
      <c r="AI232" s="271"/>
      <c r="AJ232" s="271"/>
      <c r="AK232" s="271"/>
      <c r="AL232" s="271"/>
    </row>
    <row r="233" spans="1:38" ht="15" customHeight="1">
      <c r="A233" s="1" t="s">
        <v>710</v>
      </c>
      <c r="B233" s="159">
        <f>+GETPIVOTDATA("Sum of New Grand Total FTE",'FTE Pivot for regular counts'!$A$2,"State","MD","Category2","Four-Year")</f>
        <v>101793.50833333333</v>
      </c>
      <c r="D233" s="159">
        <f>+GETPIVOTDATA("Sum of New Grand Total FTE",'FTE Pivot for regular counts'!$A$2,"State","MD","Category2","Two-Year")</f>
        <v>82699.34166666666</v>
      </c>
      <c r="F233" s="321">
        <f>+GETPIVOTDATA("Sum of New Grand Total FTE",'FTE Pivot for regular counts'!$A$2,"State","MD","Category2","Technical")</f>
        <v>0</v>
      </c>
      <c r="G233" s="322"/>
      <c r="H233" s="230">
        <f t="shared" si="47"/>
        <v>184492.84999999998</v>
      </c>
      <c r="Q233" s="1" t="s">
        <v>710</v>
      </c>
      <c r="R233" s="159">
        <f>+GETPIVOTDATA("Sum of Old Grand Total FTE",'FTE Pivot for regular counts'!$A$2,"State","MD","Category2","Four-Year")</f>
        <v>103004.30833333333</v>
      </c>
      <c r="S233" s="159">
        <f>+GETPIVOTDATA("Sum of Old Grand Total FTE",'FTE Pivot for regular counts'!$A$2,"State","MD","Category2","Two-Year")</f>
        <v>83680.583333333328</v>
      </c>
      <c r="T233" s="159">
        <f>+GETPIVOTDATA("Sum of Old Grand Total FTE",'FTE Pivot for regular counts'!$A$2,"State","MD","Category2","Technical")</f>
        <v>0</v>
      </c>
      <c r="U233" s="328">
        <f t="shared" si="48"/>
        <v>186684.89166666666</v>
      </c>
      <c r="V233" s="324">
        <f t="shared" si="49"/>
        <v>-1210.8000000000029</v>
      </c>
      <c r="W233" s="325">
        <f t="shared" si="50"/>
        <v>-981.24166666666861</v>
      </c>
      <c r="X233" s="325">
        <f t="shared" si="51"/>
        <v>0</v>
      </c>
      <c r="Y233" s="325">
        <f t="shared" si="52"/>
        <v>-2192.0416666666861</v>
      </c>
      <c r="Z233" s="326">
        <f t="shared" si="53"/>
        <v>-1.175484811840802E-2</v>
      </c>
      <c r="AA233" s="327">
        <f t="shared" si="54"/>
        <v>-1.1726037601315343E-2</v>
      </c>
      <c r="AB233" s="327">
        <f t="shared" si="46"/>
        <v>0</v>
      </c>
      <c r="AC233" s="327">
        <f t="shared" si="55"/>
        <v>-1.1741933946002786E-2</v>
      </c>
      <c r="AI233" s="271"/>
      <c r="AJ233" s="271"/>
      <c r="AK233" s="271"/>
      <c r="AL233" s="271"/>
    </row>
    <row r="234" spans="1:38" ht="15" customHeight="1">
      <c r="A234" s="1" t="s">
        <v>711</v>
      </c>
      <c r="B234" s="159">
        <f>+GETPIVOTDATA("Sum of New Grand Total FTE",'FTE Pivot for regular counts'!$A$2,"State","MS","Category2","Four-Year")</f>
        <v>69980.05</v>
      </c>
      <c r="D234" s="159">
        <f>+GETPIVOTDATA("Sum of New Grand Total FTE",'FTE Pivot for regular counts'!$A$2,"State","MS","Category2","Two-Year")</f>
        <v>0</v>
      </c>
      <c r="F234" s="321">
        <f>+GETPIVOTDATA("Sum of New Grand Total FTE",'FTE Pivot for regular counts'!$A$2,"State","MS","Category2","Technical")</f>
        <v>0</v>
      </c>
      <c r="G234" s="322"/>
      <c r="H234" s="230">
        <f t="shared" si="47"/>
        <v>69980.05</v>
      </c>
      <c r="Q234" s="1" t="s">
        <v>711</v>
      </c>
      <c r="R234" s="159">
        <f>+GETPIVOTDATA("Sum of Old Grand Total FTE",'FTE Pivot for regular counts'!$A$2,"State","MS","Category2","Four-Year")</f>
        <v>70794.144166666665</v>
      </c>
      <c r="S234" s="159">
        <f>+GETPIVOTDATA("Sum of Old Grand Total FTE",'FTE Pivot for regular counts'!$A$2,"State","MS","Category2","Two-Year")</f>
        <v>0</v>
      </c>
      <c r="T234" s="159">
        <f>+GETPIVOTDATA("Sum of Old Grand Total FTE",'FTE Pivot for regular counts'!$A$2,"State","MS","Category2","Technical")</f>
        <v>0</v>
      </c>
      <c r="U234" s="328">
        <f t="shared" si="48"/>
        <v>70794.144166666665</v>
      </c>
      <c r="V234" s="324">
        <f t="shared" si="49"/>
        <v>-814.0941666666622</v>
      </c>
      <c r="W234" s="325">
        <f t="shared" si="50"/>
        <v>0</v>
      </c>
      <c r="X234" s="325">
        <f t="shared" si="51"/>
        <v>0</v>
      </c>
      <c r="Y234" s="325">
        <f t="shared" si="52"/>
        <v>-814.0941666666622</v>
      </c>
      <c r="Z234" s="326">
        <f t="shared" si="53"/>
        <v>-1.1499456293307059E-2</v>
      </c>
      <c r="AA234" s="327" t="e">
        <f t="shared" si="54"/>
        <v>#DIV/0!</v>
      </c>
      <c r="AB234" s="327">
        <f t="shared" si="46"/>
        <v>0</v>
      </c>
      <c r="AC234" s="327">
        <f t="shared" si="55"/>
        <v>-1.1499456293307059E-2</v>
      </c>
      <c r="AI234" s="271"/>
      <c r="AJ234" s="271"/>
      <c r="AK234" s="271"/>
      <c r="AL234" s="271"/>
    </row>
    <row r="235" spans="1:38" ht="12" customHeight="1">
      <c r="A235" s="1" t="s">
        <v>712</v>
      </c>
      <c r="B235" s="159">
        <f>+GETPIVOTDATA("Sum of New Grand Total FTE",'FTE Pivot for regular counts'!$A$2,"State","NC","Category2","Four-Year")</f>
        <v>216356.58124999996</v>
      </c>
      <c r="D235" s="159">
        <f>+GETPIVOTDATA("Sum of New Grand Total FTE",'FTE Pivot for regular counts'!$A$2,"State","NC","Category2","Two-Year")</f>
        <v>173510.29888888888</v>
      </c>
      <c r="F235" s="321">
        <f>+GETPIVOTDATA("Sum of New Grand Total FTE",'FTE Pivot for regular counts'!$A$2,"State","NC","Category2","Technical")</f>
        <v>0</v>
      </c>
      <c r="G235" s="322"/>
      <c r="H235" s="230">
        <f t="shared" si="47"/>
        <v>389866.88013888884</v>
      </c>
      <c r="Q235" s="1" t="s">
        <v>712</v>
      </c>
      <c r="R235" s="159">
        <f>+GETPIVOTDATA("Sum of Old Grand Total FTE",'FTE Pivot for regular counts'!$A$2,"State","NC","Category2","Four-Year")</f>
        <v>213723.40416666665</v>
      </c>
      <c r="S235" s="159">
        <f>+GETPIVOTDATA("Sum of Old Grand Total FTE",'FTE Pivot for regular counts'!$A$2,"State","NC","Category2","Two-Year")</f>
        <v>182868.4133333333</v>
      </c>
      <c r="T235" s="159">
        <f>+GETPIVOTDATA("Sum of Old Grand Total FTE",'FTE Pivot for regular counts'!$A$2,"State","NC","Category2","Technical")</f>
        <v>0</v>
      </c>
      <c r="U235" s="328">
        <f t="shared" si="48"/>
        <v>396591.81749999995</v>
      </c>
      <c r="V235" s="324">
        <f t="shared" si="49"/>
        <v>2633.1770833333139</v>
      </c>
      <c r="W235" s="325">
        <f t="shared" si="50"/>
        <v>-9358.1144444444217</v>
      </c>
      <c r="X235" s="325">
        <f t="shared" si="51"/>
        <v>0</v>
      </c>
      <c r="Y235" s="325">
        <f t="shared" si="52"/>
        <v>-6724.9373611111077</v>
      </c>
      <c r="Z235" s="326">
        <f t="shared" si="53"/>
        <v>1.2320490091388865E-2</v>
      </c>
      <c r="AA235" s="327">
        <f t="shared" si="54"/>
        <v>-5.1174034235132844E-2</v>
      </c>
      <c r="AB235" s="327">
        <f t="shared" si="46"/>
        <v>0</v>
      </c>
      <c r="AC235" s="327">
        <f t="shared" si="55"/>
        <v>-1.695682327361963E-2</v>
      </c>
      <c r="AI235" s="271"/>
      <c r="AJ235" s="271"/>
      <c r="AK235" s="271"/>
      <c r="AL235" s="271"/>
    </row>
    <row r="236" spans="1:38" ht="15" customHeight="1">
      <c r="A236" s="1" t="s">
        <v>713</v>
      </c>
      <c r="B236" s="159">
        <f>+GETPIVOTDATA("Sum of New Grand Total FTE",'FTE Pivot for regular counts'!$A$2,"State","OK","Category2","Four-Year")</f>
        <v>0</v>
      </c>
      <c r="D236" s="159">
        <f>+GETPIVOTDATA("Sum of New Grand Total FTE",'FTE Pivot for regular counts'!$A$2,"State","OK","Category2","Two-Year")</f>
        <v>0</v>
      </c>
      <c r="F236" s="321">
        <f>+GETPIVOTDATA("Sum of New Grand Total FTE",'FTE Pivot for regular counts'!$A$2,"State","OK","Category2","Technical")</f>
        <v>22330.491111111107</v>
      </c>
      <c r="G236" s="322"/>
      <c r="H236" s="230">
        <f t="shared" si="47"/>
        <v>22330.491111111107</v>
      </c>
      <c r="Q236" s="1" t="s">
        <v>713</v>
      </c>
      <c r="R236" s="159">
        <f>+GETPIVOTDATA("Sum of Old Grand Total FTE",'FTE Pivot for regular counts'!$A$2,"State","OK","Category2","Four-Year")</f>
        <v>0</v>
      </c>
      <c r="S236" s="159">
        <f>+GETPIVOTDATA("Sum of Old Grand Total FTE",'FTE Pivot for regular counts'!$A$2,"State","OK","Category2","Two-Year")</f>
        <v>0</v>
      </c>
      <c r="T236" s="145">
        <f>+GETPIVOTDATA("Sum of Old Grand Total FTE",'FTE Pivot for regular counts'!$A$2,"State","OK","Category2","Technical")</f>
        <v>19050.594566666667</v>
      </c>
      <c r="U236" s="328">
        <f t="shared" si="48"/>
        <v>19050.594566666667</v>
      </c>
      <c r="V236" s="324">
        <f t="shared" si="49"/>
        <v>0</v>
      </c>
      <c r="W236" s="325">
        <f t="shared" si="50"/>
        <v>0</v>
      </c>
      <c r="X236" s="325">
        <f t="shared" si="51"/>
        <v>3279.8965444444402</v>
      </c>
      <c r="Y236" s="325">
        <f t="shared" si="52"/>
        <v>3279.8965444444402</v>
      </c>
      <c r="Z236" s="326" t="e">
        <f t="shared" si="53"/>
        <v>#DIV/0!</v>
      </c>
      <c r="AA236" s="327" t="e">
        <f t="shared" si="54"/>
        <v>#DIV/0!</v>
      </c>
      <c r="AB236" s="327">
        <f t="shared" si="46"/>
        <v>0.17216767345326653</v>
      </c>
      <c r="AC236" s="327">
        <f t="shared" si="55"/>
        <v>0.17216767345326653</v>
      </c>
      <c r="AI236" s="271"/>
      <c r="AJ236" s="271"/>
      <c r="AK236" s="271"/>
      <c r="AL236" s="271"/>
    </row>
    <row r="237" spans="1:38" ht="15" customHeight="1">
      <c r="A237" s="1" t="s">
        <v>714</v>
      </c>
      <c r="B237" s="159">
        <f>+GETPIVOTDATA("Sum of New Grand Total FTE",'FTE Pivot for regular counts'!$A$2,"State","SC","Category2","Four-Year")</f>
        <v>109091.15000000001</v>
      </c>
      <c r="D237" s="159">
        <f>+GETPIVOTDATA("Sum of New Grand Total FTE",'FTE Pivot for regular counts'!$A$2,"State","SC","Category2","Two-Year")</f>
        <v>55970.23333333333</v>
      </c>
      <c r="F237" s="321">
        <f>+GETPIVOTDATA("Sum of New Grand Total FTE",'FTE Pivot for regular counts'!$A$2,"State","SC","Category2","Technical")</f>
        <v>0</v>
      </c>
      <c r="G237" s="322"/>
      <c r="H237" s="230">
        <f t="shared" si="47"/>
        <v>165061.38333333333</v>
      </c>
      <c r="Q237" s="1" t="s">
        <v>714</v>
      </c>
      <c r="R237" s="159">
        <f>+GETPIVOTDATA("Sum of Old Grand Total FTE",'FTE Pivot for regular counts'!$A$2,"State","SC","Category2","Four-Year")</f>
        <v>108114.95</v>
      </c>
      <c r="S237" s="159">
        <f>+GETPIVOTDATA("Sum of Old Grand Total FTE",'FTE Pivot for regular counts'!$A$2,"State","SC","Category2","Two-Year")</f>
        <v>57626.733333333337</v>
      </c>
      <c r="T237" s="159">
        <f>+GETPIVOTDATA("Sum of Old Grand Total FTE",'FTE Pivot for regular counts'!$A$2,"State","SC","Category2","Technical")</f>
        <v>0</v>
      </c>
      <c r="U237" s="328">
        <f t="shared" si="48"/>
        <v>165741.68333333335</v>
      </c>
      <c r="V237" s="324">
        <f t="shared" si="49"/>
        <v>976.20000000001164</v>
      </c>
      <c r="W237" s="325">
        <f t="shared" si="50"/>
        <v>-1656.5000000000073</v>
      </c>
      <c r="X237" s="325">
        <f t="shared" si="51"/>
        <v>0</v>
      </c>
      <c r="Y237" s="325">
        <f t="shared" si="52"/>
        <v>-680.30000000001746</v>
      </c>
      <c r="Z237" s="326">
        <f t="shared" si="53"/>
        <v>9.0292785595332721E-3</v>
      </c>
      <c r="AA237" s="327">
        <f t="shared" si="54"/>
        <v>-2.874533925805281E-2</v>
      </c>
      <c r="AB237" s="327">
        <f t="shared" si="46"/>
        <v>0</v>
      </c>
      <c r="AC237" s="327">
        <f t="shared" si="55"/>
        <v>-4.1045800085897765E-3</v>
      </c>
      <c r="AI237" s="271"/>
      <c r="AJ237" s="271"/>
      <c r="AK237" s="271"/>
      <c r="AL237" s="271"/>
    </row>
    <row r="238" spans="1:38" ht="15" customHeight="1">
      <c r="A238" s="1" t="s">
        <v>715</v>
      </c>
      <c r="B238" s="159">
        <f>+GETPIVOTDATA("Sum of New Grand Total FTE",'FTE Pivot for regular counts'!$A$2,"State","TN","Category2","Four-Year")</f>
        <v>116595.54166666669</v>
      </c>
      <c r="D238" s="159">
        <f>+GETPIVOTDATA("Sum of New Grand Total FTE",'FTE Pivot for regular counts'!$A$2,"State","TN","Category2","Two-Year")</f>
        <v>55614.083333333328</v>
      </c>
      <c r="F238" s="321">
        <f>+GETPIVOTDATA("Sum of New Grand Total FTE",'FTE Pivot for regular counts'!$A$2,"State","TN","Category2","Technical")</f>
        <v>12630.868888888888</v>
      </c>
      <c r="G238" s="322"/>
      <c r="H238" s="230">
        <f t="shared" si="47"/>
        <v>184840.49388888892</v>
      </c>
      <c r="Q238" s="1" t="s">
        <v>715</v>
      </c>
      <c r="R238" s="159">
        <f>+GETPIVOTDATA("Sum of Old Grand Total FTE",'FTE Pivot for regular counts'!$A$2,"State","TN","Category2","Four-Year")</f>
        <v>115355.78333333333</v>
      </c>
      <c r="S238" s="159">
        <f>+GETPIVOTDATA("Sum of Old Grand Total FTE",'FTE Pivot for regular counts'!$A$2,"State","TN","Category2","Two-Year")</f>
        <v>58630.900000000009</v>
      </c>
      <c r="T238" s="159">
        <f>+GETPIVOTDATA("Sum of Old Grand Total FTE",'FTE Pivot for regular counts'!$A$2,"State","TN","Category2","Technical")</f>
        <v>12858.136666666669</v>
      </c>
      <c r="U238" s="328">
        <f t="shared" si="48"/>
        <v>186844.82</v>
      </c>
      <c r="V238" s="324">
        <f t="shared" si="49"/>
        <v>1239.7583333333605</v>
      </c>
      <c r="W238" s="325">
        <f t="shared" si="50"/>
        <v>-3016.8166666666802</v>
      </c>
      <c r="X238" s="325">
        <f t="shared" si="51"/>
        <v>-227.26777777778079</v>
      </c>
      <c r="Y238" s="325">
        <f t="shared" si="52"/>
        <v>-2004.3261111110914</v>
      </c>
      <c r="Z238" s="326">
        <f t="shared" si="53"/>
        <v>1.0747257723099512E-2</v>
      </c>
      <c r="AA238" s="327">
        <f t="shared" si="54"/>
        <v>-5.145438099477715E-2</v>
      </c>
      <c r="AB238" s="327">
        <f t="shared" si="46"/>
        <v>-1.7675016502736975E-2</v>
      </c>
      <c r="AC238" s="327">
        <f t="shared" si="55"/>
        <v>-1.0727223324206106E-2</v>
      </c>
      <c r="AI238" s="271"/>
      <c r="AJ238" s="271"/>
      <c r="AK238" s="271"/>
      <c r="AL238" s="271"/>
    </row>
    <row r="239" spans="1:38" ht="15" customHeight="1">
      <c r="A239" s="1" t="s">
        <v>716</v>
      </c>
      <c r="B239" s="159">
        <f>+GETPIVOTDATA("Sum of New Grand Total FTE",'FTE Pivot for regular counts'!$A$2,"State","TX","Category2","Four-Year")</f>
        <v>559807.18333333335</v>
      </c>
      <c r="D239" s="159">
        <f>+GETPIVOTDATA("Sum of New Grand Total FTE",'FTE Pivot for regular counts'!$A$2,"State","TX","Category2","Two-Year")</f>
        <v>457343.73777777783</v>
      </c>
      <c r="F239" s="321">
        <f>+GETPIVOTDATA("Sum of New Grand Total FTE",'FTE Pivot for regular counts'!$A$2,"State","TX","Category2","Technical")</f>
        <v>0</v>
      </c>
      <c r="G239" s="322"/>
      <c r="H239" s="230">
        <f t="shared" si="47"/>
        <v>1017150.9211111112</v>
      </c>
      <c r="Q239" s="1" t="s">
        <v>716</v>
      </c>
      <c r="R239" s="159">
        <f>+GETPIVOTDATA("Sum of Old Grand Total FTE",'FTE Pivot for regular counts'!$A$2,"State","TX","Category2","Four-Year")</f>
        <v>545999.55000000005</v>
      </c>
      <c r="S239" s="159">
        <f>+GETPIVOTDATA("Sum of Old Grand Total FTE",'FTE Pivot for regular counts'!$A$2,"State","TX","Category2","Two-Year")</f>
        <v>480475.34222222224</v>
      </c>
      <c r="T239" s="321">
        <f>+GETPIVOTDATA("Sum of Old Grand Total FTE",'FTE Pivot for regular counts'!$A$2,"State","TX","Category2","Technical")</f>
        <v>0</v>
      </c>
      <c r="U239" s="328">
        <f t="shared" si="48"/>
        <v>1026474.8922222223</v>
      </c>
      <c r="V239" s="324">
        <f t="shared" si="49"/>
        <v>13807.633333333302</v>
      </c>
      <c r="W239" s="325">
        <f t="shared" si="50"/>
        <v>-23131.604444444412</v>
      </c>
      <c r="X239" s="325">
        <f t="shared" si="51"/>
        <v>0</v>
      </c>
      <c r="Y239" s="325">
        <f t="shared" si="52"/>
        <v>-9323.9711111111101</v>
      </c>
      <c r="Z239" s="326">
        <f t="shared" si="53"/>
        <v>2.5288726581062751E-2</v>
      </c>
      <c r="AA239" s="327">
        <f t="shared" si="54"/>
        <v>-4.8143166593023479E-2</v>
      </c>
      <c r="AB239" s="327">
        <f t="shared" si="46"/>
        <v>0</v>
      </c>
      <c r="AC239" s="327">
        <f t="shared" si="55"/>
        <v>-9.0834867776703066E-3</v>
      </c>
      <c r="AI239" s="271"/>
      <c r="AJ239" s="271"/>
      <c r="AK239" s="271"/>
      <c r="AL239" s="271"/>
    </row>
    <row r="240" spans="1:38" ht="15" customHeight="1">
      <c r="A240" s="1" t="s">
        <v>717</v>
      </c>
      <c r="B240" s="159">
        <f>+GETPIVOTDATA("Sum of New Grand Total FTE",'FTE Pivot for regular counts'!$A$2,"State","VA","Category2","Four-Year")</f>
        <v>202968.16416666671</v>
      </c>
      <c r="D240" s="159">
        <f>+GETPIVOTDATA("Sum of New Grand Total FTE",'FTE Pivot for regular counts'!$A$2,"State","VA","Category2","Two-Year")</f>
        <v>95027.466666666674</v>
      </c>
      <c r="F240" s="321">
        <f>+GETPIVOTDATA("Sum of New Grand Total FTE",'FTE Pivot for regular counts'!$A$2,"State","VA","Category2","Technical")</f>
        <v>0</v>
      </c>
      <c r="G240" s="322"/>
      <c r="H240" s="230">
        <f t="shared" si="47"/>
        <v>297995.63083333336</v>
      </c>
      <c r="Q240" s="1" t="s">
        <v>717</v>
      </c>
      <c r="R240" s="159">
        <f>+GETPIVOTDATA("Sum of Old Grand Total FTE",'FTE Pivot for regular counts'!$A$2,"State","VA","Category2","Four-Year")</f>
        <v>201616.46333333332</v>
      </c>
      <c r="S240" s="159">
        <f>+GETPIVOTDATA("Sum of Old Grand Total FTE",'FTE Pivot for regular counts'!$A$2,"State","VA","Category2","Two-Year")</f>
        <v>98927.833333333328</v>
      </c>
      <c r="T240" s="321">
        <f>+GETPIVOTDATA("Sum of Old Grand Total FTE",'FTE Pivot for regular counts'!$A$2,"State","VA","Category2","Technical")</f>
        <v>0</v>
      </c>
      <c r="U240" s="328">
        <f t="shared" si="48"/>
        <v>300544.29666666663</v>
      </c>
      <c r="V240" s="324">
        <f t="shared" si="49"/>
        <v>1351.7008333333943</v>
      </c>
      <c r="W240" s="325">
        <f t="shared" si="50"/>
        <v>-3900.3666666666541</v>
      </c>
      <c r="X240" s="325">
        <f t="shared" si="51"/>
        <v>0</v>
      </c>
      <c r="Y240" s="325">
        <f t="shared" si="52"/>
        <v>-2548.6658333332743</v>
      </c>
      <c r="Z240" s="326">
        <f t="shared" si="53"/>
        <v>6.7043177475969397E-3</v>
      </c>
      <c r="AA240" s="327">
        <f t="shared" si="54"/>
        <v>-3.9426383205265668E-2</v>
      </c>
      <c r="AB240" s="327">
        <f t="shared" si="46"/>
        <v>0</v>
      </c>
      <c r="AC240" s="327">
        <f t="shared" si="55"/>
        <v>-8.4801670223008663E-3</v>
      </c>
    </row>
    <row r="241" spans="1:29" ht="15" customHeight="1">
      <c r="A241" s="166" t="s">
        <v>718</v>
      </c>
      <c r="B241" s="167">
        <f>+GETPIVOTDATA("Sum of New Grand Total FTE",'FTE Pivot for regular counts'!$A$2,"State","WV","Category2","Four-Year")</f>
        <v>50383.691666666658</v>
      </c>
      <c r="C241" s="166"/>
      <c r="D241" s="167">
        <f>+GETPIVOTDATA("Sum of New Grand Total FTE",'FTE Pivot for regular counts'!$A$2,"State","WV","Category2","Two-Year")</f>
        <v>11198.113333333333</v>
      </c>
      <c r="E241" s="166"/>
      <c r="F241" s="329">
        <f>+GETPIVOTDATA("Sum of New Grand Total FTE",'FTE Pivot for regular counts'!$A$2,"State","WV","Category2","Technical")</f>
        <v>0</v>
      </c>
      <c r="G241" s="330"/>
      <c r="H241" s="230">
        <f t="shared" si="47"/>
        <v>61581.804999999993</v>
      </c>
      <c r="Q241" s="166" t="s">
        <v>718</v>
      </c>
      <c r="R241" s="167">
        <f>+GETPIVOTDATA("Sum of Old Grand Total FTE",'FTE Pivot for regular counts'!$A$2,"State","WV","Category2","Four-Year")</f>
        <v>51386.866666666669</v>
      </c>
      <c r="S241" s="167">
        <f>+GETPIVOTDATA("Sum of Old Grand Total FTE",'FTE Pivot for regular counts'!$A$2,"State","WV","Category2","Two-Year")</f>
        <v>12159.376666666667</v>
      </c>
      <c r="T241" s="329">
        <f>+GETPIVOTDATA("Sum of Old Grand Total FTE",'FTE Pivot for regular counts'!$A$2,"State","WV","Category2","Technical")</f>
        <v>0</v>
      </c>
      <c r="U241" s="331">
        <f t="shared" si="48"/>
        <v>63546.243333333332</v>
      </c>
      <c r="V241" s="332">
        <f t="shared" si="49"/>
        <v>-1003.1750000000102</v>
      </c>
      <c r="W241" s="333">
        <f t="shared" si="50"/>
        <v>-961.26333333333423</v>
      </c>
      <c r="X241" s="333">
        <f t="shared" si="51"/>
        <v>0</v>
      </c>
      <c r="Y241" s="334">
        <f t="shared" si="52"/>
        <v>-1964.438333333339</v>
      </c>
      <c r="Z241" s="335">
        <f t="shared" si="53"/>
        <v>-1.9522011460775517E-2</v>
      </c>
      <c r="AA241" s="336">
        <f t="shared" si="54"/>
        <v>-7.9055313416559525E-2</v>
      </c>
      <c r="AB241" s="336">
        <f t="shared" si="46"/>
        <v>0</v>
      </c>
      <c r="AC241" s="336">
        <f t="shared" si="55"/>
        <v>-3.0913524235080758E-2</v>
      </c>
    </row>
    <row r="242" spans="1:29" ht="15" customHeight="1">
      <c r="A242" s="72"/>
      <c r="B242" s="337"/>
      <c r="C242" s="337"/>
      <c r="D242" s="337"/>
      <c r="E242" s="337"/>
      <c r="F242" s="337"/>
      <c r="G242" s="337"/>
      <c r="H242" s="337"/>
      <c r="I242" s="159"/>
      <c r="J242" s="159"/>
      <c r="K242" s="159"/>
    </row>
    <row r="243" spans="1:29" ht="20.25" customHeight="1">
      <c r="B243" s="159"/>
      <c r="C243" s="159"/>
      <c r="D243" s="159"/>
      <c r="E243" s="159"/>
      <c r="F243" s="159"/>
      <c r="G243" s="159"/>
      <c r="H243" s="159"/>
      <c r="L243" s="159"/>
      <c r="M243" s="159"/>
      <c r="Q243" s="338"/>
      <c r="S243" s="187"/>
    </row>
    <row r="244" spans="1:29" ht="71.25" customHeight="1">
      <c r="H244" s="192"/>
      <c r="Q244" s="133"/>
    </row>
  </sheetData>
  <mergeCells count="15">
    <mergeCell ref="A214:G214"/>
    <mergeCell ref="A122:I122"/>
    <mergeCell ref="A125:J125"/>
    <mergeCell ref="A127:J127"/>
    <mergeCell ref="A128:J128"/>
    <mergeCell ref="A153:I153"/>
    <mergeCell ref="A183:K183"/>
    <mergeCell ref="A123:I123"/>
    <mergeCell ref="A184:I184"/>
    <mergeCell ref="A97:J97"/>
    <mergeCell ref="A30:O30"/>
    <mergeCell ref="A60:H60"/>
    <mergeCell ref="A91:H91"/>
    <mergeCell ref="A94:J94"/>
    <mergeCell ref="A96:J96"/>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4" max="14" man="1"/>
    <brk id="154" max="14" man="1"/>
    <brk id="185"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59999389629810485"/>
  </sheetPr>
  <dimension ref="A1:S242"/>
  <sheetViews>
    <sheetView showZeros="0" view="pageBreakPreview" topLeftCell="A214" zoomScaleNormal="100" zoomScaleSheetLayoutView="100" workbookViewId="0">
      <selection activeCell="D75" sqref="D75"/>
    </sheetView>
  </sheetViews>
  <sheetFormatPr defaultColWidth="9.33203125" defaultRowHeight="12.5"/>
  <cols>
    <col min="1" max="1" width="15" style="1" customWidth="1"/>
    <col min="2" max="2" width="12.33203125" style="1" customWidth="1"/>
    <col min="3" max="3" width="11.77734375" style="1" customWidth="1"/>
    <col min="4" max="4" width="12.109375" style="1" customWidth="1"/>
    <col min="5" max="5" width="10.77734375" style="1" customWidth="1"/>
    <col min="6" max="6" width="12.109375" style="1" customWidth="1"/>
    <col min="7" max="7" width="10" style="1" customWidth="1"/>
    <col min="8" max="8" width="12" style="1" customWidth="1"/>
    <col min="9" max="9" width="12.6640625" style="1" customWidth="1"/>
    <col min="10" max="10" width="11.6640625" style="1" customWidth="1"/>
    <col min="11" max="11" width="10" style="1" customWidth="1"/>
    <col min="12" max="12" width="10.44140625" style="1" customWidth="1"/>
    <col min="13" max="13" width="10" style="1" customWidth="1"/>
    <col min="14" max="14" width="12.109375" style="1" customWidth="1"/>
    <col min="15" max="15" width="10" style="1" customWidth="1"/>
    <col min="16" max="16384" width="9.33203125" style="1"/>
  </cols>
  <sheetData>
    <row r="1" spans="1:17" ht="18">
      <c r="A1" s="116" t="s">
        <v>681</v>
      </c>
      <c r="B1" s="117"/>
      <c r="C1" s="117"/>
      <c r="D1" s="117"/>
      <c r="E1" s="117"/>
      <c r="F1" s="117"/>
      <c r="G1" s="117"/>
      <c r="H1" s="117"/>
      <c r="I1" s="117"/>
      <c r="J1" s="117"/>
      <c r="K1" s="117"/>
      <c r="L1" s="117"/>
      <c r="M1" s="117"/>
      <c r="N1" s="118"/>
      <c r="O1" s="119"/>
    </row>
    <row r="2" spans="1:17" ht="15.5">
      <c r="A2" s="120"/>
      <c r="B2" s="120"/>
      <c r="C2" s="120"/>
      <c r="D2" s="120"/>
      <c r="E2" s="120"/>
      <c r="F2" s="120"/>
      <c r="G2" s="120"/>
      <c r="H2" s="120"/>
      <c r="I2" s="120"/>
      <c r="J2" s="120"/>
      <c r="K2" s="120"/>
      <c r="L2" s="120"/>
      <c r="M2" s="120"/>
      <c r="N2" s="121"/>
      <c r="O2" s="119"/>
    </row>
    <row r="3" spans="1:17" ht="15.5">
      <c r="A3" s="122" t="s">
        <v>682</v>
      </c>
      <c r="B3" s="119"/>
      <c r="C3" s="119"/>
      <c r="D3" s="119"/>
      <c r="E3" s="119"/>
      <c r="F3" s="119"/>
      <c r="G3" s="119"/>
      <c r="H3" s="119"/>
      <c r="I3" s="119"/>
      <c r="J3" s="119"/>
      <c r="K3" s="119"/>
      <c r="L3" s="119"/>
      <c r="M3" s="119"/>
      <c r="N3" s="119"/>
      <c r="O3" s="121"/>
    </row>
    <row r="4" spans="1:17" ht="15.5">
      <c r="A4" s="122" t="s">
        <v>873</v>
      </c>
      <c r="B4" s="119"/>
      <c r="C4" s="119"/>
      <c r="D4" s="119"/>
      <c r="E4" s="119"/>
      <c r="F4" s="119"/>
      <c r="G4" s="119"/>
      <c r="H4" s="119"/>
      <c r="I4" s="119"/>
      <c r="J4" s="119"/>
      <c r="K4" s="119"/>
      <c r="L4" s="119"/>
      <c r="M4" s="119"/>
      <c r="N4" s="123"/>
      <c r="O4" s="119"/>
    </row>
    <row r="5" spans="1:17" ht="15.75" customHeight="1"/>
    <row r="6" spans="1:17" ht="15" customHeight="1">
      <c r="A6" s="204"/>
      <c r="B6" s="615" t="s">
        <v>675</v>
      </c>
      <c r="C6" s="616"/>
      <c r="D6" s="616"/>
      <c r="E6" s="616"/>
      <c r="F6" s="616"/>
      <c r="G6" s="616"/>
      <c r="H6" s="228"/>
      <c r="I6" s="339"/>
      <c r="J6" s="339"/>
      <c r="K6" s="339"/>
      <c r="L6" s="339"/>
      <c r="M6" s="339"/>
      <c r="N6" s="339"/>
      <c r="O6" s="339"/>
    </row>
    <row r="7" spans="1:17" ht="17.25" customHeight="1">
      <c r="A7" s="129"/>
      <c r="B7" s="130">
        <v>1</v>
      </c>
      <c r="C7" s="119"/>
      <c r="D7" s="131">
        <v>2</v>
      </c>
      <c r="E7" s="119"/>
      <c r="F7" s="131">
        <v>3</v>
      </c>
      <c r="G7" s="119"/>
      <c r="H7" s="131">
        <v>4</v>
      </c>
      <c r="I7" s="132"/>
      <c r="J7" s="131">
        <v>5</v>
      </c>
      <c r="K7" s="132"/>
      <c r="L7" s="131">
        <v>6</v>
      </c>
      <c r="M7" s="132"/>
      <c r="N7" s="131" t="s">
        <v>687</v>
      </c>
      <c r="O7" s="132"/>
    </row>
    <row r="8" spans="1:17" ht="77.25" customHeight="1">
      <c r="A8" s="137"/>
      <c r="B8" s="138" t="s">
        <v>690</v>
      </c>
      <c r="C8" s="139" t="s">
        <v>691</v>
      </c>
      <c r="D8" s="140" t="s">
        <v>690</v>
      </c>
      <c r="E8" s="139" t="s">
        <v>691</v>
      </c>
      <c r="F8" s="140" t="s">
        <v>690</v>
      </c>
      <c r="G8" s="139" t="s">
        <v>691</v>
      </c>
      <c r="H8" s="140" t="s">
        <v>690</v>
      </c>
      <c r="I8" s="139" t="s">
        <v>691</v>
      </c>
      <c r="J8" s="140" t="s">
        <v>690</v>
      </c>
      <c r="K8" s="139" t="s">
        <v>691</v>
      </c>
      <c r="L8" s="140" t="s">
        <v>690</v>
      </c>
      <c r="M8" s="139" t="s">
        <v>691</v>
      </c>
      <c r="N8" s="140" t="s">
        <v>690</v>
      </c>
      <c r="O8" s="139" t="s">
        <v>691</v>
      </c>
      <c r="Q8" s="61"/>
    </row>
    <row r="9" spans="1:17" ht="15" customHeight="1">
      <c r="A9" s="1" t="s">
        <v>695</v>
      </c>
      <c r="B9" s="145">
        <f>+GETPIVOTDATA("Sum of Old-Total Undg SCH FTE",'FTE Pivot for regular counts'!$A$2,"Category",1,"Category2","Group1")</f>
        <v>837069.73333333328</v>
      </c>
      <c r="C9" s="146"/>
      <c r="D9" s="147">
        <f>+GETPIVOTDATA("Sum of Old-Total Undg SCH FTE",'FTE Pivot for regular counts'!$A$2,"Category",2,"Category2","Four-Year")</f>
        <v>199807.55100000004</v>
      </c>
      <c r="E9" s="146"/>
      <c r="F9" s="148">
        <f>+GETPIVOTDATA("Sum of Old-Total Undg SCH FTE",'FTE Pivot for regular counts'!$A$2,"Category",3,"Category2","Four-Year")</f>
        <v>498104.50666666665</v>
      </c>
      <c r="G9" s="146"/>
      <c r="H9" s="148">
        <f>+GETPIVOTDATA("Sum of Old-Total Undg SCH FTE",'FTE Pivot for regular counts'!$A$2,"Category",4,"Category2","Four-Year")</f>
        <v>152026.70666666667</v>
      </c>
      <c r="I9" s="146"/>
      <c r="J9" s="148">
        <f>+GETPIVOTDATA("Sum of Old-Total Undg SCH FTE",'FTE Pivot for regular counts'!$A$2,"Category",5,"Category2","Four-Year")</f>
        <v>56728.123333333322</v>
      </c>
      <c r="K9" s="146"/>
      <c r="L9" s="148">
        <f>+GETPIVOTDATA("Sum of Old-Total Undg SCH FTE",'FTE Pivot for regular counts'!$A$2,"Category",6,"Category2","Four-Year")</f>
        <v>61999.583333333336</v>
      </c>
      <c r="M9" s="146"/>
      <c r="N9" s="148">
        <f>+GETPIVOTDATA("Sum of Old-Total Undg SCH FTE",'FTE Pivot for regular counts'!$A$2,"Category2","Four-Year")</f>
        <v>1805736.2043333335</v>
      </c>
      <c r="O9" s="146"/>
    </row>
    <row r="10" spans="1:17" ht="12.75" customHeight="1">
      <c r="B10" s="159"/>
      <c r="C10" s="154" t="s">
        <v>790</v>
      </c>
      <c r="D10" s="148"/>
      <c r="E10" s="154" t="s">
        <v>791</v>
      </c>
      <c r="F10" s="148"/>
      <c r="G10" s="154" t="s">
        <v>792</v>
      </c>
      <c r="H10" s="148"/>
      <c r="I10" s="154" t="s">
        <v>793</v>
      </c>
      <c r="J10" s="148"/>
      <c r="K10" s="154" t="s">
        <v>794</v>
      </c>
      <c r="L10" s="148"/>
      <c r="M10" s="154" t="s">
        <v>795</v>
      </c>
      <c r="N10" s="148"/>
      <c r="O10" s="154" t="s">
        <v>796</v>
      </c>
    </row>
    <row r="11" spans="1:17" ht="15" customHeight="1">
      <c r="A11" s="1" t="s">
        <v>703</v>
      </c>
      <c r="B11" s="159">
        <f>+GETPIVOTDATA("Sum of Old-Total Undg SCH FTE",'FTE Pivot for regular counts'!$A$2,"State","AL","Category",1,"Category2","Four-Year")</f>
        <v>65781.366666666669</v>
      </c>
      <c r="C11" s="160">
        <f>+GETPIVOTDATA("Sum of Old-HS % of Total",'Pivot-HS Student % of Undergrad'!$A$3,"State","AL","Category",1,"Category2","Four-Year")</f>
        <v>5.7473215566110156E-3</v>
      </c>
      <c r="D11" s="148">
        <f>+GETPIVOTDATA("Sum of Old-Total Undg SCH FTE",'FTE Pivot for regular counts'!$A$2,"State","AL","Category",2,"Category2","Four-Year")</f>
        <v>15493.333333333334</v>
      </c>
      <c r="E11" s="160">
        <f>+GETPIVOTDATA("Sum of Old-HS % of Total",'Pivot-HS Student % of Undergrad'!$A$3,"State","AL","Category",2,"Category2","Four-Year")</f>
        <v>4.4427710843373495E-3</v>
      </c>
      <c r="F11" s="148">
        <f>+GETPIVOTDATA("Sum of Old-Total Undg SCH FTE",'FTE Pivot for regular counts'!$A$2,"State","AL","Category",3,"Category2","Four-Year")</f>
        <v>31040.366666666665</v>
      </c>
      <c r="G11" s="160">
        <f>+GETPIVOTDATA("Sum of Old-HS % of Total",'Pivot-HS Student % of Undergrad'!$A$3,"State","AL","Category",3,"Category2","Four-Year")</f>
        <v>1.0269423363770402E-2</v>
      </c>
      <c r="H11" s="148">
        <f>+GETPIVOTDATA("Sum of Old-Total Undg SCH FTE",'FTE Pivot for regular counts'!$A$2,"State","AL","Category",4,"Category2","Four-Year")</f>
        <v>5857.7999999999993</v>
      </c>
      <c r="I11" s="160">
        <f>+GETPIVOTDATA("Sum of Old-HS % of Total",'Pivot-HS Student % of Undergrad'!$A$3,"State","AL","Category",4,"Category2","Four-Year")</f>
        <v>1.5022704769708764E-3</v>
      </c>
      <c r="J11" s="148">
        <f>+GETPIVOTDATA("Sum of Old-Total Undg SCH FTE",'FTE Pivot for regular counts'!$A$2,"State","AL","Category",5,"Category2","Four-Year")</f>
        <v>2064.5</v>
      </c>
      <c r="K11" s="160">
        <f>+GETPIVOTDATA("Sum of Old-HS % of Total",'Pivot-HS Student % of Undergrad'!$A$3,"State","AL","Category",5,"Category2","Four-Year")</f>
        <v>3.3422136110438363E-3</v>
      </c>
      <c r="L11" s="148">
        <f>+GETPIVOTDATA("Sum of Old-Total Undg SCH FTE",'FTE Pivot for regular counts'!$A$2,"State","AL","Category",6,"Category2","Four-Year")</f>
        <v>2136.4333333333334</v>
      </c>
      <c r="M11" s="160">
        <f>+GETPIVOTDATA("Sum of Old-HS % of Total",'Pivot-HS Student % of Undergrad'!$A$3,"State","AL","Category",6,"Category2","Four-Year")</f>
        <v>0</v>
      </c>
      <c r="N11" s="148">
        <f>+GETPIVOTDATA("Sum of Old-Total Undg SCH FTE",'FTE Pivot for regular counts'!$A$2,"State","AL","Category2","Four-Year")</f>
        <v>122373.8</v>
      </c>
      <c r="O11" s="160">
        <f>+GETPIVOTDATA("Sum of Old-HS % of Total",'Pivot-HS Student % of Undergrad'!$A$3,"State","AL","Category2","Group1")</f>
        <v>6.3850813382167314E-3</v>
      </c>
    </row>
    <row r="12" spans="1:17" ht="15" customHeight="1">
      <c r="A12" s="1" t="s">
        <v>704</v>
      </c>
      <c r="B12" s="159">
        <f>+GETPIVOTDATA("Sum of Old-Total Undg SCH FTE",'FTE Pivot for regular counts'!$A$2,"State","AR","Category",1,"Category2","Four-Year")</f>
        <v>22125.8</v>
      </c>
      <c r="C12" s="160">
        <f>+GETPIVOTDATA("Sum of Old-HS % of Total",'Pivot-HS Student % of Undergrad'!$A$3,"State","AR","Category",1,"Category2","Four-Year")</f>
        <v>2.9241880519574434E-3</v>
      </c>
      <c r="D12" s="148">
        <f>+GETPIVOTDATA("Sum of Old-Total Undg SCH FTE",'FTE Pivot for regular counts'!$A$2,"State","AR","Category",2,"Category2","Four-Year")</f>
        <v>5840.7333333333336</v>
      </c>
      <c r="E12" s="160">
        <f>+GETPIVOTDATA("Sum of Old-HS % of Total",'Pivot-HS Student % of Undergrad'!$A$3,"State","AR","Category",2,"Category2","Four-Year")</f>
        <v>6.8963942883884438E-2</v>
      </c>
      <c r="F12" s="148">
        <f>+GETPIVOTDATA("Sum of Old-Total Undg SCH FTE",'FTE Pivot for regular counts'!$A$2,"State","AR","Category",3,"Category2","Four-Year")</f>
        <v>24861.866666666669</v>
      </c>
      <c r="G12" s="160">
        <f>+GETPIVOTDATA("Sum of Old-HS % of Total",'Pivot-HS Student % of Undergrad'!$A$3,"State","AR","Category",3,"Category2","Four-Year")</f>
        <v>4.8962534322979236E-2</v>
      </c>
      <c r="H12" s="148">
        <f>+GETPIVOTDATA("Sum of Old-Total Undg SCH FTE",'FTE Pivot for regular counts'!$A$2,"State","AR","Category",4,"Category2","Four-Year")</f>
        <v>8551.7999999999993</v>
      </c>
      <c r="I12" s="160">
        <f>+GETPIVOTDATA("Sum of Old-HS % of Total",'Pivot-HS Student % of Undergrad'!$A$3,"State","AR","Category",4,"Category2","Four-Year")</f>
        <v>4.2447204097383007E-2</v>
      </c>
      <c r="J12" s="148">
        <f>+GETPIVOTDATA("Sum of Old-Total Undg SCH FTE",'FTE Pivot for regular counts'!$A$2,"State","AR","Category",5,"Category2","Four-Year")</f>
        <v>0</v>
      </c>
      <c r="K12" s="160">
        <f>+GETPIVOTDATA("Sum of Old-HS % of Total",'Pivot-HS Student % of Undergrad'!$A$3,"State","AR","Category",5,"Category2","Four-Year")</f>
        <v>0</v>
      </c>
      <c r="L12" s="148">
        <f>+GETPIVOTDATA("Sum of Old-Total Undg SCH FTE",'FTE Pivot for regular counts'!$A$2,"State","AR","Category",6,"Category2","Four-Year")</f>
        <v>7353.2999999999993</v>
      </c>
      <c r="M12" s="160">
        <f>+GETPIVOTDATA("Sum of Old-HS % of Total",'Pivot-HS Student % of Undergrad'!$A$3,"State","AR","Category",6,"Category2","Four-Year")</f>
        <v>7.3613207675465434E-2</v>
      </c>
      <c r="N12" s="148">
        <f>+GETPIVOTDATA("Sum of Old-Total Undg SCH FTE",'FTE Pivot for regular counts'!$A$2,"State","AR","Category2","Four-Year")</f>
        <v>68733.5</v>
      </c>
      <c r="O12" s="160">
        <f>+GETPIVOTDATA("Sum of Old-HS % of Total",'Pivot-HS Student % of Undergrad'!$A$3,"State","AR","Category2","Group1")</f>
        <v>3.766867684607942E-2</v>
      </c>
    </row>
    <row r="13" spans="1:17" ht="15" customHeight="1">
      <c r="A13" s="1" t="s">
        <v>705</v>
      </c>
      <c r="B13" s="159">
        <f>+GETPIVOTDATA("Sum of Old-Total Undg SCH FTE",'FTE Pivot for regular counts'!$A$2,"State","DE","Category",1,"Category2","Four-Year")</f>
        <v>19976.366666666665</v>
      </c>
      <c r="C13" s="160">
        <f>+GETPIVOTDATA("Sum of Old-HS % of Total",'Pivot-HS Student % of Undergrad'!$A$3,"State","DE","Category",1,"Category2","Four-Year")</f>
        <v>0</v>
      </c>
      <c r="D13" s="148">
        <f>+GETPIVOTDATA("Sum of Old-Total Undg SCH FTE",'FTE Pivot for regular counts'!$A$2,"State","DE","Category",2,"Category2","Four-Year")</f>
        <v>0</v>
      </c>
      <c r="E13" s="160">
        <f>+GETPIVOTDATA("Sum of Old-HS % of Total",'Pivot-HS Student % of Undergrad'!$A$3,"State","DE","Category",2,"Category2","Four-Year")</f>
        <v>0</v>
      </c>
      <c r="F13" s="148">
        <f>+GETPIVOTDATA("Sum of Old-Total Undg SCH FTE",'FTE Pivot for regular counts'!$A$2,"State","DE","Category",3,"Category2","Four-Year")</f>
        <v>4272.7</v>
      </c>
      <c r="G13" s="160">
        <f>+GETPIVOTDATA("Sum of Old-HS % of Total",'Pivot-HS Student % of Undergrad'!$A$3,"State","DE","Category",3,"Category2","Four-Year")</f>
        <v>0</v>
      </c>
      <c r="H13" s="148">
        <f>+GETPIVOTDATA("Sum of Old-Total Undg SCH FTE",'FTE Pivot for regular counts'!$A$2,"State","DE","Category",4,"Category2","Four-Year")</f>
        <v>0</v>
      </c>
      <c r="I13" s="160">
        <f>+GETPIVOTDATA("Sum of Old-HS % of Total",'Pivot-HS Student % of Undergrad'!$A$3,"State","DE","Category",4,"Category2","Four-Year")</f>
        <v>0</v>
      </c>
      <c r="J13" s="148">
        <f>+GETPIVOTDATA("Sum of Old-Total Undg SCH FTE",'FTE Pivot for regular counts'!$A$2,"State","DE","Category",5,"Category2","Four-Year")</f>
        <v>0</v>
      </c>
      <c r="K13" s="160">
        <f>+GETPIVOTDATA("Sum of Old-HS % of Total",'Pivot-HS Student % of Undergrad'!$A$3,"State","DE","Category",5,"Category2","Four-Year")</f>
        <v>0</v>
      </c>
      <c r="L13" s="148">
        <f>+GETPIVOTDATA("Sum of Old-Total Undg SCH FTE",'FTE Pivot for regular counts'!$A$2,"State","DE","Category",6,"Category2","Four-Year")</f>
        <v>0</v>
      </c>
      <c r="M13" s="160">
        <f>+GETPIVOTDATA("Sum of Old-HS % of Total",'Pivot-HS Student % of Undergrad'!$A$3,"State","DE","Category",6,"Category2","Four-Year")</f>
        <v>0</v>
      </c>
      <c r="N13" s="148">
        <f>+GETPIVOTDATA("Sum of Old-Total Undg SCH FTE",'FTE Pivot for regular counts'!$A$2,"State","DE","Category2","Four-Year")</f>
        <v>24249.066666666666</v>
      </c>
      <c r="O13" s="160">
        <f>+GETPIVOTDATA("Sum of Old-HS % of Total",'Pivot-HS Student % of Undergrad'!$A$3,"State","DE","Category2","Group1")</f>
        <v>0</v>
      </c>
    </row>
    <row r="14" spans="1:17" ht="15" customHeight="1">
      <c r="A14" s="1" t="s">
        <v>706</v>
      </c>
      <c r="B14" s="159">
        <f>+GETPIVOTDATA("Sum of Old-Total Undg SCH FTE",'FTE Pivot for regular counts'!$A$2,"State","FL","Category",1,"Category2","Four-Year")</f>
        <v>0</v>
      </c>
      <c r="C14" s="160">
        <f>+GETPIVOTDATA("Sum of Old-HS % of Total",'Pivot-HS Student % of Undergrad'!$A$3,"State","FL","Category",1,"Category2","Four-Year")</f>
        <v>0</v>
      </c>
      <c r="D14" s="148">
        <f>+GETPIVOTDATA("Sum of Old-Total Undg SCH FTE",'FTE Pivot for regular counts'!$A$2,"State","FL","Category",2,"Category2","Four-Year")</f>
        <v>0</v>
      </c>
      <c r="E14" s="160">
        <f>+GETPIVOTDATA("Sum of Old-HS % of Total",'Pivot-HS Student % of Undergrad'!$A$3,"State","FL","Category",2,"Category2","Four-Year")</f>
        <v>0</v>
      </c>
      <c r="F14" s="148">
        <f>+GETPIVOTDATA("Sum of Old-Total Undg SCH FTE",'FTE Pivot for regular counts'!$A$2,"State","FL","Category",3,"Category2","Four-Year")</f>
        <v>0</v>
      </c>
      <c r="G14" s="160">
        <f>+GETPIVOTDATA("Sum of Old-HS % of Total",'Pivot-HS Student % of Undergrad'!$A$3,"State","FL","Category",3,"Category2","Four-Year")</f>
        <v>0</v>
      </c>
      <c r="H14" s="148">
        <f>+GETPIVOTDATA("Sum of Old-Total Undg SCH FTE",'FTE Pivot for regular counts'!$A$2,"State","FL","Category",4,"Category2","Four-Year")</f>
        <v>0</v>
      </c>
      <c r="I14" s="160">
        <f>+GETPIVOTDATA("Sum of Old-HS % of Total",'Pivot-HS Student % of Undergrad'!$A$3,"State","FL","Category",4,"Category2","Four-Year")</f>
        <v>0</v>
      </c>
      <c r="J14" s="148">
        <f>+GETPIVOTDATA("Sum of Old-Total Undg SCH FTE",'FTE Pivot for regular counts'!$A$2,"State","FL","Category",5,"Category2","Four-Year")</f>
        <v>0</v>
      </c>
      <c r="K14" s="160">
        <f>+GETPIVOTDATA("Sum of Old-HS % of Total",'Pivot-HS Student % of Undergrad'!$A$3,"State","FL","Category",5,"Category2","Four-Year")</f>
        <v>0</v>
      </c>
      <c r="L14" s="148">
        <f>+GETPIVOTDATA("Sum of Old-Total Undg SCH FTE",'FTE Pivot for regular counts'!$A$2,"State","FL","Category",6,"Category2","Four-Year")</f>
        <v>0</v>
      </c>
      <c r="M14" s="160">
        <f>+GETPIVOTDATA("Sum of Old-HS % of Total",'Pivot-HS Student % of Undergrad'!$A$3,"State","FL","Category",6,"Category2","Four-Year")</f>
        <v>0</v>
      </c>
      <c r="N14" s="148">
        <f>+GETPIVOTDATA("Sum of Old-Total Undg SCH FTE",'FTE Pivot for regular counts'!$A$2,"State","FL","Category2","Four-Year")</f>
        <v>0</v>
      </c>
      <c r="O14" s="160">
        <f>+GETPIVOTDATA("Sum of Old-HS % of Total",'Pivot-HS Student % of Undergrad'!$A$3,"State","FL","Category2","Group1")</f>
        <v>0</v>
      </c>
    </row>
    <row r="15" spans="1:17" ht="15" customHeight="1">
      <c r="B15" s="159"/>
      <c r="C15" s="160"/>
      <c r="D15" s="148"/>
      <c r="E15" s="160"/>
      <c r="F15" s="148"/>
      <c r="G15" s="160"/>
      <c r="H15" s="148"/>
      <c r="I15" s="160"/>
      <c r="J15" s="148"/>
      <c r="K15" s="160"/>
      <c r="L15" s="148"/>
      <c r="M15" s="160"/>
      <c r="N15" s="148"/>
      <c r="O15" s="160"/>
    </row>
    <row r="16" spans="1:17" ht="15" customHeight="1">
      <c r="A16" s="1" t="s">
        <v>707</v>
      </c>
      <c r="B16" s="159">
        <f>+GETPIVOTDATA("Sum of Old-Total Undg SCH FTE",'FTE Pivot for regular counts'!$A$2,"State","GA","Category",1,"Category2","Four-Year")</f>
        <v>67281.533333333326</v>
      </c>
      <c r="C16" s="160">
        <f>+GETPIVOTDATA("Sum of Old-HS % of Total",'Pivot-HS Student % of Undergrad'!$A$3,"State","GA","Category",1,"Category2","Four-Year")</f>
        <v>1.353739460951643E-2</v>
      </c>
      <c r="D16" s="148">
        <f>+GETPIVOTDATA("Sum of Old-Total Undg SCH FTE",'FTE Pivot for regular counts'!$A$2,"State","GA","Category",2,"Category2","Four-Year")</f>
        <v>15204.251</v>
      </c>
      <c r="E16" s="160">
        <f>+GETPIVOTDATA("Sum of Old-HS % of Total",'Pivot-HS Student % of Undergrad'!$A$3,"State","GA","Category",2,"Category2","Four-Year")</f>
        <v>9.1487571469321301E-3</v>
      </c>
      <c r="F16" s="148">
        <f>+GETPIVOTDATA("Sum of Old-Total Undg SCH FTE",'FTE Pivot for regular counts'!$A$2,"State","GA","Category",3,"Category2","Four-Year")</f>
        <v>68859.233333333337</v>
      </c>
      <c r="G16" s="160">
        <f>+GETPIVOTDATA("Sum of Old-HS % of Total",'Pivot-HS Student % of Undergrad'!$A$3,"State","GA","Category",3,"Category2","Four-Year")</f>
        <v>1.7676157687882089E-2</v>
      </c>
      <c r="H16" s="148">
        <f>+GETPIVOTDATA("Sum of Old-Total Undg SCH FTE",'FTE Pivot for regular counts'!$A$2,"State","GA","Category",4,"Category2","Four-Year")</f>
        <v>44528.666666666672</v>
      </c>
      <c r="I16" s="160">
        <f>+GETPIVOTDATA("Sum of Old-HS % of Total",'Pivot-HS Student % of Undergrad'!$A$3,"State","GA","Category",4,"Category2","Four-Year")</f>
        <v>4.2242450556196007E-2</v>
      </c>
      <c r="J16" s="148">
        <f>+GETPIVOTDATA("Sum of Old-Total Undg SCH FTE",'FTE Pivot for regular counts'!$A$2,"State","GA","Category",5,"Category2","Four-Year")</f>
        <v>11919</v>
      </c>
      <c r="K16" s="160">
        <f>+GETPIVOTDATA("Sum of Old-HS % of Total",'Pivot-HS Student % of Undergrad'!$A$3,"State","GA","Category",5,"Category2","Four-Year")</f>
        <v>2.8903431495930866E-2</v>
      </c>
      <c r="L16" s="148">
        <f>+GETPIVOTDATA("Sum of Old-Total Undg SCH FTE",'FTE Pivot for regular counts'!$A$2,"State","GA","Category",6,"Category2","Four-Year")</f>
        <v>23159.100000000002</v>
      </c>
      <c r="M16" s="160">
        <f>+GETPIVOTDATA("Sum of Old-HS % of Total",'Pivot-HS Student % of Undergrad'!$A$3,"State","GA","Category",6,"Category2","Four-Year")</f>
        <v>5.6035568451854062E-2</v>
      </c>
      <c r="N16" s="148">
        <f>+GETPIVOTDATA("Sum of Old-Total Undg SCH FTE",'FTE Pivot for regular counts'!$A$2,"State","GA","Category2","Four-Year")</f>
        <v>230951.78433333334</v>
      </c>
      <c r="O16" s="160">
        <f>+GETPIVOTDATA("Sum of Old-HS % of Total",'Pivot-HS Student % of Undergrad'!$A$3,"State","GA","Category2","Group1")</f>
        <v>2.5071538994084958E-2</v>
      </c>
    </row>
    <row r="17" spans="1:15" ht="15" customHeight="1">
      <c r="A17" s="1" t="s">
        <v>708</v>
      </c>
      <c r="B17" s="159">
        <f>+GETPIVOTDATA("Sum of Old-Total Undg SCH FTE",'FTE Pivot for regular counts'!$A$2,"State","KY","Category",1,"Category2","Four-Year")</f>
        <v>32628.15</v>
      </c>
      <c r="C17" s="160">
        <f>+GETPIVOTDATA("Sum of Old-HS % of Total",'Pivot-HS Student % of Undergrad'!$A$3,"State","KY","Category",1,"Category2","Four-Year")</f>
        <v>5.8855109264035295E-3</v>
      </c>
      <c r="D17" s="148">
        <f>+GETPIVOTDATA("Sum of Old-Total Undg SCH FTE",'FTE Pivot for regular counts'!$A$2,"State","KY","Category",2,"Category2","Four-Year")</f>
        <v>0</v>
      </c>
      <c r="E17" s="160">
        <f>+GETPIVOTDATA("Sum of Old-HS % of Total",'Pivot-HS Student % of Undergrad'!$A$3,"State","KY","Category",2,"Category2","Four-Year")</f>
        <v>0</v>
      </c>
      <c r="F17" s="148">
        <f>+GETPIVOTDATA("Sum of Old-Total Undg SCH FTE",'FTE Pivot for regular counts'!$A$2,"State","KY","Category",3,"Category2","Four-Year")</f>
        <v>43091.383333333331</v>
      </c>
      <c r="G17" s="160">
        <f>+GETPIVOTDATA("Sum of Old-HS % of Total",'Pivot-HS Student % of Undergrad'!$A$3,"State","KY","Category",3,"Category2","Four-Year")</f>
        <v>6.2394144537016874E-2</v>
      </c>
      <c r="H17" s="148">
        <f>+GETPIVOTDATA("Sum of Old-Total Undg SCH FTE",'FTE Pivot for regular counts'!$A$2,"State","KY","Category",4,"Category2","Four-Year")</f>
        <v>1458.6166666666666</v>
      </c>
      <c r="I17" s="160">
        <f>+GETPIVOTDATA("Sum of Old-HS % of Total",'Pivot-HS Student % of Undergrad'!$A$3,"State","KY","Category",4,"Category2","Four-Year")</f>
        <v>0.15482706217077824</v>
      </c>
      <c r="J17" s="148">
        <f>+GETPIVOTDATA("Sum of Old-Total Undg SCH FTE",'FTE Pivot for regular counts'!$A$2,"State","KY","Category",5,"Category2","Four-Year")</f>
        <v>0</v>
      </c>
      <c r="K17" s="160">
        <f>+GETPIVOTDATA("Sum of Old-HS % of Total",'Pivot-HS Student % of Undergrad'!$A$3,"State","KY","Category",5,"Category2","Four-Year")</f>
        <v>0</v>
      </c>
      <c r="L17" s="148">
        <f>+GETPIVOTDATA("Sum of Old-Total Undg SCH FTE",'FTE Pivot for regular counts'!$A$2,"State","KY","Category",6,"Category2","Four-Year")</f>
        <v>0</v>
      </c>
      <c r="M17" s="160">
        <f>+GETPIVOTDATA("Sum of Old-HS % of Total",'Pivot-HS Student % of Undergrad'!$A$3,"State","KY","Category",6,"Category2","Four-Year")</f>
        <v>0</v>
      </c>
      <c r="N17" s="148">
        <f>+GETPIVOTDATA("Sum of Old-Total Undg SCH FTE",'FTE Pivot for regular counts'!$A$2,"State","KY","Category2","Four-Year")</f>
        <v>77178.149999999994</v>
      </c>
      <c r="O17" s="160">
        <f>+GETPIVOTDATA("Sum of Old-HS % of Total",'Pivot-HS Student % of Undergrad'!$A$3,"State","KY","Category2","Group1")</f>
        <v>4.0251245548988498E-2</v>
      </c>
    </row>
    <row r="18" spans="1:15" ht="15" customHeight="1">
      <c r="A18" s="1" t="s">
        <v>709</v>
      </c>
      <c r="B18" s="159">
        <f>+GETPIVOTDATA("Sum of Old-Total Undg SCH FTE",'FTE Pivot for regular counts'!$A$2,"State","LA","Category",1,"Category2","Four-Year")</f>
        <v>23384.066666666666</v>
      </c>
      <c r="C18" s="160">
        <f>+GETPIVOTDATA("Sum of Old-HS % of Total",'Pivot-HS Student % of Undergrad'!$A$3,"State","LA","Category",1,"Category2","Four-Year")</f>
        <v>1.890318478964309E-2</v>
      </c>
      <c r="D18" s="148">
        <f>+GETPIVOTDATA("Sum of Old-Total Undg SCH FTE",'FTE Pivot for regular counts'!$A$2,"State","LA","Category",2,"Category2","Four-Year")</f>
        <v>27295.933333333334</v>
      </c>
      <c r="E18" s="160">
        <f>+GETPIVOTDATA("Sum of Old-HS % of Total",'Pivot-HS Student % of Undergrad'!$A$3,"State","LA","Category",2,"Category2","Four-Year")</f>
        <v>3.688950002320248E-2</v>
      </c>
      <c r="F18" s="148">
        <f>+GETPIVOTDATA("Sum of Old-Total Undg SCH FTE",'FTE Pivot for regular counts'!$A$2,"State","LA","Category",3,"Category2","Four-Year")</f>
        <v>28277.933333333331</v>
      </c>
      <c r="G18" s="160">
        <f>+GETPIVOTDATA("Sum of Old-HS % of Total",'Pivot-HS Student % of Undergrad'!$A$3,"State","LA","Category",3,"Category2","Four-Year")</f>
        <v>5.6262951795157119E-2</v>
      </c>
      <c r="H18" s="148">
        <f>+GETPIVOTDATA("Sum of Old-Total Undg SCH FTE",'FTE Pivot for regular counts'!$A$2,"State","LA","Category",4,"Category2","Four-Year")</f>
        <v>19325.599999999999</v>
      </c>
      <c r="I18" s="160">
        <f>+GETPIVOTDATA("Sum of Old-HS % of Total",'Pivot-HS Student % of Undergrad'!$A$3,"State","LA","Category",4,"Category2","Four-Year")</f>
        <v>3.8894868292144447E-2</v>
      </c>
      <c r="J18" s="148">
        <f>+GETPIVOTDATA("Sum of Old-Total Undg SCH FTE",'FTE Pivot for regular counts'!$A$2,"State","LA","Category",5,"Category2","Four-Year")</f>
        <v>1542.5666666666666</v>
      </c>
      <c r="K18" s="160">
        <f>+GETPIVOTDATA("Sum of Old-HS % of Total",'Pivot-HS Student % of Undergrad'!$A$3,"State","LA","Category",5,"Category2","Four-Year")</f>
        <v>3.2283855911143765E-2</v>
      </c>
      <c r="L18" s="148">
        <f>+GETPIVOTDATA("Sum of Old-Total Undg SCH FTE",'FTE Pivot for regular counts'!$A$2,"State","LA","Category",6,"Category2","Four-Year")</f>
        <v>2500.3333333333335</v>
      </c>
      <c r="M18" s="160">
        <f>+GETPIVOTDATA("Sum of Old-HS % of Total",'Pivot-HS Student % of Undergrad'!$A$3,"State","LA","Category",6,"Category2","Four-Year")</f>
        <v>7.4656712438341558E-2</v>
      </c>
      <c r="N18" s="148">
        <f>+GETPIVOTDATA("Sum of Old-Total Undg SCH FTE",'FTE Pivot for regular counts'!$A$2,"State","LA","Category2","Four-Year")</f>
        <v>102326.43333333332</v>
      </c>
      <c r="O18" s="160">
        <f>+GETPIVOTDATA("Sum of Old-HS % of Total",'Pivot-HS Student % of Undergrad'!$A$3,"State","LA","Category2","Group1")</f>
        <v>3.9365194982202381E-2</v>
      </c>
    </row>
    <row r="19" spans="1:15" ht="15" customHeight="1">
      <c r="A19" s="1" t="s">
        <v>710</v>
      </c>
      <c r="B19" s="159">
        <f>+GETPIVOTDATA("Sum of Old-Total Undg SCH FTE",'FTE Pivot for regular counts'!$A$2,"State","MD","Category",1,"Category2","Four-Year")</f>
        <v>29066.333333333332</v>
      </c>
      <c r="C19" s="160">
        <f>+GETPIVOTDATA("Sum of Old-HS % of Total",'Pivot-HS Student % of Undergrad'!$A$3,"State","MD","Category",1,"Category2","Four-Year")</f>
        <v>0</v>
      </c>
      <c r="D19" s="148">
        <f>+GETPIVOTDATA("Sum of Old-Total Undg SCH FTE",'FTE Pivot for regular counts'!$A$2,"State","MD","Category",2,"Category2","Four-Year")</f>
        <v>16626.650000000001</v>
      </c>
      <c r="E19" s="160">
        <f>+GETPIVOTDATA("Sum of Old-HS % of Total",'Pivot-HS Student % of Undergrad'!$A$3,"State","MD","Category",2,"Category2","Four-Year")</f>
        <v>0</v>
      </c>
      <c r="F19" s="148">
        <f>+GETPIVOTDATA("Sum of Old-Total Undg SCH FTE",'FTE Pivot for regular counts'!$A$2,"State","MD","Category",3,"Category2","Four-Year")</f>
        <v>19951.883333333331</v>
      </c>
      <c r="G19" s="160">
        <f>+GETPIVOTDATA("Sum of Old-HS % of Total",'Pivot-HS Student % of Undergrad'!$A$3,"State","MD","Category",3,"Category2","Four-Year")</f>
        <v>0</v>
      </c>
      <c r="H19" s="148">
        <f>+GETPIVOTDATA("Sum of Old-Total Undg SCH FTE",'FTE Pivot for regular counts'!$A$2,"State","MD","Category",4,"Category2","Four-Year")</f>
        <v>18662.633333333335</v>
      </c>
      <c r="I19" s="160">
        <f>+GETPIVOTDATA("Sum of Old-HS % of Total",'Pivot-HS Student % of Undergrad'!$A$3,"State","MD","Category",4,"Category2","Four-Year")</f>
        <v>0</v>
      </c>
      <c r="J19" s="148">
        <f>+GETPIVOTDATA("Sum of Old-Total Undg SCH FTE",'FTE Pivot for regular counts'!$A$2,"State","MD","Category",5,"Category2","Four-Year")</f>
        <v>2008.8666666666666</v>
      </c>
      <c r="K19" s="160">
        <f>+GETPIVOTDATA("Sum of Old-HS % of Total",'Pivot-HS Student % of Undergrad'!$A$3,"State","MD","Category",5,"Category2","Four-Year")</f>
        <v>0</v>
      </c>
      <c r="L19" s="148">
        <f>+GETPIVOTDATA("Sum of Old-Total Undg SCH FTE",'FTE Pivot for regular counts'!$A$2,"State","MD","Category",6,"Category2","Four-Year")</f>
        <v>1562.0666666666666</v>
      </c>
      <c r="M19" s="160">
        <f>+GETPIVOTDATA("Sum of Old-HS % of Total",'Pivot-HS Student % of Undergrad'!$A$3,"State","MD","Category",6,"Category2","Four-Year")</f>
        <v>0</v>
      </c>
      <c r="N19" s="148">
        <f>+GETPIVOTDATA("Sum of Old-Total Undg SCH FTE",'FTE Pivot for regular counts'!$A$2,"State","MD","Category2","Four-Year")</f>
        <v>87878.433333333334</v>
      </c>
      <c r="O19" s="160">
        <f>+GETPIVOTDATA("Sum of Old-HS % of Total",'Pivot-HS Student % of Undergrad'!$A$3,"State","MD","Category2","Group1")</f>
        <v>0</v>
      </c>
    </row>
    <row r="20" spans="1:15" ht="15" customHeight="1">
      <c r="B20" s="159"/>
      <c r="C20" s="160"/>
      <c r="D20" s="148"/>
      <c r="E20" s="160"/>
      <c r="F20" s="148"/>
      <c r="G20" s="160"/>
      <c r="H20" s="148"/>
      <c r="I20" s="160"/>
      <c r="J20" s="148"/>
      <c r="K20" s="160"/>
      <c r="L20" s="148"/>
      <c r="M20" s="160"/>
      <c r="N20" s="148"/>
      <c r="O20" s="160"/>
    </row>
    <row r="21" spans="1:15" ht="15" customHeight="1">
      <c r="A21" s="1" t="s">
        <v>711</v>
      </c>
      <c r="B21" s="159">
        <f>+GETPIVOTDATA("Sum of Old-Total Undg SCH FTE",'FTE Pivot for regular counts'!$A$2,"State","MS","Category",1,"Category2","Four-Year")</f>
        <v>46763.333333333336</v>
      </c>
      <c r="C21" s="160">
        <f>+GETPIVOTDATA("Sum of Old-HS % of Total",'Pivot-HS Student % of Undergrad'!$A$3,"State","MS","Category",1,"Category2","Four-Year")</f>
        <v>0</v>
      </c>
      <c r="D21" s="148">
        <f>+GETPIVOTDATA("Sum of Old-Total Undg SCH FTE",'FTE Pivot for regular counts'!$A$2,"State","MS","Category",2,"Category2","Four-Year")</f>
        <v>4740.5333333333338</v>
      </c>
      <c r="E21" s="160">
        <f>+GETPIVOTDATA("Sum of Old-HS % of Total",'Pivot-HS Student % of Undergrad'!$A$3,"State","MS","Category",2,"Category2","Four-Year")</f>
        <v>0</v>
      </c>
      <c r="F21" s="148">
        <f>+GETPIVOTDATA("Sum of Old-Total Undg SCH FTE",'FTE Pivot for regular counts'!$A$2,"State","MS","Category",3,"Category2","Four-Year")</f>
        <v>0</v>
      </c>
      <c r="G21" s="160">
        <f>+GETPIVOTDATA("Sum of Old-HS % of Total",'Pivot-HS Student % of Undergrad'!$A$3,"State","MS","Category",3,"Category2","Four-Year")</f>
        <v>0</v>
      </c>
      <c r="H21" s="148">
        <f>+GETPIVOTDATA("Sum of Old-Total Undg SCH FTE",'FTE Pivot for regular counts'!$A$2,"State","MS","Category",4,"Category2","Four-Year")</f>
        <v>9495.2566666666662</v>
      </c>
      <c r="I21" s="160">
        <f>+GETPIVOTDATA("Sum of Old-HS % of Total",'Pivot-HS Student % of Undergrad'!$A$3,"State","MS","Category",4,"Category2","Four-Year")</f>
        <v>0</v>
      </c>
      <c r="J21" s="148">
        <f>+GETPIVOTDATA("Sum of Old-Total Undg SCH FTE",'FTE Pivot for regular counts'!$A$2,"State","MS","Category",5,"Category2","Four-Year")</f>
        <v>0</v>
      </c>
      <c r="K21" s="160">
        <f>+GETPIVOTDATA("Sum of Old-HS % of Total",'Pivot-HS Student % of Undergrad'!$A$3,"State","MS","Category",5,"Category2","Four-Year")</f>
        <v>0</v>
      </c>
      <c r="L21" s="148">
        <f>+GETPIVOTDATA("Sum of Old-Total Undg SCH FTE",'FTE Pivot for regular counts'!$A$2,"State","MS","Category",6,"Category2","Four-Year")</f>
        <v>0</v>
      </c>
      <c r="M21" s="160">
        <f>+GETPIVOTDATA("Sum of Old-HS % of Total",'Pivot-HS Student % of Undergrad'!$A$3,"State","MS","Category",6,"Category2","Four-Year")</f>
        <v>0</v>
      </c>
      <c r="N21" s="148">
        <f>+GETPIVOTDATA("Sum of Old-Total Undg SCH FTE",'FTE Pivot for regular counts'!$A$2,"State","MS","Category2","Four-Year")</f>
        <v>60999.123333333337</v>
      </c>
      <c r="O21" s="160">
        <f>+GETPIVOTDATA("Sum of Old-HS % of Total",'Pivot-HS Student % of Undergrad'!$A$3,"State","MS","Category2","Group1")</f>
        <v>0</v>
      </c>
    </row>
    <row r="22" spans="1:15" ht="15" customHeight="1">
      <c r="A22" s="1" t="s">
        <v>712</v>
      </c>
      <c r="B22" s="159">
        <f>+GETPIVOTDATA("Sum of Old-Total Undg SCH FTE",'FTE Pivot for regular counts'!$A$2,"State","NC","Category",1,"Category2","Four-Year")</f>
        <v>80606.566666666666</v>
      </c>
      <c r="C22" s="160">
        <f>+GETPIVOTDATA("Sum of Old-HS % of Total",'Pivot-HS Student % of Undergrad'!$A$3,"State","NC","Category",1,"Category2","Four-Year")</f>
        <v>3.4108056539645035E-3</v>
      </c>
      <c r="D22" s="148">
        <f>+GETPIVOTDATA("Sum of Old-Total Undg SCH FTE",'FTE Pivot for regular counts'!$A$2,"State","NC","Category",2,"Category2","Four-Year")</f>
        <v>21374.733333333334</v>
      </c>
      <c r="E22" s="160">
        <f>+GETPIVOTDATA("Sum of Old-HS % of Total",'Pivot-HS Student % of Undergrad'!$A$3,"State","NC","Category",2,"Category2","Four-Year")</f>
        <v>4.7096104122936426E-4</v>
      </c>
      <c r="F22" s="148">
        <f>+GETPIVOTDATA("Sum of Old-Total Undg SCH FTE",'FTE Pivot for regular counts'!$A$2,"State","NC","Category",3,"Category2","Four-Year")</f>
        <v>57185.416666666672</v>
      </c>
      <c r="G22" s="160">
        <f>+GETPIVOTDATA("Sum of Old-HS % of Total",'Pivot-HS Student % of Undergrad'!$A$3,"State","NC","Category",3,"Category2","Four-Year")</f>
        <v>5.5730992021567269E-3</v>
      </c>
      <c r="H22" s="148">
        <f>+GETPIVOTDATA("Sum of Old-Total Undg SCH FTE",'FTE Pivot for regular counts'!$A$2,"State","NC","Category",4,"Category2","Four-Year")</f>
        <v>5003.833333333333</v>
      </c>
      <c r="I22" s="160">
        <f>+GETPIVOTDATA("Sum of Old-HS % of Total",'Pivot-HS Student % of Undergrad'!$A$3,"State","NC","Category",4,"Category2","Four-Year")</f>
        <v>5.2359857442627319E-2</v>
      </c>
      <c r="J22" s="148">
        <f>+GETPIVOTDATA("Sum of Old-Total Undg SCH FTE",'FTE Pivot for regular counts'!$A$2,"State","NC","Category",5,"Category2","Four-Year")</f>
        <v>10095</v>
      </c>
      <c r="K22" s="160">
        <f>+GETPIVOTDATA("Sum of Old-HS % of Total",'Pivot-HS Student % of Undergrad'!$A$3,"State","NC","Category",5,"Category2","Four-Year")</f>
        <v>0</v>
      </c>
      <c r="L22" s="148">
        <f>+GETPIVOTDATA("Sum of Old-Total Undg SCH FTE",'FTE Pivot for regular counts'!$A$2,"State","NC","Category",6,"Category2","Four-Year")</f>
        <v>4844.5</v>
      </c>
      <c r="M22" s="160">
        <f>+GETPIVOTDATA("Sum of Old-HS % of Total",'Pivot-HS Student % of Undergrad'!$A$3,"State","NC","Category",6,"Category2","Four-Year")</f>
        <v>0</v>
      </c>
      <c r="N22" s="148">
        <f>+GETPIVOTDATA("Sum of Old-Total Undg SCH FTE",'FTE Pivot for regular counts'!$A$2,"State","NC","Category2","Four-Year")</f>
        <v>179110.05000000002</v>
      </c>
      <c r="O22" s="160">
        <f>+GETPIVOTDATA("Sum of Old-HS % of Total",'Pivot-HS Student % of Undergrad'!$A$3,"State","NC","Category2","Group1")</f>
        <v>4.8333412893358024E-3</v>
      </c>
    </row>
    <row r="23" spans="1:15" ht="15" customHeight="1">
      <c r="A23" s="1" t="s">
        <v>713</v>
      </c>
      <c r="B23" s="159">
        <f>+GETPIVOTDATA("Sum of Old-Total Undg SCH FTE",'FTE Pivot for regular counts'!$A$2,"State","OK","Category",1,"Category2","Four-Year")</f>
        <v>0</v>
      </c>
      <c r="C23" s="160">
        <f>+GETPIVOTDATA("Sum of Old-HS % of Total",'Pivot-HS Student % of Undergrad'!$A$3,"State","OK","Category",1,"Category2","Four-Year")</f>
        <v>0</v>
      </c>
      <c r="D23" s="148">
        <f>+GETPIVOTDATA("Sum of Old-Total Undg SCH FTE",'FTE Pivot for regular counts'!$A$2,"State","OK","Category",2,"Category2","Four-Year")</f>
        <v>0</v>
      </c>
      <c r="E23" s="160">
        <f>+GETPIVOTDATA("Sum of Old-HS % of Total",'Pivot-HS Student % of Undergrad'!$A$3,"State","OK","Category",2,"Category2","Four-Year")</f>
        <v>0</v>
      </c>
      <c r="F23" s="148">
        <f>+GETPIVOTDATA("Sum of Old-Total Undg SCH FTE",'FTE Pivot for regular counts'!$A$2,"State","OK","Category",3,"Category2","Four-Year")</f>
        <v>0</v>
      </c>
      <c r="G23" s="160">
        <f>+GETPIVOTDATA("Sum of Old-HS % of Total",'Pivot-HS Student % of Undergrad'!$A$3,"State","OK","Category",3,"Category2","Four-Year")</f>
        <v>0</v>
      </c>
      <c r="H23" s="148">
        <f>+GETPIVOTDATA("Sum of Old-Total Undg SCH FTE",'FTE Pivot for regular counts'!$A$2,"State","OK","Category",4,"Category2","Four-Year")</f>
        <v>0</v>
      </c>
      <c r="I23" s="160">
        <f>+GETPIVOTDATA("Sum of Old-HS % of Total",'Pivot-HS Student % of Undergrad'!$A$3,"State","OK","Category",4,"Category2","Four-Year")</f>
        <v>0</v>
      </c>
      <c r="J23" s="148">
        <f>+GETPIVOTDATA("Sum of Old-Total Undg SCH FTE",'FTE Pivot for regular counts'!$A$2,"State","OK","Category",5,"Category2","Four-Year")</f>
        <v>0</v>
      </c>
      <c r="K23" s="160">
        <f>+GETPIVOTDATA("Sum of Old-HS % of Total",'Pivot-HS Student % of Undergrad'!$A$3,"State","OK","Category",5,"Category2","Four-Year")</f>
        <v>0</v>
      </c>
      <c r="L23" s="148">
        <f>+GETPIVOTDATA("Sum of Old-Total Undg SCH FTE",'FTE Pivot for regular counts'!$A$2,"State","OK","Category",6,"Category2","Four-Year")</f>
        <v>0</v>
      </c>
      <c r="M23" s="160">
        <f>+GETPIVOTDATA("Sum of Old-HS % of Total",'Pivot-HS Student % of Undergrad'!$A$3,"State","OK","Category",6,"Category2","Four-Year")</f>
        <v>0</v>
      </c>
      <c r="N23" s="148">
        <f>+GETPIVOTDATA("Sum of Old-Total Undg SCH FTE",'FTE Pivot for regular counts'!$A$2,"State","OK","Category2","Four-Year")</f>
        <v>0</v>
      </c>
      <c r="O23" s="160">
        <f>+GETPIVOTDATA("Sum of Old-HS % of Total",'Pivot-HS Student % of Undergrad'!$A$3,"State","OK","Category2","Group1")</f>
        <v>0</v>
      </c>
    </row>
    <row r="24" spans="1:15" ht="15" customHeight="1">
      <c r="A24" s="1" t="s">
        <v>714</v>
      </c>
      <c r="B24" s="159">
        <f>+GETPIVOTDATA("Sum of Old-Total Undg SCH FTE",'FTE Pivot for regular counts'!$A$2,"State","SC","Category",1,"Category2","Four-Year")</f>
        <v>47741.566666666666</v>
      </c>
      <c r="C24" s="165">
        <f>+GETPIVOTDATA("Sum of Old-HS % of Total",'Pivot-HS Student % of Undergrad'!$A$3,"State","SC","Category",1,"Category2","Four-Year")</f>
        <v>1.829293410982882E-4</v>
      </c>
      <c r="D24" s="148">
        <f>+GETPIVOTDATA("Sum of Old-Total Undg SCH FTE",'FTE Pivot for regular counts'!$A$2,"State","SC","Category",2,"Category2","Four-Year")</f>
        <v>0</v>
      </c>
      <c r="E24" s="160">
        <f>+GETPIVOTDATA("Sum of Old-HS % of Total",'Pivot-HS Student % of Undergrad'!$A$3,"State","SC","Category",2,"Category2","Four-Year")</f>
        <v>0</v>
      </c>
      <c r="F24" s="148">
        <f>+GETPIVOTDATA("Sum of Old-Total Undg SCH FTE",'FTE Pivot for regular counts'!$A$2,"State","SC","Category",3,"Category2","Four-Year")</f>
        <v>17448.3</v>
      </c>
      <c r="G24" s="160">
        <f>+GETPIVOTDATA("Sum of Old-HS % of Total",'Pivot-HS Student % of Undergrad'!$A$3,"State","SC","Category",3,"Category2","Four-Year")</f>
        <v>4.3748292574825815E-3</v>
      </c>
      <c r="H24" s="148">
        <f>+GETPIVOTDATA("Sum of Old-Total Undg SCH FTE",'FTE Pivot for regular counts'!$A$2,"State","SC","Category",4,"Category2","Four-Year")</f>
        <v>9703.2666666666664</v>
      </c>
      <c r="I24" s="160">
        <f>+GETPIVOTDATA("Sum of Old-HS % of Total",'Pivot-HS Student % of Undergrad'!$A$3,"State","SC","Category",4,"Category2","Four-Year")</f>
        <v>9.1859098997588446E-3</v>
      </c>
      <c r="J24" s="148">
        <f>+GETPIVOTDATA("Sum of Old-Total Undg SCH FTE",'FTE Pivot for regular counts'!$A$2,"State","SC","Category",5,"Category2","Four-Year")</f>
        <v>4904.3999999999996</v>
      </c>
      <c r="K24" s="160">
        <f>+GETPIVOTDATA("Sum of Old-HS % of Total",'Pivot-HS Student % of Undergrad'!$A$3,"State","SC","Category",5,"Category2","Four-Year")</f>
        <v>3.6195781360673251E-2</v>
      </c>
      <c r="L24" s="148">
        <f>+GETPIVOTDATA("Sum of Old-Total Undg SCH FTE",'FTE Pivot for regular counts'!$A$2,"State","SC","Category",6,"Category2","Four-Year")</f>
        <v>12992.583333333334</v>
      </c>
      <c r="M24" s="160">
        <f>+GETPIVOTDATA("Sum of Old-HS % of Total",'Pivot-HS Student % of Undergrad'!$A$3,"State","SC","Category",6,"Category2","Four-Year")</f>
        <v>2.0809307874364219E-2</v>
      </c>
      <c r="N24" s="148">
        <f>+GETPIVOTDATA("Sum of Old-Total Undg SCH FTE",'FTE Pivot for regular counts'!$A$2,"State","SC","Category2","Four-Year")</f>
        <v>92790.116666666654</v>
      </c>
      <c r="O24" s="160">
        <f>+GETPIVOTDATA("Sum of Old-HS % of Total",'Pivot-HS Student % of Undergrad'!$A$3,"State","SC","Category2","Group1")</f>
        <v>6.0120553622353429E-3</v>
      </c>
    </row>
    <row r="25" spans="1:15" ht="15" customHeight="1">
      <c r="B25" s="159"/>
      <c r="C25" s="165"/>
      <c r="D25" s="148"/>
      <c r="E25" s="160"/>
      <c r="F25" s="148"/>
      <c r="G25" s="160"/>
      <c r="H25" s="148"/>
      <c r="I25" s="160"/>
      <c r="J25" s="148"/>
      <c r="K25" s="160"/>
      <c r="L25" s="148"/>
      <c r="M25" s="160"/>
      <c r="N25" s="148"/>
      <c r="O25" s="160"/>
    </row>
    <row r="26" spans="1:15">
      <c r="A26" s="1" t="s">
        <v>715</v>
      </c>
      <c r="B26" s="159">
        <f>+GETPIVOTDATA("Sum of Old-Total Undg SCH FTE",'FTE Pivot for regular counts'!$A$2,"State","TN","Category",1,"Category2","Four-Year")</f>
        <v>35589.300000000003</v>
      </c>
      <c r="C26" s="160">
        <f>+GETPIVOTDATA("Sum of Old-HS % of Total",'Pivot-HS Student % of Undergrad'!$A$3,"State","TN","Category",1,"Category2","Four-Year")</f>
        <v>1.1882784994366284E-2</v>
      </c>
      <c r="D26" s="148">
        <f>+GETPIVOTDATA("Sum of Old-Total Undg SCH FTE",'FTE Pivot for regular counts'!$A$2,"State","TN","Category",2,"Category2","Four-Year")</f>
        <v>32692.866666666669</v>
      </c>
      <c r="E26" s="160">
        <f>+GETPIVOTDATA("Sum of Old-HS % of Total",'Pivot-HS Student % of Undergrad'!$A$3,"State","TN","Category",2,"Category2","Four-Year")</f>
        <v>1.553753826013014E-2</v>
      </c>
      <c r="F26" s="148">
        <f>+GETPIVOTDATA("Sum of Old-Total Undg SCH FTE",'FTE Pivot for regular counts'!$A$2,"State","TN","Category",3,"Category2","Four-Year")</f>
        <v>25980.899999999998</v>
      </c>
      <c r="G26" s="160">
        <f>+GETPIVOTDATA("Sum of Old-HS % of Total",'Pivot-HS Student % of Undergrad'!$A$3,"State","TN","Category",3,"Category2","Four-Year")</f>
        <v>1.3955123443247411E-2</v>
      </c>
      <c r="H26" s="148">
        <f>+GETPIVOTDATA("Sum of Old-Total Undg SCH FTE",'FTE Pivot for regular counts'!$A$2,"State","TN","Category",4,"Category2","Four-Year")</f>
        <v>5443.3</v>
      </c>
      <c r="I26" s="160">
        <f>+GETPIVOTDATA("Sum of Old-HS % of Total",'Pivot-HS Student % of Undergrad'!$A$3,"State","TN","Category",4,"Category2","Four-Year")</f>
        <v>6.1506806532801793E-2</v>
      </c>
      <c r="J26" s="148">
        <f>+GETPIVOTDATA("Sum of Old-Total Undg SCH FTE",'FTE Pivot for regular counts'!$A$2,"State","TN","Category",5,"Category2","Four-Year")</f>
        <v>0</v>
      </c>
      <c r="K26" s="160">
        <f>+GETPIVOTDATA("Sum of Old-HS % of Total",'Pivot-HS Student % of Undergrad'!$A$3,"State","TN","Category",5,"Category2","Four-Year")</f>
        <v>0</v>
      </c>
      <c r="L26" s="148">
        <f>+GETPIVOTDATA("Sum of Old-Total Undg SCH FTE",'FTE Pivot for regular counts'!$A$2,"State","TN","Category",6,"Category2","Four-Year")</f>
        <v>0</v>
      </c>
      <c r="M26" s="160">
        <f>+GETPIVOTDATA("Sum of Old-HS % of Total",'Pivot-HS Student % of Undergrad'!$A$3,"State","TN","Category",6,"Category2","Four-Year")</f>
        <v>0</v>
      </c>
      <c r="N26" s="148">
        <f>+GETPIVOTDATA("Sum of Old-Total Undg SCH FTE",'FTE Pivot for regular counts'!$A$2,"State","TN","Category2","Four-Year")</f>
        <v>99706.366666666669</v>
      </c>
      <c r="O26" s="160">
        <f>+GETPIVOTDATA("Sum of Old-HS % of Total",'Pivot-HS Student % of Undergrad'!$A$3,"State","TN","Category2","Group1")</f>
        <v>1.6330284492030098E-2</v>
      </c>
    </row>
    <row r="27" spans="1:15" ht="15" customHeight="1">
      <c r="A27" s="1" t="s">
        <v>716</v>
      </c>
      <c r="B27" s="159">
        <f>+GETPIVOTDATA("Sum of Old-Total Undg SCH FTE",'FTE Pivot for regular counts'!$A$2,"State","TX","Category",1,"Category2","Four-Year")</f>
        <v>236716.7</v>
      </c>
      <c r="C27" s="165">
        <f>+GETPIVOTDATA("Sum of Old-HS % of Total",'Pivot-HS Student % of Undergrad'!$A$3,"State","TX","Category",1,"Category2","Four-Year")</f>
        <v>1.0611841074161645E-3</v>
      </c>
      <c r="D27" s="148">
        <f>+GETPIVOTDATA("Sum of Old-Total Undg SCH FTE",'FTE Pivot for regular counts'!$A$2,"State","TX","Category",2,"Category2","Four-Year")</f>
        <v>54400.399999999994</v>
      </c>
      <c r="E27" s="160">
        <f>+GETPIVOTDATA("Sum of Old-HS % of Total",'Pivot-HS Student % of Undergrad'!$A$3,"State","TX","Category",2,"Category2","Four-Year")</f>
        <v>6.6604902414933225E-3</v>
      </c>
      <c r="F27" s="148">
        <f>+GETPIVOTDATA("Sum of Old-Total Undg SCH FTE",'FTE Pivot for regular counts'!$A$2,"State","TX","Category",3,"Category2","Four-Year")</f>
        <v>137503.33333333331</v>
      </c>
      <c r="G27" s="160">
        <f>+GETPIVOTDATA("Sum of Old-HS % of Total",'Pivot-HS Student % of Undergrad'!$A$3,"State","TX","Category",3,"Category2","Four-Year")</f>
        <v>2.3271678262345157E-2</v>
      </c>
      <c r="H27" s="148">
        <f>+GETPIVOTDATA("Sum of Old-Total Undg SCH FTE",'FTE Pivot for regular counts'!$A$2,"State","TX","Category",4,"Category2","Four-Year")</f>
        <v>19412.666666666668</v>
      </c>
      <c r="I27" s="165">
        <f>+GETPIVOTDATA("Sum of Old-HS % of Total",'Pivot-HS Student % of Undergrad'!$A$3,"State","TX","Category",4,"Category2","Four-Year")</f>
        <v>2.8715694965024243E-3</v>
      </c>
      <c r="J27" s="148">
        <f>+GETPIVOTDATA("Sum of Old-Total Undg SCH FTE",'FTE Pivot for regular counts'!$A$2,"State","TX","Category",5,"Category2","Four-Year")</f>
        <v>2260.2000000000003</v>
      </c>
      <c r="K27" s="160">
        <f>+GETPIVOTDATA("Sum of Old-HS % of Total",'Pivot-HS Student % of Undergrad'!$A$3,"State","TX","Category",5,"Category2","Four-Year")</f>
        <v>0</v>
      </c>
      <c r="L27" s="148">
        <f>+GETPIVOTDATA("Sum of Old-Total Undg SCH FTE",'FTE Pivot for regular counts'!$A$2,"State","TX","Category",6,"Category2","Four-Year")</f>
        <v>0</v>
      </c>
      <c r="M27" s="160">
        <f>+GETPIVOTDATA("Sum of Old-HS % of Total",'Pivot-HS Student % of Undergrad'!$A$3,"State","TX","Category",6,"Category2","Four-Year")</f>
        <v>0</v>
      </c>
      <c r="N27" s="148">
        <f>+GETPIVOTDATA("Sum of Old-Total Undg SCH FTE",'FTE Pivot for regular counts'!$A$2,"State","TX","Category2","Four-Year")</f>
        <v>450293.3</v>
      </c>
      <c r="O27" s="160">
        <f>+GETPIVOTDATA("Sum of Old-HS % of Total",'Pivot-HS Student % of Undergrad'!$A$3,"State","TX","Category2","Group1")</f>
        <v>8.6239877337144222E-3</v>
      </c>
    </row>
    <row r="28" spans="1:15" ht="15" customHeight="1">
      <c r="A28" s="1" t="s">
        <v>717</v>
      </c>
      <c r="B28" s="159">
        <f>+GETPIVOTDATA("Sum of Old-Total Undg SCH FTE",'FTE Pivot for regular counts'!$A$2,"State","VA","Category",1,"Category2","Four-Year")</f>
        <v>109154.79999999999</v>
      </c>
      <c r="C28" s="160">
        <f>+GETPIVOTDATA("Sum of Old-HS % of Total",'Pivot-HS Student % of Undergrad'!$A$3,"State","VA","Category",1,"Category2","Four-Year")</f>
        <v>8.2650205640674226E-3</v>
      </c>
      <c r="D28" s="148">
        <f>+GETPIVOTDATA("Sum of Old-Total Undg SCH FTE",'FTE Pivot for regular counts'!$A$2,"State","VA","Category",2,"Category2","Four-Year")</f>
        <v>6138.1166666666668</v>
      </c>
      <c r="E28" s="160">
        <f>+GETPIVOTDATA("Sum of Old-HS % of Total",'Pivot-HS Student % of Undergrad'!$A$3,"State","VA","Category",2,"Category2","Four-Year")</f>
        <v>0</v>
      </c>
      <c r="F28" s="148">
        <f>+GETPIVOTDATA("Sum of Old-Total Undg SCH FTE",'FTE Pivot for regular counts'!$A$2,"State","VA","Category",3,"Category2","Four-Year")</f>
        <v>31479.29</v>
      </c>
      <c r="G28" s="160">
        <f>+GETPIVOTDATA("Sum of Old-HS % of Total",'Pivot-HS Student % of Undergrad'!$A$3,"State","VA","Category",3,"Category2","Four-Year")</f>
        <v>5.2807205414522797E-3</v>
      </c>
      <c r="H28" s="148">
        <f>+GETPIVOTDATA("Sum of Old-Total Undg SCH FTE",'FTE Pivot for regular counts'!$A$2,"State","VA","Category",4,"Category2","Four-Year")</f>
        <v>4583.2666666666664</v>
      </c>
      <c r="I28" s="165">
        <f>+GETPIVOTDATA("Sum of Old-HS % of Total",'Pivot-HS Student % of Undergrad'!$A$3,"State","VA","Category",4,"Category2","Four-Year")</f>
        <v>8.2910296877045488E-4</v>
      </c>
      <c r="J28" s="148">
        <f>+GETPIVOTDATA("Sum of Old-Total Undg SCH FTE",'FTE Pivot for regular counts'!$A$2,"State","VA","Category",5,"Category2","Four-Year")</f>
        <v>12422.406666666666</v>
      </c>
      <c r="K28" s="165">
        <f>+GETPIVOTDATA("Sum of Old-HS % of Total",'Pivot-HS Student % of Undergrad'!$A$3,"State","VA","Category",5,"Category2","Four-Year")</f>
        <v>1.0201995211877892E-2</v>
      </c>
      <c r="L28" s="148">
        <f>+GETPIVOTDATA("Sum of Old-Total Undg SCH FTE",'FTE Pivot for regular counts'!$A$2,"State","VA","Category",6,"Category2","Four-Year")</f>
        <v>1527.6666666666667</v>
      </c>
      <c r="M28" s="165">
        <f>+GETPIVOTDATA("Sum of Old-HS % of Total",'Pivot-HS Student % of Undergrad'!$A$3,"State","VA","Category",6,"Category2","Four-Year")</f>
        <v>4.5821514291948503E-3</v>
      </c>
      <c r="N28" s="148">
        <f>+GETPIVOTDATA("Sum of Old-Total Undg SCH FTE",'FTE Pivot for regular counts'!$A$2,"State","VA","Category2","Four-Year")</f>
        <v>165305.54666666666</v>
      </c>
      <c r="O28" s="160">
        <f>+GETPIVOTDATA("Sum of Old-HS % of Total",'Pivot-HS Student % of Undergrad'!$A$3,"State","VA","Category2","Group1")</f>
        <v>7.2951776734089821E-3</v>
      </c>
    </row>
    <row r="29" spans="1:15" ht="15" customHeight="1">
      <c r="A29" s="166" t="s">
        <v>718</v>
      </c>
      <c r="B29" s="167">
        <f>+GETPIVOTDATA("Sum of Old-Total Undg SCH FTE",'FTE Pivot for regular counts'!$A$2,"State","WV","Category",1,"Category2","Four-Year")</f>
        <v>20253.849999999999</v>
      </c>
      <c r="C29" s="168">
        <f>+GETPIVOTDATA("Sum of Old-HS % of Total",'Pivot-HS Student % of Undergrad'!$A$3,"State","WV","Category",1,"Category2","Four-Year")</f>
        <v>9.0419023214516423E-3</v>
      </c>
      <c r="D29" s="169">
        <f>+GETPIVOTDATA("Sum of Old-Total Undg SCH FTE",'FTE Pivot for regular counts'!$A$2,"State","WV","Category",2,"Category2","Four-Year")</f>
        <v>0</v>
      </c>
      <c r="E29" s="168">
        <f>+GETPIVOTDATA("Sum of Old-HS % of Total",'Pivot-HS Student % of Undergrad'!$A$3,"State","WV","Category",2,"Category2","Four-Year")</f>
        <v>0</v>
      </c>
      <c r="F29" s="169">
        <f>+GETPIVOTDATA("Sum of Old-Total Undg SCH FTE",'FTE Pivot for regular counts'!$A$2,"State","WV","Category",3,"Category2","Four-Year")</f>
        <v>8151.9</v>
      </c>
      <c r="G29" s="168">
        <f>+GETPIVOTDATA("Sum of Old-HS % of Total",'Pivot-HS Student % of Undergrad'!$A$3,"State","WV","Category",3,"Category2","Four-Year")</f>
        <v>6.340035247406535E-2</v>
      </c>
      <c r="H29" s="169">
        <f>+GETPIVOTDATA("Sum of Old-Total Undg SCH FTE",'FTE Pivot for regular counts'!$A$2,"State","WV","Category",4,"Category2","Four-Year")</f>
        <v>0</v>
      </c>
      <c r="I29" s="168">
        <f>+GETPIVOTDATA("Sum of Old-HS % of Total",'Pivot-HS Student % of Undergrad'!$A$3,"State","WV","Category",4,"Category2","Four-Year")</f>
        <v>0</v>
      </c>
      <c r="J29" s="169">
        <f>+GETPIVOTDATA("Sum of Old-Total Undg SCH FTE",'FTE Pivot for regular counts'!$A$2,"State","WV","Category",5,"Category2","Four-Year")</f>
        <v>9511.1833333333343</v>
      </c>
      <c r="K29" s="170">
        <f>+GETPIVOTDATA("Sum of Old-HS % of Total",'Pivot-HS Student % of Undergrad'!$A$3,"State","WV","Category",5,"Category2","Four-Year")</f>
        <v>1.5595675967413798E-2</v>
      </c>
      <c r="L29" s="169">
        <f>+GETPIVOTDATA("Sum of Old-Total Undg SCH FTE",'FTE Pivot for regular counts'!$A$2,"State","WV","Category",6,"Category2","Four-Year")</f>
        <v>5923.5999999999995</v>
      </c>
      <c r="M29" s="168">
        <f>+GETPIVOTDATA("Sum of Old-HS % of Total",'Pivot-HS Student % of Undergrad'!$A$3,"State","WV","Category",6,"Category2","Four-Year")</f>
        <v>0.15068539401715172</v>
      </c>
      <c r="N29" s="169">
        <f>+GETPIVOTDATA("Sum of Old-Total Undg SCH FTE",'FTE Pivot for regular counts'!$A$2,"State","WV","Category2","Four-Year")</f>
        <v>43840.533333333333</v>
      </c>
      <c r="O29" s="168">
        <f>+GETPIVOTDATA("Sum of Old-HS % of Total",'Pivot-HS Student % of Undergrad'!$A$3,"State","WV","Category2","Group1")</f>
        <v>3.97098271310568E-2</v>
      </c>
    </row>
    <row r="30" spans="1:15" ht="23.25" customHeight="1">
      <c r="A30" s="607" t="s">
        <v>851</v>
      </c>
      <c r="B30" s="608"/>
      <c r="C30" s="608"/>
      <c r="D30" s="608"/>
      <c r="E30" s="608"/>
      <c r="F30" s="608"/>
      <c r="G30" s="608"/>
      <c r="H30" s="608"/>
      <c r="I30" s="609"/>
      <c r="J30" s="609"/>
      <c r="K30" s="609"/>
      <c r="L30" s="609"/>
      <c r="M30" s="609"/>
      <c r="N30" s="609"/>
      <c r="O30" s="609"/>
    </row>
    <row r="31" spans="1:15">
      <c r="A31" s="191"/>
      <c r="B31" s="178"/>
      <c r="C31" s="178"/>
      <c r="D31" s="178"/>
      <c r="E31" s="178"/>
      <c r="F31" s="178"/>
      <c r="G31" s="178"/>
      <c r="J31" s="178"/>
      <c r="K31" s="178"/>
      <c r="L31" s="178"/>
      <c r="M31" s="178"/>
      <c r="N31" s="178"/>
      <c r="O31" s="192" t="s">
        <v>879</v>
      </c>
    </row>
    <row r="32" spans="1:15" ht="18">
      <c r="A32" s="116" t="s">
        <v>719</v>
      </c>
      <c r="B32" s="122"/>
      <c r="C32" s="122"/>
      <c r="D32" s="122"/>
      <c r="E32" s="122"/>
      <c r="F32" s="180"/>
      <c r="G32" s="122"/>
      <c r="H32" s="122"/>
      <c r="I32" s="178"/>
      <c r="J32" s="178"/>
      <c r="K32" s="178"/>
      <c r="L32" s="178"/>
      <c r="M32" s="178"/>
      <c r="N32" s="178"/>
    </row>
    <row r="33" spans="1:14" ht="15.5">
      <c r="A33" s="122"/>
      <c r="B33" s="122"/>
      <c r="C33" s="122"/>
      <c r="D33" s="122"/>
      <c r="E33" s="122"/>
      <c r="F33" s="122"/>
      <c r="G33" s="122"/>
      <c r="H33" s="122"/>
      <c r="I33" s="178"/>
      <c r="J33" s="178"/>
      <c r="K33" s="178"/>
      <c r="L33" s="178"/>
      <c r="M33" s="178"/>
      <c r="N33" s="178"/>
    </row>
    <row r="34" spans="1:14" ht="15.5">
      <c r="A34" s="122" t="s">
        <v>720</v>
      </c>
      <c r="B34" s="122"/>
      <c r="C34" s="122"/>
      <c r="D34" s="122"/>
      <c r="E34" s="122"/>
      <c r="F34" s="122"/>
      <c r="G34" s="122"/>
      <c r="H34" s="122"/>
      <c r="I34" s="178"/>
      <c r="J34" s="178"/>
      <c r="K34" s="178"/>
      <c r="L34" s="178"/>
      <c r="M34" s="178"/>
      <c r="N34" s="178"/>
    </row>
    <row r="35" spans="1:14" ht="15.5">
      <c r="A35" s="122" t="s">
        <v>873</v>
      </c>
      <c r="B35" s="122"/>
      <c r="C35" s="122"/>
      <c r="D35" s="122"/>
      <c r="E35" s="122"/>
      <c r="F35" s="122"/>
      <c r="G35" s="122"/>
      <c r="H35" s="122"/>
    </row>
    <row r="37" spans="1:14" ht="15" customHeight="1">
      <c r="A37" s="125"/>
      <c r="B37" s="125" t="s">
        <v>675</v>
      </c>
      <c r="C37" s="125"/>
      <c r="D37" s="125"/>
      <c r="E37" s="125"/>
      <c r="F37" s="125"/>
      <c r="G37" s="125"/>
      <c r="H37" s="181"/>
    </row>
    <row r="38" spans="1:14" ht="15" customHeight="1">
      <c r="A38" s="182"/>
      <c r="B38" s="183">
        <v>1</v>
      </c>
      <c r="C38" s="183">
        <v>2</v>
      </c>
      <c r="D38" s="183">
        <v>3</v>
      </c>
      <c r="E38" s="183">
        <v>4</v>
      </c>
      <c r="F38" s="183">
        <v>5</v>
      </c>
      <c r="G38" s="184">
        <v>6</v>
      </c>
      <c r="H38" s="183" t="s">
        <v>687</v>
      </c>
    </row>
    <row r="39" spans="1:14" ht="15" customHeight="1">
      <c r="A39" s="1" t="s">
        <v>695</v>
      </c>
      <c r="B39" s="185">
        <f>+GETPIVOTDATA("Sum of Old-Total Grad FTE",'FTE Pivot for regular counts'!$A$2,"Category",1,"Category2","Four-Year")</f>
        <v>193383.40416666667</v>
      </c>
      <c r="C39" s="185">
        <f>+GETPIVOTDATA("Sum of Old-Total Grad FTE",'FTE Pivot for regular counts'!$A$2,"Category",2,"Category2","Four-Year")</f>
        <v>47048.062499999993</v>
      </c>
      <c r="D39" s="185">
        <f>+GETPIVOTDATA("Sum of Old-Total Grad FTE",'FTE Pivot for regular counts'!$A$2,"Category",3,"Category2","Four-Year")</f>
        <v>80039.920833333323</v>
      </c>
      <c r="E39" s="185">
        <f>+GETPIVOTDATA("Sum of Old-Total Grad FTE",'FTE Pivot for regular counts'!$A$2,"Category",4,"Category2","Four-Year")</f>
        <v>25097.291666666672</v>
      </c>
      <c r="F39" s="185">
        <f>+GETPIVOTDATA("Sum of Old-Total Grad FTE",'FTE Pivot for regular counts'!$A$2,"Category",5,"Category2","Four-Year")</f>
        <v>5573.2083333333339</v>
      </c>
      <c r="G39" s="186">
        <f>+GETPIVOTDATA("Sum of Old-Total Grad FTE",'FTE Pivot for regular counts'!$A$2,"Category",6,"Category2","Four-Year")</f>
        <v>953.91666666666663</v>
      </c>
      <c r="H39" s="185">
        <f>+GETPIVOTDATA("Sum of Old-Total Grad FTE",'FTE Pivot for regular counts'!$A$2,"Category2","Four-Year")</f>
        <v>352095.80416666664</v>
      </c>
    </row>
    <row r="40" spans="1:14" ht="15" customHeight="1">
      <c r="B40" s="185"/>
      <c r="C40" s="185"/>
      <c r="D40" s="185"/>
      <c r="E40" s="185"/>
      <c r="F40" s="185"/>
      <c r="G40" s="186"/>
      <c r="H40" s="185"/>
    </row>
    <row r="41" spans="1:14" ht="15" customHeight="1">
      <c r="A41" s="1" t="s">
        <v>703</v>
      </c>
      <c r="B41" s="185">
        <f>+GETPIVOTDATA("Sum of Old-Total Grad FTE",'FTE Pivot for regular counts'!$A$2,"State","AL","Category",1,"Category2","Four-Year")</f>
        <v>11073.583333333334</v>
      </c>
      <c r="C41" s="185">
        <f>+GETPIVOTDATA("Sum of Old-Total Grad FTE",'FTE Pivot for regular counts'!$A$2,"State","AL","Category",2,"Category2","Four-Year")</f>
        <v>2025.5833333333335</v>
      </c>
      <c r="D41" s="185">
        <f>+GETPIVOTDATA("Sum of Old-Total Grad FTE",'FTE Pivot for regular counts'!$A$2,"State","AL","Category",3,"Category2","Four-Year")</f>
        <v>4643.666666666667</v>
      </c>
      <c r="E41" s="185">
        <f>+GETPIVOTDATA("Sum of Old-Total Grad FTE",'FTE Pivot for regular counts'!$A$2,"State","AL","Category",4,"Category2","Four-Year")</f>
        <v>3216.875</v>
      </c>
      <c r="F41" s="185">
        <f>+GETPIVOTDATA("Sum of Old-Total Grad FTE",'FTE Pivot for regular counts'!$A$2,"State","AL","Category",5,"Category2","Four-Year")</f>
        <v>248.58333333333334</v>
      </c>
      <c r="G41" s="186">
        <f>+GETPIVOTDATA("Sum of Old-Total Grad FTE",'FTE Pivot for regular counts'!$A$2,"State","AL","Category",6,"Category2","Four-Year")</f>
        <v>100.625</v>
      </c>
      <c r="H41" s="185">
        <f>+GETPIVOTDATA("Sum of Old-Total Grad FTE",'FTE Pivot for regular counts'!$A$2,"State","AL","Category2","Four-Year")</f>
        <v>21308.916666666668</v>
      </c>
    </row>
    <row r="42" spans="1:14" ht="15" customHeight="1">
      <c r="A42" s="1" t="s">
        <v>704</v>
      </c>
      <c r="B42" s="185">
        <f>+GETPIVOTDATA("Sum of Old-Total Grad FTE",'FTE Pivot for regular counts'!$A$2,"State","AR","Category",1,"Category2","Four-Year")</f>
        <v>3231.7916666666665</v>
      </c>
      <c r="C42" s="185">
        <f>+GETPIVOTDATA("Sum of Old-Total Grad FTE",'FTE Pivot for regular counts'!$A$2,"State","AR","Category",2,"Category2","Four-Year")</f>
        <v>1635.3333333333333</v>
      </c>
      <c r="D42" s="185">
        <f>+GETPIVOTDATA("Sum of Old-Total Grad FTE",'FTE Pivot for regular counts'!$A$2,"State","AR","Category",3,"Category2","Four-Year")</f>
        <v>6366.458333333333</v>
      </c>
      <c r="E42" s="185">
        <f>+GETPIVOTDATA("Sum of Old-Total Grad FTE",'FTE Pivot for regular counts'!$A$2,"State","AR","Category",4,"Category2","Four-Year")</f>
        <v>1282.8333333333333</v>
      </c>
      <c r="F42" s="185">
        <f>+GETPIVOTDATA("Sum of Old-Total Grad FTE",'FTE Pivot for regular counts'!$A$2,"State","AR","Category",5,"Category2","Four-Year")</f>
        <v>0</v>
      </c>
      <c r="G42" s="186">
        <f>+GETPIVOTDATA("Sum of Old-Total Grad FTE",'FTE Pivot for regular counts'!$A$2,"State","AR","Category",6,"Category2","Four-Year")</f>
        <v>96.916666666666671</v>
      </c>
      <c r="H42" s="185">
        <f>+GETPIVOTDATA("Sum of Old-Total Grad FTE",'FTE Pivot for regular counts'!$A$2,"State","AR","Category2","Four-Year")</f>
        <v>12613.333333333332</v>
      </c>
    </row>
    <row r="43" spans="1:14" ht="15" customHeight="1">
      <c r="A43" s="1" t="s">
        <v>705</v>
      </c>
      <c r="B43" s="185">
        <f>+GETPIVOTDATA("Sum of Old-Total Grad FTE",'FTE Pivot for regular counts'!$A$2,"State","DE","Category",1,"Category2","Four-Year")</f>
        <v>3160.5</v>
      </c>
      <c r="C43" s="185">
        <f>+GETPIVOTDATA("Sum of Old-Total Grad FTE",'FTE Pivot for regular counts'!$A$2,"State","DE","Category",2,"Category2","Four-Year")</f>
        <v>0</v>
      </c>
      <c r="D43" s="185">
        <f>+GETPIVOTDATA("Sum of Old-Total Grad FTE",'FTE Pivot for regular counts'!$A$2,"State","DE","Category",3,"Category2","Four-Year")</f>
        <v>301.79166666666669</v>
      </c>
      <c r="E43" s="185">
        <f>+GETPIVOTDATA("Sum of Old-Total Grad FTE",'FTE Pivot for regular counts'!$A$2,"State","DE","Category",4,"Category2","Four-Year")</f>
        <v>0</v>
      </c>
      <c r="F43" s="185">
        <f>+GETPIVOTDATA("Sum of Old-Total Grad FTE",'FTE Pivot for regular counts'!$A$2,"State","DE","Category",5,"Category2","Four-Year")</f>
        <v>0</v>
      </c>
      <c r="G43" s="186">
        <f>+GETPIVOTDATA("Sum of Old-Total Grad FTE",'FTE Pivot for regular counts'!$A$2,"State","DE","Category",6,"Category2","Four-Year")</f>
        <v>0</v>
      </c>
      <c r="H43" s="185">
        <f>+GETPIVOTDATA("Sum of Old-Total Grad FTE",'FTE Pivot for regular counts'!$A$2,"State","DE","Category2","Four-Year")</f>
        <v>3462.2916666666665</v>
      </c>
      <c r="N43" s="187"/>
    </row>
    <row r="44" spans="1:14" ht="15" customHeight="1">
      <c r="A44" s="1" t="s">
        <v>706</v>
      </c>
      <c r="B44" s="185">
        <f>+GETPIVOTDATA("Sum of Old-Total Grad FTE",'FTE Pivot for regular counts'!$A$2,"State","FL","Category",1,"Category2","Four-Year")</f>
        <v>0</v>
      </c>
      <c r="C44" s="185">
        <f>+GETPIVOTDATA("Sum of Old-Total Grad FTE",'FTE Pivot for regular counts'!$A$2,"State","FL","Category",2,"Category2","Four-Year")</f>
        <v>0</v>
      </c>
      <c r="D44" s="185">
        <f>+GETPIVOTDATA("Sum of Old-Total Grad FTE",'FTE Pivot for regular counts'!$A$2,"State","FL","Category",3,"Category2","Four-Year")</f>
        <v>0</v>
      </c>
      <c r="E44" s="185">
        <f>+GETPIVOTDATA("Sum of Old-Total Grad FTE",'FTE Pivot for regular counts'!$A$2,"State","FL","Category",4,"Category2","Four-Year")</f>
        <v>0</v>
      </c>
      <c r="F44" s="185">
        <f>+GETPIVOTDATA("Sum of Old-Total Grad FTE",'FTE Pivot for regular counts'!$A$2,"State","FL","Category",5,"Category2","Four-Year")</f>
        <v>0</v>
      </c>
      <c r="G44" s="186">
        <f>+GETPIVOTDATA("Sum of Old-Total Grad FTE",'FTE Pivot for regular counts'!$A$2,"State","FL","Category",6,"Category2","Four-Year")</f>
        <v>0</v>
      </c>
      <c r="H44" s="185">
        <f>+GETPIVOTDATA("Sum of Old-Total Grad FTE",'FTE Pivot for regular counts'!$A$2,"State","FL","Category2","Four-Year")</f>
        <v>0</v>
      </c>
    </row>
    <row r="45" spans="1:14" ht="15" customHeight="1">
      <c r="B45" s="185"/>
      <c r="C45" s="185"/>
      <c r="D45" s="185"/>
      <c r="E45" s="185"/>
      <c r="F45" s="185"/>
      <c r="G45" s="186"/>
      <c r="H45" s="185"/>
    </row>
    <row r="46" spans="1:14" ht="15" customHeight="1">
      <c r="A46" s="1" t="s">
        <v>707</v>
      </c>
      <c r="B46" s="185">
        <f>+GETPIVOTDATA("Sum of Old-Total Grad FTE",'FTE Pivot for regular counts'!$A$2,"State","GA","Category",1,"Category2","Four-Year")</f>
        <v>21089.300000000003</v>
      </c>
      <c r="C46" s="185">
        <f>+GETPIVOTDATA("Sum of Old-Total Grad FTE",'FTE Pivot for regular counts'!$A$2,"State","GA","Category",2,"Category2","Four-Year")</f>
        <v>15662.729166666666</v>
      </c>
      <c r="D46" s="185">
        <f>+GETPIVOTDATA("Sum of Old-Total Grad FTE",'FTE Pivot for regular counts'!$A$2,"State","GA","Category",3,"Category2","Four-Year")</f>
        <v>8854.1291666666675</v>
      </c>
      <c r="E46" s="185">
        <f>+GETPIVOTDATA("Sum of Old-Total Grad FTE",'FTE Pivot for regular counts'!$A$2,"State","GA","Category",4,"Category2","Four-Year")</f>
        <v>5698.333333333333</v>
      </c>
      <c r="F46" s="185">
        <f>+GETPIVOTDATA("Sum of Old-Total Grad FTE",'FTE Pivot for regular counts'!$A$2,"State","GA","Category",5,"Category2","Four-Year")</f>
        <v>616.125</v>
      </c>
      <c r="G46" s="186">
        <f>+GETPIVOTDATA("Sum of Old-Total Grad FTE",'FTE Pivot for regular counts'!$A$2,"State","GA","Category",6,"Category2","Four-Year")</f>
        <v>0</v>
      </c>
      <c r="H46" s="185">
        <f>+GETPIVOTDATA("Sum of Old-Total Grad FTE",'FTE Pivot for regular counts'!$A$2,"State","GA","Category2","Four-Year")</f>
        <v>51920.616666666669</v>
      </c>
    </row>
    <row r="47" spans="1:14" ht="15" customHeight="1">
      <c r="A47" s="1" t="s">
        <v>708</v>
      </c>
      <c r="B47" s="185">
        <f>+GETPIVOTDATA("Sum of Old-Total Grad FTE",'FTE Pivot for regular counts'!$A$2,"State","KY","Category",1,"Category2","Four-Year")</f>
        <v>6615.8958333333339</v>
      </c>
      <c r="C47" s="185">
        <f>+GETPIVOTDATA("Sum of Old-Total Grad FTE",'FTE Pivot for regular counts'!$A$2,"State","KY","Category",2,"Category2","Four-Year")</f>
        <v>0</v>
      </c>
      <c r="D47" s="185">
        <f>+GETPIVOTDATA("Sum of Old-Total Grad FTE",'FTE Pivot for regular counts'!$A$2,"State","KY","Category",3,"Category2","Four-Year")</f>
        <v>6892.895833333333</v>
      </c>
      <c r="E47" s="185">
        <f>+GETPIVOTDATA("Sum of Old-Total Grad FTE",'FTE Pivot for regular counts'!$A$2,"State","KY","Category",4,"Category2","Four-Year")</f>
        <v>70.958333333333329</v>
      </c>
      <c r="F47" s="185">
        <f>+GETPIVOTDATA("Sum of Old-Total Grad FTE",'FTE Pivot for regular counts'!$A$2,"State","KY","Category",5,"Category2","Four-Year")</f>
        <v>0</v>
      </c>
      <c r="G47" s="186">
        <f>+GETPIVOTDATA("Sum of Old-Total Grad FTE",'FTE Pivot for regular counts'!$A$2,"State","KY","Category",6,"Category2","Four-Year")</f>
        <v>0</v>
      </c>
      <c r="H47" s="185">
        <f>+GETPIVOTDATA("Sum of Old-Total Grad FTE",'FTE Pivot for regular counts'!$A$2,"State","KY","Category2","Four-Year")</f>
        <v>13579.750000000002</v>
      </c>
    </row>
    <row r="48" spans="1:14" ht="15" customHeight="1">
      <c r="A48" s="1" t="s">
        <v>709</v>
      </c>
      <c r="B48" s="185">
        <f>+GETPIVOTDATA("Sum of Old-Total Grad FTE",'FTE Pivot for regular counts'!$A$2,"State","LA","Category",1,"Category2","Four-Year")</f>
        <v>5999.3125</v>
      </c>
      <c r="C48" s="185">
        <f>+GETPIVOTDATA("Sum of Old-Total Grad FTE",'FTE Pivot for regular counts'!$A$2,"State","LA","Category",2,"Category2","Four-Year")</f>
        <v>3502.8333333333335</v>
      </c>
      <c r="D48" s="185">
        <f>+GETPIVOTDATA("Sum of Old-Total Grad FTE",'FTE Pivot for regular counts'!$A$2,"State","LA","Category",3,"Category2","Four-Year")</f>
        <v>3419.125</v>
      </c>
      <c r="E48" s="185">
        <f>+GETPIVOTDATA("Sum of Old-Total Grad FTE",'FTE Pivot for regular counts'!$A$2,"State","LA","Category",4,"Category2","Four-Year")</f>
        <v>5847.875</v>
      </c>
      <c r="F48" s="185">
        <f>+GETPIVOTDATA("Sum of Old-Total Grad FTE",'FTE Pivot for regular counts'!$A$2,"State","LA","Category",5,"Category2","Four-Year")</f>
        <v>369.75</v>
      </c>
      <c r="G48" s="186">
        <f>+GETPIVOTDATA("Sum of Old-Total Grad FTE",'FTE Pivot for regular counts'!$A$2,"State","LA","Category",6,"Category2","Four-Year")</f>
        <v>0</v>
      </c>
      <c r="H48" s="185">
        <f>+GETPIVOTDATA("Sum of Old-Total Grad FTE",'FTE Pivot for regular counts'!$A$2,"State","LA","Category2","Four-Year")</f>
        <v>19138.895833333336</v>
      </c>
    </row>
    <row r="49" spans="1:10" ht="15" customHeight="1">
      <c r="A49" s="1" t="s">
        <v>710</v>
      </c>
      <c r="B49" s="185">
        <f>+GETPIVOTDATA("Sum of Old-Total Grad FTE",'FTE Pivot for regular counts'!$A$2,"State","MD","Category",1,"Category2","Four-Year")</f>
        <v>6425.708333333333</v>
      </c>
      <c r="C49" s="185">
        <f>+GETPIVOTDATA("Sum of Old-Total Grad FTE",'FTE Pivot for regular counts'!$A$2,"State","MD","Category",2,"Category2","Four-Year")</f>
        <v>2476.333333333333</v>
      </c>
      <c r="D49" s="185">
        <f>+GETPIVOTDATA("Sum of Old-Total Grad FTE",'FTE Pivot for regular counts'!$A$2,"State","MD","Category",3,"Category2","Four-Year")</f>
        <v>3557.4375</v>
      </c>
      <c r="E49" s="185">
        <f>+GETPIVOTDATA("Sum of Old-Total Grad FTE",'FTE Pivot for regular counts'!$A$2,"State","MD","Category",4,"Category2","Four-Year")</f>
        <v>2428.354166666667</v>
      </c>
      <c r="F49" s="185">
        <f>+GETPIVOTDATA("Sum of Old-Total Grad FTE",'FTE Pivot for regular counts'!$A$2,"State","MD","Category",5,"Category2","Four-Year")</f>
        <v>191.29166666666666</v>
      </c>
      <c r="G49" s="186">
        <f>+GETPIVOTDATA("Sum of Old-Total Grad FTE",'FTE Pivot for regular counts'!$A$2,"State","MD","Category",6,"Category2","Four-Year")</f>
        <v>46.75</v>
      </c>
      <c r="H49" s="185">
        <f>+GETPIVOTDATA("Sum of Old-Total Grad FTE",'FTE Pivot for regular counts'!$A$2,"State","MD","Category2","Four-Year")</f>
        <v>15125.874999999998</v>
      </c>
    </row>
    <row r="50" spans="1:10" ht="15" customHeight="1">
      <c r="B50" s="185"/>
      <c r="C50" s="185"/>
      <c r="D50" s="185"/>
      <c r="E50" s="185"/>
      <c r="F50" s="185"/>
      <c r="G50" s="186"/>
      <c r="H50" s="185"/>
    </row>
    <row r="51" spans="1:10" ht="15" customHeight="1">
      <c r="A51" s="1" t="s">
        <v>711</v>
      </c>
      <c r="B51" s="185">
        <f>+GETPIVOTDATA("Sum of Old-Total Grad FTE",'FTE Pivot for regular counts'!$A$2,"State","MS","Category",1,"Category2","Four-Year")</f>
        <v>7184.7083333333339</v>
      </c>
      <c r="C51" s="185">
        <f>+GETPIVOTDATA("Sum of Old-Total Grad FTE",'FTE Pivot for regular counts'!$A$2,"State","MS","Category",2,"Category2","Four-Year")</f>
        <v>1237.2083333333333</v>
      </c>
      <c r="D51" s="185">
        <f>+GETPIVOTDATA("Sum of Old-Total Grad FTE",'FTE Pivot for regular counts'!$A$2,"State","MS","Category",3,"Category2","Four-Year")</f>
        <v>0</v>
      </c>
      <c r="E51" s="185">
        <f>+GETPIVOTDATA("Sum of Old-Total Grad FTE",'FTE Pivot for regular counts'!$A$2,"State","MS","Category",4,"Category2","Four-Year")</f>
        <v>1373.1041666666667</v>
      </c>
      <c r="F51" s="185">
        <f>+GETPIVOTDATA("Sum of Old-Total Grad FTE",'FTE Pivot for regular counts'!$A$2,"State","MS","Category",5,"Category2","Four-Year")</f>
        <v>0</v>
      </c>
      <c r="G51" s="186">
        <f>+GETPIVOTDATA("Sum of Old-Total Grad FTE",'FTE Pivot for regular counts'!$A$2,"State","MS","Category",6,"Category2","Four-Year")</f>
        <v>0</v>
      </c>
      <c r="H51" s="185">
        <f>+GETPIVOTDATA("Sum of Old-Total Grad FTE",'FTE Pivot for regular counts'!$A$2,"State","MS","Category2","Four-Year")</f>
        <v>9795.0208333333339</v>
      </c>
    </row>
    <row r="52" spans="1:10" ht="15" customHeight="1">
      <c r="A52" s="1" t="s">
        <v>712</v>
      </c>
      <c r="B52" s="185">
        <f>+GETPIVOTDATA("Sum of Old-Total Grad FTE",'FTE Pivot for regular counts'!$A$2,"State","NC","Category",1,"Category2","Four-Year")</f>
        <v>21698.020833333332</v>
      </c>
      <c r="C52" s="185">
        <f>+GETPIVOTDATA("Sum of Old-Total Grad FTE",'FTE Pivot for regular counts'!$A$2,"State","NC","Category",2,"Category2","Four-Year")</f>
        <v>3632.7083333333335</v>
      </c>
      <c r="D52" s="185">
        <f>+GETPIVOTDATA("Sum of Old-Total Grad FTE",'FTE Pivot for regular counts'!$A$2,"State","NC","Category",3,"Category2","Four-Year")</f>
        <v>7242.5</v>
      </c>
      <c r="E52" s="185">
        <f>+GETPIVOTDATA("Sum of Old-Total Grad FTE",'FTE Pivot for regular counts'!$A$2,"State","NC","Category",4,"Category2","Four-Year")</f>
        <v>597.41666666666663</v>
      </c>
      <c r="F52" s="185">
        <f>+GETPIVOTDATA("Sum of Old-Total Grad FTE",'FTE Pivot for regular counts'!$A$2,"State","NC","Category",5,"Category2","Four-Year")</f>
        <v>1382.6666666666665</v>
      </c>
      <c r="G52" s="186">
        <f>+GETPIVOTDATA("Sum of Old-Total Grad FTE",'FTE Pivot for regular counts'!$A$2,"State","NC","Category",6,"Category2","Four-Year")</f>
        <v>60.041666666666664</v>
      </c>
      <c r="H52" s="185">
        <f>+GETPIVOTDATA("Sum of Old-Total Grad FTE",'FTE Pivot for regular counts'!$A$2,"State","NC","Category2","Four-Year")</f>
        <v>34613.354166666657</v>
      </c>
    </row>
    <row r="53" spans="1:10" ht="15" customHeight="1">
      <c r="A53" s="1" t="s">
        <v>713</v>
      </c>
      <c r="B53" s="185">
        <f>+GETPIVOTDATA("Sum of Old-Total Grad FTE",'FTE Pivot for regular counts'!$A$2,"State","OK","Category",1,"Category2","Four-Year")</f>
        <v>0</v>
      </c>
      <c r="C53" s="185">
        <f>+GETPIVOTDATA("Sum of Old-Total Grad FTE",'FTE Pivot for regular counts'!$A$2,"State","OK","Category",2,"Category2","Four-Year")</f>
        <v>0</v>
      </c>
      <c r="D53" s="185">
        <f>+GETPIVOTDATA("Sum of Old-Total Grad FTE",'FTE Pivot for regular counts'!$A$2,"State","OK","Category",3,"Category2","Four-Year")</f>
        <v>0</v>
      </c>
      <c r="E53" s="185">
        <f>+GETPIVOTDATA("Sum of Old-Total Grad FTE",'FTE Pivot for regular counts'!$A$2,"State","OK","Category",4,"Category2","Four-Year")</f>
        <v>0</v>
      </c>
      <c r="F53" s="185">
        <f>+GETPIVOTDATA("Sum of Old-Total Grad FTE",'FTE Pivot for regular counts'!$A$2,"State","OK","Category",5,"Category2","Four-Year")</f>
        <v>0</v>
      </c>
      <c r="G53" s="186">
        <f>+GETPIVOTDATA("Sum of Old-Total Grad FTE",'FTE Pivot for regular counts'!$A$2,"State","OK","Category",6,"Category2","Four-Year")</f>
        <v>0</v>
      </c>
      <c r="H53" s="185">
        <f>+GETPIVOTDATA("Sum of Old-Total Grad FTE",'FTE Pivot for regular counts'!$A$2,"State","OK","Category2","Four-Year")</f>
        <v>0</v>
      </c>
    </row>
    <row r="54" spans="1:10" ht="15" customHeight="1">
      <c r="A54" s="1" t="s">
        <v>714</v>
      </c>
      <c r="B54" s="185">
        <f>+GETPIVOTDATA("Sum of Old-Total Grad FTE",'FTE Pivot for regular counts'!$A$2,"State","SC","Category",1,"Category2","Four-Year")</f>
        <v>11530.666666666666</v>
      </c>
      <c r="C54" s="185">
        <f>+GETPIVOTDATA("Sum of Old-Total Grad FTE",'FTE Pivot for regular counts'!$A$2,"State","SC","Category",2,"Category2","Four-Year")</f>
        <v>0</v>
      </c>
      <c r="D54" s="185">
        <f>+GETPIVOTDATA("Sum of Old-Total Grad FTE",'FTE Pivot for regular counts'!$A$2,"State","SC","Category",3,"Category2","Four-Year")</f>
        <v>1868.875</v>
      </c>
      <c r="E54" s="185">
        <f>+GETPIVOTDATA("Sum of Old-Total Grad FTE",'FTE Pivot for regular counts'!$A$2,"State","SC","Category",4,"Category2","Four-Year")</f>
        <v>528.16666666666663</v>
      </c>
      <c r="F54" s="185">
        <f>+GETPIVOTDATA("Sum of Old-Total Grad FTE",'FTE Pivot for regular counts'!$A$2,"State","SC","Category",5,"Category2","Four-Year")</f>
        <v>849.08333333333337</v>
      </c>
      <c r="G54" s="186">
        <f>+GETPIVOTDATA("Sum of Old-Total Grad FTE",'FTE Pivot for regular counts'!$A$2,"State","SC","Category",6,"Category2","Four-Year")</f>
        <v>548.04166666666663</v>
      </c>
      <c r="H54" s="185">
        <f>+GETPIVOTDATA("Sum of Old-Total Grad FTE",'FTE Pivot for regular counts'!$A$2,"State","SC","Category2","Four-Year")</f>
        <v>15324.833333333332</v>
      </c>
    </row>
    <row r="55" spans="1:10" ht="15" customHeight="1">
      <c r="B55" s="185"/>
      <c r="C55" s="185"/>
      <c r="D55" s="185"/>
      <c r="E55" s="185"/>
      <c r="F55" s="185"/>
      <c r="G55" s="186"/>
      <c r="H55" s="185"/>
    </row>
    <row r="56" spans="1:10" ht="15" customHeight="1">
      <c r="A56" s="1" t="s">
        <v>715</v>
      </c>
      <c r="B56" s="185">
        <f>+GETPIVOTDATA("Sum of Old-Total Grad FTE",'FTE Pivot for regular counts'!$A$2,"State","TN","Category",1,"Category2","Four-Year")</f>
        <v>7761.4166666666661</v>
      </c>
      <c r="C56" s="185">
        <f>+GETPIVOTDATA("Sum of Old-Total Grad FTE",'FTE Pivot for regular counts'!$A$2,"State","TN","Category",2,"Category2","Four-Year")</f>
        <v>4860.333333333333</v>
      </c>
      <c r="D56" s="185">
        <f>+GETPIVOTDATA("Sum of Old-Total Grad FTE",'FTE Pivot for regular counts'!$A$2,"State","TN","Category",3,"Category2","Four-Year")</f>
        <v>2740.916666666667</v>
      </c>
      <c r="E56" s="185">
        <f>+GETPIVOTDATA("Sum of Old-Total Grad FTE",'FTE Pivot for regular counts'!$A$2,"State","TN","Category",4,"Category2","Four-Year")</f>
        <v>286.75</v>
      </c>
      <c r="F56" s="185">
        <f>+GETPIVOTDATA("Sum of Old-Total Grad FTE",'FTE Pivot for regular counts'!$A$2,"State","TN","Category",5,"Category2","Four-Year")</f>
        <v>0</v>
      </c>
      <c r="G56" s="186">
        <f>+GETPIVOTDATA("Sum of Old-Total Grad FTE",'FTE Pivot for regular counts'!$A$2,"State","TN","Category",6,"Category2","Four-Year")</f>
        <v>0</v>
      </c>
      <c r="H56" s="185">
        <f>+GETPIVOTDATA("Sum of Old-Total Grad FTE",'FTE Pivot for regular counts'!$A$2,"State","TN","Category2","Four-Year")</f>
        <v>15649.416666666668</v>
      </c>
    </row>
    <row r="57" spans="1:10" ht="15" customHeight="1">
      <c r="A57" s="1" t="s">
        <v>716</v>
      </c>
      <c r="B57" s="185">
        <f>+GETPIVOTDATA("Sum of Old-Total Grad FTE",'FTE Pivot for regular counts'!$A$2,"State","TX","Category",1,"Category2","Four-Year")</f>
        <v>54253.041666666664</v>
      </c>
      <c r="C57" s="185">
        <f>+GETPIVOTDATA("Sum of Old-Total Grad FTE",'FTE Pivot for regular counts'!$A$2,"State","TX","Category",2,"Category2","Four-Year")</f>
        <v>9519.875</v>
      </c>
      <c r="D57" s="185">
        <f>+GETPIVOTDATA("Sum of Old-Total Grad FTE",'FTE Pivot for regular counts'!$A$2,"State","TX","Category",3,"Category2","Four-Year")</f>
        <v>28397.291666666668</v>
      </c>
      <c r="E57" s="185">
        <f>+GETPIVOTDATA("Sum of Old-Total Grad FTE",'FTE Pivot for regular counts'!$A$2,"State","TX","Category",4,"Category2","Four-Year")</f>
        <v>3368.9583333333335</v>
      </c>
      <c r="F57" s="185">
        <f>+GETPIVOTDATA("Sum of Old-Total Grad FTE",'FTE Pivot for regular counts'!$A$2,"State","TX","Category",5,"Category2","Four-Year")</f>
        <v>167.08333333333331</v>
      </c>
      <c r="G57" s="186">
        <f>+GETPIVOTDATA("Sum of Old-Total Grad FTE",'FTE Pivot for regular counts'!$A$2,"State","TX","Category",6,"Category2","Four-Year")</f>
        <v>0</v>
      </c>
      <c r="H57" s="185">
        <f>+GETPIVOTDATA("Sum of Old-Total Grad FTE",'FTE Pivot for regular counts'!$A$2,"State","TX","Category2","Four-Year")</f>
        <v>95706.249999999985</v>
      </c>
    </row>
    <row r="58" spans="1:10" ht="15" customHeight="1">
      <c r="A58" s="1" t="s">
        <v>717</v>
      </c>
      <c r="B58" s="185">
        <f>+GETPIVOTDATA("Sum of Old-Total Grad FTE",'FTE Pivot for regular counts'!$A$2,"State","VA","Category",1,"Category2","Four-Year")</f>
        <v>29650.791666666664</v>
      </c>
      <c r="C58" s="185">
        <f>+GETPIVOTDATA("Sum of Old-Total Grad FTE",'FTE Pivot for regular counts'!$A$2,"State","VA","Category",2,"Category2","Four-Year")</f>
        <v>2495.125</v>
      </c>
      <c r="D58" s="185">
        <f>+GETPIVOTDATA("Sum of Old-Total Grad FTE",'FTE Pivot for regular counts'!$A$2,"State","VA","Category",3,"Category2","Four-Year")</f>
        <v>2986.5833333333335</v>
      </c>
      <c r="E58" s="185">
        <f>+GETPIVOTDATA("Sum of Old-Total Grad FTE",'FTE Pivot for regular counts'!$A$2,"State","VA","Category",4,"Category2","Four-Year")</f>
        <v>397.66666666666669</v>
      </c>
      <c r="F58" s="185">
        <f>+GETPIVOTDATA("Sum of Old-Total Grad FTE",'FTE Pivot for regular counts'!$A$2,"State","VA","Category",5,"Category2","Four-Year")</f>
        <v>780.75</v>
      </c>
      <c r="G58" s="186">
        <f>+GETPIVOTDATA("Sum of Old-Total Grad FTE",'FTE Pivot for regular counts'!$A$2,"State","VA","Category",6,"Category2","Four-Year")</f>
        <v>0</v>
      </c>
      <c r="H58" s="185">
        <f>+GETPIVOTDATA("Sum of Old-Total Grad FTE",'FTE Pivot for regular counts'!$A$2,"State","VA","Category2","Four-Year")</f>
        <v>36310.916666666664</v>
      </c>
    </row>
    <row r="59" spans="1:10" ht="15" customHeight="1">
      <c r="A59" s="166" t="s">
        <v>718</v>
      </c>
      <c r="B59" s="188">
        <f>+GETPIVOTDATA("Sum of Old-Total Grad FTE",'FTE Pivot for regular counts'!$A$2,"State","WV","Category",1,"Category2","Four-Year")</f>
        <v>3708.6666666666665</v>
      </c>
      <c r="C59" s="188">
        <f>+GETPIVOTDATA("Sum of Old-Total Grad FTE",'FTE Pivot for regular counts'!$A$2,"State","WV","Category",2,"Category2","Four-Year")</f>
        <v>0</v>
      </c>
      <c r="D59" s="188">
        <f>+GETPIVOTDATA("Sum of Old-Total Grad FTE",'FTE Pivot for regular counts'!$A$2,"State","WV","Category",3,"Category2","Four-Year")</f>
        <v>2768.25</v>
      </c>
      <c r="E59" s="188">
        <f>+GETPIVOTDATA("Sum of Old-Total Grad FTE",'FTE Pivot for regular counts'!$A$2,"State","WV","Category",4,"Category2","Four-Year")</f>
        <v>0</v>
      </c>
      <c r="F59" s="188">
        <f>+GETPIVOTDATA("Sum of Old-Total Grad FTE",'FTE Pivot for regular counts'!$A$2,"State","WV","Category",5,"Category2","Four-Year")</f>
        <v>967.87499999999989</v>
      </c>
      <c r="G59" s="189">
        <f>+GETPIVOTDATA("Sum of Old-Total Grad FTE",'FTE Pivot for regular counts'!$A$2,"State","WV","Category",6,"Category2","Four-Year")</f>
        <v>101.54166666666667</v>
      </c>
      <c r="H59" s="188">
        <f>+GETPIVOTDATA("Sum of Old-Total Grad FTE",'FTE Pivot for regular counts'!$A$2,"State","WV","Category2","Four-Year")</f>
        <v>7546.333333333333</v>
      </c>
    </row>
    <row r="60" spans="1:10" ht="37.5" customHeight="1">
      <c r="A60" s="607" t="s">
        <v>852</v>
      </c>
      <c r="B60" s="614"/>
      <c r="C60" s="614"/>
      <c r="D60" s="614"/>
      <c r="E60" s="614"/>
      <c r="F60" s="614"/>
      <c r="G60" s="614"/>
      <c r="H60" s="614"/>
    </row>
    <row r="61" spans="1:10">
      <c r="A61" s="191"/>
      <c r="B61" s="178"/>
      <c r="C61" s="178"/>
      <c r="D61" s="178"/>
      <c r="E61" s="178"/>
      <c r="F61" s="178"/>
      <c r="G61" s="178"/>
      <c r="H61" s="192" t="s">
        <v>879</v>
      </c>
    </row>
    <row r="62" spans="1:10">
      <c r="A62" s="191"/>
      <c r="B62" s="178"/>
      <c r="C62" s="178"/>
      <c r="D62" s="178"/>
      <c r="E62" s="178"/>
      <c r="F62" s="178"/>
      <c r="G62" s="178"/>
      <c r="H62" s="192"/>
    </row>
    <row r="63" spans="1:10" ht="18">
      <c r="A63" s="116" t="s">
        <v>721</v>
      </c>
      <c r="B63" s="116"/>
      <c r="C63" s="116"/>
      <c r="D63" s="116"/>
      <c r="E63" s="116"/>
      <c r="F63" s="116"/>
      <c r="G63" s="116"/>
      <c r="H63" s="116"/>
      <c r="J63" s="61"/>
    </row>
    <row r="64" spans="1:10" ht="15.5">
      <c r="A64" s="193"/>
      <c r="B64" s="122"/>
      <c r="C64" s="122"/>
      <c r="D64" s="122"/>
      <c r="E64" s="122"/>
      <c r="F64" s="122"/>
      <c r="G64" s="122"/>
      <c r="H64" s="122"/>
    </row>
    <row r="65" spans="1:8" ht="15.5">
      <c r="A65" s="122" t="s">
        <v>722</v>
      </c>
      <c r="B65" s="122"/>
      <c r="C65" s="122"/>
      <c r="D65" s="122"/>
      <c r="E65" s="122"/>
      <c r="F65" s="122"/>
      <c r="G65" s="122"/>
      <c r="H65" s="122"/>
    </row>
    <row r="66" spans="1:8" ht="15.5">
      <c r="A66" s="122" t="s">
        <v>873</v>
      </c>
      <c r="B66" s="122"/>
      <c r="C66" s="122"/>
      <c r="D66" s="122"/>
      <c r="E66" s="122"/>
      <c r="F66" s="122"/>
      <c r="G66" s="122"/>
      <c r="H66" s="122"/>
    </row>
    <row r="67" spans="1:8" ht="15.5">
      <c r="A67" s="122"/>
      <c r="B67" s="122"/>
      <c r="C67" s="122"/>
      <c r="D67" s="122"/>
      <c r="E67" s="122"/>
      <c r="F67" s="122"/>
      <c r="G67" s="122"/>
      <c r="H67" s="122"/>
    </row>
    <row r="68" spans="1:8" ht="15" customHeight="1">
      <c r="A68" s="125"/>
      <c r="B68" s="125" t="s">
        <v>675</v>
      </c>
      <c r="C68" s="125"/>
      <c r="D68" s="125"/>
      <c r="E68" s="125"/>
      <c r="F68" s="125"/>
      <c r="G68" s="125"/>
      <c r="H68" s="181"/>
    </row>
    <row r="69" spans="1:8" ht="15" customHeight="1">
      <c r="A69" s="182"/>
      <c r="B69" s="183">
        <v>1</v>
      </c>
      <c r="C69" s="183">
        <v>2</v>
      </c>
      <c r="D69" s="183">
        <v>3</v>
      </c>
      <c r="E69" s="183">
        <v>4</v>
      </c>
      <c r="F69" s="183">
        <v>5</v>
      </c>
      <c r="G69" s="184">
        <v>6</v>
      </c>
      <c r="H69" s="183" t="s">
        <v>687</v>
      </c>
    </row>
    <row r="70" spans="1:8" ht="15" customHeight="1">
      <c r="A70" s="1" t="s">
        <v>695</v>
      </c>
      <c r="B70" s="185">
        <f>+'OLD Tables'!B9+'OLD Tables'!B39</f>
        <v>1030453.1375</v>
      </c>
      <c r="C70" s="185">
        <f>+'OLD Tables'!D9+'OLD Tables'!C39</f>
        <v>246855.61350000004</v>
      </c>
      <c r="D70" s="185">
        <f>+'OLD Tables'!F9+'OLD Tables'!D39</f>
        <v>578144.42749999999</v>
      </c>
      <c r="E70" s="185">
        <f>+'OLD Tables'!H9+'OLD Tables'!E39</f>
        <v>177123.99833333335</v>
      </c>
      <c r="F70" s="185">
        <f>+'OLD Tables'!J9+'OLD Tables'!F39</f>
        <v>62301.331666666658</v>
      </c>
      <c r="G70" s="186">
        <f>+'OLD Tables'!L9+'OLD Tables'!G39</f>
        <v>62953.5</v>
      </c>
      <c r="H70" s="185">
        <f>+'OLD Tables'!N9+'OLD Tables'!H39</f>
        <v>2157832.0085</v>
      </c>
    </row>
    <row r="71" spans="1:8" ht="15" customHeight="1">
      <c r="B71" s="185"/>
      <c r="C71" s="185"/>
      <c r="D71" s="185"/>
      <c r="E71" s="185"/>
      <c r="F71" s="185"/>
      <c r="G71" s="186"/>
      <c r="H71" s="185"/>
    </row>
    <row r="72" spans="1:8" ht="15" customHeight="1">
      <c r="A72" s="1" t="s">
        <v>703</v>
      </c>
      <c r="B72" s="185">
        <f>+'OLD Tables'!B11+'OLD Tables'!B41</f>
        <v>76854.95</v>
      </c>
      <c r="C72" s="185">
        <f>+'OLD Tables'!D11+'OLD Tables'!C41</f>
        <v>17518.916666666668</v>
      </c>
      <c r="D72" s="185">
        <f>+'OLD Tables'!F11+'OLD Tables'!D41</f>
        <v>35684.033333333333</v>
      </c>
      <c r="E72" s="185">
        <f>+'OLD Tables'!H11+'OLD Tables'!E41</f>
        <v>9074.6749999999993</v>
      </c>
      <c r="F72" s="185">
        <f>+'OLD Tables'!J11+'OLD Tables'!F41</f>
        <v>2313.0833333333335</v>
      </c>
      <c r="G72" s="186">
        <f>+'OLD Tables'!L11+'OLD Tables'!G41</f>
        <v>2237.0583333333334</v>
      </c>
      <c r="H72" s="185">
        <f>+'OLD Tables'!N11+'OLD Tables'!H41</f>
        <v>143682.71666666667</v>
      </c>
    </row>
    <row r="73" spans="1:8" ht="15" customHeight="1">
      <c r="A73" s="1" t="s">
        <v>704</v>
      </c>
      <c r="B73" s="185">
        <f>+'OLD Tables'!B12+'OLD Tables'!B42</f>
        <v>25357.591666666667</v>
      </c>
      <c r="C73" s="185">
        <f>+'OLD Tables'!D12+'OLD Tables'!C42</f>
        <v>7476.0666666666666</v>
      </c>
      <c r="D73" s="185">
        <f>+'OLD Tables'!F12+'OLD Tables'!D42</f>
        <v>31228.325000000001</v>
      </c>
      <c r="E73" s="185">
        <f>+'OLD Tables'!H12+'OLD Tables'!E42</f>
        <v>9834.6333333333332</v>
      </c>
      <c r="F73" s="185">
        <f>+'OLD Tables'!J12+'OLD Tables'!F42</f>
        <v>0</v>
      </c>
      <c r="G73" s="186">
        <f>+'OLD Tables'!L12+'OLD Tables'!G42</f>
        <v>7450.2166666666662</v>
      </c>
      <c r="H73" s="185">
        <f>+'OLD Tables'!N12+'OLD Tables'!H42</f>
        <v>81346.833333333328</v>
      </c>
    </row>
    <row r="74" spans="1:8" ht="15" customHeight="1">
      <c r="A74" s="1" t="s">
        <v>705</v>
      </c>
      <c r="B74" s="185">
        <f>+'OLD Tables'!B13+'OLD Tables'!B43</f>
        <v>23136.866666666665</v>
      </c>
      <c r="C74" s="185">
        <f>+'OLD Tables'!D13+'OLD Tables'!C43</f>
        <v>0</v>
      </c>
      <c r="D74" s="185">
        <f>+'OLD Tables'!F13+'OLD Tables'!D43</f>
        <v>4574.4916666666668</v>
      </c>
      <c r="E74" s="1">
        <f>+'OLD Tables'!H13+'OLD Tables'!E43</f>
        <v>0</v>
      </c>
      <c r="F74" s="185">
        <f>+'OLD Tables'!J13+'OLD Tables'!F43</f>
        <v>0</v>
      </c>
      <c r="G74" s="186">
        <f>+'OLD Tables'!L13+'OLD Tables'!G43</f>
        <v>0</v>
      </c>
      <c r="H74" s="1">
        <f>+'OLD Tables'!N13+'OLD Tables'!H43</f>
        <v>27711.358333333334</v>
      </c>
    </row>
    <row r="75" spans="1:8" ht="15" customHeight="1">
      <c r="A75" s="1" t="s">
        <v>706</v>
      </c>
      <c r="B75" s="185">
        <f>+'OLD Tables'!B14+'OLD Tables'!B44</f>
        <v>0</v>
      </c>
      <c r="C75" s="185">
        <f>+'OLD Tables'!D14+'OLD Tables'!C44</f>
        <v>0</v>
      </c>
      <c r="D75" s="185">
        <f>+'OLD Tables'!F14+'OLD Tables'!D44</f>
        <v>0</v>
      </c>
      <c r="E75" s="185">
        <f>+'OLD Tables'!H14+'OLD Tables'!E44</f>
        <v>0</v>
      </c>
      <c r="F75" s="185">
        <f>+'OLD Tables'!J14+'OLD Tables'!F44</f>
        <v>0</v>
      </c>
      <c r="G75" s="186">
        <f>+'OLD Tables'!L14+'OLD Tables'!G44</f>
        <v>0</v>
      </c>
      <c r="H75" s="185">
        <f>+'OLD Tables'!N14+'OLD Tables'!H44</f>
        <v>0</v>
      </c>
    </row>
    <row r="76" spans="1:8" ht="15" customHeight="1">
      <c r="B76" s="185"/>
      <c r="C76" s="185"/>
      <c r="D76" s="185"/>
      <c r="E76" s="185"/>
      <c r="F76" s="185"/>
      <c r="G76" s="186"/>
      <c r="H76" s="185"/>
    </row>
    <row r="77" spans="1:8" ht="15" customHeight="1">
      <c r="A77" s="1" t="s">
        <v>707</v>
      </c>
      <c r="B77" s="185">
        <f>+'OLD Tables'!B16+'OLD Tables'!B46</f>
        <v>88370.833333333328</v>
      </c>
      <c r="C77" s="185">
        <f>+'OLD Tables'!D16+'OLD Tables'!C46</f>
        <v>30866.980166666668</v>
      </c>
      <c r="D77" s="185">
        <f>+'OLD Tables'!F16+'OLD Tables'!D46</f>
        <v>77713.362500000003</v>
      </c>
      <c r="E77" s="185">
        <f>+'OLD Tables'!H16+'OLD Tables'!E46</f>
        <v>50227.000000000007</v>
      </c>
      <c r="F77" s="185">
        <f>+'OLD Tables'!J16+'OLD Tables'!F46</f>
        <v>12535.125</v>
      </c>
      <c r="G77" s="186">
        <f>+'OLD Tables'!L16+'OLD Tables'!G46</f>
        <v>23159.100000000002</v>
      </c>
      <c r="H77" s="185">
        <f>+'OLD Tables'!N16+'OLD Tables'!H46</f>
        <v>282872.40100000001</v>
      </c>
    </row>
    <row r="78" spans="1:8" ht="15" customHeight="1">
      <c r="A78" s="1" t="s">
        <v>708</v>
      </c>
      <c r="B78" s="185">
        <f>+'OLD Tables'!B17+'OLD Tables'!B47</f>
        <v>39244.045833333337</v>
      </c>
      <c r="C78" s="185">
        <f>+'OLD Tables'!D17+'OLD Tables'!C47</f>
        <v>0</v>
      </c>
      <c r="D78" s="185">
        <f>+'OLD Tables'!F17+'OLD Tables'!D47</f>
        <v>49984.279166666667</v>
      </c>
      <c r="E78" s="185">
        <f>+'OLD Tables'!H17+'OLD Tables'!E47</f>
        <v>1529.5749999999998</v>
      </c>
      <c r="F78" s="185">
        <f>+'OLD Tables'!J17+'OLD Tables'!F47</f>
        <v>0</v>
      </c>
      <c r="G78" s="186">
        <f>+'OLD Tables'!L17+'OLD Tables'!G47</f>
        <v>0</v>
      </c>
      <c r="H78" s="185">
        <f>+'OLD Tables'!N17+'OLD Tables'!H47</f>
        <v>90757.9</v>
      </c>
    </row>
    <row r="79" spans="1:8" ht="15" customHeight="1">
      <c r="A79" s="1" t="s">
        <v>709</v>
      </c>
      <c r="B79" s="185">
        <f>+'OLD Tables'!B18+'OLD Tables'!B48</f>
        <v>29383.379166666666</v>
      </c>
      <c r="C79" s="185">
        <f>+'OLD Tables'!D18+'OLD Tables'!C48</f>
        <v>30798.766666666666</v>
      </c>
      <c r="D79" s="185">
        <f>+'OLD Tables'!F18+'OLD Tables'!D48</f>
        <v>31697.058333333331</v>
      </c>
      <c r="E79" s="185">
        <f>+'OLD Tables'!H18+'OLD Tables'!E48</f>
        <v>25173.474999999999</v>
      </c>
      <c r="F79" s="185">
        <f>+'OLD Tables'!J18+'OLD Tables'!F48</f>
        <v>1912.3166666666666</v>
      </c>
      <c r="G79" s="186">
        <f>+'OLD Tables'!L18+'OLD Tables'!G48</f>
        <v>2500.3333333333335</v>
      </c>
      <c r="H79" s="185">
        <f>+'OLD Tables'!N18+'OLD Tables'!H48</f>
        <v>121465.32916666666</v>
      </c>
    </row>
    <row r="80" spans="1:8" ht="15" customHeight="1">
      <c r="A80" s="1" t="s">
        <v>710</v>
      </c>
      <c r="B80" s="185">
        <f>+'OLD Tables'!B19+'OLD Tables'!B49</f>
        <v>35492.041666666664</v>
      </c>
      <c r="C80" s="185">
        <f>+'OLD Tables'!D19+'OLD Tables'!C49</f>
        <v>19102.983333333334</v>
      </c>
      <c r="D80" s="185">
        <f>+'OLD Tables'!F19+'OLD Tables'!D49</f>
        <v>23509.320833333331</v>
      </c>
      <c r="E80" s="185">
        <f>+'OLD Tables'!H19+'OLD Tables'!E49</f>
        <v>21090.987500000003</v>
      </c>
      <c r="F80" s="185">
        <f>+'OLD Tables'!J19+'OLD Tables'!F49</f>
        <v>2200.1583333333333</v>
      </c>
      <c r="G80" s="186">
        <f>+'OLD Tables'!L19+'OLD Tables'!G49</f>
        <v>1608.8166666666666</v>
      </c>
      <c r="H80" s="185">
        <f>+'OLD Tables'!N19+'OLD Tables'!H49</f>
        <v>103004.30833333333</v>
      </c>
    </row>
    <row r="81" spans="1:13" ht="15" customHeight="1">
      <c r="B81" s="185"/>
      <c r="C81" s="185"/>
      <c r="D81" s="185"/>
      <c r="E81" s="185"/>
      <c r="F81" s="185"/>
      <c r="G81" s="186"/>
      <c r="H81" s="185"/>
    </row>
    <row r="82" spans="1:13" ht="15" customHeight="1">
      <c r="A82" s="1" t="s">
        <v>711</v>
      </c>
      <c r="B82" s="185">
        <f>+'OLD Tables'!B21+'OLD Tables'!B51</f>
        <v>53948.041666666672</v>
      </c>
      <c r="C82" s="185">
        <f>+'OLD Tables'!D21+'OLD Tables'!C51</f>
        <v>5977.7416666666668</v>
      </c>
      <c r="D82" s="185">
        <f>+'OLD Tables'!F21+'OLD Tables'!D51</f>
        <v>0</v>
      </c>
      <c r="E82" s="185">
        <f>+'OLD Tables'!H21+'OLD Tables'!E51</f>
        <v>10868.360833333332</v>
      </c>
      <c r="F82" s="185">
        <f>+'OLD Tables'!J21+'OLD Tables'!F51</f>
        <v>0</v>
      </c>
      <c r="G82" s="186">
        <f>+'OLD Tables'!L21+'OLD Tables'!G51</f>
        <v>0</v>
      </c>
      <c r="H82" s="185">
        <f>+'OLD Tables'!N21+'OLD Tables'!H51</f>
        <v>70794.144166666665</v>
      </c>
    </row>
    <row r="83" spans="1:13" ht="15" customHeight="1">
      <c r="A83" s="1" t="s">
        <v>712</v>
      </c>
      <c r="B83" s="185">
        <f>+'OLD Tables'!B22+'OLD Tables'!B52</f>
        <v>102304.58749999999</v>
      </c>
      <c r="C83" s="185">
        <f>+'OLD Tables'!D22+'OLD Tables'!C52</f>
        <v>25007.441666666666</v>
      </c>
      <c r="D83" s="185">
        <f>+'OLD Tables'!F22+'OLD Tables'!D52</f>
        <v>64427.916666666672</v>
      </c>
      <c r="E83" s="185">
        <f>+'OLD Tables'!H22+'OLD Tables'!E52</f>
        <v>5601.25</v>
      </c>
      <c r="F83" s="185">
        <f>+'OLD Tables'!J22+'OLD Tables'!F52</f>
        <v>11477.666666666666</v>
      </c>
      <c r="G83" s="186">
        <f>+'OLD Tables'!L22+'OLD Tables'!G52</f>
        <v>4904.541666666667</v>
      </c>
      <c r="H83" s="185">
        <f>+'OLD Tables'!N22+'OLD Tables'!H52</f>
        <v>213723.40416666667</v>
      </c>
    </row>
    <row r="84" spans="1:13" ht="15" customHeight="1">
      <c r="A84" s="1" t="s">
        <v>713</v>
      </c>
      <c r="B84" s="185">
        <f>+'OLD Tables'!B23+'OLD Tables'!B53</f>
        <v>0</v>
      </c>
      <c r="C84" s="185">
        <f>+'OLD Tables'!D23+'OLD Tables'!C53</f>
        <v>0</v>
      </c>
      <c r="D84" s="185">
        <f>+'OLD Tables'!F23+'OLD Tables'!D53</f>
        <v>0</v>
      </c>
      <c r="E84" s="185">
        <f>+'OLD Tables'!H23+'OLD Tables'!E53</f>
        <v>0</v>
      </c>
      <c r="F84" s="185">
        <f>+'OLD Tables'!J23+'OLD Tables'!F53</f>
        <v>0</v>
      </c>
      <c r="G84" s="186">
        <f>+'OLD Tables'!L23+'OLD Tables'!G53</f>
        <v>0</v>
      </c>
      <c r="H84" s="185">
        <f>+'OLD Tables'!N23+'OLD Tables'!H53</f>
        <v>0</v>
      </c>
    </row>
    <row r="85" spans="1:13" ht="15" customHeight="1">
      <c r="A85" s="1" t="s">
        <v>714</v>
      </c>
      <c r="B85" s="185">
        <f>+'OLD Tables'!B24+'OLD Tables'!B54</f>
        <v>59272.23333333333</v>
      </c>
      <c r="C85" s="185">
        <f>+'OLD Tables'!D24+'OLD Tables'!C54</f>
        <v>0</v>
      </c>
      <c r="D85" s="185">
        <f>+'OLD Tables'!F24+'OLD Tables'!D54</f>
        <v>19317.174999999999</v>
      </c>
      <c r="E85" s="185">
        <f>+'OLD Tables'!H24+'OLD Tables'!E54</f>
        <v>10231.433333333332</v>
      </c>
      <c r="F85" s="185">
        <f>+'OLD Tables'!J24+'OLD Tables'!F54</f>
        <v>5753.4833333333327</v>
      </c>
      <c r="G85" s="186">
        <f>+'OLD Tables'!L24+'OLD Tables'!G54</f>
        <v>13540.625</v>
      </c>
      <c r="H85" s="185">
        <f>+'OLD Tables'!N24+'OLD Tables'!H54</f>
        <v>108114.94999999998</v>
      </c>
    </row>
    <row r="86" spans="1:13" ht="15" customHeight="1">
      <c r="B86" s="185"/>
      <c r="C86" s="185"/>
      <c r="D86" s="185"/>
      <c r="E86" s="185"/>
      <c r="F86" s="185"/>
      <c r="G86" s="186"/>
      <c r="H86" s="185"/>
    </row>
    <row r="87" spans="1:13" ht="15" customHeight="1">
      <c r="A87" s="1" t="s">
        <v>715</v>
      </c>
      <c r="B87" s="185">
        <f>+'OLD Tables'!B26+'OLD Tables'!B56</f>
        <v>43350.716666666667</v>
      </c>
      <c r="C87" s="185">
        <f>+'OLD Tables'!D26+'OLD Tables'!C56</f>
        <v>37553.200000000004</v>
      </c>
      <c r="D87" s="185">
        <f>+'OLD Tables'!F26+'OLD Tables'!D56</f>
        <v>28721.816666666666</v>
      </c>
      <c r="E87" s="185">
        <f>+'OLD Tables'!H26+'OLD Tables'!E56</f>
        <v>5730.05</v>
      </c>
      <c r="F87" s="185">
        <f>+'OLD Tables'!J26+'OLD Tables'!F56</f>
        <v>0</v>
      </c>
      <c r="G87" s="186">
        <f>+'OLD Tables'!L26+'OLD Tables'!G56</f>
        <v>0</v>
      </c>
      <c r="H87" s="185">
        <f>+'OLD Tables'!N26+'OLD Tables'!H56</f>
        <v>115355.78333333334</v>
      </c>
    </row>
    <row r="88" spans="1:13" ht="15" customHeight="1">
      <c r="A88" s="1" t="s">
        <v>716</v>
      </c>
      <c r="B88" s="185">
        <f>+'OLD Tables'!B27+'OLD Tables'!B57</f>
        <v>290969.7416666667</v>
      </c>
      <c r="C88" s="185">
        <f>+'OLD Tables'!D27+'OLD Tables'!C57</f>
        <v>63920.274999999994</v>
      </c>
      <c r="D88" s="185">
        <f>+'OLD Tables'!F27+'OLD Tables'!D57</f>
        <v>165900.62499999997</v>
      </c>
      <c r="E88" s="185">
        <f>+'OLD Tables'!H27+'OLD Tables'!E57</f>
        <v>22781.625</v>
      </c>
      <c r="F88" s="185">
        <f>+'OLD Tables'!J27+'OLD Tables'!F57</f>
        <v>2427.2833333333338</v>
      </c>
      <c r="G88" s="186">
        <f>+'OLD Tables'!L27+'OLD Tables'!G57</f>
        <v>0</v>
      </c>
      <c r="H88" s="185">
        <f>+'OLD Tables'!N27+'OLD Tables'!H57</f>
        <v>545999.54999999993</v>
      </c>
    </row>
    <row r="89" spans="1:13" ht="15" customHeight="1">
      <c r="A89" s="1" t="s">
        <v>717</v>
      </c>
      <c r="B89" s="185">
        <f>+'OLD Tables'!B28+'OLD Tables'!B58</f>
        <v>138805.59166666665</v>
      </c>
      <c r="C89" s="185">
        <f>+'OLD Tables'!D28+'OLD Tables'!C58</f>
        <v>8633.2416666666668</v>
      </c>
      <c r="D89" s="185">
        <f>+'OLD Tables'!F28+'OLD Tables'!D58</f>
        <v>34465.873333333337</v>
      </c>
      <c r="E89" s="185">
        <f>+'OLD Tables'!H28+'OLD Tables'!E58</f>
        <v>4980.9333333333334</v>
      </c>
      <c r="F89" s="185">
        <f>+'OLD Tables'!J28+'OLD Tables'!F58</f>
        <v>13203.156666666666</v>
      </c>
      <c r="G89" s="186">
        <f>+'OLD Tables'!L28+'OLD Tables'!G58</f>
        <v>1527.6666666666667</v>
      </c>
      <c r="H89" s="185">
        <f>+'OLD Tables'!N28+'OLD Tables'!H58</f>
        <v>201616.46333333332</v>
      </c>
    </row>
    <row r="90" spans="1:13" ht="15" customHeight="1">
      <c r="A90" s="166" t="s">
        <v>718</v>
      </c>
      <c r="B90" s="188">
        <f>+'OLD Tables'!B29+'OLD Tables'!B59</f>
        <v>23962.516666666666</v>
      </c>
      <c r="C90" s="188">
        <f>+'OLD Tables'!D29+'OLD Tables'!C59</f>
        <v>0</v>
      </c>
      <c r="D90" s="188">
        <f>+'OLD Tables'!F29+'OLD Tables'!D59</f>
        <v>10920.15</v>
      </c>
      <c r="E90" s="188">
        <f>+'OLD Tables'!H29+'OLD Tables'!E59</f>
        <v>0</v>
      </c>
      <c r="F90" s="188">
        <f>+'OLD Tables'!J29+'OLD Tables'!F59</f>
        <v>10479.058333333334</v>
      </c>
      <c r="G90" s="189">
        <f>+'OLD Tables'!L29+'OLD Tables'!G59</f>
        <v>6025.1416666666664</v>
      </c>
      <c r="H90" s="188">
        <f>+'OLD Tables'!N29+'OLD Tables'!H59</f>
        <v>51386.866666666669</v>
      </c>
    </row>
    <row r="91" spans="1:13" ht="51.75" customHeight="1">
      <c r="A91" s="607" t="s">
        <v>853</v>
      </c>
      <c r="B91" s="614"/>
      <c r="C91" s="614"/>
      <c r="D91" s="614"/>
      <c r="E91" s="614"/>
      <c r="F91" s="614"/>
      <c r="G91" s="614"/>
      <c r="H91" s="614"/>
    </row>
    <row r="92" spans="1:13">
      <c r="A92" s="191"/>
      <c r="B92" s="178"/>
      <c r="C92" s="178"/>
      <c r="D92" s="178"/>
      <c r="E92" s="178"/>
      <c r="F92" s="178"/>
      <c r="G92" s="178"/>
      <c r="H92" s="192" t="s">
        <v>880</v>
      </c>
    </row>
    <row r="93" spans="1:13" ht="18">
      <c r="A93" s="611" t="s">
        <v>724</v>
      </c>
      <c r="B93" s="611"/>
      <c r="C93" s="611"/>
      <c r="D93" s="611"/>
      <c r="E93" s="611"/>
      <c r="F93" s="611"/>
      <c r="G93" s="611"/>
      <c r="H93" s="611"/>
      <c r="I93" s="611"/>
      <c r="J93" s="611"/>
      <c r="K93" s="200"/>
      <c r="L93" s="200"/>
      <c r="M93" s="200"/>
    </row>
    <row r="94" spans="1:13" ht="15.5">
      <c r="A94" s="120"/>
      <c r="B94" s="120"/>
      <c r="C94" s="120"/>
      <c r="D94" s="120"/>
      <c r="E94" s="120"/>
      <c r="F94" s="120"/>
      <c r="G94" s="120"/>
      <c r="H94" s="120"/>
      <c r="I94" s="120"/>
      <c r="J94" s="120"/>
      <c r="K94" s="120"/>
      <c r="L94" s="120"/>
      <c r="M94" s="120"/>
    </row>
    <row r="95" spans="1:13" ht="15.5">
      <c r="A95" s="606" t="s">
        <v>725</v>
      </c>
      <c r="B95" s="606"/>
      <c r="C95" s="606"/>
      <c r="D95" s="606"/>
      <c r="E95" s="606"/>
      <c r="F95" s="606"/>
      <c r="G95" s="606"/>
      <c r="H95" s="606"/>
      <c r="I95" s="606"/>
      <c r="J95" s="606"/>
      <c r="K95" s="201"/>
      <c r="L95" s="201"/>
      <c r="M95" s="201"/>
    </row>
    <row r="96" spans="1:13" ht="15.5">
      <c r="A96" s="606" t="s">
        <v>874</v>
      </c>
      <c r="B96" s="606"/>
      <c r="C96" s="606"/>
      <c r="D96" s="606"/>
      <c r="E96" s="606"/>
      <c r="F96" s="606"/>
      <c r="G96" s="606"/>
      <c r="H96" s="606"/>
      <c r="I96" s="606"/>
      <c r="J96" s="606"/>
      <c r="K96" s="201"/>
      <c r="L96" s="201"/>
      <c r="M96" s="201"/>
    </row>
    <row r="98" spans="1:13" ht="15" customHeight="1">
      <c r="A98" s="204"/>
      <c r="B98" s="205" t="s">
        <v>727</v>
      </c>
      <c r="C98" s="205"/>
      <c r="D98" s="126"/>
      <c r="E98" s="126"/>
      <c r="F98" s="206"/>
      <c r="G98" s="207" t="s">
        <v>728</v>
      </c>
      <c r="H98" s="127"/>
      <c r="I98" s="208"/>
      <c r="J98" s="119" t="s">
        <v>729</v>
      </c>
      <c r="K98" s="119" t="s">
        <v>729</v>
      </c>
      <c r="L98" s="61"/>
      <c r="M98" s="119"/>
    </row>
    <row r="99" spans="1:13" ht="23.5">
      <c r="A99" s="129"/>
      <c r="B99" s="212" t="s">
        <v>730</v>
      </c>
      <c r="C99" s="183">
        <v>1</v>
      </c>
      <c r="D99" s="183">
        <v>2</v>
      </c>
      <c r="E99" s="183">
        <v>3</v>
      </c>
      <c r="F99" s="213" t="s">
        <v>687</v>
      </c>
      <c r="G99" s="214">
        <v>1</v>
      </c>
      <c r="H99" s="215">
        <v>2</v>
      </c>
      <c r="I99" s="183" t="s">
        <v>687</v>
      </c>
      <c r="J99" s="216"/>
      <c r="K99" s="216"/>
      <c r="L99" s="216"/>
      <c r="M99" s="216"/>
    </row>
    <row r="100" spans="1:13" ht="15" customHeight="1">
      <c r="A100" s="1" t="s">
        <v>695</v>
      </c>
      <c r="B100" s="159">
        <f>+GETPIVOTDATA("Sum of Old-Total Undg SCH FTE",'FTE Pivot for regular counts'!$A$2,"Category","7","Category2","Two-Year")</f>
        <v>312901.13333333336</v>
      </c>
      <c r="C100" s="159">
        <f>+GETPIVOTDATA("Sum of Old-Total Undg SCH FTE",'FTE Pivot for regular counts'!$A$2,"Category","8","Category2","Two-Year")</f>
        <v>669577.72333333327</v>
      </c>
      <c r="D100" s="159">
        <f>+GETPIVOTDATA("Sum of Old-Total Undg SCH FTE",'FTE Pivot for regular counts'!$A$2,"Category",9,"Category2","Two-Year")</f>
        <v>303092.46666666667</v>
      </c>
      <c r="E100" s="159">
        <f>+GETPIVOTDATA("Sum of Old-Total Undg SCH FTE",'FTE Pivot for regular counts'!$A$2,"Category","10","Category2","Two-Year")</f>
        <v>123580.36666666667</v>
      </c>
      <c r="F100" s="217">
        <f>+GETPIVOTDATA("Sum of Old-Total Undg SCH FTE",'FTE Pivot for regular counts'!$A$2,"Category2","Two-Year")</f>
        <v>1409151.69</v>
      </c>
      <c r="G100" s="218">
        <f>+GETPIVOTDATA("Sum of Old-Total Undg SCH FTE",'FTE Pivot for regular counts'!$A$2,"Category","12","Category2","Technical")</f>
        <v>82480.38</v>
      </c>
      <c r="H100" s="159">
        <f>+GETPIVOTDATA("Sum of Old-Total Undg SCH FTE",'FTE Pivot for regular counts'!$A$2,"Category","13","Category2","Technical")</f>
        <v>2324.4333333333334</v>
      </c>
      <c r="I100" s="1">
        <f>+GETPIVOTDATA("Sum of Old-Total Undg SCH FTE",'FTE Pivot for regular counts'!$A$2,"Category2","Technical")</f>
        <v>84804.813333333339</v>
      </c>
    </row>
    <row r="101" spans="1:13" ht="15" customHeight="1">
      <c r="B101" s="159"/>
      <c r="C101" s="159"/>
      <c r="D101" s="159"/>
      <c r="E101" s="159"/>
      <c r="F101" s="217"/>
      <c r="G101" s="218"/>
      <c r="H101" s="159"/>
    </row>
    <row r="102" spans="1:13" ht="15" customHeight="1">
      <c r="A102" s="1" t="s">
        <v>703</v>
      </c>
      <c r="B102" s="159">
        <f>+GETPIVOTDATA("Sum of Old-Total Undg SCH FTE",'FTE Pivot for regular counts'!$A$2,"State","AL","Category","7","Category2","Two-Year")</f>
        <v>0</v>
      </c>
      <c r="C102" s="159">
        <f>+GETPIVOTDATA("Sum of Old-Total Undg SCH FTE",'FTE Pivot for regular counts'!$A$2,"State","AL","Category","8","Category2","Two-Year")</f>
        <v>17667.7</v>
      </c>
      <c r="D102" s="159">
        <f>+GETPIVOTDATA("Sum of Old-Total Undg SCH FTE",'FTE Pivot for regular counts'!$A$2,"State","AL","Category",9,"Category2","Two-Year")</f>
        <v>27799.73333333333</v>
      </c>
      <c r="E102" s="159">
        <f>+GETPIVOTDATA("Sum of Old-Total Undg SCH FTE",'FTE Pivot for regular counts'!$A$2,"State","AL","Category","10","Category2","Two-Year")</f>
        <v>10410.466666666667</v>
      </c>
      <c r="F102" s="217">
        <f>+GETPIVOTDATA("Sum of Old-Total Undg SCH FTE",'FTE Pivot for regular counts'!$A$2,"State","AL","Category2","Two-Year")</f>
        <v>55877.9</v>
      </c>
      <c r="G102" s="218">
        <f>+GETPIVOTDATA("Sum of Old-Total Undg SCH FTE",'FTE Pivot for regular counts'!$A$2,"State","AL","Category","12","Category2","Technical")</f>
        <v>1477.9</v>
      </c>
      <c r="H102" s="159">
        <f>+GETPIVOTDATA("Sum of Old-Total Undg SCH FTE",'FTE Pivot for regular counts'!$A$2,"State","AL","Category","13","Category2","Technical")</f>
        <v>1503.8333333333333</v>
      </c>
      <c r="I102" s="1">
        <f>+GETPIVOTDATA("Sum of Old-Total Undg SCH FTE",'FTE Pivot for regular counts'!$A$2,"State","AL","Category2","Technical")</f>
        <v>2981.7333333333336</v>
      </c>
    </row>
    <row r="103" spans="1:13" ht="15" customHeight="1">
      <c r="A103" s="1" t="s">
        <v>704</v>
      </c>
      <c r="B103" s="159">
        <f>+GETPIVOTDATA("Sum of Old-Total Undg SCH FTE",'FTE Pivot for regular counts'!$A$2,"State","AR","Category","7","Category2","Two-Year")</f>
        <v>0</v>
      </c>
      <c r="C103" s="159">
        <f>+GETPIVOTDATA("Sum of Old-Total Undg SCH FTE",'FTE Pivot for regular counts'!$A$2,"State","AR","Category","8","Category2","Two-Year")</f>
        <v>5024.8666666666668</v>
      </c>
      <c r="D103" s="159">
        <f>+GETPIVOTDATA("Sum of Old-Total Undg SCH FTE",'FTE Pivot for regular counts'!$A$2,"State","AR","Category",9,"Category2","Two-Year")</f>
        <v>6288.4333333333334</v>
      </c>
      <c r="E103" s="159">
        <f>+GETPIVOTDATA("Sum of Old-Total Undg SCH FTE",'FTE Pivot for regular counts'!$A$2,"State","AR","Category","10","Category2","Two-Year")</f>
        <v>19640.466666666671</v>
      </c>
      <c r="F103" s="217">
        <f>+GETPIVOTDATA("Sum of Old-Total Undg SCH FTE",'FTE Pivot for regular counts'!$A$2,"State","AR","Category2","Two-Year")</f>
        <v>30953.76666666667</v>
      </c>
      <c r="G103" s="218">
        <f>+GETPIVOTDATA("Sum of Old-Total Undg SCH FTE",'FTE Pivot for regular counts'!$A$2,"State","AR","Category","12","Category2","Technical")</f>
        <v>0</v>
      </c>
      <c r="H103" s="159">
        <f>+GETPIVOTDATA("Sum of Old-Total Undg SCH FTE",'FTE Pivot for regular counts'!$A$2,"State","AR","Category","13","Category2","Technical")</f>
        <v>0</v>
      </c>
      <c r="I103" s="1">
        <f>+GETPIVOTDATA("Sum of Old-Total Undg SCH FTE",'FTE Pivot for regular counts'!$A$2,"State","AR","Category2","Technical")</f>
        <v>0</v>
      </c>
    </row>
    <row r="104" spans="1:13" ht="15" customHeight="1">
      <c r="A104" s="1" t="s">
        <v>705</v>
      </c>
      <c r="B104" s="159">
        <f>+GETPIVOTDATA("Sum of Old-Total Undg SCH FTE",'FTE Pivot for regular counts'!$A$2,"State","DE","Category","7","Category2","Two-Year")</f>
        <v>0</v>
      </c>
      <c r="C104" s="159">
        <f>+GETPIVOTDATA("Sum of Old-Total Undg SCH FTE",'FTE Pivot for regular counts'!$A$2,"State","DE","Category","8","Category2","Two-Year")</f>
        <v>0</v>
      </c>
      <c r="D104" s="159">
        <f>+GETPIVOTDATA("Sum of Old-Total Undg SCH FTE",'FTE Pivot for regular counts'!$A$2,"State","DE","Category",9,"Category2","Two-Year")</f>
        <v>8659.5666666666675</v>
      </c>
      <c r="E104" s="159">
        <f>+GETPIVOTDATA("Sum of Old-Total Undg SCH FTE",'FTE Pivot for regular counts'!$A$2,"State","DE","Category","10","Category2","Two-Year")</f>
        <v>0</v>
      </c>
      <c r="F104" s="217">
        <f>+GETPIVOTDATA("Sum of Old-Total Undg SCH FTE",'FTE Pivot for regular counts'!$A$2,"State","DE","Category2","Two-Year")</f>
        <v>8659.5666666666675</v>
      </c>
      <c r="G104" s="218">
        <f>+GETPIVOTDATA("Sum of Old-Total Undg SCH FTE",'FTE Pivot for regular counts'!$A$2,"State","DE","Category","12","Category2","Technical")</f>
        <v>0</v>
      </c>
      <c r="H104" s="159">
        <f>+GETPIVOTDATA("Sum of Old-Total Undg SCH FTE",'FTE Pivot for regular counts'!$A$2,"State","DE","Category","13","Category2","Technical")</f>
        <v>0</v>
      </c>
      <c r="I104" s="1">
        <f>+GETPIVOTDATA("Sum of Old-Total Undg SCH FTE",'FTE Pivot for regular counts'!$A$2,"State","DE","Category2","Technical")</f>
        <v>0</v>
      </c>
    </row>
    <row r="105" spans="1:13" ht="15" customHeight="1">
      <c r="A105" s="1" t="s">
        <v>706</v>
      </c>
      <c r="B105" s="159">
        <f>+GETPIVOTDATA("Sum of Old-Total Undg SCH FTE",'FTE Pivot for regular counts'!$A$2,"State","FL","Category","7","Category2","Two-Year")</f>
        <v>272851.76666666666</v>
      </c>
      <c r="C105" s="159">
        <f>+GETPIVOTDATA("Sum of Old-Total Undg SCH FTE",'FTE Pivot for regular counts'!$A$2,"State","FL","Category","8","Category2","Two-Year")</f>
        <v>28230.033333333333</v>
      </c>
      <c r="D105" s="159">
        <f>+GETPIVOTDATA("Sum of Old-Total Undg SCH FTE",'FTE Pivot for regular counts'!$A$2,"State","FL","Category",9,"Category2","Two-Year")</f>
        <v>0</v>
      </c>
      <c r="E105" s="159">
        <f>+GETPIVOTDATA("Sum of Old-Total Undg SCH FTE",'FTE Pivot for regular counts'!$A$2,"State","FL","Category","10","Category2","Two-Year")</f>
        <v>1376.5666666666666</v>
      </c>
      <c r="F105" s="217">
        <f>+GETPIVOTDATA("Sum of Old-Total Undg SCH FTE",'FTE Pivot for regular counts'!$A$2,"State","FL","Category2","Two-Year")</f>
        <v>302458.36666666664</v>
      </c>
      <c r="G105" s="218">
        <f>+GETPIVOTDATA("Sum of Old-Total Undg SCH FTE",'FTE Pivot for regular counts'!$A$2,"State","FL","Category","12","Category2","Technical")</f>
        <v>0</v>
      </c>
      <c r="H105" s="159">
        <f>+GETPIVOTDATA("Sum of Old-Total Undg SCH FTE",'FTE Pivot for regular counts'!$A$2,"State","FL","Category","13","Category2","Technical")</f>
        <v>0</v>
      </c>
      <c r="I105" s="1">
        <f>+GETPIVOTDATA("Sum of Old-Total Undg SCH FTE",'FTE Pivot for regular counts'!$A$2,"State","FL","Category2","Technical")</f>
        <v>0</v>
      </c>
    </row>
    <row r="106" spans="1:13" ht="15" customHeight="1">
      <c r="B106" s="159"/>
      <c r="C106" s="159"/>
      <c r="D106" s="159"/>
      <c r="E106" s="159"/>
      <c r="F106" s="217"/>
      <c r="G106" s="218"/>
      <c r="H106" s="159"/>
    </row>
    <row r="107" spans="1:13" ht="15" customHeight="1">
      <c r="A107" s="1" t="s">
        <v>707</v>
      </c>
      <c r="B107" s="159">
        <f>+GETPIVOTDATA("Sum of Old-Total Undg SCH FTE",'FTE Pivot for regular counts'!$A$2,"State","GA","Category","7","Category2","Two-Year")</f>
        <v>10092.666666666666</v>
      </c>
      <c r="C107" s="159">
        <f>+GETPIVOTDATA("Sum of Old-Total Undg SCH FTE",'FTE Pivot for regular counts'!$A$2,"State","GA","Category","8","Category2","Two-Year")</f>
        <v>0</v>
      </c>
      <c r="D107" s="159">
        <f>+GETPIVOTDATA("Sum of Old-Total Undg SCH FTE",'FTE Pivot for regular counts'!$A$2,"State","GA","Category",9,"Category2","Two-Year")</f>
        <v>0</v>
      </c>
      <c r="E107" s="159">
        <f>+GETPIVOTDATA("Sum of Old-Total Undg SCH FTE",'FTE Pivot for regular counts'!$A$2,"State","GA","Category","10","Category2","Two-Year")</f>
        <v>0</v>
      </c>
      <c r="F107" s="217">
        <f>+GETPIVOTDATA("Sum of Old-Total Undg SCH FTE",'FTE Pivot for regular counts'!$A$2,"State","GA","Category2","Two-Year")</f>
        <v>10092.666666666666</v>
      </c>
      <c r="G107" s="218">
        <f>+GETPIVOTDATA("Sum of Old-Total Undg SCH FTE",'FTE Pivot for regular counts'!$A$2,"State","GA","Category","12","Category2","Technical")</f>
        <v>67961.233333333337</v>
      </c>
      <c r="H107" s="159">
        <f>+GETPIVOTDATA("Sum of Old-Total Undg SCH FTE",'FTE Pivot for regular counts'!$A$2,"State","GA","Category","13","Category2","Technical")</f>
        <v>0</v>
      </c>
      <c r="I107" s="1">
        <f>+GETPIVOTDATA("Sum of Old-Total Undg SCH FTE",'FTE Pivot for regular counts'!$A$2,"State","GA","Category2","Technical")</f>
        <v>67961.233333333337</v>
      </c>
    </row>
    <row r="108" spans="1:13" ht="15" customHeight="1">
      <c r="A108" s="1" t="s">
        <v>708</v>
      </c>
      <c r="B108" s="159">
        <f>+GETPIVOTDATA("Sum of Old-Total Undg SCH FTE",'FTE Pivot for regular counts'!$A$2,"State","KY","Category","7","Category2","Two-Year")</f>
        <v>0</v>
      </c>
      <c r="C108" s="159">
        <f>+GETPIVOTDATA("Sum of Old-Total Undg SCH FTE",'FTE Pivot for regular counts'!$A$2,"State","KY","Category","8","Category2","Two-Year")</f>
        <v>12917.656666666666</v>
      </c>
      <c r="D108" s="159">
        <f>+GETPIVOTDATA("Sum of Old-Total Undg SCH FTE",'FTE Pivot for regular counts'!$A$2,"State","KY","Category",9,"Category2","Two-Year")</f>
        <v>16668.643333333333</v>
      </c>
      <c r="E108" s="159">
        <f>+GETPIVOTDATA("Sum of Old-Total Undg SCH FTE",'FTE Pivot for regular counts'!$A$2,"State","KY","Category","10","Category2","Two-Year")</f>
        <v>9589.3133333333335</v>
      </c>
      <c r="F108" s="217">
        <f>+GETPIVOTDATA("Sum of Old-Total Undg SCH FTE",'FTE Pivot for regular counts'!$A$2,"State","KY","Category2","Two-Year")</f>
        <v>39175.613333333335</v>
      </c>
      <c r="G108" s="218">
        <f>+GETPIVOTDATA("Sum of Old-Total Undg SCH FTE",'FTE Pivot for regular counts'!$A$2,"State","KY","Category","12","Category2","Technical")</f>
        <v>5150.6966666666667</v>
      </c>
      <c r="H108" s="159">
        <f>+GETPIVOTDATA("Sum of Old-Total Undg SCH FTE",'FTE Pivot for regular counts'!$A$2,"State","KY","Category","13","Category2","Technical")</f>
        <v>0</v>
      </c>
      <c r="I108" s="1">
        <f>+GETPIVOTDATA("Sum of Old-Total Undg SCH FTE",'FTE Pivot for regular counts'!$A$2,"State","KY","Category2","Technical")</f>
        <v>5150.6966666666667</v>
      </c>
    </row>
    <row r="109" spans="1:13" ht="15" customHeight="1">
      <c r="A109" s="1" t="s">
        <v>709</v>
      </c>
      <c r="B109" s="159">
        <f>+GETPIVOTDATA("Sum of Old-Total Undg SCH FTE",'FTE Pivot for regular counts'!$A$2,"State","LA","Category","7","Category2","Two-Year")</f>
        <v>0</v>
      </c>
      <c r="C109" s="159">
        <f>+GETPIVOTDATA("Sum of Old-Total Undg SCH FTE",'FTE Pivot for regular counts'!$A$2,"State","LA","Category","8","Category2","Two-Year")</f>
        <v>14677</v>
      </c>
      <c r="D109" s="159">
        <f>+GETPIVOTDATA("Sum of Old-Total Undg SCH FTE",'FTE Pivot for regular counts'!$A$2,"State","LA","Category",9,"Category2","Two-Year")</f>
        <v>16564.283333333333</v>
      </c>
      <c r="E109" s="159">
        <f>+GETPIVOTDATA("Sum of Old-Total Undg SCH FTE",'FTE Pivot for regular counts'!$A$2,"State","LA","Category","10","Category2","Two-Year")</f>
        <v>3512</v>
      </c>
      <c r="F109" s="217">
        <f>+GETPIVOTDATA("Sum of Old-Total Undg SCH FTE",'FTE Pivot for regular counts'!$A$2,"State","LA","Category2","Two-Year")</f>
        <v>34753.283333333333</v>
      </c>
      <c r="G109" s="218">
        <f>+GETPIVOTDATA("Sum of Old-Total Undg SCH FTE",'FTE Pivot for regular counts'!$A$2,"State","LA","Category","12","Category2","Technical")</f>
        <v>7890.55</v>
      </c>
      <c r="H109" s="159">
        <f>+GETPIVOTDATA("Sum of Old-Total Undg SCH FTE",'FTE Pivot for regular counts'!$A$2,"State","LA","Category","13","Category2","Technical")</f>
        <v>820.6</v>
      </c>
      <c r="I109" s="1">
        <f>+GETPIVOTDATA("Sum of Old-Total Undg SCH FTE",'FTE Pivot for regular counts'!$A$2,"State","LA","Category2","Technical")</f>
        <v>8711.15</v>
      </c>
    </row>
    <row r="110" spans="1:13" ht="15" customHeight="1">
      <c r="A110" s="1" t="s">
        <v>849</v>
      </c>
      <c r="B110" s="159">
        <f>+GETPIVOTDATA("Sum of Old-Total Undg SCH FTE",'FTE Pivot for regular counts'!$A$2,"State","MD","Category","7","Category2","Two-Year")</f>
        <v>0</v>
      </c>
      <c r="C110" s="159">
        <f>+GETPIVOTDATA("Sum of Old-Total Undg SCH FTE",'FTE Pivot for regular counts'!$A$2,"State","MD","Category","8","Category2","Two-Year")</f>
        <v>59201.116666666669</v>
      </c>
      <c r="D110" s="159">
        <f>+GETPIVOTDATA("Sum of Old-Total Undg SCH FTE",'FTE Pivot for regular counts'!$A$2,"State","MD","Category",9,"Category2","Two-Year")</f>
        <v>18232.45</v>
      </c>
      <c r="E110" s="159">
        <f>+GETPIVOTDATA("Sum of Old-Total Undg SCH FTE",'FTE Pivot for regular counts'!$A$2,"State","MD","Category","10","Category2","Two-Year")</f>
        <v>6247.0166666666664</v>
      </c>
      <c r="F110" s="217">
        <f>+GETPIVOTDATA("Sum of Old-Total Undg SCH FTE",'FTE Pivot for regular counts'!$A$2,"State","MD","Category2","Two-Year")</f>
        <v>83680.583333333328</v>
      </c>
      <c r="G110" s="218">
        <f>+GETPIVOTDATA("Sum of Old-Total Undg SCH FTE",'FTE Pivot for regular counts'!$A$2,"State","MD","Category","12","Category2","Technical")</f>
        <v>0</v>
      </c>
      <c r="H110" s="159">
        <f>+GETPIVOTDATA("Sum of Old-Total Undg SCH FTE",'FTE Pivot for regular counts'!$A$2,"State","MD","Category","13","Category2","Technical")</f>
        <v>0</v>
      </c>
      <c r="I110" s="1">
        <f>+GETPIVOTDATA("Sum of Old-Total Undg SCH FTE",'FTE Pivot for regular counts'!$A$2,"State","MD","Category2","Technical")</f>
        <v>0</v>
      </c>
    </row>
    <row r="111" spans="1:13" ht="15" customHeight="1">
      <c r="B111" s="159"/>
      <c r="C111" s="159"/>
      <c r="D111" s="159"/>
      <c r="E111" s="159"/>
      <c r="F111" s="217"/>
      <c r="G111" s="218"/>
      <c r="H111" s="159"/>
    </row>
    <row r="112" spans="1:13" ht="15" customHeight="1">
      <c r="A112" s="1" t="s">
        <v>711</v>
      </c>
      <c r="B112" s="159">
        <f>+GETPIVOTDATA("Sum of Old-Total Undg SCH FTE",'FTE Pivot for regular counts'!$A$2,"State","MS","Category","7","Category2","Two-Year")</f>
        <v>0</v>
      </c>
      <c r="C112" s="159">
        <f>+GETPIVOTDATA("Sum of Old-Total Undg SCH FTE",'FTE Pivot for regular counts'!$A$2,"State","MS","Category","8","Category2","Two-Year")</f>
        <v>0</v>
      </c>
      <c r="D112" s="159">
        <f>+GETPIVOTDATA("Sum of Old-Total Undg SCH FTE",'FTE Pivot for regular counts'!$A$2,"State","MS","Category",9,"Category2","Two-Year")</f>
        <v>0</v>
      </c>
      <c r="E112" s="159">
        <f>+GETPIVOTDATA("Sum of Old-Total Undg SCH FTE",'FTE Pivot for regular counts'!$A$2,"State","MS","Category","10","Category2","Two-Year")</f>
        <v>0</v>
      </c>
      <c r="F112" s="217">
        <f>+GETPIVOTDATA("Sum of Old-Total Undg SCH FTE",'FTE Pivot for regular counts'!$A$2,"State","MS","Category2","Two-Year")</f>
        <v>0</v>
      </c>
      <c r="G112" s="218">
        <f>+GETPIVOTDATA("Sum of Old-Total Undg SCH FTE",'FTE Pivot for regular counts'!$A$2,"State","MS","Category","12","Category2","Technical")</f>
        <v>0</v>
      </c>
      <c r="H112" s="159">
        <f>+GETPIVOTDATA("Sum of Old-Total Undg SCH FTE",'FTE Pivot for regular counts'!$A$2,"State","MS","Category","13","Category2","Technical")</f>
        <v>0</v>
      </c>
      <c r="I112" s="1">
        <f>+GETPIVOTDATA("Sum of Old-Total Undg SCH FTE",'FTE Pivot for regular counts'!$A$2,"State","MS","Category2","Technical")</f>
        <v>0</v>
      </c>
    </row>
    <row r="113" spans="1:13" ht="15" customHeight="1">
      <c r="A113" s="1" t="s">
        <v>712</v>
      </c>
      <c r="B113" s="159">
        <f>+GETPIVOTDATA("Sum of Old-Total Undg SCH FTE",'FTE Pivot for regular counts'!$A$2,"State","NC","Category","7","Category2","Two-Year")</f>
        <v>0</v>
      </c>
      <c r="C113" s="159">
        <f>+GETPIVOTDATA("Sum of Old-Total Undg SCH FTE",'FTE Pivot for regular counts'!$A$2,"State","NC","Category","8","Category2","Two-Year")</f>
        <v>70054.21666666666</v>
      </c>
      <c r="D113" s="159">
        <f>+GETPIVOTDATA("Sum of Old-Total Undg SCH FTE",'FTE Pivot for regular counts'!$A$2,"State","NC","Category",9,"Category2","Two-Year")</f>
        <v>54422.400000000009</v>
      </c>
      <c r="E113" s="159">
        <f>+GETPIVOTDATA("Sum of Old-Total Undg SCH FTE",'FTE Pivot for regular counts'!$A$2,"State","NC","Category","10","Category2","Two-Year")</f>
        <v>26302.783333333333</v>
      </c>
      <c r="F113" s="217">
        <f>+GETPIVOTDATA("Sum of Old-Total Undg SCH FTE",'FTE Pivot for regular counts'!$A$2,"State","NC","Category2","Two-Year")</f>
        <v>150779.4</v>
      </c>
      <c r="G113" s="218">
        <f>+GETPIVOTDATA("Sum of Old-Total Undg SCH FTE",'FTE Pivot for regular counts'!$A$2,"State","NC","Category","12","Category2","Technical")</f>
        <v>0</v>
      </c>
      <c r="H113" s="159">
        <f>+GETPIVOTDATA("Sum of Old-Total Undg SCH FTE",'FTE Pivot for regular counts'!$A$2,"State","NC","Category","13","Category2","Technical")</f>
        <v>0</v>
      </c>
      <c r="I113" s="1">
        <f>+GETPIVOTDATA("Sum of Old-Total Undg SCH FTE",'FTE Pivot for regular counts'!$A$2,"State","NC","Category2","Technical")</f>
        <v>0</v>
      </c>
    </row>
    <row r="114" spans="1:13" ht="15" customHeight="1">
      <c r="A114" s="1" t="s">
        <v>713</v>
      </c>
      <c r="B114" s="159">
        <f>+GETPIVOTDATA("Sum of Old-Total Undg SCH FTE",'FTE Pivot for regular counts'!$A$2,"State","OK","Category","7","Category2","Two-Year")</f>
        <v>0</v>
      </c>
      <c r="C114" s="159">
        <f>+GETPIVOTDATA("Sum of Old-Total Undg SCH FTE",'FTE Pivot for regular counts'!$A$2,"State","OK","Category","8","Category2","Two-Year")</f>
        <v>0</v>
      </c>
      <c r="D114" s="159">
        <f>+GETPIVOTDATA("Sum of Old-Total Undg SCH FTE",'FTE Pivot for regular counts'!$A$2,"State","OK","Category",9,"Category2","Two-Year")</f>
        <v>0</v>
      </c>
      <c r="E114" s="159">
        <f>+GETPIVOTDATA("Sum of Old-Total Undg SCH FTE",'FTE Pivot for regular counts'!$A$2,"State","OK","Category","10","Category2","Two-Year")</f>
        <v>0</v>
      </c>
      <c r="F114" s="217">
        <f>+GETPIVOTDATA("Sum of Old-Total Undg SCH FTE",'FTE Pivot for regular counts'!$A$2,"State","OK","Category2","Two-Year")</f>
        <v>0</v>
      </c>
      <c r="G114" s="218">
        <f>+GETPIVOTDATA("Sum of Old-Total Undg SCH FTE",'FTE Pivot for regular counts'!$A$2,"State","OK","Category","12","Category2","Technical")</f>
        <v>0</v>
      </c>
      <c r="H114" s="159">
        <f>+GETPIVOTDATA("Sum of Old-Total Undg SCH FTE",'FTE Pivot for regular counts'!$A$2,"State","OK","Category","13","Category2","Technical")</f>
        <v>0</v>
      </c>
      <c r="I114" s="1">
        <f>+GETPIVOTDATA("Sum of Old-Total Undg SCH FTE",'FTE Pivot for regular counts'!$A$2,"State","OK","Category2","Technical")</f>
        <v>0</v>
      </c>
    </row>
    <row r="115" spans="1:13" ht="15" customHeight="1">
      <c r="A115" s="1" t="s">
        <v>714</v>
      </c>
      <c r="B115" s="159">
        <f>+GETPIVOTDATA("Sum of Old-Total Undg SCH FTE",'FTE Pivot for regular counts'!$A$2,"State","SC","Category","7","Category2","Two-Year")</f>
        <v>0</v>
      </c>
      <c r="C115" s="159">
        <f>+GETPIVOTDATA("Sum of Old-Total Undg SCH FTE",'FTE Pivot for regular counts'!$A$2,"State","SC","Category","8","Category2","Two-Year")</f>
        <v>27911.933333333334</v>
      </c>
      <c r="D115" s="159">
        <f>+GETPIVOTDATA("Sum of Old-Total Undg SCH FTE",'FTE Pivot for regular counts'!$A$2,"State","SC","Category",9,"Category2","Two-Year")</f>
        <v>19925.133333333335</v>
      </c>
      <c r="E115" s="159">
        <f>+GETPIVOTDATA("Sum of Old-Total Undg SCH FTE",'FTE Pivot for regular counts'!$A$2,"State","SC","Category","10","Category2","Two-Year")</f>
        <v>9789.6666666666679</v>
      </c>
      <c r="F115" s="217">
        <f>+GETPIVOTDATA("Sum of Old-Total Undg SCH FTE",'FTE Pivot for regular counts'!$A$2,"State","SC","Category2","Two-Year")</f>
        <v>57626.733333333337</v>
      </c>
      <c r="G115" s="218">
        <f>+GETPIVOTDATA("Sum of Old-Total Undg SCH FTE",'FTE Pivot for regular counts'!$A$2,"State","SC","Category","12","Category2","Technical")</f>
        <v>0</v>
      </c>
      <c r="H115" s="159">
        <f>+GETPIVOTDATA("Sum of Old-Total Undg SCH FTE",'FTE Pivot for regular counts'!$A$2,"State","SC","Category","13","Category2","Technical")</f>
        <v>0</v>
      </c>
      <c r="I115" s="1">
        <f>+GETPIVOTDATA("Sum of Old-Total Undg SCH FTE",'FTE Pivot for regular counts'!$A$2,"State","SC","Category2","Technical")</f>
        <v>0</v>
      </c>
    </row>
    <row r="116" spans="1:13" ht="15" customHeight="1">
      <c r="B116" s="159"/>
      <c r="C116" s="159"/>
      <c r="D116" s="159"/>
      <c r="E116" s="159"/>
      <c r="F116" s="217"/>
      <c r="G116" s="218"/>
      <c r="H116" s="159"/>
    </row>
    <row r="117" spans="1:13" ht="15" customHeight="1">
      <c r="A117" s="1" t="s">
        <v>715</v>
      </c>
      <c r="B117" s="159">
        <f>+GETPIVOTDATA("Sum of Old-Total Undg SCH FTE",'FTE Pivot for regular counts'!$A$2,"State","TN","Category","7","Category2","Two-Year")</f>
        <v>0</v>
      </c>
      <c r="C117" s="159">
        <f>+GETPIVOTDATA("Sum of Old-Total Undg SCH FTE",'FTE Pivot for regular counts'!$A$2,"State","TN","Category","8","Category2","Two-Year")</f>
        <v>30270.366666666669</v>
      </c>
      <c r="D117" s="159">
        <f>+GETPIVOTDATA("Sum of Old-Total Undg SCH FTE",'FTE Pivot for regular counts'!$A$2,"State","TN","Category",9,"Category2","Two-Year")</f>
        <v>26590.26666666667</v>
      </c>
      <c r="E117" s="159">
        <f>+GETPIVOTDATA("Sum of Old-Total Undg SCH FTE",'FTE Pivot for regular counts'!$A$2,"State","TN","Category","10","Category2","Two-Year")</f>
        <v>1770.2666666666667</v>
      </c>
      <c r="F117" s="217">
        <f>+GETPIVOTDATA("Sum of Old-Total Undg SCH FTE",'FTE Pivot for regular counts'!$A$2,"State","TN","Category2","Two-Year")</f>
        <v>58630.900000000009</v>
      </c>
      <c r="G117" s="218">
        <f>+GETPIVOTDATA("Sum of Old-Total Undg SCH FTE",'FTE Pivot for regular counts'!$A$2,"State","TN","Category","12","Category2","Technical")</f>
        <v>0</v>
      </c>
      <c r="H117" s="159">
        <f>+GETPIVOTDATA("Sum of Old-Total Undg SCH FTE",'FTE Pivot for regular counts'!$A$2,"State","TN","Category","13","Category2","Technical")</f>
        <v>0</v>
      </c>
      <c r="I117" s="1">
        <f>+GETPIVOTDATA("Sum of Old-Total Undg SCH FTE",'FTE Pivot for regular counts'!$A$2,"State","TN","Category2","Technical")</f>
        <v>0</v>
      </c>
    </row>
    <row r="118" spans="1:13" ht="15" customHeight="1">
      <c r="A118" s="1" t="s">
        <v>716</v>
      </c>
      <c r="B118" s="159">
        <f>+GETPIVOTDATA("Sum of Old-Total Undg SCH FTE",'FTE Pivot for regular counts'!$A$2,"State","TX","Category","7","Category2","Two-Year")</f>
        <v>27074.300000000003</v>
      </c>
      <c r="C118" s="159">
        <f>+GETPIVOTDATA("Sum of Old-Total Undg SCH FTE",'FTE Pivot for regular counts'!$A$2,"State","TX","Category","8","Category2","Two-Year")</f>
        <v>342957.86666666664</v>
      </c>
      <c r="D118" s="159">
        <f>+GETPIVOTDATA("Sum of Old-Total Undg SCH FTE",'FTE Pivot for regular counts'!$A$2,"State","TX","Category",9,"Category2","Two-Year")</f>
        <v>81828.266666666677</v>
      </c>
      <c r="E118" s="159">
        <f>+GETPIVOTDATA("Sum of Old-Total Undg SCH FTE",'FTE Pivot for regular counts'!$A$2,"State","TX","Category","10","Category2","Two-Year")</f>
        <v>13515.266666666663</v>
      </c>
      <c r="F118" s="217">
        <f>+GETPIVOTDATA("Sum of Old-Total Undg SCH FTE",'FTE Pivot for regular counts'!$A$2,"State","TX","Category2","Two-Year")</f>
        <v>465375.69999999995</v>
      </c>
      <c r="G118" s="218">
        <f>+GETPIVOTDATA("Sum of Old-Total Undg SCH FTE",'FTE Pivot for regular counts'!$A$2,"State","TX","Category","12","Category2","Technical")</f>
        <v>0</v>
      </c>
      <c r="H118" s="159">
        <f>+GETPIVOTDATA("Sum of Old-Total Undg SCH FTE",'FTE Pivot for regular counts'!$A$2,"State","TX","Category","13","Category2","Technical")</f>
        <v>0</v>
      </c>
      <c r="I118" s="1">
        <f>+GETPIVOTDATA("Sum of Old-Total Undg SCH FTE",'FTE Pivot for regular counts'!$A$2,"State","TX","Category2","Technical")</f>
        <v>0</v>
      </c>
    </row>
    <row r="119" spans="1:13" ht="15" customHeight="1">
      <c r="A119" s="1" t="s">
        <v>717</v>
      </c>
      <c r="B119" s="159">
        <f>+GETPIVOTDATA("Sum of Old-Total Undg SCH FTE",'FTE Pivot for regular counts'!$A$2,"State","VA","Category","7","Category2","Two-Year")</f>
        <v>0</v>
      </c>
      <c r="C119" s="159">
        <f>+GETPIVOTDATA("Sum of Old-Total Undg SCH FTE",'FTE Pivot for regular counts'!$A$2,"State","VA","Category","8","Category2","Two-Year")</f>
        <v>60664.966666666667</v>
      </c>
      <c r="D119" s="159">
        <f>+GETPIVOTDATA("Sum of Old-Total Undg SCH FTE",'FTE Pivot for regular counts'!$A$2,"State","VA","Category",9,"Category2","Two-Year")</f>
        <v>23934.799999999996</v>
      </c>
      <c r="E119" s="159">
        <f>+GETPIVOTDATA("Sum of Old-Total Undg SCH FTE",'FTE Pivot for regular counts'!$A$2,"State","VA","Category","10","Category2","Two-Year")</f>
        <v>14328.066666666668</v>
      </c>
      <c r="F119" s="217">
        <f>+GETPIVOTDATA("Sum of Old-Total Undg SCH FTE",'FTE Pivot for regular counts'!$A$2,"State","VA","Category2","Two-Year")</f>
        <v>98927.833333333328</v>
      </c>
      <c r="G119" s="218">
        <f>+GETPIVOTDATA("Sum of Old-Total Undg SCH FTE",'FTE Pivot for regular counts'!$A$2,"State","VA","Category","12","Category2","Technical")</f>
        <v>0</v>
      </c>
      <c r="H119" s="159">
        <f>+GETPIVOTDATA("Sum of Old-Total Undg SCH FTE",'FTE Pivot for regular counts'!$A$2,"State","VA","Category","13","Category2","Technical")</f>
        <v>0</v>
      </c>
      <c r="I119" s="1">
        <f>+GETPIVOTDATA("Sum of Old-Total Undg SCH FTE",'FTE Pivot for regular counts'!$A$2,"State","VA","Category2","Technical")</f>
        <v>0</v>
      </c>
    </row>
    <row r="120" spans="1:13" ht="15" customHeight="1">
      <c r="A120" s="166" t="s">
        <v>718</v>
      </c>
      <c r="B120" s="167">
        <f>+GETPIVOTDATA("Sum of Old-Total Undg SCH FTE",'FTE Pivot for regular counts'!$A$2,"State","WV","Category","7","Category2","Two-Year")</f>
        <v>2882.4</v>
      </c>
      <c r="C120" s="167">
        <f>+GETPIVOTDATA("Sum of Old-Total Undg SCH FTE",'FTE Pivot for regular counts'!$A$2,"State","WV","Category","8","Category2","Two-Year")</f>
        <v>0</v>
      </c>
      <c r="D120" s="167">
        <f>+GETPIVOTDATA("Sum of Old-Total Undg SCH FTE",'FTE Pivot for regular counts'!$A$2,"State","WV","Category",9,"Category2","Two-Year")</f>
        <v>2178.4899999999998</v>
      </c>
      <c r="E120" s="167">
        <f>+GETPIVOTDATA("Sum of Old-Total Undg SCH FTE",'FTE Pivot for regular counts'!$A$2,"State","WV","Category","10","Category2","Two-Year")</f>
        <v>7098.4866666666667</v>
      </c>
      <c r="F120" s="219">
        <f>+GETPIVOTDATA("Sum of Old-Total Undg SCH FTE",'FTE Pivot for regular counts'!$A$2,"State","WV","Category2","Two-Year")</f>
        <v>12159.376666666667</v>
      </c>
      <c r="G120" s="220">
        <f>+GETPIVOTDATA("Sum of Old-Total Undg SCH FTE",'FTE Pivot for regular counts'!$A$2,"State","WV","Category","12","Category2","Technical")</f>
        <v>0</v>
      </c>
      <c r="H120" s="167">
        <f>+GETPIVOTDATA("Sum of Old-Total Undg SCH FTE",'FTE Pivot for regular counts'!$A$2,"State","WV","Category","13","Category2","Technical")</f>
        <v>0</v>
      </c>
      <c r="I120" s="166">
        <f>+GETPIVOTDATA("Sum of Old-Total Undg SCH FTE",'FTE Pivot for regular counts'!$A$2,"State","WV","Category2","Technical")</f>
        <v>0</v>
      </c>
    </row>
    <row r="121" spans="1:13" ht="38.25" customHeight="1">
      <c r="A121" s="610" t="s">
        <v>851</v>
      </c>
      <c r="B121" s="610"/>
      <c r="C121" s="610"/>
      <c r="D121" s="610"/>
      <c r="E121" s="610"/>
      <c r="F121" s="610"/>
      <c r="G121" s="610"/>
      <c r="H121" s="610"/>
      <c r="I121" s="610"/>
      <c r="J121" s="340"/>
      <c r="K121" s="221"/>
      <c r="L121" s="221"/>
      <c r="M121" s="221"/>
    </row>
    <row r="122" spans="1:13">
      <c r="A122" s="607" t="s">
        <v>850</v>
      </c>
      <c r="B122" s="607"/>
      <c r="C122" s="607"/>
      <c r="D122" s="607"/>
      <c r="E122" s="607"/>
      <c r="F122" s="607"/>
      <c r="G122" s="607"/>
      <c r="H122" s="607"/>
      <c r="I122" s="607"/>
      <c r="J122" s="340"/>
      <c r="K122" s="221"/>
      <c r="L122" s="221"/>
      <c r="M122" s="221"/>
    </row>
    <row r="123" spans="1:13">
      <c r="J123" s="192" t="s">
        <v>879</v>
      </c>
      <c r="K123" s="192"/>
      <c r="L123" s="192"/>
      <c r="M123" s="222"/>
    </row>
    <row r="124" spans="1:13" ht="18">
      <c r="A124" s="611" t="s">
        <v>731</v>
      </c>
      <c r="B124" s="611"/>
      <c r="C124" s="611"/>
      <c r="D124" s="611"/>
      <c r="E124" s="611"/>
      <c r="F124" s="611"/>
      <c r="G124" s="611"/>
      <c r="H124" s="611"/>
      <c r="I124" s="611"/>
      <c r="J124" s="611"/>
      <c r="K124" s="200"/>
      <c r="L124" s="200"/>
      <c r="M124" s="200"/>
    </row>
    <row r="125" spans="1:13" ht="15.5">
      <c r="A125" s="223"/>
      <c r="B125" s="118"/>
      <c r="C125" s="122"/>
      <c r="D125" s="193"/>
      <c r="E125" s="118"/>
      <c r="F125" s="118"/>
      <c r="G125" s="118"/>
      <c r="H125" s="118"/>
      <c r="I125" s="118"/>
      <c r="J125" s="118"/>
      <c r="K125" s="118"/>
      <c r="L125" s="118"/>
    </row>
    <row r="126" spans="1:13" ht="15.5">
      <c r="A126" s="606" t="s">
        <v>732</v>
      </c>
      <c r="B126" s="606"/>
      <c r="C126" s="606"/>
      <c r="D126" s="606"/>
      <c r="E126" s="606"/>
      <c r="F126" s="606"/>
      <c r="G126" s="606"/>
      <c r="H126" s="606"/>
      <c r="I126" s="606"/>
      <c r="J126" s="606"/>
      <c r="K126" s="201"/>
      <c r="L126" s="201"/>
    </row>
    <row r="127" spans="1:13" ht="15.5">
      <c r="A127" s="606" t="s">
        <v>874</v>
      </c>
      <c r="B127" s="606"/>
      <c r="C127" s="606"/>
      <c r="D127" s="606"/>
      <c r="E127" s="606"/>
      <c r="F127" s="606"/>
      <c r="G127" s="606"/>
      <c r="H127" s="606"/>
      <c r="I127" s="606"/>
      <c r="J127" s="606"/>
      <c r="K127" s="201"/>
      <c r="L127" s="201"/>
    </row>
    <row r="128" spans="1:13">
      <c r="A128" s="119"/>
      <c r="B128" s="119"/>
      <c r="C128" s="119"/>
      <c r="D128" s="119"/>
      <c r="E128" s="119"/>
      <c r="F128" s="119"/>
      <c r="G128" s="119"/>
      <c r="H128" s="119"/>
      <c r="I128" s="119"/>
      <c r="J128" s="119"/>
      <c r="K128" s="119"/>
      <c r="L128" s="119"/>
    </row>
    <row r="129" spans="1:12" ht="13">
      <c r="A129" s="124"/>
      <c r="B129" s="205" t="s">
        <v>727</v>
      </c>
      <c r="C129" s="205"/>
      <c r="D129" s="126"/>
      <c r="E129" s="126"/>
      <c r="F129" s="126"/>
      <c r="G129" s="207" t="s">
        <v>728</v>
      </c>
      <c r="H129" s="127"/>
      <c r="I129" s="208"/>
      <c r="J129" s="119" t="s">
        <v>729</v>
      </c>
      <c r="K129" s="119" t="s">
        <v>729</v>
      </c>
      <c r="L129" s="119"/>
    </row>
    <row r="130" spans="1:12" ht="23.5">
      <c r="A130" s="129"/>
      <c r="B130" s="212" t="s">
        <v>730</v>
      </c>
      <c r="C130" s="183">
        <v>1</v>
      </c>
      <c r="D130" s="183">
        <v>2</v>
      </c>
      <c r="E130" s="183">
        <v>3</v>
      </c>
      <c r="F130" s="183" t="s">
        <v>687</v>
      </c>
      <c r="G130" s="214">
        <v>1</v>
      </c>
      <c r="H130" s="215">
        <v>2</v>
      </c>
      <c r="I130" s="183" t="s">
        <v>687</v>
      </c>
      <c r="J130" s="216"/>
      <c r="K130" s="216"/>
      <c r="L130" s="216"/>
    </row>
    <row r="131" spans="1:12" ht="15" customHeight="1">
      <c r="A131" s="1" t="s">
        <v>695</v>
      </c>
      <c r="B131" s="230">
        <f>+GETPIVOTDATA("Sum of Old-Total Undg CH FTE",'FTE Pivot for regular counts'!$A$2,"Category","7","Category2","Two-Year")</f>
        <v>15670.405555555559</v>
      </c>
      <c r="C131" s="230">
        <f>+GETPIVOTDATA("Sum of Old-Total Undg CH FTE",'FTE Pivot for regular counts'!$A$2,"Category","8","Category2","Two-Year")</f>
        <v>24714.812222222226</v>
      </c>
      <c r="D131" s="230">
        <f>+GETPIVOTDATA("Sum of Old-Total Undg CH FTE",'FTE Pivot for regular counts'!$A$2,"Category",9,"Category2","Two-Year")</f>
        <v>16372.973333333333</v>
      </c>
      <c r="E131" s="230">
        <f>+GETPIVOTDATA("Sum of Old-Total Undg CH FTE",'FTE Pivot for regular counts'!$A$2,"Category","10","Category2","Two-Year")</f>
        <v>8439.5766666666659</v>
      </c>
      <c r="F131" s="231">
        <f>+GETPIVOTDATA("Sum of Old-Total Undg CH FTE",'FTE Pivot for regular counts'!$A$2,"Category2","Two-Year")</f>
        <v>65197.767777777779</v>
      </c>
      <c r="G131" s="230">
        <f>+GETPIVOTDATA("Sum of Old-Total Undg CH FTE",'FTE Pivot for regular counts'!$A$2,"Category","12","Category2","Technical")</f>
        <v>3714.7210444444445</v>
      </c>
      <c r="H131" s="230">
        <f>+GETPIVOTDATA("Sum of Old-Total Undg CH FTE",'FTE Pivot for regular counts'!$A$2,"Category","13","Category2","Technical")</f>
        <v>28194.010188888889</v>
      </c>
      <c r="I131" s="230">
        <f>+GETPIVOTDATA("Sum of Old-Total Undg CH FTE",'FTE Pivot for regular counts'!$A$2,"Category2","Technical")</f>
        <v>31908.731233333336</v>
      </c>
      <c r="J131" s="230"/>
      <c r="K131" s="230"/>
      <c r="L131" s="230"/>
    </row>
    <row r="132" spans="1:12" ht="15" customHeight="1">
      <c r="B132" s="230"/>
      <c r="C132" s="230"/>
      <c r="D132" s="230"/>
      <c r="G132" s="93"/>
    </row>
    <row r="133" spans="1:12" ht="15" customHeight="1">
      <c r="A133" s="1" t="s">
        <v>703</v>
      </c>
      <c r="B133" s="230">
        <f>+GETPIVOTDATA("Sum of Old-Total Undg CH FTE",'FTE Pivot for regular counts'!$A$2,"State","AL","Category","7","Category2","Two-Year")</f>
        <v>0</v>
      </c>
      <c r="C133" s="230">
        <f>+GETPIVOTDATA("Sum of Old-Total Undg CH FTE",'FTE Pivot for regular counts'!$A$2,"State","AL","Category","8","Category2","Two-Year")</f>
        <v>0</v>
      </c>
      <c r="D133" s="230">
        <f>+GETPIVOTDATA("Sum of Old-Total Undg CH FTE",'FTE Pivot for regular counts'!$A$2,"State","AL","Category",9,"Category2","Two-Year")</f>
        <v>0</v>
      </c>
      <c r="E133" s="230">
        <f>+GETPIVOTDATA("Sum of Old-Total Undg CH FTE",'FTE Pivot for regular counts'!$A$2,"State","AL","Category","10","Category2","Two-Year")</f>
        <v>0</v>
      </c>
      <c r="F133" s="231">
        <f>+GETPIVOTDATA("Sum of Old-Total Undg CH FTE",'FTE Pivot for regular counts'!$A$2,"State","AL","Category2","Two-Year")</f>
        <v>0</v>
      </c>
      <c r="G133" s="230">
        <f>+GETPIVOTDATA("Sum of Old-Total Undg CH FTE",'FTE Pivot for regular counts'!$A$2,"State","AL","Category","12","Category2","Technical")</f>
        <v>0</v>
      </c>
      <c r="H133" s="230">
        <f>+GETPIVOTDATA("Sum of Old-Total Undg CH FTE",'FTE Pivot for regular counts'!$A$2,"State","AL","Category","13","Category2","Technical")</f>
        <v>0</v>
      </c>
      <c r="I133" s="230">
        <f>+GETPIVOTDATA("Sum of Old-Total Undg CH FTE",'FTE Pivot for regular counts'!$A$2,"State","AL","Category2","Technical")</f>
        <v>0</v>
      </c>
      <c r="J133" s="230"/>
      <c r="K133" s="230"/>
      <c r="L133" s="230"/>
    </row>
    <row r="134" spans="1:12" ht="15" customHeight="1">
      <c r="A134" s="1" t="s">
        <v>704</v>
      </c>
      <c r="B134" s="230">
        <f>+GETPIVOTDATA("Sum of Old-Total Undg CH FTE",'FTE Pivot for regular counts'!$A$2,"State","AR","Category","7","Category2","Two-Year")</f>
        <v>0</v>
      </c>
      <c r="C134" s="230">
        <f>+GETPIVOTDATA("Sum of Old-Total Undg CH FTE",'FTE Pivot for regular counts'!$A$2,"State","AR","Category","8","Category2","Two-Year")</f>
        <v>0</v>
      </c>
      <c r="D134" s="230">
        <f>+GETPIVOTDATA("Sum of Old-Total Undg CH FTE",'FTE Pivot for regular counts'!$A$2,"State","AR","Category",9,"Category2","Two-Year")</f>
        <v>0</v>
      </c>
      <c r="E134" s="230">
        <f>+GETPIVOTDATA("Sum of Old-Total Undg CH FTE",'FTE Pivot for regular counts'!$A$2,"State","AR","Category","10","Category2","Two-Year")</f>
        <v>0</v>
      </c>
      <c r="F134" s="231">
        <f>+GETPIVOTDATA("Sum of Old-Total Undg CH FTE",'FTE Pivot for regular counts'!$A$2,"State","AR","Category2","Two-Year")</f>
        <v>0</v>
      </c>
      <c r="G134" s="230">
        <f>+GETPIVOTDATA("Sum of Old-Total Undg CH FTE",'FTE Pivot for regular counts'!$A$2,"State","AR","Category","12","Category2","Technical")</f>
        <v>0</v>
      </c>
      <c r="H134" s="230">
        <f>+GETPIVOTDATA("Sum of Old-Total Undg CH FTE",'FTE Pivot for regular counts'!$A$2,"State","AR","Category","13","Category2","Technical")</f>
        <v>0</v>
      </c>
      <c r="I134" s="230">
        <f>+GETPIVOTDATA("Sum of Old-Total Undg CH FTE",'FTE Pivot for regular counts'!$A$2,"State","AR","Category2","Technical")</f>
        <v>0</v>
      </c>
      <c r="J134" s="230"/>
      <c r="K134" s="230"/>
      <c r="L134" s="230"/>
    </row>
    <row r="135" spans="1:12" ht="15" customHeight="1">
      <c r="A135" s="1" t="s">
        <v>705</v>
      </c>
      <c r="B135" s="230">
        <f>+GETPIVOTDATA("Sum of Old-Total Undg CH FTE",'FTE Pivot for regular counts'!$A$2,"State","DE","Category","7","Category2","Two-Year")</f>
        <v>0</v>
      </c>
      <c r="C135" s="230">
        <f>+GETPIVOTDATA("Sum of Old-Total Undg CH FTE",'FTE Pivot for regular counts'!$A$2,"State","DE","Category","8","Category2","Two-Year")</f>
        <v>0</v>
      </c>
      <c r="D135" s="230">
        <f>+GETPIVOTDATA("Sum of Old-Total Undg CH FTE",'FTE Pivot for regular counts'!$A$2,"State","DE","Category",9,"Category2","Two-Year")</f>
        <v>0</v>
      </c>
      <c r="E135" s="230">
        <f>+GETPIVOTDATA("Sum of Old-Total Undg CH FTE",'FTE Pivot for regular counts'!$A$2,"State","DE","Category","10","Category2","Two-Year")</f>
        <v>0</v>
      </c>
      <c r="F135" s="231">
        <f>+GETPIVOTDATA("Sum of Old-Total Undg CH FTE",'FTE Pivot for regular counts'!$A$2,"State","DE","Category2","Two-Year")</f>
        <v>0</v>
      </c>
      <c r="G135" s="230">
        <f>+GETPIVOTDATA("Sum of Old-Total Undg CH FTE",'FTE Pivot for regular counts'!$A$2,"State","DE","Category","12","Category2","Technical")</f>
        <v>0</v>
      </c>
      <c r="H135" s="230">
        <f>+GETPIVOTDATA("Sum of Old-Total Undg CH FTE",'FTE Pivot for regular counts'!$A$2,"State","DE","Category","13","Category2","Technical")</f>
        <v>0</v>
      </c>
      <c r="I135" s="230">
        <f>+GETPIVOTDATA("Sum of Old-Total Undg CH FTE",'FTE Pivot for regular counts'!$A$2,"State","DE","Category2","Technical")</f>
        <v>0</v>
      </c>
      <c r="J135" s="230"/>
      <c r="K135" s="230"/>
      <c r="L135" s="230"/>
    </row>
    <row r="136" spans="1:12" ht="15" customHeight="1">
      <c r="A136" s="1" t="s">
        <v>706</v>
      </c>
      <c r="B136" s="230">
        <f>+GETPIVOTDATA("Sum of Old-Total Undg CH FTE",'FTE Pivot for regular counts'!$A$2,"State","FL","Category","7","Category2","Two-Year")</f>
        <v>15263.280000000002</v>
      </c>
      <c r="C136" s="230">
        <f>+GETPIVOTDATA("Sum of Old-Total Undg CH FTE",'FTE Pivot for regular counts'!$A$2,"State","FL","Category","8","Category2","Two-Year")</f>
        <v>2568.4122222222222</v>
      </c>
      <c r="D136" s="230">
        <f>+GETPIVOTDATA("Sum of Old-Total Undg CH FTE",'FTE Pivot for regular counts'!$A$2,"State","FL","Category",9,"Category2","Two-Year")</f>
        <v>0</v>
      </c>
      <c r="E136" s="230">
        <f>+GETPIVOTDATA("Sum of Old-Total Undg CH FTE",'FTE Pivot for regular counts'!$A$2,"State","FL","Category","10","Category2","Two-Year")</f>
        <v>177.42000000000002</v>
      </c>
      <c r="F136" s="231">
        <f>+GETPIVOTDATA("Sum of Old-Total Undg CH FTE",'FTE Pivot for regular counts'!$A$2,"State","FL","Category2","Two-Year")</f>
        <v>18009.112222222222</v>
      </c>
      <c r="G136" s="230">
        <f>+GETPIVOTDATA("Sum of Old-Total Undg CH FTE",'FTE Pivot for regular counts'!$A$2,"State","FL","Category","12","Category2","Technical")</f>
        <v>0</v>
      </c>
      <c r="H136" s="230">
        <f>+GETPIVOTDATA("Sum of Old-Total Undg CH FTE",'FTE Pivot for regular counts'!$A$2,"State","FL","Category","13","Category2","Technical")</f>
        <v>0</v>
      </c>
      <c r="I136" s="230">
        <f>+GETPIVOTDATA("Sum of Old-Total Undg CH FTE",'FTE Pivot for regular counts'!$A$2,"State","FL","Category2","Technical")</f>
        <v>0</v>
      </c>
      <c r="J136" s="230"/>
      <c r="K136" s="230"/>
      <c r="L136" s="230"/>
    </row>
    <row r="137" spans="1:12" ht="15" customHeight="1">
      <c r="B137" s="230"/>
      <c r="C137" s="230"/>
      <c r="D137" s="230"/>
      <c r="E137" s="230"/>
      <c r="F137" s="231"/>
      <c r="G137" s="230"/>
      <c r="H137" s="230"/>
      <c r="I137" s="230"/>
      <c r="J137" s="230"/>
      <c r="K137" s="230"/>
      <c r="L137" s="230"/>
    </row>
    <row r="138" spans="1:12" ht="15" customHeight="1">
      <c r="A138" s="1" t="s">
        <v>707</v>
      </c>
      <c r="B138" s="230">
        <f>+GETPIVOTDATA("Sum of Old-Total Undg CH FTE",'FTE Pivot for regular counts'!$A$2,"State","GA","Category","7","Category2","Two-Year")</f>
        <v>0</v>
      </c>
      <c r="C138" s="230">
        <f>+GETPIVOTDATA("Sum of Old-Total Undg CH FTE",'FTE Pivot for regular counts'!$A$2,"State","GA","Category","8","Category2","Two-Year")</f>
        <v>0</v>
      </c>
      <c r="D138" s="230">
        <f>+GETPIVOTDATA("Sum of Old-Total Undg CH FTE",'FTE Pivot for regular counts'!$A$2,"State","GA","Category",9,"Category2","Two-Year")</f>
        <v>0</v>
      </c>
      <c r="E138" s="230">
        <f>+GETPIVOTDATA("Sum of Old-Total Undg CH FTE",'FTE Pivot for regular counts'!$A$2,"State","GA","Category","10","Category2","Two-Year")</f>
        <v>0</v>
      </c>
      <c r="F138" s="231">
        <f>+GETPIVOTDATA("Sum of Old-Total Undg CH FTE",'FTE Pivot for regular counts'!$A$2,"State","GA","Category2","Two-Year")</f>
        <v>0</v>
      </c>
      <c r="G138" s="230">
        <f>+GETPIVOTDATA("Sum of Old-Total Undg CH FTE",'FTE Pivot for regular counts'!$A$2,"State","GA","Category","12","Category2","Technical")</f>
        <v>0</v>
      </c>
      <c r="H138" s="230">
        <f>+GETPIVOTDATA("Sum of Old-Total Undg CH FTE",'FTE Pivot for regular counts'!$A$2,"State","GA","Category","13","Category2","Technical")</f>
        <v>0</v>
      </c>
      <c r="I138" s="230">
        <f>+GETPIVOTDATA("Sum of Old-Total Undg CH FTE",'FTE Pivot for regular counts'!$A$2,"State","GA","Category2","Technical")</f>
        <v>0</v>
      </c>
      <c r="J138" s="230"/>
      <c r="K138" s="230"/>
      <c r="L138" s="230"/>
    </row>
    <row r="139" spans="1:12" ht="15" customHeight="1">
      <c r="A139" s="1" t="s">
        <v>708</v>
      </c>
      <c r="B139" s="230">
        <f>+GETPIVOTDATA("Sum of Old-Total Undg CH FTE",'FTE Pivot for regular counts'!$A$2,"State","KY","Category","7","Category2","Two-Year")</f>
        <v>0</v>
      </c>
      <c r="C139" s="230">
        <f>+GETPIVOTDATA("Sum of Old-Total Undg CH FTE",'FTE Pivot for regular counts'!$A$2,"State","KY","Category","8","Category2","Two-Year")</f>
        <v>0</v>
      </c>
      <c r="D139" s="230">
        <f>+GETPIVOTDATA("Sum of Old-Total Undg CH FTE",'FTE Pivot for regular counts'!$A$2,"State","KY","Category",9,"Category2","Two-Year")</f>
        <v>0</v>
      </c>
      <c r="E139" s="230">
        <f>+GETPIVOTDATA("Sum of Old-Total Undg CH FTE",'FTE Pivot for regular counts'!$A$2,"State","KY","Category","10","Category2","Two-Year")</f>
        <v>0</v>
      </c>
      <c r="F139" s="231">
        <f>+GETPIVOTDATA("Sum of Old-Total Undg CH FTE",'FTE Pivot for regular counts'!$A$2,"State","KY","Category2","Two-Year")</f>
        <v>0</v>
      </c>
      <c r="G139" s="230">
        <f>+GETPIVOTDATA("Sum of Old-Total Undg CH FTE",'FTE Pivot for regular counts'!$A$2,"State","KY","Category","12","Category2","Technical")</f>
        <v>0</v>
      </c>
      <c r="H139" s="230">
        <f>+GETPIVOTDATA("Sum of Old-Total Undg CH FTE",'FTE Pivot for regular counts'!$A$2,"State","KY","Category","13","Category2","Technical")</f>
        <v>0</v>
      </c>
      <c r="I139" s="230">
        <f>+GETPIVOTDATA("Sum of Old-Total Undg CH FTE",'FTE Pivot for regular counts'!$A$2,"State","KY","Category2","Technical")</f>
        <v>0</v>
      </c>
      <c r="J139" s="230"/>
      <c r="K139" s="230"/>
      <c r="L139" s="230"/>
    </row>
    <row r="140" spans="1:12" ht="15" customHeight="1">
      <c r="A140" s="1" t="s">
        <v>709</v>
      </c>
      <c r="B140" s="230">
        <f>+GETPIVOTDATA("Sum of Old-Total Undg CH FTE",'FTE Pivot for regular counts'!$A$2,"State","LA","Category","7","Category2","Two-Year")</f>
        <v>0</v>
      </c>
      <c r="C140" s="230">
        <f>+GETPIVOTDATA("Sum of Old-Total Undg CH FTE",'FTE Pivot for regular counts'!$A$2,"State","LA","Category","8","Category2","Two-Year")</f>
        <v>0</v>
      </c>
      <c r="D140" s="232">
        <f>+GETPIVOTDATA("Sum of Old-Total Undg CH FTE",'FTE Pivot for regular counts'!$A$2,"State","LA","Category",9,"Category2","Two-Year")</f>
        <v>0</v>
      </c>
      <c r="E140" s="230">
        <f>+GETPIVOTDATA("Sum of Old-Total Undg CH FTE",'FTE Pivot for regular counts'!$A$2,"State","LA","Category","10","Category2","Two-Year")</f>
        <v>0</v>
      </c>
      <c r="F140" s="233">
        <f>+GETPIVOTDATA("Sum of Old-Total Undg CH FTE",'FTE Pivot for regular counts'!$A$2,"State","LA","Category2","Two-Year")</f>
        <v>0</v>
      </c>
      <c r="G140" s="230">
        <f>+GETPIVOTDATA("Sum of Old-Total Undg CH FTE",'FTE Pivot for regular counts'!$A$2,"State","LA","Category","12","Category2","Technical")</f>
        <v>0</v>
      </c>
      <c r="H140" s="230">
        <f>+GETPIVOTDATA("Sum of Old-Total Undg CH FTE",'FTE Pivot for regular counts'!$A$2,"State","LA","Category","13","Category2","Technical")</f>
        <v>0</v>
      </c>
      <c r="I140" s="230">
        <f>+GETPIVOTDATA("Sum of Old-Total Undg CH FTE",'FTE Pivot for regular counts'!$A$2,"State","LA","Category2","Technical")</f>
        <v>0</v>
      </c>
      <c r="J140" s="230"/>
      <c r="K140" s="230"/>
      <c r="L140" s="230"/>
    </row>
    <row r="141" spans="1:12" ht="15" customHeight="1">
      <c r="A141" s="1" t="s">
        <v>710</v>
      </c>
      <c r="B141" s="230">
        <f>+GETPIVOTDATA("Sum of Old-Total Undg CH FTE",'FTE Pivot for regular counts'!$A$2,"State","MD","Category","7","Category2","Two-Year")</f>
        <v>0</v>
      </c>
      <c r="C141" s="230">
        <f>+GETPIVOTDATA("Sum of Old-Total Undg CH FTE",'FTE Pivot for regular counts'!$A$2,"State","MD","Category","8","Category2","Two-Year")</f>
        <v>0</v>
      </c>
      <c r="D141" s="230">
        <f>+GETPIVOTDATA("Sum of Old-Total Undg CH FTE",'FTE Pivot for regular counts'!$A$2,"State","MD","Category",9,"Category2","Two-Year")</f>
        <v>0</v>
      </c>
      <c r="E141" s="230">
        <f>+GETPIVOTDATA("Sum of Old-Total Undg CH FTE",'FTE Pivot for regular counts'!$A$2,"State","MD","Category","10","Category2","Two-Year")</f>
        <v>0</v>
      </c>
      <c r="F141" s="231">
        <f>+GETPIVOTDATA("Sum of Old-Total Undg CH FTE",'FTE Pivot for regular counts'!$A$2,"State","MD","Category2","Two-Year")</f>
        <v>0</v>
      </c>
      <c r="G141" s="230">
        <f>+GETPIVOTDATA("Sum of Old-Total Undg CH FTE",'FTE Pivot for regular counts'!$A$2,"State","MD","Category","12","Category2","Technical")</f>
        <v>0</v>
      </c>
      <c r="H141" s="230">
        <f>+GETPIVOTDATA("Sum of Old-Total Undg CH FTE",'FTE Pivot for regular counts'!$A$2,"State","MD","Category","13","Category2","Technical")</f>
        <v>0</v>
      </c>
      <c r="I141" s="230">
        <f>+GETPIVOTDATA("Sum of Old-Total Undg CH FTE",'FTE Pivot for regular counts'!$A$2,"State","MD","Category2","Technical")</f>
        <v>0</v>
      </c>
      <c r="J141" s="230"/>
      <c r="K141" s="230"/>
      <c r="L141" s="230"/>
    </row>
    <row r="142" spans="1:12" ht="15" customHeight="1">
      <c r="B142" s="230"/>
      <c r="C142" s="230"/>
      <c r="D142" s="230"/>
      <c r="E142" s="230"/>
      <c r="F142" s="231"/>
      <c r="G142" s="230"/>
      <c r="H142" s="230"/>
      <c r="I142" s="230"/>
      <c r="J142" s="230"/>
      <c r="K142" s="230"/>
      <c r="L142" s="230"/>
    </row>
    <row r="143" spans="1:12" ht="15" customHeight="1">
      <c r="A143" s="1" t="s">
        <v>711</v>
      </c>
      <c r="B143" s="230">
        <f>+GETPIVOTDATA("Sum of Old-Total Undg CH FTE",'FTE Pivot for regular counts'!$A$2,"State","MS","Category","7","Category2","Two-Year")</f>
        <v>0</v>
      </c>
      <c r="C143" s="230">
        <f>+GETPIVOTDATA("Sum of Old-Total Undg CH FTE",'FTE Pivot for regular counts'!$A$2,"State","MS","Category","8","Category2","Two-Year")</f>
        <v>0</v>
      </c>
      <c r="D143" s="230">
        <f>+GETPIVOTDATA("Sum of Old-Total Undg CH FTE",'FTE Pivot for regular counts'!$A$2,"State","MS","Category",9,"Category2","Two-Year")</f>
        <v>0</v>
      </c>
      <c r="E143" s="230">
        <f>+GETPIVOTDATA("Sum of Old-Total Undg CH FTE",'FTE Pivot for regular counts'!$A$2,"State","MS","Category","10","Category2","Two-Year")</f>
        <v>0</v>
      </c>
      <c r="F143" s="231">
        <f>+GETPIVOTDATA("Sum of Old-Total Undg CH FTE",'FTE Pivot for regular counts'!$A$2,"State","MS","Category2","Two-Year")</f>
        <v>0</v>
      </c>
      <c r="G143" s="230">
        <f>+GETPIVOTDATA("Sum of Old-Total Undg CH FTE",'FTE Pivot for regular counts'!$A$2,"State","MS","Category","12","Category2","Technical")</f>
        <v>0</v>
      </c>
      <c r="H143" s="230">
        <f>+GETPIVOTDATA("Sum of Old-Total Undg CH FTE",'FTE Pivot for regular counts'!$A$2,"State","MS","Category","13","Category2","Technical")</f>
        <v>0</v>
      </c>
      <c r="I143" s="230">
        <f>+GETPIVOTDATA("Sum of Old-Total Undg CH FTE",'FTE Pivot for regular counts'!$A$2,"State","MS","Category2","Technical")</f>
        <v>0</v>
      </c>
      <c r="J143" s="230"/>
      <c r="K143" s="230"/>
      <c r="L143" s="230"/>
    </row>
    <row r="144" spans="1:12" ht="15" customHeight="1">
      <c r="A144" s="1" t="s">
        <v>712</v>
      </c>
      <c r="B144" s="230">
        <f>+GETPIVOTDATA("Sum of Old-Total Undg CH FTE",'FTE Pivot for regular counts'!$A$2,"State","NC","Category","7","Category2","Two-Year")</f>
        <v>0</v>
      </c>
      <c r="C144" s="230">
        <f>+GETPIVOTDATA("Sum of Old-Total Undg CH FTE",'FTE Pivot for regular counts'!$A$2,"State","NC","Category","8","Category2","Two-Year")</f>
        <v>11853.945555555556</v>
      </c>
      <c r="D144" s="230">
        <f>+GETPIVOTDATA("Sum of Old-Total Undg CH FTE",'FTE Pivot for regular counts'!$A$2,"State","NC","Category",9,"Category2","Two-Year")</f>
        <v>12665.833333333334</v>
      </c>
      <c r="E144" s="230">
        <f>+GETPIVOTDATA("Sum of Old-Total Undg CH FTE",'FTE Pivot for regular counts'!$A$2,"State","NC","Category","10","Category2","Two-Year")</f>
        <v>7569.2344444444434</v>
      </c>
      <c r="F144" s="231">
        <f>+GETPIVOTDATA("Sum of Old-Total Undg CH FTE",'FTE Pivot for regular counts'!$A$2,"State","NC","Category2","Two-Year")</f>
        <v>32089.013333333332</v>
      </c>
      <c r="G144" s="230">
        <f>+GETPIVOTDATA("Sum of Old-Total Undg CH FTE",'FTE Pivot for regular counts'!$A$2,"State","NC","Category","12","Category2","Technical")</f>
        <v>0</v>
      </c>
      <c r="H144" s="230">
        <f>+GETPIVOTDATA("Sum of Old-Total Undg CH FTE",'FTE Pivot for regular counts'!$A$2,"State","NC","Category","13","Category2","Technical")</f>
        <v>0</v>
      </c>
      <c r="I144" s="230">
        <f>+GETPIVOTDATA("Sum of Old-Total Undg CH FTE",'FTE Pivot for regular counts'!$A$2,"State","NC","Category2","Technical")</f>
        <v>0</v>
      </c>
      <c r="J144" s="230"/>
      <c r="K144" s="230"/>
      <c r="L144" s="230"/>
    </row>
    <row r="145" spans="1:13" ht="15" customHeight="1">
      <c r="A145" s="1" t="s">
        <v>713</v>
      </c>
      <c r="B145" s="230">
        <f>+GETPIVOTDATA("Sum of Old-Total Undg CH FTE",'FTE Pivot for regular counts'!$A$2,"State","OK","Category","7","Category2","Two-Year")</f>
        <v>0</v>
      </c>
      <c r="C145" s="230">
        <f>+GETPIVOTDATA("Sum of Old-Total Undg CH FTE",'FTE Pivot for regular counts'!$A$2,"State","OK","Category","8","Category2","Two-Year")</f>
        <v>0</v>
      </c>
      <c r="D145" s="230">
        <f>+GETPIVOTDATA("Sum of Old-Total Undg CH FTE",'FTE Pivot for regular counts'!$A$2,"State","OK","Category",9,"Category2","Two-Year")</f>
        <v>0</v>
      </c>
      <c r="E145" s="230">
        <f>+GETPIVOTDATA("Sum of Old-Total Undg CH FTE",'FTE Pivot for regular counts'!$A$2,"State","OK","Category","10","Category2","Two-Year")</f>
        <v>0</v>
      </c>
      <c r="F145" s="231">
        <f>+GETPIVOTDATA("Sum of Old-Total Undg CH FTE",'FTE Pivot for regular counts'!$A$2,"State","OK","Category2","Two-Year")</f>
        <v>0</v>
      </c>
      <c r="G145" s="230">
        <f>+GETPIVOTDATA("Sum of Old-Total Undg CH FTE",'FTE Pivot for regular counts'!$A$2,"State","OK","Category","12","Category2","Technical")</f>
        <v>3714.7210444444445</v>
      </c>
      <c r="H145" s="230">
        <f>+GETPIVOTDATA("Sum of Old-Total Undg CH FTE",'FTE Pivot for regular counts'!$A$2,"State","OK","Category","13","Category2","Technical")</f>
        <v>15335.873522222222</v>
      </c>
      <c r="I145" s="230">
        <f>+GETPIVOTDATA("Sum of Old-Total Undg CH FTE",'FTE Pivot for regular counts'!$A$2,"State","OK","Category2","Technical")</f>
        <v>19050.594566666667</v>
      </c>
      <c r="J145" s="230"/>
      <c r="K145" s="230"/>
      <c r="L145" s="230"/>
    </row>
    <row r="146" spans="1:13" ht="15" customHeight="1">
      <c r="A146" s="1" t="s">
        <v>714</v>
      </c>
      <c r="B146" s="230">
        <f>+GETPIVOTDATA("Sum of Old-Total Undg CH FTE",'FTE Pivot for regular counts'!$A$2,"State","SC","Category","7","Category2","Two-Year")</f>
        <v>0</v>
      </c>
      <c r="C146" s="230">
        <f>+GETPIVOTDATA("Sum of Old-Total Undg CH FTE",'FTE Pivot for regular counts'!$A$2,"State","SC","Category","8","Category2","Two-Year")</f>
        <v>0</v>
      </c>
      <c r="D146" s="230">
        <f>+GETPIVOTDATA("Sum of Old-Total Undg CH FTE",'FTE Pivot for regular counts'!$A$2,"State","SC","Category",9,"Category2","Two-Year")</f>
        <v>0</v>
      </c>
      <c r="E146" s="230">
        <f>+GETPIVOTDATA("Sum of Old-Total Undg CH FTE",'FTE Pivot for regular counts'!$A$2,"State","SC","Category","10","Category2","Two-Year")</f>
        <v>0</v>
      </c>
      <c r="F146" s="231">
        <f>+GETPIVOTDATA("Sum of Old-Total Undg CH FTE",'FTE Pivot for regular counts'!$A$2,"State","SC","Category2","Two-Year")</f>
        <v>0</v>
      </c>
      <c r="G146" s="230">
        <f>+GETPIVOTDATA("Sum of Old-Total Undg CH FTE",'FTE Pivot for regular counts'!$A$2,"State","SC","Category","12","Category2","Technical")</f>
        <v>0</v>
      </c>
      <c r="H146" s="230">
        <f>+GETPIVOTDATA("Sum of Old-Total Undg CH FTE",'FTE Pivot for regular counts'!$A$2,"State","SC","Category","13","Category2","Technical")</f>
        <v>0</v>
      </c>
      <c r="I146" s="230">
        <f>+GETPIVOTDATA("Sum of Old-Total Undg CH FTE",'FTE Pivot for regular counts'!$A$2,"State","SC","Category2","Technical")</f>
        <v>0</v>
      </c>
      <c r="J146" s="230"/>
      <c r="K146" s="230"/>
      <c r="L146" s="230"/>
    </row>
    <row r="147" spans="1:13" ht="15" customHeight="1">
      <c r="B147" s="230"/>
      <c r="C147" s="230"/>
      <c r="D147" s="230"/>
      <c r="E147" s="230"/>
      <c r="F147" s="231"/>
      <c r="G147" s="230"/>
      <c r="H147" s="230"/>
      <c r="I147" s="230"/>
      <c r="J147" s="230"/>
      <c r="K147" s="230"/>
      <c r="L147" s="230"/>
    </row>
    <row r="148" spans="1:13" ht="15" customHeight="1">
      <c r="A148" s="1" t="s">
        <v>715</v>
      </c>
      <c r="B148" s="230">
        <f>+GETPIVOTDATA("Sum of Old-Total Undg CH FTE",'FTE Pivot for regular counts'!$A$2,"State","TN","Category","7","Category2","Two-Year")</f>
        <v>0</v>
      </c>
      <c r="C148" s="230">
        <f>+GETPIVOTDATA("Sum of Old-Total Undg CH FTE",'FTE Pivot for regular counts'!$A$2,"State","TN","Category","8","Category2","Two-Year")</f>
        <v>0</v>
      </c>
      <c r="D148" s="230">
        <f>+GETPIVOTDATA("Sum of Old-Total Undg CH FTE",'FTE Pivot for regular counts'!$A$2,"State","TN","Category",9,"Category2","Two-Year")</f>
        <v>0</v>
      </c>
      <c r="E148" s="230">
        <f>+GETPIVOTDATA("Sum of Old-Total Undg CH FTE",'FTE Pivot for regular counts'!$A$2,"State","TN","Category","10","Category2","Two-Year")</f>
        <v>0</v>
      </c>
      <c r="F148" s="231">
        <f>+GETPIVOTDATA("Sum of Old-Total Undg CH FTE",'FTE Pivot for regular counts'!$A$2,"State","TN","Category2","Two-Year")</f>
        <v>0</v>
      </c>
      <c r="G148" s="230">
        <f>+GETPIVOTDATA("Sum of Old-Total Undg CH FTE",'FTE Pivot for regular counts'!$A$2,"State","TN","Category","12","Category2","Technical")</f>
        <v>0</v>
      </c>
      <c r="H148" s="230">
        <f>+GETPIVOTDATA("Sum of Old-Total Undg CH FTE",'FTE Pivot for regular counts'!$A$2,"State","TN","Category","13","Category2","Technical")</f>
        <v>12858.136666666669</v>
      </c>
      <c r="I148" s="230">
        <f>+GETPIVOTDATA("Sum of Old-Total Undg CH FTE",'FTE Pivot for regular counts'!$A$2,"State","TN","Category2","Technical")</f>
        <v>12858.136666666669</v>
      </c>
      <c r="J148" s="230"/>
      <c r="K148" s="230"/>
      <c r="L148" s="230"/>
    </row>
    <row r="149" spans="1:13" ht="15" customHeight="1">
      <c r="A149" s="1" t="s">
        <v>716</v>
      </c>
      <c r="B149" s="230">
        <f>+GETPIVOTDATA("Sum of Old-Total Undg CH FTE",'FTE Pivot for regular counts'!$A$2,"State","TX","Category","7","Category2","Two-Year")</f>
        <v>407.12555555555559</v>
      </c>
      <c r="C149" s="230">
        <f>+GETPIVOTDATA("Sum of Old-Total Undg CH FTE",'FTE Pivot for regular counts'!$A$2,"State","TX","Category","8","Category2","Two-Year")</f>
        <v>10292.454444444447</v>
      </c>
      <c r="D149" s="230">
        <f>+GETPIVOTDATA("Sum of Old-Total Undg CH FTE",'FTE Pivot for regular counts'!$A$2,"State","TX","Category",9,"Category2","Two-Year")</f>
        <v>3707.14</v>
      </c>
      <c r="E149" s="230">
        <f>+GETPIVOTDATA("Sum of Old-Total Undg CH FTE",'FTE Pivot for regular counts'!$A$2,"State","TX","Category","10","Category2","Two-Year")</f>
        <v>692.92222222222222</v>
      </c>
      <c r="F149" s="231">
        <f>+GETPIVOTDATA("Sum of Old-Total Undg CH FTE",'FTE Pivot for regular counts'!$A$2,"State","TX","Category2","Two-Year")</f>
        <v>15099.642222222225</v>
      </c>
      <c r="G149" s="230">
        <f>+GETPIVOTDATA("Sum of Old-Total Undg CH FTE",'FTE Pivot for regular counts'!$A$2,"State","TX","Category","12","Category2","Technical")</f>
        <v>0</v>
      </c>
      <c r="H149" s="230">
        <f>+GETPIVOTDATA("Sum of Old-Total Undg CH FTE",'FTE Pivot for regular counts'!$A$2,"State","TX","Category","13","Category2","Technical")</f>
        <v>0</v>
      </c>
      <c r="I149" s="230">
        <f>+GETPIVOTDATA("Sum of Old-Total Undg CH FTE",'FTE Pivot for regular counts'!$A$2,"State","TX","Category2","Technical")</f>
        <v>0</v>
      </c>
      <c r="J149" s="230"/>
      <c r="K149" s="230"/>
      <c r="L149" s="230"/>
    </row>
    <row r="150" spans="1:13" ht="15" customHeight="1">
      <c r="A150" s="1" t="s">
        <v>717</v>
      </c>
      <c r="B150" s="230">
        <f>+GETPIVOTDATA("Sum of Old-Total Undg CH FTE",'FTE Pivot for regular counts'!$A$2,"State","VA","Category","7","Category2","Two-Year")</f>
        <v>0</v>
      </c>
      <c r="C150" s="230">
        <f>+GETPIVOTDATA("Sum of Old-Total Undg CH FTE",'FTE Pivot for regular counts'!$A$2,"State","VA","Category","8","Category2","Two-Year")</f>
        <v>0</v>
      </c>
      <c r="D150" s="230">
        <f>+GETPIVOTDATA("Sum of Old-Total Undg CH FTE",'FTE Pivot for regular counts'!$A$2,"State","VA","Category",9,"Category2","Two-Year")</f>
        <v>0</v>
      </c>
      <c r="E150" s="230">
        <f>+GETPIVOTDATA("Sum of Old-Total Undg CH FTE",'FTE Pivot for regular counts'!$A$2,"State","VA","Category","10","Category2","Two-Year")</f>
        <v>0</v>
      </c>
      <c r="F150" s="231">
        <f>+GETPIVOTDATA("Sum of Old-Total Undg CH FTE",'FTE Pivot for regular counts'!$A$2,"State","VA","Category2","Two-Year")</f>
        <v>0</v>
      </c>
      <c r="G150" s="230">
        <f>+GETPIVOTDATA("Sum of Old-Total Undg CH FTE",'FTE Pivot for regular counts'!$A$2,"State","VA","Category","12","Category2","Technical")</f>
        <v>0</v>
      </c>
      <c r="H150" s="230">
        <f>+GETPIVOTDATA("Sum of Old-Total Undg CH FTE",'FTE Pivot for regular counts'!$A$2,"State","VA","Category","13","Category2","Technical")</f>
        <v>0</v>
      </c>
      <c r="I150" s="230">
        <f>+GETPIVOTDATA("Sum of Old-Total Undg CH FTE",'FTE Pivot for regular counts'!$A$2,"State","VA","Category2","Technical")</f>
        <v>0</v>
      </c>
      <c r="J150" s="230"/>
      <c r="K150" s="230"/>
      <c r="L150" s="230"/>
    </row>
    <row r="151" spans="1:13" ht="15" customHeight="1">
      <c r="A151" s="166" t="s">
        <v>718</v>
      </c>
      <c r="B151" s="234">
        <f>+GETPIVOTDATA("Sum of Old-Total Undg CH FTE",'FTE Pivot for regular counts'!$A$2,"State","WV","Category","7","Category2","Two-Year")</f>
        <v>0</v>
      </c>
      <c r="C151" s="234">
        <f>+GETPIVOTDATA("Sum of Old-Total Undg CH FTE",'FTE Pivot for regular counts'!$A$2,"State","WV","Category","8","Category2","Two-Year")</f>
        <v>0</v>
      </c>
      <c r="D151" s="234">
        <f>+GETPIVOTDATA("Sum of Old-Total Undg CH FTE",'FTE Pivot for regular counts'!$A$2,"State","WV","Category",9,"Category2","Two-Year")</f>
        <v>0</v>
      </c>
      <c r="E151" s="234">
        <f>+GETPIVOTDATA("Sum of Old-Total Undg CH FTE",'FTE Pivot for regular counts'!$A$2,"State","WV","Category","10","Category2","Two-Year")</f>
        <v>0</v>
      </c>
      <c r="F151" s="235">
        <f>+GETPIVOTDATA("Sum of Old-Total Undg CH FTE",'FTE Pivot for regular counts'!$A$2,"State","WV","Category2","Two-Year")</f>
        <v>0</v>
      </c>
      <c r="G151" s="234">
        <f>+GETPIVOTDATA("Sum of Old-Total Undg CH FTE",'FTE Pivot for regular counts'!$A$2,"State","WV","Category","12","Category2","Technical")</f>
        <v>0</v>
      </c>
      <c r="H151" s="234">
        <f>+GETPIVOTDATA("Sum of Old-Total Undg CH FTE",'FTE Pivot for regular counts'!$A$2,"State","WV","Category","13","Category2","Technical")</f>
        <v>0</v>
      </c>
      <c r="I151" s="234">
        <f>+GETPIVOTDATA("Sum of Old-Total Undg CH FTE",'FTE Pivot for regular counts'!$A$2,"State","WV","Category2","Technical")</f>
        <v>0</v>
      </c>
      <c r="J151" s="230"/>
      <c r="K151" s="230"/>
      <c r="L151" s="230"/>
    </row>
    <row r="152" spans="1:13" ht="34.5" customHeight="1">
      <c r="A152" s="610" t="s">
        <v>851</v>
      </c>
      <c r="B152" s="610"/>
      <c r="C152" s="610"/>
      <c r="D152" s="610"/>
      <c r="E152" s="610"/>
      <c r="F152" s="610"/>
      <c r="G152" s="610"/>
      <c r="H152" s="610"/>
      <c r="I152" s="610"/>
      <c r="J152" s="340"/>
      <c r="K152" s="221"/>
      <c r="L152" s="221"/>
    </row>
    <row r="153" spans="1:13">
      <c r="J153" s="192" t="s">
        <v>879</v>
      </c>
      <c r="K153" s="192"/>
      <c r="L153" s="192"/>
    </row>
    <row r="154" spans="1:13" ht="18">
      <c r="A154" s="116" t="s">
        <v>733</v>
      </c>
      <c r="B154" s="116"/>
      <c r="C154" s="116"/>
      <c r="D154" s="116"/>
      <c r="E154" s="116"/>
      <c r="F154" s="116"/>
      <c r="G154" s="116"/>
      <c r="H154" s="116"/>
      <c r="I154" s="116"/>
      <c r="J154" s="116"/>
      <c r="K154" s="116"/>
      <c r="L154" s="200"/>
    </row>
    <row r="155" spans="1:13" ht="12" customHeight="1">
      <c r="A155" s="120"/>
      <c r="B155" s="120"/>
      <c r="C155" s="120"/>
      <c r="D155" s="120"/>
      <c r="E155" s="120"/>
      <c r="F155" s="120"/>
      <c r="G155" s="120"/>
      <c r="H155" s="120"/>
      <c r="I155" s="120"/>
      <c r="J155" s="120"/>
      <c r="K155" s="120"/>
      <c r="L155" s="120"/>
    </row>
    <row r="156" spans="1:13" ht="15.5">
      <c r="A156" s="122" t="s">
        <v>722</v>
      </c>
      <c r="B156" s="122"/>
      <c r="C156" s="122"/>
      <c r="D156" s="122"/>
      <c r="E156" s="122"/>
      <c r="F156" s="122"/>
      <c r="G156" s="122"/>
      <c r="H156" s="122"/>
      <c r="I156" s="122"/>
      <c r="J156" s="122"/>
      <c r="K156" s="122"/>
      <c r="L156" s="201"/>
    </row>
    <row r="157" spans="1:13" ht="15.5">
      <c r="A157" s="122" t="s">
        <v>875</v>
      </c>
      <c r="B157" s="122"/>
      <c r="C157" s="122"/>
      <c r="D157" s="122"/>
      <c r="E157" s="122"/>
      <c r="F157" s="122"/>
      <c r="G157" s="122"/>
      <c r="H157" s="122"/>
      <c r="I157" s="122"/>
      <c r="J157" s="122"/>
      <c r="K157" s="122"/>
      <c r="L157" s="201"/>
      <c r="M157" s="201"/>
    </row>
    <row r="158" spans="1:13">
      <c r="E158" s="166"/>
      <c r="G158" s="166"/>
      <c r="H158" s="166"/>
      <c r="I158" s="166"/>
      <c r="J158" s="166"/>
      <c r="K158" s="166"/>
    </row>
    <row r="159" spans="1:13" ht="15" customHeight="1">
      <c r="A159" s="129"/>
      <c r="B159" s="242" t="s">
        <v>730</v>
      </c>
      <c r="C159" s="132"/>
      <c r="D159" s="243">
        <v>1</v>
      </c>
      <c r="F159" s="244">
        <v>2</v>
      </c>
      <c r="H159" s="244">
        <v>3</v>
      </c>
      <c r="J159" s="244" t="s">
        <v>687</v>
      </c>
      <c r="K159" s="245"/>
    </row>
    <row r="160" spans="1:13" ht="75.75" customHeight="1">
      <c r="A160" s="251"/>
      <c r="B160" s="245" t="s">
        <v>690</v>
      </c>
      <c r="C160" s="139" t="s">
        <v>691</v>
      </c>
      <c r="D160" s="252" t="s">
        <v>690</v>
      </c>
      <c r="E160" s="139" t="s">
        <v>691</v>
      </c>
      <c r="F160" s="252" t="s">
        <v>690</v>
      </c>
      <c r="G160" s="139" t="s">
        <v>691</v>
      </c>
      <c r="H160" s="252" t="s">
        <v>690</v>
      </c>
      <c r="I160" s="139" t="s">
        <v>691</v>
      </c>
      <c r="J160" s="252" t="s">
        <v>690</v>
      </c>
      <c r="K160" s="139" t="s">
        <v>691</v>
      </c>
    </row>
    <row r="161" spans="1:19">
      <c r="A161" s="1" t="s">
        <v>695</v>
      </c>
      <c r="B161" s="230">
        <f>+'OLD Tables'!B100+'OLD Tables'!B131</f>
        <v>328571.5388888889</v>
      </c>
      <c r="D161" s="260">
        <f>+'OLD Tables'!C100+'OLD Tables'!C131</f>
        <v>694292.53555555549</v>
      </c>
      <c r="F161" s="260">
        <f>+'OLD Tables'!D100+'OLD Tables'!D131</f>
        <v>319465.44</v>
      </c>
      <c r="H161" s="260">
        <f>+'OLD Tables'!E100+'OLD Tables'!E131</f>
        <v>132019.94333333333</v>
      </c>
      <c r="J161" s="260">
        <f>+'OLD Tables'!F100+'OLD Tables'!F131</f>
        <v>1474349.4577777777</v>
      </c>
      <c r="L161" s="1" t="s">
        <v>729</v>
      </c>
      <c r="P161" s="6"/>
      <c r="Q161" s="6"/>
      <c r="R161" s="6"/>
      <c r="S161" s="6"/>
    </row>
    <row r="162" spans="1:19" s="6" customFormat="1" ht="10.5" customHeight="1">
      <c r="A162" s="265"/>
      <c r="B162" s="266"/>
      <c r="C162" s="267" t="s">
        <v>741</v>
      </c>
      <c r="D162" s="268" t="s">
        <v>729</v>
      </c>
      <c r="E162" s="267" t="s">
        <v>742</v>
      </c>
      <c r="F162" s="268" t="s">
        <v>729</v>
      </c>
      <c r="G162" s="267" t="s">
        <v>743</v>
      </c>
      <c r="H162" s="269" t="s">
        <v>729</v>
      </c>
      <c r="I162" s="267" t="s">
        <v>744</v>
      </c>
      <c r="J162" s="269" t="s">
        <v>729</v>
      </c>
      <c r="K162" s="267" t="s">
        <v>745</v>
      </c>
      <c r="L162" s="6" t="s">
        <v>729</v>
      </c>
      <c r="P162" s="1"/>
      <c r="Q162" s="1"/>
      <c r="R162" s="1"/>
      <c r="S162" s="1"/>
    </row>
    <row r="163" spans="1:19" ht="15" customHeight="1">
      <c r="A163" s="1" t="s">
        <v>703</v>
      </c>
      <c r="B163" s="230">
        <f>+'OLD Tables'!B102+'OLD Tables'!B133</f>
        <v>0</v>
      </c>
      <c r="C163" s="271">
        <f>+GETPIVOTDATA("Sum of Old-HS % of Total",'Pivot-HS Student % of Undergrad'!$A$3,"State","AL","Category",7,"Category2","Two-Year")</f>
        <v>0</v>
      </c>
      <c r="D163" s="260">
        <f>+'OLD Tables'!C102+'OLD Tables'!C133</f>
        <v>17667.7</v>
      </c>
      <c r="E163" s="271">
        <f>+GETPIVOTDATA("Sum of Old-HS % of Total",'Pivot-HS Student % of Undergrad'!$A$3,"State","AL","Category",8,"Category2","Two-Year")</f>
        <v>8.5308217821221777E-2</v>
      </c>
      <c r="F163" s="260">
        <f>+'OLD Tables'!D102+'OLD Tables'!D133</f>
        <v>27799.73333333333</v>
      </c>
      <c r="G163" s="271">
        <f>+GETPIVOTDATA("Sum of Old-HS % of Total",'Pivot-HS Student % of Undergrad'!$A$3,"State","AL","Category",9,"Category2","Two-Year")</f>
        <v>6.1848315091751482E-2</v>
      </c>
      <c r="H163" s="260">
        <f>+'OLD Tables'!E102+'OLD Tables'!E133</f>
        <v>10410.466666666667</v>
      </c>
      <c r="I163" s="271">
        <f>+GETPIVOTDATA("Sum of Old-HS % of Total",'Pivot-HS Student % of Undergrad'!$A$3,"State","AL","Category",10,"Category2","Two-Year")</f>
        <v>0.1154703279391894</v>
      </c>
      <c r="J163" s="260">
        <f>+'OLD Tables'!F102+'OLD Tables'!F133</f>
        <v>55877.9</v>
      </c>
      <c r="K163" s="271">
        <f>+GETPIVOTDATA("Sum of Old-HS % of Total",'Pivot-HS Student % of Undergrad'!$A$3,"State","AL","Category2","Group2")</f>
        <v>7.9256140024350719E-2</v>
      </c>
    </row>
    <row r="164" spans="1:19" ht="15" customHeight="1">
      <c r="A164" s="1" t="s">
        <v>704</v>
      </c>
      <c r="B164" s="230">
        <f>+'OLD Tables'!B103+'OLD Tables'!B134</f>
        <v>0</v>
      </c>
      <c r="C164" s="271">
        <f>+GETPIVOTDATA("Sum of Old-HS % of Total",'Pivot-HS Student % of Undergrad'!$A$3,"State","AR","Category",7,"Category2","Two-Year")</f>
        <v>0</v>
      </c>
      <c r="D164" s="260">
        <f>+'OLD Tables'!C103+'OLD Tables'!C134</f>
        <v>5024.8666666666668</v>
      </c>
      <c r="E164" s="271">
        <f>+GETPIVOTDATA("Sum of Old-HS % of Total",'Pivot-HS Student % of Undergrad'!$A$3,"State","AR","Category",8,"Category2","Two-Year")</f>
        <v>0.15957969034004219</v>
      </c>
      <c r="F164" s="260">
        <f>+'OLD Tables'!D103+'OLD Tables'!D134</f>
        <v>6288.4333333333334</v>
      </c>
      <c r="G164" s="271">
        <f>+GETPIVOTDATA("Sum of Old-HS % of Total",'Pivot-HS Student % of Undergrad'!$A$3,"State","AR","Category",9,"Category2","Two-Year")</f>
        <v>8.5675817506215113E-2</v>
      </c>
      <c r="H164" s="260">
        <f>+'OLD Tables'!E103+'OLD Tables'!E134</f>
        <v>19640.466666666671</v>
      </c>
      <c r="I164" s="271">
        <f>+GETPIVOTDATA("Sum of Old-HS % of Total",'Pivot-HS Student % of Undergrad'!$A$3,"State","AR","Category",10,"Category2","Two-Year")</f>
        <v>0.15709911848666189</v>
      </c>
      <c r="J164" s="260">
        <f>+'OLD Tables'!F103+'OLD Tables'!F134</f>
        <v>30953.76666666667</v>
      </c>
      <c r="K164" s="271">
        <f>+GETPIVOTDATA("Sum of Old-HS % of Total",'Pivot-HS Student % of Undergrad'!$A$3,"State","AR","Category2","Group2")</f>
        <v>0.14299175221540081</v>
      </c>
    </row>
    <row r="165" spans="1:19" ht="15" customHeight="1">
      <c r="A165" s="1" t="s">
        <v>705</v>
      </c>
      <c r="B165" s="230">
        <f>+'OLD Tables'!B104+'OLD Tables'!B135</f>
        <v>0</v>
      </c>
      <c r="C165" s="271">
        <f>+GETPIVOTDATA("Sum of Old-HS % of Total",'Pivot-HS Student % of Undergrad'!$A$3,"State","DE","Category",7,"Category2","Two-Year")</f>
        <v>0</v>
      </c>
      <c r="D165" s="260">
        <f>+'OLD Tables'!C104+'OLD Tables'!C135</f>
        <v>0</v>
      </c>
      <c r="E165" s="271">
        <f>+GETPIVOTDATA("Sum of Old-HS % of Total",'Pivot-HS Student % of Undergrad'!$A$3,"State","DE","Category",8,"Category2","Two-Year")</f>
        <v>0</v>
      </c>
      <c r="F165" s="260">
        <f>+'OLD Tables'!D104+'OLD Tables'!D135</f>
        <v>8659.5666666666675</v>
      </c>
      <c r="G165" s="271">
        <f>+GETPIVOTDATA("Sum of Old-HS % of Total",'Pivot-HS Student % of Undergrad'!$A$3,"State","DE","Category",9,"Category2","Two-Year")</f>
        <v>0</v>
      </c>
      <c r="H165" s="260">
        <f>+'OLD Tables'!E104+'OLD Tables'!E135</f>
        <v>0</v>
      </c>
      <c r="I165" s="271">
        <f>+GETPIVOTDATA("Sum of Old-HS % of Total",'Pivot-HS Student % of Undergrad'!$A$3,"State","DE","Category",10,"Category2","Two-Year")</f>
        <v>0</v>
      </c>
      <c r="J165" s="260">
        <f>+'OLD Tables'!F104+'OLD Tables'!F135</f>
        <v>8659.5666666666675</v>
      </c>
      <c r="K165" s="271">
        <f>+GETPIVOTDATA("Sum of Old-HS % of Total",'Pivot-HS Student % of Undergrad'!$A$3,"State","DE","Category2","Group2")</f>
        <v>0</v>
      </c>
    </row>
    <row r="166" spans="1:19" ht="15" customHeight="1">
      <c r="A166" s="1" t="s">
        <v>706</v>
      </c>
      <c r="B166" s="230">
        <f>+'OLD Tables'!B105+'OLD Tables'!B136</f>
        <v>288115.04666666669</v>
      </c>
      <c r="C166" s="271">
        <f>+GETPIVOTDATA("Sum of Old-HS % of Total",'Pivot-HS Student % of Undergrad'!$A$3,"State","FL","Category",7,"Category2","Two-Year")</f>
        <v>4.586934750385506E-2</v>
      </c>
      <c r="D166" s="260">
        <f>+'OLD Tables'!C105+'OLD Tables'!C136</f>
        <v>30798.445555555554</v>
      </c>
      <c r="E166" s="271">
        <f>+GETPIVOTDATA("Sum of Old-HS % of Total",'Pivot-HS Student % of Undergrad'!$A$3,"State","FL","Category",8,"Category2","Two-Year")</f>
        <v>2.4349748865907312E-2</v>
      </c>
      <c r="F166" s="260">
        <f>+'OLD Tables'!D105+'OLD Tables'!D136</f>
        <v>0</v>
      </c>
      <c r="G166" s="271">
        <f>+GETPIVOTDATA("Sum of Old-HS % of Total",'Pivot-HS Student % of Undergrad'!$A$3,"State","FL","Category",9,"Category2","Two-Year")</f>
        <v>0</v>
      </c>
      <c r="H166" s="260">
        <f>+'OLD Tables'!E105+'OLD Tables'!E136</f>
        <v>1553.9866666666667</v>
      </c>
      <c r="I166" s="271">
        <f>+GETPIVOTDATA("Sum of Old-HS % of Total",'Pivot-HS Student % of Undergrad'!$A$3,"State","FL","Category",10,"Category2","Two-Year")</f>
        <v>7.2526433636024387E-2</v>
      </c>
      <c r="J166" s="260">
        <f>+'OLD Tables'!F105+'OLD Tables'!F136</f>
        <v>320467.47888888884</v>
      </c>
      <c r="K166" s="271">
        <f>+GETPIVOTDATA("Sum of Old-HS % of Total",'Pivot-HS Student % of Undergrad'!$A$3,"State","FL","Category2","Group2")</f>
        <v>4.3392812390435673E-2</v>
      </c>
    </row>
    <row r="167" spans="1:19" ht="15" customHeight="1">
      <c r="B167" s="230"/>
      <c r="C167" s="271"/>
      <c r="D167" s="260"/>
      <c r="E167" s="271"/>
      <c r="F167" s="260"/>
      <c r="G167" s="271"/>
      <c r="H167" s="260"/>
      <c r="I167" s="271"/>
      <c r="J167" s="260"/>
      <c r="K167" s="271"/>
    </row>
    <row r="168" spans="1:19" ht="15" customHeight="1">
      <c r="A168" s="1" t="s">
        <v>707</v>
      </c>
      <c r="B168" s="230">
        <f>+'OLD Tables'!B107+'OLD Tables'!B138</f>
        <v>10092.666666666666</v>
      </c>
      <c r="C168" s="271">
        <f>+GETPIVOTDATA("Sum of Old-HS % of Total",'Pivot-HS Student % of Undergrad'!$A$3,"State","GA","Category",7,"Category2","Two-Year")</f>
        <v>6.744170684985798E-2</v>
      </c>
      <c r="D168" s="260">
        <f>+'OLD Tables'!C107+'OLD Tables'!C138</f>
        <v>0</v>
      </c>
      <c r="E168" s="271">
        <f>+GETPIVOTDATA("Sum of Old-HS % of Total",'Pivot-HS Student % of Undergrad'!$A$3,"State","GA","Category",8,"Category2","Two-Year")</f>
        <v>0</v>
      </c>
      <c r="F168" s="260">
        <f>+'OLD Tables'!D107+'OLD Tables'!D138</f>
        <v>0</v>
      </c>
      <c r="G168" s="271">
        <f>+GETPIVOTDATA("Sum of Old-HS % of Total",'Pivot-HS Student % of Undergrad'!$A$3,"State","GA","Category",9,"Category2","Two-Year")</f>
        <v>0</v>
      </c>
      <c r="H168" s="260">
        <f>+'OLD Tables'!E107+'OLD Tables'!E138</f>
        <v>0</v>
      </c>
      <c r="I168" s="271">
        <f>+GETPIVOTDATA("Sum of Old-HS % of Total",'Pivot-HS Student % of Undergrad'!$A$3,"State","GA","Category",10,"Category2","Two-Year")</f>
        <v>0</v>
      </c>
      <c r="J168" s="260">
        <f>+'OLD Tables'!F107+'OLD Tables'!F138</f>
        <v>10092.666666666666</v>
      </c>
      <c r="K168" s="271">
        <f>+GETPIVOTDATA("Sum of Old-HS % of Total",'Pivot-HS Student % of Undergrad'!$A$3,"State","GA","Category2","Group2")</f>
        <v>6.744170684985798E-2</v>
      </c>
    </row>
    <row r="169" spans="1:19" ht="15" customHeight="1">
      <c r="A169" s="1" t="s">
        <v>708</v>
      </c>
      <c r="B169" s="230">
        <f>+'OLD Tables'!B108+'OLD Tables'!B139</f>
        <v>0</v>
      </c>
      <c r="C169" s="271">
        <f>+GETPIVOTDATA("Sum of Old-HS % of Total",'Pivot-HS Student % of Undergrad'!$A$3,"State","KY","Category",7,"Category2","Two-Year")</f>
        <v>0</v>
      </c>
      <c r="D169" s="260">
        <f>+'OLD Tables'!C108+'OLD Tables'!C139</f>
        <v>12917.656666666666</v>
      </c>
      <c r="E169" s="271">
        <f>+GETPIVOTDATA("Sum of Old-HS % of Total",'Pivot-HS Student % of Undergrad'!$A$3,"State","KY","Category",8,"Category2","Two-Year")</f>
        <v>0.10188767467370888</v>
      </c>
      <c r="F169" s="260">
        <f>+'OLD Tables'!D108+'OLD Tables'!D139</f>
        <v>16668.643333333333</v>
      </c>
      <c r="G169" s="271">
        <f>+GETPIVOTDATA("Sum of Old-HS % of Total",'Pivot-HS Student % of Undergrad'!$A$3,"State","KY","Category",9,"Category2","Two-Year")</f>
        <v>0.12295701729774845</v>
      </c>
      <c r="H169" s="260">
        <f>+'OLD Tables'!E108+'OLD Tables'!E139</f>
        <v>9589.3133333333335</v>
      </c>
      <c r="I169" s="271">
        <f>+GETPIVOTDATA("Sum of Old-HS % of Total",'Pivot-HS Student % of Undergrad'!$A$3,"State","KY","Category",10,"Category2","Two-Year")</f>
        <v>0.12771161230174979</v>
      </c>
      <c r="J169" s="260">
        <f>+'OLD Tables'!F108+'OLD Tables'!F139</f>
        <v>39175.613333333335</v>
      </c>
      <c r="K169" s="271">
        <f>+GETPIVOTDATA("Sum of Old-HS % of Total",'Pivot-HS Student % of Undergrad'!$A$3,"State","KY","Category2","Group2")</f>
        <v>0.11717348990239165</v>
      </c>
    </row>
    <row r="170" spans="1:19" ht="15" customHeight="1">
      <c r="A170" s="1" t="s">
        <v>709</v>
      </c>
      <c r="B170" s="230">
        <f>+'OLD Tables'!B109+'OLD Tables'!B140</f>
        <v>0</v>
      </c>
      <c r="C170" s="271">
        <f>+GETPIVOTDATA("Sum of Old-HS % of Total",'Pivot-HS Student % of Undergrad'!$A$3,"State","LA","Category",7,"Category2","Two-Year")</f>
        <v>0</v>
      </c>
      <c r="D170" s="260">
        <f>+'OLD Tables'!C109+'OLD Tables'!C140</f>
        <v>14677</v>
      </c>
      <c r="E170" s="271">
        <f>+GETPIVOTDATA("Sum of Old-HS % of Total",'Pivot-HS Student % of Undergrad'!$A$3,"State","LA","Category",8,"Category2","Two-Year")</f>
        <v>2.4078490154663758E-2</v>
      </c>
      <c r="F170" s="260">
        <f>+'OLD Tables'!D109+'OLD Tables'!D140</f>
        <v>16564.283333333333</v>
      </c>
      <c r="G170" s="271">
        <f>+GETPIVOTDATA("Sum of Old-HS % of Total",'Pivot-HS Student % of Undergrad'!$A$3,"State","LA","Category",9,"Category2","Two-Year")</f>
        <v>6.3457821396840794E-2</v>
      </c>
      <c r="H170" s="260">
        <f>+'OLD Tables'!E109+'OLD Tables'!E140</f>
        <v>3512</v>
      </c>
      <c r="I170" s="271">
        <f>+GETPIVOTDATA("Sum of Old-HS % of Total",'Pivot-HS Student % of Undergrad'!$A$3,"State","LA","Category",10,"Category2","Two-Year")</f>
        <v>0.13111237661351557</v>
      </c>
      <c r="J170" s="260">
        <f>+'OLD Tables'!F109+'OLD Tables'!F140</f>
        <v>34753.283333333333</v>
      </c>
      <c r="K170" s="271">
        <f>+GETPIVOTDATA("Sum of Old-HS % of Total",'Pivot-HS Student % of Undergrad'!$A$3,"State","LA","Category2","Group2")</f>
        <v>5.3663994337225691E-2</v>
      </c>
    </row>
    <row r="171" spans="1:19" ht="15" customHeight="1">
      <c r="A171" s="1" t="s">
        <v>849</v>
      </c>
      <c r="B171" s="230">
        <f>+'OLD Tables'!B110+'OLD Tables'!B141</f>
        <v>0</v>
      </c>
      <c r="C171" s="271">
        <f>+GETPIVOTDATA("Sum of Old-HS % of Total",'Pivot-HS Student % of Undergrad'!$A$3,"State","MD","Category",7,"Category2","Two-Year")</f>
        <v>0</v>
      </c>
      <c r="D171" s="260">
        <f>+'OLD Tables'!C110+'OLD Tables'!C141</f>
        <v>59201.116666666669</v>
      </c>
      <c r="E171" s="271">
        <f>+GETPIVOTDATA("Sum of Old-HS % of Total",'Pivot-HS Student % of Undergrad'!$A$3,"State","MD","Category",8,"Category2","Two-Year")</f>
        <v>0</v>
      </c>
      <c r="F171" s="260">
        <f>+'OLD Tables'!D110+'OLD Tables'!D141</f>
        <v>18232.45</v>
      </c>
      <c r="G171" s="271">
        <f>+GETPIVOTDATA("Sum of Old-HS % of Total",'Pivot-HS Student % of Undergrad'!$A$3,"State","MD","Category",9,"Category2","Two-Year")</f>
        <v>0</v>
      </c>
      <c r="H171" s="260">
        <f>+'OLD Tables'!E110+'OLD Tables'!E141</f>
        <v>6247.0166666666664</v>
      </c>
      <c r="I171" s="271">
        <f>+GETPIVOTDATA("Sum of Old-HS % of Total",'Pivot-HS Student % of Undergrad'!$A$3,"State","MD","Category",10,"Category2","Two-Year")</f>
        <v>0</v>
      </c>
      <c r="J171" s="260">
        <f>+'OLD Tables'!F110+'OLD Tables'!F141</f>
        <v>83680.583333333328</v>
      </c>
      <c r="K171" s="271">
        <f>+GETPIVOTDATA("Sum of Old-HS % of Total",'Pivot-HS Student % of Undergrad'!$A$3,"State","MD","Category2","Group2")</f>
        <v>0</v>
      </c>
    </row>
    <row r="172" spans="1:19" ht="15" customHeight="1">
      <c r="B172" s="230"/>
      <c r="C172" s="271"/>
      <c r="D172" s="260"/>
      <c r="E172" s="271"/>
      <c r="F172" s="260"/>
      <c r="G172" s="271"/>
      <c r="H172" s="260"/>
      <c r="I172" s="271"/>
      <c r="J172" s="260"/>
      <c r="K172" s="271"/>
    </row>
    <row r="173" spans="1:19" ht="15" customHeight="1">
      <c r="A173" s="1" t="s">
        <v>711</v>
      </c>
      <c r="B173" s="230">
        <f>+'OLD Tables'!B112+'OLD Tables'!B143</f>
        <v>0</v>
      </c>
      <c r="C173" s="271">
        <f>+GETPIVOTDATA("Sum of Old-HS % of Total",'Pivot-HS Student % of Undergrad'!$A$3,"State","MS","Category",7,"Category2","Two-Year")</f>
        <v>0</v>
      </c>
      <c r="D173" s="260">
        <f>+'OLD Tables'!C112+'OLD Tables'!C143</f>
        <v>0</v>
      </c>
      <c r="E173" s="271">
        <f>+GETPIVOTDATA("Sum of Old-HS % of Total",'Pivot-HS Student % of Undergrad'!$A$3,"State","MS","Category",8,"Category2","Two-Year")</f>
        <v>0</v>
      </c>
      <c r="F173" s="260">
        <f>+'OLD Tables'!D112+'OLD Tables'!D143</f>
        <v>0</v>
      </c>
      <c r="G173" s="271">
        <f>+GETPIVOTDATA("Sum of Old-HS % of Total",'Pivot-HS Student % of Undergrad'!$A$3,"State","MS","Category",9,"Category2","Two-Year")</f>
        <v>0</v>
      </c>
      <c r="H173" s="260">
        <f>+'OLD Tables'!E112+'OLD Tables'!E143</f>
        <v>0</v>
      </c>
      <c r="I173" s="271">
        <f>+GETPIVOTDATA("Sum of Old-HS % of Total",'Pivot-HS Student % of Undergrad'!$A$3,"State","MS","Category",10,"Category2","Two-Year")</f>
        <v>0</v>
      </c>
      <c r="J173" s="260">
        <f>+'OLD Tables'!F112+'OLD Tables'!F143</f>
        <v>0</v>
      </c>
      <c r="K173" s="271">
        <f>+GETPIVOTDATA("Sum of Old-HS % of Total",'Pivot-HS Student % of Undergrad'!$A$3,"State","MS","Category2","Group2")</f>
        <v>0</v>
      </c>
    </row>
    <row r="174" spans="1:19" ht="15" customHeight="1">
      <c r="A174" s="1" t="s">
        <v>712</v>
      </c>
      <c r="B174" s="230">
        <f>+'OLD Tables'!B113+'OLD Tables'!B144</f>
        <v>0</v>
      </c>
      <c r="C174" s="271">
        <f>+GETPIVOTDATA("Sum of Old-HS % of Total",'Pivot-HS Student % of Undergrad'!$A$3,"State","NC","Category",7,"Category2","Two-Year")</f>
        <v>0</v>
      </c>
      <c r="D174" s="260">
        <f>+'OLD Tables'!C113+'OLD Tables'!C144</f>
        <v>81908.162222222221</v>
      </c>
      <c r="E174" s="271">
        <f>+GETPIVOTDATA("Sum of Old-HS % of Total",'Pivot-HS Student % of Undergrad'!$A$3,"State","NC","Category",8,"Category2","Two-Year")</f>
        <v>9.7325333497650504E-2</v>
      </c>
      <c r="F174" s="260">
        <f>+'OLD Tables'!D113+'OLD Tables'!D144</f>
        <v>67088.233333333337</v>
      </c>
      <c r="G174" s="271">
        <f>+GETPIVOTDATA("Sum of Old-HS % of Total",'Pivot-HS Student % of Undergrad'!$A$3,"State","NC","Category",9,"Category2","Two-Year")</f>
        <v>0.21461751043687893</v>
      </c>
      <c r="H174" s="260">
        <f>+'OLD Tables'!E113+'OLD Tables'!E144</f>
        <v>33872.017777777779</v>
      </c>
      <c r="I174" s="271">
        <f>+GETPIVOTDATA("Sum of Old-HS % of Total",'Pivot-HS Student % of Undergrad'!$A$3,"State","NC","Category",10,"Category2","Two-Year")</f>
        <v>0.25733461667871649</v>
      </c>
      <c r="J174" s="260">
        <f>+'OLD Tables'!F113+'OLD Tables'!F144</f>
        <v>182868.41333333333</v>
      </c>
      <c r="K174" s="271">
        <f>+GETPIVOTDATA("Sum of Old-HS % of Total",'Pivot-HS Student % of Undergrad'!$A$3,"State","NC","Category2","Group2")</f>
        <v>0.1675737313364204</v>
      </c>
    </row>
    <row r="175" spans="1:19" ht="15" customHeight="1">
      <c r="A175" s="1" t="s">
        <v>713</v>
      </c>
      <c r="B175" s="230">
        <f>+'OLD Tables'!B114+'OLD Tables'!B145</f>
        <v>0</v>
      </c>
      <c r="C175" s="271">
        <f>+GETPIVOTDATA("Sum of Old-HS % of Total",'Pivot-HS Student % of Undergrad'!$A$3,"State","OK","Category",7,"Category2","Two-Year")</f>
        <v>0</v>
      </c>
      <c r="D175" s="260">
        <f>+'OLD Tables'!C114+'OLD Tables'!C145</f>
        <v>0</v>
      </c>
      <c r="E175" s="271">
        <f>+GETPIVOTDATA("Sum of Old-HS % of Total",'Pivot-HS Student % of Undergrad'!$A$3,"State","OK","Category",8,"Category2","Two-Year")</f>
        <v>0</v>
      </c>
      <c r="F175" s="260">
        <f>+'OLD Tables'!D114+'OLD Tables'!D145</f>
        <v>0</v>
      </c>
      <c r="G175" s="271">
        <f>+GETPIVOTDATA("Sum of Old-HS % of Total",'Pivot-HS Student % of Undergrad'!$A$3,"State","OK","Category",9,"Category2","Two-Year")</f>
        <v>0</v>
      </c>
      <c r="H175" s="260">
        <f>+'OLD Tables'!E114+'OLD Tables'!E145</f>
        <v>0</v>
      </c>
      <c r="I175" s="271">
        <f>+GETPIVOTDATA("Sum of Old-HS % of Total",'Pivot-HS Student % of Undergrad'!$A$3,"State","OK","Category",10,"Category2","Two-Year")</f>
        <v>0</v>
      </c>
      <c r="J175" s="260">
        <f>+'OLD Tables'!F114+'OLD Tables'!F145</f>
        <v>0</v>
      </c>
      <c r="K175" s="271">
        <f>+GETPIVOTDATA("Sum of Old-HS % of Total",'Pivot-HS Student % of Undergrad'!$A$3,"State","OK","Category2","Group2")</f>
        <v>0</v>
      </c>
    </row>
    <row r="176" spans="1:19" ht="15" customHeight="1">
      <c r="A176" s="1" t="s">
        <v>714</v>
      </c>
      <c r="B176" s="230">
        <f>+'OLD Tables'!B115+'OLD Tables'!B146</f>
        <v>0</v>
      </c>
      <c r="C176" s="271">
        <f>+GETPIVOTDATA("Sum of Old-HS % of Total",'Pivot-HS Student % of Undergrad'!$A$3,"State","SC","Category",7,"Category2","Two-Year")</f>
        <v>0</v>
      </c>
      <c r="D176" s="260">
        <f>+'OLD Tables'!C115+'OLD Tables'!C146</f>
        <v>27911.933333333334</v>
      </c>
      <c r="E176" s="271">
        <f>+GETPIVOTDATA("Sum of Old-HS % of Total",'Pivot-HS Student % of Undergrad'!$A$3,"State","SC","Category",8,"Category2","Two-Year")</f>
        <v>7.0790510152169084E-2</v>
      </c>
      <c r="F176" s="260">
        <f>+'OLD Tables'!D115+'OLD Tables'!D146</f>
        <v>19925.133333333335</v>
      </c>
      <c r="G176" s="271">
        <f>+GETPIVOTDATA("Sum of Old-HS % of Total",'Pivot-HS Student % of Undergrad'!$A$3,"State","SC","Category",9,"Category2","Two-Year")</f>
        <v>8.4064682126761173E-2</v>
      </c>
      <c r="H176" s="260">
        <f>+'OLD Tables'!E115+'OLD Tables'!E146</f>
        <v>9789.6666666666679</v>
      </c>
      <c r="I176" s="271">
        <f>+GETPIVOTDATA("Sum of Old-HS % of Total",'Pivot-HS Student % of Undergrad'!$A$3,"State","SC","Category",10,"Category2","Two-Year")</f>
        <v>0.21478770131771596</v>
      </c>
      <c r="J176" s="260">
        <f>+'OLD Tables'!F115+'OLD Tables'!F146</f>
        <v>57626.733333333337</v>
      </c>
      <c r="K176" s="271">
        <f>+GETPIVOTDATA("Sum of Old-HS % of Total",'Pivot-HS Student % of Undergrad'!$A$3,"State","SC","Category2","Group2")</f>
        <v>9.9842549927637747E-2</v>
      </c>
    </row>
    <row r="177" spans="1:13" ht="15" customHeight="1">
      <c r="B177" s="230"/>
      <c r="C177" s="271"/>
      <c r="D177" s="260"/>
      <c r="E177" s="271"/>
      <c r="F177" s="260"/>
      <c r="G177" s="271"/>
      <c r="H177" s="260"/>
      <c r="I177" s="271"/>
      <c r="J177" s="260"/>
      <c r="K177" s="271"/>
    </row>
    <row r="178" spans="1:13" ht="15" customHeight="1">
      <c r="A178" s="1" t="s">
        <v>715</v>
      </c>
      <c r="B178" s="230">
        <f>+'OLD Tables'!B117+'OLD Tables'!B148</f>
        <v>0</v>
      </c>
      <c r="C178" s="271">
        <f>+GETPIVOTDATA("Sum of Old-HS % of Total",'Pivot-HS Student % of Undergrad'!$A$3,"State","TN","Category",7,"Category2","Two-Year")</f>
        <v>0</v>
      </c>
      <c r="D178" s="260">
        <f>+'OLD Tables'!C117+'OLD Tables'!C148</f>
        <v>30270.366666666669</v>
      </c>
      <c r="E178" s="271">
        <f>+GETPIVOTDATA("Sum of Old-HS % of Total",'Pivot-HS Student % of Undergrad'!$A$3,"State","TN","Category",8,"Category2","Two-Year")</f>
        <v>6.2212659025163222E-2</v>
      </c>
      <c r="F178" s="260">
        <f>+'OLD Tables'!D117+'OLD Tables'!D148</f>
        <v>26590.26666666667</v>
      </c>
      <c r="G178" s="271">
        <f>+GETPIVOTDATA("Sum of Old-HS % of Total",'Pivot-HS Student % of Undergrad'!$A$3,"State","TN","Category",9,"Category2","Two-Year")</f>
        <v>0.10878918100357525</v>
      </c>
      <c r="H178" s="260">
        <f>+'OLD Tables'!E117+'OLD Tables'!E148</f>
        <v>1770.2666666666667</v>
      </c>
      <c r="I178" s="271">
        <f>+GETPIVOTDATA("Sum of Old-HS % of Total",'Pivot-HS Student % of Undergrad'!$A$3,"State","TN","Category",10,"Category2","Two-Year")</f>
        <v>0.1132032838743692</v>
      </c>
      <c r="J178" s="260">
        <f>+'OLD Tables'!F117+'OLD Tables'!F148</f>
        <v>58630.900000000009</v>
      </c>
      <c r="K178" s="271">
        <f>+GETPIVOTDATA("Sum of Old-HS % of Total",'Pivot-HS Student % of Undergrad'!$A$3,"State","TN","Category2","Group2")</f>
        <v>8.4875608822878951E-2</v>
      </c>
    </row>
    <row r="179" spans="1:13" ht="15" customHeight="1">
      <c r="A179" s="1" t="s">
        <v>716</v>
      </c>
      <c r="B179" s="230">
        <f>+'OLD Tables'!B118+'OLD Tables'!B149</f>
        <v>27481.425555555557</v>
      </c>
      <c r="C179" s="271">
        <f>+GETPIVOTDATA("Sum of Old-HS % of Total",'Pivot-HS Student % of Undergrad'!$A$3,"State","TX","Category",7,"Category2","Two-Year")</f>
        <v>0.29811420178299469</v>
      </c>
      <c r="D179" s="260">
        <f>+'OLD Tables'!C118+'OLD Tables'!C149</f>
        <v>353250.32111111109</v>
      </c>
      <c r="E179" s="271">
        <f>+GETPIVOTDATA("Sum of Old-HS % of Total",'Pivot-HS Student % of Undergrad'!$A$3,"State","TX","Category",8,"Category2","Two-Year")</f>
        <v>0.14784896803650127</v>
      </c>
      <c r="F179" s="260">
        <f>+'OLD Tables'!D118+'OLD Tables'!D149</f>
        <v>85535.406666666677</v>
      </c>
      <c r="G179" s="271">
        <f>+GETPIVOTDATA("Sum of Old-HS % of Total",'Pivot-HS Student % of Undergrad'!$A$3,"State","TX","Category",9,"Category2","Two-Year")</f>
        <v>0.19262618296529968</v>
      </c>
      <c r="H179" s="260">
        <f>+'OLD Tables'!E118+'OLD Tables'!E149</f>
        <v>14208.188888888884</v>
      </c>
      <c r="I179" s="271">
        <f>+GETPIVOTDATA("Sum of Old-HS % of Total",'Pivot-HS Student % of Undergrad'!$A$3,"State","TX","Category",10,"Category2","Two-Year")</f>
        <v>0.19302832640963974</v>
      </c>
      <c r="J179" s="260">
        <f>+'OLD Tables'!F118+'OLD Tables'!F149</f>
        <v>480475.34222222219</v>
      </c>
      <c r="K179" s="271">
        <f>+GETPIVOTDATA("Sum of Old-HS % of Total",'Pivot-HS Student % of Undergrad'!$A$3,"State","TX","Category2","Group2")</f>
        <v>0.16562690829324664</v>
      </c>
    </row>
    <row r="180" spans="1:13" ht="15" customHeight="1">
      <c r="A180" s="1" t="s">
        <v>717</v>
      </c>
      <c r="B180" s="230">
        <f>+'OLD Tables'!B119+'OLD Tables'!B150</f>
        <v>0</v>
      </c>
      <c r="C180" s="271">
        <f>+GETPIVOTDATA("Sum of Old-HS % of Total",'Pivot-HS Student % of Undergrad'!$A$3,"State","VA","Category",7,"Category2","Two-Year")</f>
        <v>0</v>
      </c>
      <c r="D180" s="260">
        <f>+'OLD Tables'!C119+'OLD Tables'!C150</f>
        <v>60664.966666666667</v>
      </c>
      <c r="E180" s="271">
        <f>+GETPIVOTDATA("Sum of Old-HS % of Total",'Pivot-HS Student % of Undergrad'!$A$3,"State","VA","Category",8,"Category2","Two-Year")</f>
        <v>0.18568047785954442</v>
      </c>
      <c r="F180" s="260">
        <f>+'OLD Tables'!D119+'OLD Tables'!D150</f>
        <v>23934.799999999996</v>
      </c>
      <c r="G180" s="271">
        <f>+GETPIVOTDATA("Sum of Old-HS % of Total",'Pivot-HS Student % of Undergrad'!$A$3,"State","VA","Category",9,"Category2","Two-Year")</f>
        <v>0.46870943841881557</v>
      </c>
      <c r="H180" s="260">
        <f>+'OLD Tables'!E119+'OLD Tables'!E150</f>
        <v>14328.066666666668</v>
      </c>
      <c r="I180" s="271">
        <f>+GETPIVOTDATA("Sum of Old-HS % of Total",'Pivot-HS Student % of Undergrad'!$A$3,"State","VA","Category",10,"Category2","Two-Year")</f>
        <v>0.56447950642329037</v>
      </c>
      <c r="J180" s="260">
        <f>+'OLD Tables'!F119+'OLD Tables'!F150</f>
        <v>98927.833333333328</v>
      </c>
      <c r="K180" s="271">
        <f>+GETPIVOTDATA("Sum of Old-HS % of Total",'Pivot-HS Student % of Undergrad'!$A$3,"State","VA","Category2","Group2")</f>
        <v>0.30901987475718834</v>
      </c>
    </row>
    <row r="181" spans="1:13" ht="15" customHeight="1">
      <c r="A181" s="166" t="s">
        <v>718</v>
      </c>
      <c r="B181" s="234">
        <f>+'OLD Tables'!B120+'OLD Tables'!B151</f>
        <v>2882.4</v>
      </c>
      <c r="C181" s="279">
        <f>+GETPIVOTDATA("Sum of Old-HS % of Total",'Pivot-HS Student % of Undergrad'!$A$3,"State","WV","Category",7,"Category2","Two-Year")</f>
        <v>0.11951845684152096</v>
      </c>
      <c r="D181" s="280">
        <f>+'OLD Tables'!C120+'OLD Tables'!C151</f>
        <v>0</v>
      </c>
      <c r="E181" s="279">
        <f>+GETPIVOTDATA("Sum of Old-HS % of Total",'Pivot-HS Student % of Undergrad'!$A$3,"State","WV","Category",8,"Category2","Two-Year")</f>
        <v>0</v>
      </c>
      <c r="F181" s="280">
        <f>+'OLD Tables'!D120+'OLD Tables'!D151</f>
        <v>2178.4899999999998</v>
      </c>
      <c r="G181" s="279">
        <f>+GETPIVOTDATA("Sum of Old-HS % of Total",'Pivot-HS Student % of Undergrad'!$A$3,"State","WV","Category",9,"Category2","Two-Year")</f>
        <v>0.12721349803457135</v>
      </c>
      <c r="H181" s="280">
        <f>+'OLD Tables'!E120+'OLD Tables'!E151</f>
        <v>7098.4866666666667</v>
      </c>
      <c r="I181" s="279">
        <f>+GETPIVOTDATA("Sum of Old-HS % of Total",'Pivot-HS Student % of Undergrad'!$A$3,"State","WV","Category",10,"Category2","Two-Year")</f>
        <v>7.8664654344165377E-2</v>
      </c>
      <c r="J181" s="280">
        <f>+'OLD Tables'!F120+'OLD Tables'!F151</f>
        <v>12159.376666666667</v>
      </c>
      <c r="K181" s="279">
        <f>+GETPIVOTDATA("Sum of Old-HS % of Total",'Pivot-HS Student % of Undergrad'!$A$3,"State","WV","Category2","Group2")</f>
        <v>9.7047189644863932E-2</v>
      </c>
    </row>
    <row r="182" spans="1:13" ht="37.5" customHeight="1">
      <c r="A182" s="610" t="s">
        <v>854</v>
      </c>
      <c r="B182" s="612"/>
      <c r="C182" s="612"/>
      <c r="D182" s="612"/>
      <c r="E182" s="612"/>
      <c r="F182" s="612"/>
      <c r="G182" s="612"/>
      <c r="H182" s="612"/>
      <c r="I182" s="612"/>
      <c r="J182" s="612"/>
      <c r="K182" s="613"/>
      <c r="L182" s="159"/>
      <c r="M182" s="159"/>
    </row>
    <row r="183" spans="1:13">
      <c r="A183" s="607" t="s">
        <v>850</v>
      </c>
      <c r="B183" s="607"/>
      <c r="C183" s="607"/>
      <c r="D183" s="607"/>
      <c r="E183" s="607"/>
      <c r="F183" s="607"/>
      <c r="G183" s="607"/>
      <c r="H183" s="607"/>
      <c r="I183" s="607"/>
      <c r="J183" s="221"/>
      <c r="K183" s="408"/>
      <c r="L183" s="159"/>
      <c r="M183" s="159"/>
    </row>
    <row r="184" spans="1:13">
      <c r="K184" s="192" t="s">
        <v>879</v>
      </c>
      <c r="M184" s="222"/>
    </row>
    <row r="185" spans="1:13" ht="18">
      <c r="A185" s="116" t="s">
        <v>751</v>
      </c>
      <c r="B185" s="119"/>
      <c r="C185" s="119"/>
      <c r="D185" s="119"/>
      <c r="E185" s="119"/>
      <c r="F185" s="119"/>
      <c r="G185" s="119"/>
      <c r="H185" s="119"/>
      <c r="I185" s="119"/>
      <c r="M185" s="222"/>
    </row>
    <row r="186" spans="1:13" ht="15.5">
      <c r="A186" s="120"/>
      <c r="B186" s="119"/>
      <c r="C186" s="119"/>
      <c r="D186" s="119"/>
      <c r="E186" s="119"/>
      <c r="F186" s="119"/>
      <c r="G186" s="119"/>
      <c r="H186" s="119"/>
      <c r="I186" s="119"/>
      <c r="M186" s="222"/>
    </row>
    <row r="187" spans="1:13" ht="15.5">
      <c r="A187" s="122" t="s">
        <v>722</v>
      </c>
      <c r="B187" s="119"/>
      <c r="C187" s="119"/>
      <c r="D187" s="119"/>
      <c r="E187" s="119"/>
      <c r="F187" s="119"/>
      <c r="G187" s="119"/>
      <c r="H187" s="119"/>
      <c r="I187" s="119"/>
      <c r="M187" s="222"/>
    </row>
    <row r="188" spans="1:13" ht="15.5">
      <c r="A188" s="122" t="s">
        <v>876</v>
      </c>
      <c r="B188" s="119"/>
      <c r="C188" s="119"/>
      <c r="D188" s="119"/>
      <c r="E188" s="119"/>
      <c r="F188" s="119"/>
      <c r="G188" s="119"/>
      <c r="H188" s="119"/>
      <c r="I188" s="119"/>
      <c r="M188" s="222"/>
    </row>
    <row r="189" spans="1:13">
      <c r="C189" s="166"/>
      <c r="D189" s="166"/>
      <c r="E189" s="166"/>
      <c r="F189" s="166"/>
      <c r="G189" s="166"/>
      <c r="M189" s="222"/>
    </row>
    <row r="190" spans="1:13" ht="28.5" customHeight="1">
      <c r="A190" s="129"/>
      <c r="B190" s="287">
        <v>1</v>
      </c>
      <c r="D190" s="288">
        <v>2</v>
      </c>
      <c r="F190" s="289" t="s">
        <v>687</v>
      </c>
      <c r="K190" s="222"/>
    </row>
    <row r="191" spans="1:13" ht="78" customHeight="1">
      <c r="A191" s="251"/>
      <c r="B191" s="245" t="s">
        <v>690</v>
      </c>
      <c r="C191" s="139" t="s">
        <v>691</v>
      </c>
      <c r="D191" s="252" t="s">
        <v>690</v>
      </c>
      <c r="E191" s="139" t="s">
        <v>691</v>
      </c>
      <c r="F191" s="252" t="s">
        <v>690</v>
      </c>
      <c r="G191" s="139" t="s">
        <v>691</v>
      </c>
      <c r="K191" s="222"/>
    </row>
    <row r="192" spans="1:13">
      <c r="A192" s="1" t="s">
        <v>695</v>
      </c>
      <c r="B192" s="230">
        <f>+'OLD Tables'!G100+'OLD Tables'!G131</f>
        <v>86195.101044444455</v>
      </c>
      <c r="D192" s="260">
        <f>+'OLD Tables'!H100+'OLD Tables'!H131</f>
        <v>30518.443522222224</v>
      </c>
      <c r="F192" s="260">
        <f>+'OLD Tables'!I100+'OLD Tables'!I131</f>
        <v>116713.54456666668</v>
      </c>
      <c r="K192" s="222"/>
    </row>
    <row r="193" spans="1:11">
      <c r="A193" s="265"/>
      <c r="B193" s="265"/>
      <c r="C193" s="267" t="s">
        <v>797</v>
      </c>
      <c r="D193" s="269" t="s">
        <v>729</v>
      </c>
      <c r="E193" s="267" t="s">
        <v>798</v>
      </c>
      <c r="F193" s="269" t="s">
        <v>729</v>
      </c>
      <c r="G193" s="267" t="s">
        <v>799</v>
      </c>
      <c r="H193" s="1" t="s">
        <v>729</v>
      </c>
      <c r="K193" s="222"/>
    </row>
    <row r="194" spans="1:11">
      <c r="A194" s="1" t="s">
        <v>703</v>
      </c>
      <c r="B194" s="230">
        <f>+'OLD Tables'!G102+'OLD Tables'!G133</f>
        <v>1477.9</v>
      </c>
      <c r="C194" s="271">
        <f>+GETPIVOTDATA("Sum of Old-HS % of Total",'Pivot-HS Student % of Undergrad'!$A$3,"State","AL","Category",12,"Category2","Technical")</f>
        <v>4.4951169452150573E-2</v>
      </c>
      <c r="D194" s="260">
        <f>+'OLD Tables'!H102+'OLD Tables'!H133</f>
        <v>1503.8333333333333</v>
      </c>
      <c r="E194" s="271">
        <f>+GETPIVOTDATA("Sum of Old-HS % of Total",'Pivot-HS Student % of Undergrad'!$A$3,"State","AL","Category",13,"Category2","Technical")</f>
        <v>5.0692674276848058E-2</v>
      </c>
      <c r="F194" s="260">
        <f>+'OLD Tables'!I102+'OLD Tables'!I133</f>
        <v>2981.7333333333336</v>
      </c>
      <c r="G194" s="271">
        <f>+GETPIVOTDATA("Sum of Old-HS % of Total",'Pivot-HS Student % of Undergrad'!$A$3,"State","AL","Category2","Group3")</f>
        <v>4.784688995215311E-2</v>
      </c>
      <c r="K194" s="222"/>
    </row>
    <row r="195" spans="1:11">
      <c r="A195" s="1" t="s">
        <v>704</v>
      </c>
      <c r="B195" s="230">
        <f>+'OLD Tables'!G103+'OLD Tables'!G134</f>
        <v>0</v>
      </c>
      <c r="C195" s="271">
        <f>+GETPIVOTDATA("Sum of Old-HS % of Total",'Pivot-HS Student % of Undergrad'!$A$3,"State","AR","Category",12,"Category2","Technical")</f>
        <v>0</v>
      </c>
      <c r="D195" s="260">
        <f>+'OLD Tables'!H103+'OLD Tables'!H134</f>
        <v>0</v>
      </c>
      <c r="E195" s="271">
        <f>+GETPIVOTDATA("Sum of Old-HS % of Total",'Pivot-HS Student % of Undergrad'!$A$3,"State","AR","Category",13,"Category2","Technical")</f>
        <v>0</v>
      </c>
      <c r="F195" s="260">
        <f>+'OLD Tables'!I103+'OLD Tables'!I134</f>
        <v>0</v>
      </c>
      <c r="G195" s="271">
        <f>+GETPIVOTDATA("Sum of Old-HS % of Total",'Pivot-HS Student % of Undergrad'!$A$3,"State","AR","Category2","Group3")</f>
        <v>0</v>
      </c>
      <c r="K195" s="222"/>
    </row>
    <row r="196" spans="1:11">
      <c r="A196" s="1" t="s">
        <v>705</v>
      </c>
      <c r="B196" s="230">
        <f>+'OLD Tables'!G104+'OLD Tables'!G135</f>
        <v>0</v>
      </c>
      <c r="C196" s="271">
        <f>+GETPIVOTDATA("Sum of Old-HS % of Total",'Pivot-HS Student % of Undergrad'!$A$3,"State","DE","Category",12,"Category2","Technical")</f>
        <v>0</v>
      </c>
      <c r="D196" s="260">
        <f>+'OLD Tables'!H104+'OLD Tables'!H135</f>
        <v>0</v>
      </c>
      <c r="E196" s="271">
        <f>+GETPIVOTDATA("Sum of Old-HS % of Total",'Pivot-HS Student % of Undergrad'!$A$3,"State","DE","Category",13,"Category2","Technical")</f>
        <v>0</v>
      </c>
      <c r="F196" s="260">
        <f>+'OLD Tables'!I104+'OLD Tables'!I135</f>
        <v>0</v>
      </c>
      <c r="G196" s="271">
        <f>+GETPIVOTDATA("Sum of Old-HS % of Total",'Pivot-HS Student % of Undergrad'!$A$3,"State","DE","Category2","Group3")</f>
        <v>0</v>
      </c>
      <c r="K196" s="222"/>
    </row>
    <row r="197" spans="1:11">
      <c r="A197" s="1" t="s">
        <v>706</v>
      </c>
      <c r="B197" s="230">
        <f>+'OLD Tables'!G105+'OLD Tables'!G136</f>
        <v>0</v>
      </c>
      <c r="C197" s="271">
        <f>+GETPIVOTDATA("Sum of Old-HS % of Total",'Pivot-HS Student % of Undergrad'!$A$3,"State","FL","Category",12,"Category2","Technical")</f>
        <v>0</v>
      </c>
      <c r="D197" s="260">
        <f>+'OLD Tables'!H105+'OLD Tables'!H136</f>
        <v>0</v>
      </c>
      <c r="E197" s="271">
        <f>+GETPIVOTDATA("Sum of Old-HS % of Total",'Pivot-HS Student % of Undergrad'!$A$3,"State","FL","Category",13,"Category2","Technical")</f>
        <v>0</v>
      </c>
      <c r="F197" s="260">
        <f>+'OLD Tables'!I105+'OLD Tables'!I136</f>
        <v>0</v>
      </c>
      <c r="G197" s="271">
        <f>+GETPIVOTDATA("Sum of Old-HS % of Total",'Pivot-HS Student % of Undergrad'!$A$3,"State","FL","Category2","Group3")</f>
        <v>0</v>
      </c>
      <c r="K197" s="222"/>
    </row>
    <row r="198" spans="1:11">
      <c r="B198" s="230"/>
      <c r="C198" s="271"/>
      <c r="D198" s="260"/>
      <c r="E198" s="271"/>
      <c r="F198" s="260"/>
      <c r="G198" s="271"/>
      <c r="K198" s="222"/>
    </row>
    <row r="199" spans="1:11">
      <c r="A199" s="1" t="s">
        <v>707</v>
      </c>
      <c r="B199" s="230">
        <f>+'OLD Tables'!G107+'OLD Tables'!G138</f>
        <v>67961.233333333337</v>
      </c>
      <c r="C199" s="271">
        <f>+GETPIVOTDATA("Sum of Old-HS % of Total",'Pivot-HS Student % of Undergrad'!$A$3,"State","GA","Category",12,"Category2","Technical")</f>
        <v>0.17114266613760687</v>
      </c>
      <c r="D199" s="260">
        <f>+'OLD Tables'!H107+'OLD Tables'!H138</f>
        <v>0</v>
      </c>
      <c r="E199" s="271">
        <f>+GETPIVOTDATA("Sum of Old-HS % of Total",'Pivot-HS Student % of Undergrad'!$A$3,"State","GA","Category",13,"Category2","Technical")</f>
        <v>0</v>
      </c>
      <c r="F199" s="260">
        <f>+'OLD Tables'!I107+'OLD Tables'!I138</f>
        <v>67961.233333333337</v>
      </c>
      <c r="G199" s="271">
        <f>+GETPIVOTDATA("Sum of Old-HS % of Total",'Pivot-HS Student % of Undergrad'!$A$3,"State","GA","Category2","Group3")</f>
        <v>0.17114266613760687</v>
      </c>
      <c r="K199" s="222"/>
    </row>
    <row r="200" spans="1:11">
      <c r="A200" s="1" t="s">
        <v>708</v>
      </c>
      <c r="B200" s="230">
        <f>+'OLD Tables'!G108+'OLD Tables'!G139</f>
        <v>5150.6966666666667</v>
      </c>
      <c r="C200" s="271">
        <f>+GETPIVOTDATA("Sum of Old-HS % of Total",'Pivot-HS Student % of Undergrad'!$A$3,"State","KY","Category",12,"Category2","Technical")</f>
        <v>0.13124761763619033</v>
      </c>
      <c r="D200" s="260">
        <f>+'OLD Tables'!H108+'OLD Tables'!H139</f>
        <v>0</v>
      </c>
      <c r="E200" s="271">
        <f>+GETPIVOTDATA("Sum of Old-HS % of Total",'Pivot-HS Student % of Undergrad'!$A$3,"State","KY","Category",13,"Category2","Technical")</f>
        <v>0</v>
      </c>
      <c r="F200" s="260">
        <f>+'OLD Tables'!I108+'OLD Tables'!I139</f>
        <v>5150.6966666666667</v>
      </c>
      <c r="G200" s="271">
        <f>+GETPIVOTDATA("Sum of Old-HS % of Total",'Pivot-HS Student % of Undergrad'!$A$3,"State","KY","Category2","Group3")</f>
        <v>0.13124761763619033</v>
      </c>
      <c r="K200" s="222"/>
    </row>
    <row r="201" spans="1:11">
      <c r="A201" s="1" t="s">
        <v>709</v>
      </c>
      <c r="B201" s="230">
        <f>+'OLD Tables'!G109+'OLD Tables'!G140</f>
        <v>7890.55</v>
      </c>
      <c r="C201" s="271">
        <f>+GETPIVOTDATA("Sum of Old-HS % of Total",'Pivot-HS Student % of Undergrad'!$A$3,"State","LA","Category",12,"Category2","Technical")</f>
        <v>0.10058022993749907</v>
      </c>
      <c r="D201" s="260">
        <f>+'OLD Tables'!H109+'OLD Tables'!H140</f>
        <v>820.6</v>
      </c>
      <c r="E201" s="271">
        <f>+GETPIVOTDATA("Sum of Old-HS % of Total",'Pivot-HS Student % of Undergrad'!$A$3,"State","LA","Category",13,"Category2","Technical")</f>
        <v>5.8453164351287674E-2</v>
      </c>
      <c r="F201" s="260">
        <f>+'OLD Tables'!I109+'OLD Tables'!I140</f>
        <v>8711.15</v>
      </c>
      <c r="G201" s="271">
        <f>+GETPIVOTDATA("Sum of Old-HS % of Total",'Pivot-HS Student % of Undergrad'!$A$3,"State","LA","Category2","Group3")</f>
        <v>9.661181359521992E-2</v>
      </c>
      <c r="K201" s="222"/>
    </row>
    <row r="202" spans="1:11">
      <c r="A202" s="1" t="s">
        <v>710</v>
      </c>
      <c r="B202" s="230">
        <f>+'OLD Tables'!G110+'OLD Tables'!G141</f>
        <v>0</v>
      </c>
      <c r="C202" s="271">
        <f>+GETPIVOTDATA("Sum of Old-HS % of Total",'Pivot-HS Student % of Undergrad'!$A$3,"State","MD","Category",12,"Category2","Technical")</f>
        <v>0</v>
      </c>
      <c r="D202" s="260">
        <f>+'OLD Tables'!H110+'OLD Tables'!H141</f>
        <v>0</v>
      </c>
      <c r="E202" s="271">
        <f>+GETPIVOTDATA("Sum of Old-HS % of Total",'Pivot-HS Student % of Undergrad'!$A$3,"State","MD","Category",13,"Category2","Technical")</f>
        <v>0</v>
      </c>
      <c r="F202" s="260">
        <f>+'OLD Tables'!I110+'OLD Tables'!I141</f>
        <v>0</v>
      </c>
      <c r="G202" s="271">
        <f>+GETPIVOTDATA("Sum of Old-HS % of Total",'Pivot-HS Student % of Undergrad'!$A$3,"State","MD","Category2","Group3")</f>
        <v>0</v>
      </c>
      <c r="K202" s="222"/>
    </row>
    <row r="203" spans="1:11">
      <c r="B203" s="230"/>
      <c r="C203" s="271"/>
      <c r="D203" s="260"/>
      <c r="E203" s="271"/>
      <c r="F203" s="260"/>
      <c r="G203" s="271"/>
      <c r="K203" s="222"/>
    </row>
    <row r="204" spans="1:11">
      <c r="A204" s="1" t="s">
        <v>711</v>
      </c>
      <c r="B204" s="230">
        <f>+'OLD Tables'!G112+'OLD Tables'!G143</f>
        <v>0</v>
      </c>
      <c r="C204" s="271">
        <f>+GETPIVOTDATA("Sum of Old-HS % of Total",'Pivot-HS Student % of Undergrad'!$A$3,"State","MS","Category",12,"Category2","Technical")</f>
        <v>0</v>
      </c>
      <c r="D204" s="260">
        <f>+'OLD Tables'!H112+'OLD Tables'!H143</f>
        <v>0</v>
      </c>
      <c r="E204" s="271">
        <f>+GETPIVOTDATA("Sum of Old-HS % of Total",'Pivot-HS Student % of Undergrad'!$A$3,"State","MS","Category",13,"Category2","Technical")</f>
        <v>0</v>
      </c>
      <c r="F204" s="260">
        <f>+'OLD Tables'!I112+'OLD Tables'!I143</f>
        <v>0</v>
      </c>
      <c r="G204" s="271">
        <f>+GETPIVOTDATA("Sum of Old-HS % of Total",'Pivot-HS Student % of Undergrad'!$A$3,"State","MS","Category2","Group3")</f>
        <v>0</v>
      </c>
      <c r="K204" s="222"/>
    </row>
    <row r="205" spans="1:11">
      <c r="A205" s="1" t="s">
        <v>712</v>
      </c>
      <c r="B205" s="230">
        <f>+'OLD Tables'!G113+'OLD Tables'!G144</f>
        <v>0</v>
      </c>
      <c r="C205" s="271">
        <f>+GETPIVOTDATA("Sum of Old-HS % of Total",'Pivot-HS Student % of Undergrad'!$A$3,"State","NC","Category",12,"Category2","Technical")</f>
        <v>0</v>
      </c>
      <c r="D205" s="260">
        <f>+'OLD Tables'!H113+'OLD Tables'!H144</f>
        <v>0</v>
      </c>
      <c r="E205" s="271">
        <f>+GETPIVOTDATA("Sum of Old-HS % of Total",'Pivot-HS Student % of Undergrad'!$A$3,"State","NC","Category",13,"Category2","Technical")</f>
        <v>0</v>
      </c>
      <c r="F205" s="260">
        <f>+'OLD Tables'!I113+'OLD Tables'!I144</f>
        <v>0</v>
      </c>
      <c r="G205" s="271">
        <f>+GETPIVOTDATA("Sum of Old-HS % of Total",'Pivot-HS Student % of Undergrad'!$A$3,"State","NC","Category2","Group3")</f>
        <v>0</v>
      </c>
      <c r="K205" s="222"/>
    </row>
    <row r="206" spans="1:11">
      <c r="A206" s="1" t="s">
        <v>713</v>
      </c>
      <c r="B206" s="230">
        <f>+'OLD Tables'!G114+'OLD Tables'!G145</f>
        <v>3714.7210444444445</v>
      </c>
      <c r="C206" s="271">
        <f>+GETPIVOTDATA("Sum of Old-HS % of Total",'Pivot-HS Student % of Undergrad'!$A$3,"State","OK","Category",12,"Category2","Technical")</f>
        <v>0</v>
      </c>
      <c r="D206" s="260">
        <f>+'OLD Tables'!H114+'OLD Tables'!H145</f>
        <v>15335.873522222222</v>
      </c>
      <c r="E206" s="271">
        <f>+GETPIVOTDATA("Sum of Old-HS % of Total",'Pivot-HS Student % of Undergrad'!$A$3,"State","OK","Category",13,"Category2","Technical")</f>
        <v>0</v>
      </c>
      <c r="F206" s="260">
        <f>+'OLD Tables'!I114+'OLD Tables'!I145</f>
        <v>19050.594566666667</v>
      </c>
      <c r="G206" s="271">
        <f>+GETPIVOTDATA("Sum of Old-HS % of Total",'Pivot-HS Student % of Undergrad'!$A$3,"State","OK","Category2","Group3")</f>
        <v>0</v>
      </c>
      <c r="K206" s="222"/>
    </row>
    <row r="207" spans="1:11">
      <c r="A207" s="1" t="s">
        <v>714</v>
      </c>
      <c r="B207" s="230">
        <f>+'OLD Tables'!G115+'OLD Tables'!G146</f>
        <v>0</v>
      </c>
      <c r="C207" s="271">
        <f>+GETPIVOTDATA("Sum of Old-HS % of Total",'Pivot-HS Student % of Undergrad'!$A$3,"State","SC","Category",12,"Category2","Technical")</f>
        <v>0</v>
      </c>
      <c r="D207" s="260">
        <f>+'OLD Tables'!H115+'OLD Tables'!H146</f>
        <v>0</v>
      </c>
      <c r="E207" s="271">
        <f>+GETPIVOTDATA("Sum of Old-HS % of Total",'Pivot-HS Student % of Undergrad'!$A$3,"State","SC","Category",13,"Category2","Technical")</f>
        <v>0</v>
      </c>
      <c r="F207" s="260">
        <f>+'OLD Tables'!I115+'OLD Tables'!I146</f>
        <v>0</v>
      </c>
      <c r="G207" s="271">
        <f>+GETPIVOTDATA("Sum of Old-HS % of Total",'Pivot-HS Student % of Undergrad'!$A$3,"State","SC","Category2","Group3")</f>
        <v>0</v>
      </c>
      <c r="K207" s="222"/>
    </row>
    <row r="208" spans="1:11">
      <c r="B208" s="230"/>
      <c r="C208" s="271"/>
      <c r="D208" s="260"/>
      <c r="E208" s="271"/>
      <c r="F208" s="260"/>
      <c r="G208" s="271"/>
      <c r="K208" s="222"/>
    </row>
    <row r="209" spans="1:13">
      <c r="A209" s="1" t="s">
        <v>715</v>
      </c>
      <c r="B209" s="230">
        <f>+'OLD Tables'!G117+'OLD Tables'!G148</f>
        <v>0</v>
      </c>
      <c r="C209" s="271">
        <f>+GETPIVOTDATA("Sum of Old-HS % of Total",'Pivot-HS Student % of Undergrad'!$A$3,"State","TN","Category",12,"Category2","Technical")</f>
        <v>0</v>
      </c>
      <c r="D209" s="260">
        <f>+'OLD Tables'!H117+'OLD Tables'!H148</f>
        <v>12858.136666666669</v>
      </c>
      <c r="E209" s="271">
        <f>+GETPIVOTDATA("Sum of Old-HS % of Total",'Pivot-HS Student % of Undergrad'!$A$3,"State","TN","Category",13,"Category2","Technical")</f>
        <v>0</v>
      </c>
      <c r="F209" s="260">
        <f>+'OLD Tables'!I117+'OLD Tables'!I148</f>
        <v>12858.136666666669</v>
      </c>
      <c r="G209" s="271">
        <f>+GETPIVOTDATA("Sum of Old-HS % of Total",'Pivot-HS Student % of Undergrad'!$A$3,"State","TN","Category2","Group3")</f>
        <v>0</v>
      </c>
      <c r="K209" s="222"/>
    </row>
    <row r="210" spans="1:13">
      <c r="A210" s="1" t="s">
        <v>716</v>
      </c>
      <c r="B210" s="230">
        <f>+'OLD Tables'!G118+'OLD Tables'!G149</f>
        <v>0</v>
      </c>
      <c r="C210" s="271">
        <f>+GETPIVOTDATA("Sum of Old-HS % of Total",'Pivot-HS Student % of Undergrad'!$A$3,"State","TX","Category",12,"Category2","Technical")</f>
        <v>0</v>
      </c>
      <c r="D210" s="260">
        <f>+'OLD Tables'!H118+'OLD Tables'!H149</f>
        <v>0</v>
      </c>
      <c r="E210" s="271">
        <f>+GETPIVOTDATA("Sum of Old-HS % of Total",'Pivot-HS Student % of Undergrad'!$A$3,"State","TX","Category",13,"Category2","Technical")</f>
        <v>0</v>
      </c>
      <c r="F210" s="260">
        <f>+'OLD Tables'!I118+'OLD Tables'!I149</f>
        <v>0</v>
      </c>
      <c r="G210" s="271">
        <f>+GETPIVOTDATA("Sum of Old-HS % of Total",'Pivot-HS Student % of Undergrad'!$A$3,"State","TX","Category2","Group3")</f>
        <v>0</v>
      </c>
      <c r="K210" s="222"/>
    </row>
    <row r="211" spans="1:13">
      <c r="A211" s="1" t="s">
        <v>717</v>
      </c>
      <c r="B211" s="230">
        <f>+'OLD Tables'!G119+'OLD Tables'!G150</f>
        <v>0</v>
      </c>
      <c r="C211" s="271">
        <f>+GETPIVOTDATA("Sum of Old-HS % of Total",'Pivot-HS Student % of Undergrad'!$A$3,"State","VA","Category",12,"Category2","Technical")</f>
        <v>0</v>
      </c>
      <c r="D211" s="260">
        <f>+'OLD Tables'!H119+'OLD Tables'!H150</f>
        <v>0</v>
      </c>
      <c r="E211" s="271">
        <f>+GETPIVOTDATA("Sum of Old-HS % of Total",'Pivot-HS Student % of Undergrad'!$A$3,"State","VA","Category",13,"Category2","Technical")</f>
        <v>0</v>
      </c>
      <c r="F211" s="260">
        <f>+'OLD Tables'!I119+'OLD Tables'!I150</f>
        <v>0</v>
      </c>
      <c r="G211" s="271">
        <f>+GETPIVOTDATA("Sum of Old-HS % of Total",'Pivot-HS Student % of Undergrad'!$A$3,"State","VA","Category2","Group3")</f>
        <v>0</v>
      </c>
      <c r="K211" s="222"/>
    </row>
    <row r="212" spans="1:13">
      <c r="A212" s="166" t="s">
        <v>718</v>
      </c>
      <c r="B212" s="234">
        <f>+'OLD Tables'!G120+'OLD Tables'!G151</f>
        <v>0</v>
      </c>
      <c r="C212" s="279">
        <f>+GETPIVOTDATA("Sum of Old-HS % of Total",'Pivot-HS Student % of Undergrad'!$A$3,"State","WV","Category",12,"Category2","Technical")</f>
        <v>0</v>
      </c>
      <c r="D212" s="280">
        <f>+'OLD Tables'!H120+'OLD Tables'!H151</f>
        <v>0</v>
      </c>
      <c r="E212" s="279">
        <f>+GETPIVOTDATA("Sum of Old-HS % of Total",'Pivot-HS Student % of Undergrad'!$A$3,"State","WV","Category",13,"Category2","Technical")</f>
        <v>0</v>
      </c>
      <c r="F212" s="280">
        <f>+'OLD Tables'!I120+'OLD Tables'!I151</f>
        <v>0</v>
      </c>
      <c r="G212" s="279">
        <f>+GETPIVOTDATA("Sum of Old-HS % of Total",'Pivot-HS Student % of Undergrad'!$A$3,"State","WV","Category2","Group3")</f>
        <v>0</v>
      </c>
      <c r="K212" s="222"/>
    </row>
    <row r="213" spans="1:13" ht="58.5" customHeight="1">
      <c r="A213" s="607" t="s">
        <v>854</v>
      </c>
      <c r="B213" s="607"/>
      <c r="C213" s="607"/>
      <c r="D213" s="607"/>
      <c r="E213" s="607"/>
      <c r="F213" s="607"/>
      <c r="G213" s="607"/>
      <c r="H213" s="340"/>
      <c r="I213" s="340"/>
      <c r="M213" s="222"/>
    </row>
    <row r="214" spans="1:13" ht="10.5" customHeight="1">
      <c r="A214" s="221"/>
      <c r="B214" s="221"/>
      <c r="C214" s="221"/>
      <c r="D214" s="221"/>
      <c r="E214" s="221"/>
      <c r="F214" s="221"/>
      <c r="G214" s="221"/>
      <c r="H214" s="221"/>
      <c r="I214" s="192" t="s">
        <v>879</v>
      </c>
      <c r="M214" s="222"/>
    </row>
    <row r="215" spans="1:13" ht="18">
      <c r="A215" s="341" t="s">
        <v>800</v>
      </c>
      <c r="B215" s="117"/>
      <c r="C215" s="117"/>
      <c r="D215" s="117"/>
      <c r="E215" s="118"/>
      <c r="F215" s="119"/>
      <c r="G215" s="119"/>
      <c r="H215" s="119"/>
    </row>
    <row r="216" spans="1:13" ht="9.75" customHeight="1">
      <c r="A216" s="120"/>
      <c r="B216" s="120"/>
      <c r="C216" s="120"/>
      <c r="D216" s="120"/>
      <c r="E216" s="118"/>
      <c r="F216" s="119"/>
      <c r="G216" s="119"/>
      <c r="H216" s="119"/>
    </row>
    <row r="217" spans="1:13" ht="15.5">
      <c r="A217" s="122" t="s">
        <v>722</v>
      </c>
      <c r="B217" s="122"/>
      <c r="C217" s="122"/>
      <c r="D217" s="122"/>
      <c r="E217" s="118"/>
      <c r="F217" s="119"/>
      <c r="G217" s="119"/>
      <c r="H217" s="119"/>
    </row>
    <row r="218" spans="1:13" ht="15.5">
      <c r="A218" s="122" t="s">
        <v>758</v>
      </c>
      <c r="B218" s="122"/>
      <c r="C218" s="122"/>
      <c r="D218" s="122"/>
      <c r="E218" s="118"/>
      <c r="F218" s="119"/>
      <c r="G218" s="119"/>
      <c r="H218" s="119"/>
    </row>
    <row r="219" spans="1:13" ht="15.5">
      <c r="A219" s="122" t="s">
        <v>877</v>
      </c>
      <c r="B219" s="122"/>
      <c r="C219" s="122"/>
      <c r="D219" s="122"/>
      <c r="E219" s="118"/>
      <c r="F219" s="119"/>
      <c r="G219" s="119"/>
      <c r="H219" s="119"/>
    </row>
    <row r="220" spans="1:13" ht="13.5" customHeight="1"/>
    <row r="221" spans="1:13" ht="63" customHeight="1">
      <c r="A221" s="313"/>
      <c r="B221" s="314" t="s">
        <v>675</v>
      </c>
      <c r="C221" s="134"/>
      <c r="D221" s="314" t="s">
        <v>727</v>
      </c>
      <c r="E221" s="132" t="s">
        <v>729</v>
      </c>
      <c r="F221" s="132" t="s">
        <v>728</v>
      </c>
      <c r="G221" s="315" t="s">
        <v>729</v>
      </c>
      <c r="H221" s="139" t="s">
        <v>5</v>
      </c>
      <c r="I221" s="316"/>
    </row>
    <row r="222" spans="1:13" ht="15" customHeight="1">
      <c r="A222" s="1" t="s">
        <v>695</v>
      </c>
      <c r="B222" s="145">
        <f>+GETPIVOTDATA("Sum of Old Grand Total FTE",'FTE Pivot for regular counts'!$A$2,"Category2","Four-Year")</f>
        <v>2157832.0085</v>
      </c>
      <c r="D222" s="159">
        <f>+GETPIVOTDATA("Sum of Old Grand Total FTE",'FTE Pivot for regular counts'!$A$2,"Category2","Two-Year")</f>
        <v>1474349.4577777779</v>
      </c>
      <c r="F222" s="321">
        <f>+GETPIVOTDATA("Sum of Old Grand Total FTE",'FTE Pivot for regular counts'!$A$2,"Category2","Technical")</f>
        <v>116713.54456666668</v>
      </c>
      <c r="G222" s="322"/>
      <c r="H222" s="230">
        <f>+F222+D222+B222</f>
        <v>3748895.0108444449</v>
      </c>
    </row>
    <row r="223" spans="1:13" ht="13.5" customHeight="1">
      <c r="B223" s="159"/>
      <c r="D223" s="159"/>
      <c r="F223" s="321"/>
      <c r="G223" s="322"/>
      <c r="H223" s="230"/>
    </row>
    <row r="224" spans="1:13" ht="15" customHeight="1">
      <c r="A224" s="1" t="s">
        <v>703</v>
      </c>
      <c r="B224" s="159">
        <f>+GETPIVOTDATA("Sum of Old Grand Total FTE",'FTE Pivot for regular counts'!$A$2,"State","AL","Category2","Four-Year")</f>
        <v>143682.71666666665</v>
      </c>
      <c r="D224" s="159">
        <f>+GETPIVOTDATA("Sum of Old Grand Total FTE",'FTE Pivot for regular counts'!$A$2,"State","AL","Category2","Two-Year")</f>
        <v>55877.9</v>
      </c>
      <c r="F224" s="321">
        <f>+GETPIVOTDATA("Sum of Old Grand Total FTE",'FTE Pivot for regular counts'!$A$2,"State","AL","Category2","Technical")</f>
        <v>2981.7333333333336</v>
      </c>
      <c r="G224" s="322"/>
      <c r="H224" s="230">
        <f t="shared" ref="H224:H239" si="0">+F224+D224+B224</f>
        <v>202542.34999999998</v>
      </c>
    </row>
    <row r="225" spans="1:13" ht="15" customHeight="1">
      <c r="A225" s="1" t="s">
        <v>704</v>
      </c>
      <c r="B225" s="159">
        <f>+GETPIVOTDATA("Sum of Old Grand Total FTE",'FTE Pivot for regular counts'!$A$2,"State","AR","Category2","Four-Year")</f>
        <v>81346.833333333343</v>
      </c>
      <c r="D225" s="159">
        <f>+GETPIVOTDATA("Sum of Old Grand Total FTE",'FTE Pivot for regular counts'!$A$2,"State","AR","Category2","Two-Year")</f>
        <v>30953.76666666667</v>
      </c>
      <c r="F225" s="321">
        <f>+GETPIVOTDATA("Sum of Old Grand Total FTE",'FTE Pivot for regular counts'!$A$2,"State","AR","Category2","Technical")</f>
        <v>0</v>
      </c>
      <c r="G225" s="322"/>
      <c r="H225" s="230">
        <f t="shared" si="0"/>
        <v>112300.6</v>
      </c>
    </row>
    <row r="226" spans="1:13" ht="15" customHeight="1">
      <c r="A226" s="1" t="s">
        <v>705</v>
      </c>
      <c r="B226" s="159">
        <f>+GETPIVOTDATA("Sum of Old Grand Total FTE",'FTE Pivot for regular counts'!$A$2,"State","DE","Category2","Four-Year")</f>
        <v>27711.35833333333</v>
      </c>
      <c r="D226" s="159">
        <f>+GETPIVOTDATA("Sum of Old Grand Total FTE",'FTE Pivot for regular counts'!$A$2,"State","DE","Category2","Two-Year")</f>
        <v>8659.5666666666675</v>
      </c>
      <c r="F226" s="321">
        <f>+GETPIVOTDATA("Sum of Old Grand Total FTE",'FTE Pivot for regular counts'!$A$2,"State","DE","Category2","Technical")</f>
        <v>0</v>
      </c>
      <c r="G226" s="322"/>
      <c r="H226" s="230">
        <f t="shared" si="0"/>
        <v>36370.924999999996</v>
      </c>
    </row>
    <row r="227" spans="1:13" ht="15" customHeight="1">
      <c r="A227" s="1" t="s">
        <v>706</v>
      </c>
      <c r="B227" s="159">
        <f>+GETPIVOTDATA("Sum of Old Grand Total FTE",'FTE Pivot for regular counts'!$A$2,"State","FL","Category2","Four-Year")</f>
        <v>0</v>
      </c>
      <c r="D227" s="159">
        <f>+GETPIVOTDATA("Sum of Old Grand Total FTE",'FTE Pivot for regular counts'!$A$2,"State","FL","Category2","Two-Year")</f>
        <v>320467.47888888896</v>
      </c>
      <c r="F227" s="321">
        <f>+GETPIVOTDATA("Sum of Old Grand Total FTE",'FTE Pivot for regular counts'!$A$2,"State","FL","Category2","Technical")</f>
        <v>0</v>
      </c>
      <c r="G227" s="322"/>
      <c r="H227" s="230">
        <f t="shared" si="0"/>
        <v>320467.47888888896</v>
      </c>
    </row>
    <row r="228" spans="1:13" ht="15" customHeight="1">
      <c r="A228" s="1" t="s">
        <v>707</v>
      </c>
      <c r="B228" s="159">
        <f>+GETPIVOTDATA("Sum of Old Grand Total FTE",'FTE Pivot for regular counts'!$A$2,"State","GA","Category2","Four-Year")</f>
        <v>282872.40100000001</v>
      </c>
      <c r="D228" s="159">
        <f>+GETPIVOTDATA("Sum of Old Grand Total FTE",'FTE Pivot for regular counts'!$A$2,"State","GA","Category2","Two-Year")</f>
        <v>10092.666666666666</v>
      </c>
      <c r="F228" s="321">
        <f>+GETPIVOTDATA("Sum of Old Grand Total FTE",'FTE Pivot for regular counts'!$A$2,"State","GA","Category2","Technical")</f>
        <v>67961.233333333337</v>
      </c>
      <c r="G228" s="322"/>
      <c r="H228" s="230">
        <f t="shared" si="0"/>
        <v>360926.30100000004</v>
      </c>
    </row>
    <row r="229" spans="1:13" ht="15" customHeight="1">
      <c r="A229" s="1" t="s">
        <v>708</v>
      </c>
      <c r="B229" s="159">
        <f>+GETPIVOTDATA("Sum of Old Grand Total FTE",'FTE Pivot for regular counts'!$A$2,"State","KY","Category2","Four-Year")</f>
        <v>90757.89999999998</v>
      </c>
      <c r="D229" s="159">
        <f>+GETPIVOTDATA("Sum of Old Grand Total FTE",'FTE Pivot for regular counts'!$A$2,"State","KY","Category2","Two-Year")</f>
        <v>39175.613333333335</v>
      </c>
      <c r="F229" s="321">
        <f>+GETPIVOTDATA("Sum of Old Grand Total FTE",'FTE Pivot for regular counts'!$A$2,"State","KY","Category2","Technical")</f>
        <v>5150.6966666666667</v>
      </c>
      <c r="G229" s="322"/>
      <c r="H229" s="230">
        <f t="shared" si="0"/>
        <v>135084.20999999996</v>
      </c>
    </row>
    <row r="230" spans="1:13" ht="15" customHeight="1">
      <c r="A230" s="1" t="s">
        <v>709</v>
      </c>
      <c r="B230" s="159">
        <f>+GETPIVOTDATA("Sum of Old Grand Total FTE",'FTE Pivot for regular counts'!$A$2,"State","LA","Category2","Four-Year")</f>
        <v>121465.32916666666</v>
      </c>
      <c r="D230" s="159">
        <f>+GETPIVOTDATA("Sum of Old Grand Total FTE",'FTE Pivot for regular counts'!$A$2,"State","LA","Category2","Two-Year")</f>
        <v>34753.283333333333</v>
      </c>
      <c r="F230" s="321">
        <f>+GETPIVOTDATA("Sum of Old Grand Total FTE",'FTE Pivot for regular counts'!$A$2,"State","LA","Category2","Technical")</f>
        <v>8711.15</v>
      </c>
      <c r="G230" s="322"/>
      <c r="H230" s="230">
        <f t="shared" si="0"/>
        <v>164929.76250000001</v>
      </c>
    </row>
    <row r="231" spans="1:13" ht="15" customHeight="1">
      <c r="A231" s="1" t="s">
        <v>710</v>
      </c>
      <c r="B231" s="159">
        <f>+GETPIVOTDATA("Sum of Old Grand Total FTE",'FTE Pivot for regular counts'!$A$2,"State","MD","Category2","Four-Year")</f>
        <v>103004.30833333333</v>
      </c>
      <c r="D231" s="159">
        <f>+GETPIVOTDATA("Sum of Old Grand Total FTE",'FTE Pivot for regular counts'!$A$2,"State","MD","Category2","Two-Year")</f>
        <v>83680.583333333328</v>
      </c>
      <c r="F231" s="321">
        <f>+GETPIVOTDATA("Sum of Old Grand Total FTE",'FTE Pivot for regular counts'!$A$2,"State","MD","Category2","Technical")</f>
        <v>0</v>
      </c>
      <c r="G231" s="322"/>
      <c r="H231" s="230">
        <f t="shared" si="0"/>
        <v>186684.89166666666</v>
      </c>
    </row>
    <row r="232" spans="1:13" ht="12" customHeight="1">
      <c r="A232" s="1" t="s">
        <v>711</v>
      </c>
      <c r="B232" s="159">
        <f>+GETPIVOTDATA("Sum of Old Grand Total FTE",'FTE Pivot for regular counts'!$A$2,"State","MS","Category2","Four-Year")</f>
        <v>70794.144166666665</v>
      </c>
      <c r="D232" s="159">
        <f>+GETPIVOTDATA("Sum of Old Grand Total FTE",'FTE Pivot for regular counts'!$A$2,"State","MS","Category2","Two-Year")</f>
        <v>0</v>
      </c>
      <c r="F232" s="321">
        <f>+GETPIVOTDATA("Sum of Old Grand Total FTE",'FTE Pivot for regular counts'!$A$2,"State","MS","Category2","Technical")</f>
        <v>0</v>
      </c>
      <c r="G232" s="322"/>
      <c r="H232" s="230">
        <f t="shared" si="0"/>
        <v>70794.144166666665</v>
      </c>
    </row>
    <row r="233" spans="1:13" ht="15" customHeight="1">
      <c r="A233" s="1" t="s">
        <v>712</v>
      </c>
      <c r="B233" s="159">
        <f>+GETPIVOTDATA("Sum of Old Grand Total FTE",'FTE Pivot for regular counts'!$A$2,"State","NC","Category2","Four-Year")</f>
        <v>213723.40416666665</v>
      </c>
      <c r="D233" s="159">
        <f>+GETPIVOTDATA("Sum of Old Grand Total FTE",'FTE Pivot for regular counts'!$A$2,"State","NC","Category2","Two-Year")</f>
        <v>182868.4133333333</v>
      </c>
      <c r="F233" s="321">
        <f>+GETPIVOTDATA("Sum of Old Grand Total FTE",'FTE Pivot for regular counts'!$A$2,"State","NC","Category2","Technical")</f>
        <v>0</v>
      </c>
      <c r="G233" s="322"/>
      <c r="H233" s="230">
        <f t="shared" si="0"/>
        <v>396591.81749999995</v>
      </c>
    </row>
    <row r="234" spans="1:13" ht="15" customHeight="1">
      <c r="A234" s="1" t="s">
        <v>713</v>
      </c>
      <c r="B234" s="159">
        <f>+GETPIVOTDATA("Sum of Old Grand Total FTE",'FTE Pivot for regular counts'!$A$2,"State","OK","Category2","Four-Year")</f>
        <v>0</v>
      </c>
      <c r="D234" s="159">
        <f>+GETPIVOTDATA("Sum of Old Grand Total FTE",'FTE Pivot for regular counts'!$A$2,"State","OK","Category2","Two-Year")</f>
        <v>0</v>
      </c>
      <c r="F234" s="321">
        <f>+GETPIVOTDATA("Sum of Old Grand Total FTE",'FTE Pivot for regular counts'!$A$2,"State","OK","Category2","Technical")</f>
        <v>19050.594566666667</v>
      </c>
      <c r="G234" s="322"/>
      <c r="H234" s="230">
        <f t="shared" si="0"/>
        <v>19050.594566666667</v>
      </c>
    </row>
    <row r="235" spans="1:13" ht="15" customHeight="1">
      <c r="A235" s="1" t="s">
        <v>714</v>
      </c>
      <c r="B235" s="159">
        <f>+GETPIVOTDATA("Sum of Old Grand Total FTE",'FTE Pivot for regular counts'!$A$2,"State","SC","Category2","Four-Year")</f>
        <v>108114.95</v>
      </c>
      <c r="D235" s="159">
        <f>+GETPIVOTDATA("Sum of Old Grand Total FTE",'FTE Pivot for regular counts'!$A$2,"State","SC","Category2","Two-Year")</f>
        <v>57626.733333333337</v>
      </c>
      <c r="F235" s="321">
        <f>+GETPIVOTDATA("Sum of Old Grand Total FTE",'FTE Pivot for regular counts'!$A$2,"State","SC","Category2","Technical")</f>
        <v>0</v>
      </c>
      <c r="G235" s="322"/>
      <c r="H235" s="230">
        <f t="shared" si="0"/>
        <v>165741.68333333335</v>
      </c>
    </row>
    <row r="236" spans="1:13" ht="15" customHeight="1">
      <c r="A236" s="1" t="s">
        <v>715</v>
      </c>
      <c r="B236" s="159">
        <f>+GETPIVOTDATA("Sum of Old Grand Total FTE",'FTE Pivot for regular counts'!$A$2,"State","TN","Category2","Four-Year")</f>
        <v>115355.78333333333</v>
      </c>
      <c r="D236" s="159">
        <f>+GETPIVOTDATA("Sum of Old Grand Total FTE",'FTE Pivot for regular counts'!$A$2,"State","TN","Category2","Two-Year")</f>
        <v>58630.900000000009</v>
      </c>
      <c r="F236" s="321">
        <f>+GETPIVOTDATA("Sum of Old Grand Total FTE",'FTE Pivot for regular counts'!$A$2,"State","TN","Category2","Technical")</f>
        <v>12858.136666666669</v>
      </c>
      <c r="G236" s="322"/>
      <c r="H236" s="230">
        <f t="shared" si="0"/>
        <v>186844.82</v>
      </c>
    </row>
    <row r="237" spans="1:13" ht="15" customHeight="1">
      <c r="A237" s="1" t="s">
        <v>716</v>
      </c>
      <c r="B237" s="159">
        <f>+GETPIVOTDATA("Sum of Old Grand Total FTE",'FTE Pivot for regular counts'!$A$2,"State","TX","Category2","Four-Year")</f>
        <v>545999.55000000005</v>
      </c>
      <c r="D237" s="159">
        <f>+GETPIVOTDATA("Sum of Old Grand Total FTE",'FTE Pivot for regular counts'!$A$2,"State","TX","Category2","Two-Year")</f>
        <v>480475.34222222224</v>
      </c>
      <c r="F237" s="321">
        <f>+GETPIVOTDATA("Sum of Old Grand Total FTE",'FTE Pivot for regular counts'!$A$2,"State","TX","Category2","Technical")</f>
        <v>0</v>
      </c>
      <c r="G237" s="322"/>
      <c r="H237" s="230">
        <f t="shared" si="0"/>
        <v>1026474.8922222223</v>
      </c>
    </row>
    <row r="238" spans="1:13" ht="15" customHeight="1">
      <c r="A238" s="1" t="s">
        <v>717</v>
      </c>
      <c r="B238" s="159">
        <f>+GETPIVOTDATA("Sum of Old Grand Total FTE",'FTE Pivot for regular counts'!$A$2,"State","VA","Category2","Four-Year")</f>
        <v>201616.46333333332</v>
      </c>
      <c r="D238" s="159">
        <f>+GETPIVOTDATA("Sum of Old Grand Total FTE",'FTE Pivot for regular counts'!$A$2,"State","VA","Category2","Two-Year")</f>
        <v>98927.833333333328</v>
      </c>
      <c r="F238" s="321">
        <f>+GETPIVOTDATA("Sum of Old Grand Total FTE",'FTE Pivot for regular counts'!$A$2,"State","VA","Category2","Technical")</f>
        <v>0</v>
      </c>
      <c r="G238" s="322"/>
      <c r="H238" s="230">
        <f t="shared" si="0"/>
        <v>300544.29666666663</v>
      </c>
    </row>
    <row r="239" spans="1:13" ht="15" customHeight="1">
      <c r="A239" s="166" t="s">
        <v>718</v>
      </c>
      <c r="B239" s="167">
        <f>+GETPIVOTDATA("Sum of Old Grand Total FTE",'FTE Pivot for regular counts'!$A$2,"State","WV","Category2","Four-Year")</f>
        <v>51386.866666666669</v>
      </c>
      <c r="C239" s="166"/>
      <c r="D239" s="167">
        <f>+GETPIVOTDATA("Sum of Old Grand Total FTE",'FTE Pivot for regular counts'!$A$2,"State","WV","Category2","Two-Year")</f>
        <v>12159.376666666667</v>
      </c>
      <c r="E239" s="166"/>
      <c r="F239" s="329">
        <f>+GETPIVOTDATA("Sum of Old Grand Total FTE",'FTE Pivot for regular counts'!$A$2,"State","WV","Category2","Technical")</f>
        <v>0</v>
      </c>
      <c r="G239" s="330"/>
      <c r="H239" s="230">
        <f t="shared" si="0"/>
        <v>63546.243333333332</v>
      </c>
    </row>
    <row r="240" spans="1:13" ht="20.25" customHeight="1">
      <c r="A240" s="72"/>
      <c r="B240" s="337"/>
      <c r="C240" s="337"/>
      <c r="D240" s="337"/>
      <c r="E240" s="337"/>
      <c r="F240" s="337"/>
      <c r="G240" s="337"/>
      <c r="H240" s="337"/>
      <c r="I240" s="159"/>
      <c r="J240" s="159"/>
      <c r="K240" s="159"/>
      <c r="L240" s="159"/>
      <c r="M240" s="159"/>
    </row>
    <row r="241" spans="1:8" ht="71.25" customHeight="1">
      <c r="A241" s="607" t="s">
        <v>854</v>
      </c>
      <c r="B241" s="614"/>
      <c r="C241" s="614"/>
      <c r="D241" s="614"/>
      <c r="E241" s="614"/>
      <c r="F241" s="614"/>
      <c r="G241" s="614"/>
      <c r="H241" s="614"/>
    </row>
    <row r="242" spans="1:8">
      <c r="H242" s="192"/>
    </row>
  </sheetData>
  <mergeCells count="17">
    <mergeCell ref="A95:J95"/>
    <mergeCell ref="B6:G6"/>
    <mergeCell ref="A30:O30"/>
    <mergeCell ref="A60:H60"/>
    <mergeCell ref="A91:H91"/>
    <mergeCell ref="A93:J93"/>
    <mergeCell ref="A182:K182"/>
    <mergeCell ref="A213:G213"/>
    <mergeCell ref="A241:H241"/>
    <mergeCell ref="A96:J96"/>
    <mergeCell ref="A121:I121"/>
    <mergeCell ref="A124:J124"/>
    <mergeCell ref="A126:J126"/>
    <mergeCell ref="A127:J127"/>
    <mergeCell ref="A152:I152"/>
    <mergeCell ref="A122:I122"/>
    <mergeCell ref="A183:I18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3" max="14" man="1"/>
    <brk id="153" max="14" man="1"/>
    <brk id="184"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8000"/>
  </sheetPr>
  <dimension ref="A1:AK209"/>
  <sheetViews>
    <sheetView zoomScale="75" workbookViewId="0">
      <pane xSplit="2" ySplit="4" topLeftCell="C119" activePane="bottomRight" state="frozen"/>
      <selection pane="topRight" activeCell="C1" sqref="C1"/>
      <selection pane="bottomLeft" activeCell="A5" sqref="A5"/>
      <selection pane="bottomRight" activeCell="O170" sqref="O170"/>
    </sheetView>
  </sheetViews>
  <sheetFormatPr defaultColWidth="9.33203125" defaultRowHeight="12.5"/>
  <cols>
    <col min="1" max="1" width="38.33203125" style="1" bestFit="1" customWidth="1"/>
    <col min="2" max="2" width="33.77734375" style="1" bestFit="1" customWidth="1"/>
    <col min="3" max="3" width="17.44140625" style="1" bestFit="1" customWidth="1"/>
    <col min="4" max="6" width="7.6640625" style="1" bestFit="1" customWidth="1"/>
    <col min="7" max="8" width="6.6640625" style="1" bestFit="1" customWidth="1"/>
    <col min="9" max="9" width="13.5546875" style="1" bestFit="1" customWidth="1"/>
    <col min="10" max="10" width="10.33203125" style="1" bestFit="1" customWidth="1"/>
    <col min="11" max="13" width="7.6640625" style="1" bestFit="1" customWidth="1"/>
    <col min="14" max="14" width="13.109375" style="1" bestFit="1" customWidth="1"/>
    <col min="15" max="16" width="7.6640625" style="1" bestFit="1" customWidth="1"/>
    <col min="17" max="17" width="10.33203125" style="1" bestFit="1" customWidth="1"/>
    <col min="18" max="18" width="6.6640625" style="1" bestFit="1" customWidth="1"/>
    <col min="19" max="19" width="13.33203125" style="1" bestFit="1" customWidth="1"/>
    <col min="20" max="20" width="7.6640625" style="1" bestFit="1" customWidth="1"/>
    <col min="21" max="21" width="8.5546875" style="1" bestFit="1" customWidth="1"/>
    <col min="22" max="22" width="6.6640625" style="1" bestFit="1" customWidth="1"/>
    <col min="23" max="23" width="8.5546875" style="1" bestFit="1" customWidth="1"/>
    <col min="24" max="24" width="6.6640625" style="1" bestFit="1" customWidth="1"/>
    <col min="25" max="25" width="8.5546875" style="1" bestFit="1" customWidth="1"/>
    <col min="26" max="26" width="8.21875" style="1" bestFit="1" customWidth="1"/>
    <col min="27" max="27" width="11.109375" style="1" bestFit="1" customWidth="1"/>
    <col min="28" max="28" width="5.5546875" style="1" bestFit="1" customWidth="1"/>
    <col min="29" max="29" width="7.5546875" style="1" bestFit="1" customWidth="1"/>
    <col min="30" max="30" width="10.44140625" style="1" bestFit="1" customWidth="1"/>
    <col min="31" max="31" width="14.44140625" style="1" customWidth="1"/>
    <col min="32" max="32" width="13.6640625" style="1" customWidth="1"/>
    <col min="33" max="33" width="12.6640625" style="1" customWidth="1"/>
    <col min="34" max="34" width="16" style="1" customWidth="1"/>
    <col min="35" max="35" width="14.109375" style="1" bestFit="1" customWidth="1"/>
    <col min="36" max="36" width="8.77734375" style="1" bestFit="1" customWidth="1"/>
    <col min="37" max="37" width="9.6640625" style="1" bestFit="1" customWidth="1"/>
    <col min="38" max="16384" width="9.33203125" style="1"/>
  </cols>
  <sheetData>
    <row r="1" spans="1:31">
      <c r="M1" s="7"/>
      <c r="T1" s="8"/>
      <c r="U1" s="8"/>
      <c r="V1" s="8"/>
      <c r="W1" s="8"/>
      <c r="X1" s="8"/>
      <c r="Y1" s="8"/>
      <c r="Z1" s="8"/>
      <c r="AA1" s="8"/>
    </row>
    <row r="2" spans="1:31">
      <c r="A2" s="520"/>
      <c r="B2" s="521"/>
      <c r="C2" s="522" t="s">
        <v>653</v>
      </c>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3"/>
      <c r="AE2"/>
    </row>
    <row r="3" spans="1:31">
      <c r="A3" s="524"/>
      <c r="B3" s="525"/>
      <c r="C3" s="520" t="s">
        <v>675</v>
      </c>
      <c r="D3" s="521"/>
      <c r="E3" s="521"/>
      <c r="F3" s="521"/>
      <c r="G3" s="521"/>
      <c r="H3" s="521"/>
      <c r="I3" s="520" t="s">
        <v>674</v>
      </c>
      <c r="J3" s="520" t="s">
        <v>676</v>
      </c>
      <c r="K3" s="521"/>
      <c r="L3" s="521"/>
      <c r="M3" s="521"/>
      <c r="N3" s="520" t="s">
        <v>677</v>
      </c>
      <c r="O3" s="520">
        <v>11</v>
      </c>
      <c r="P3" s="520" t="s">
        <v>773</v>
      </c>
      <c r="Q3" s="520" t="s">
        <v>678</v>
      </c>
      <c r="R3" s="521"/>
      <c r="S3" s="520" t="s">
        <v>679</v>
      </c>
      <c r="T3" s="520" t="s">
        <v>616</v>
      </c>
      <c r="U3" s="520" t="s">
        <v>648</v>
      </c>
      <c r="V3" s="520" t="s">
        <v>617</v>
      </c>
      <c r="W3" s="520" t="s">
        <v>649</v>
      </c>
      <c r="X3" s="520" t="s">
        <v>618</v>
      </c>
      <c r="Y3" s="520" t="s">
        <v>650</v>
      </c>
      <c r="Z3" s="520" t="s">
        <v>937</v>
      </c>
      <c r="AA3" s="520" t="s">
        <v>938</v>
      </c>
      <c r="AB3" s="520">
        <v>15</v>
      </c>
      <c r="AC3" s="520" t="s">
        <v>829</v>
      </c>
      <c r="AD3" s="526" t="s">
        <v>5</v>
      </c>
      <c r="AE3"/>
    </row>
    <row r="4" spans="1:31">
      <c r="A4" s="522" t="s">
        <v>645</v>
      </c>
      <c r="B4" s="530" t="s">
        <v>680</v>
      </c>
      <c r="C4" s="520">
        <v>1</v>
      </c>
      <c r="D4" s="527">
        <v>2</v>
      </c>
      <c r="E4" s="527">
        <v>3</v>
      </c>
      <c r="F4" s="527">
        <v>4</v>
      </c>
      <c r="G4" s="527">
        <v>5</v>
      </c>
      <c r="H4" s="527">
        <v>6</v>
      </c>
      <c r="I4" s="524"/>
      <c r="J4" s="520">
        <v>7</v>
      </c>
      <c r="K4" s="527">
        <v>8</v>
      </c>
      <c r="L4" s="527">
        <v>9</v>
      </c>
      <c r="M4" s="527">
        <v>10</v>
      </c>
      <c r="N4" s="524"/>
      <c r="O4" s="520">
        <v>11</v>
      </c>
      <c r="P4" s="524"/>
      <c r="Q4" s="520">
        <v>12</v>
      </c>
      <c r="R4" s="527">
        <v>13</v>
      </c>
      <c r="S4" s="524"/>
      <c r="T4" s="520" t="s">
        <v>616</v>
      </c>
      <c r="U4" s="524"/>
      <c r="V4" s="520" t="s">
        <v>617</v>
      </c>
      <c r="W4" s="524"/>
      <c r="X4" s="520" t="s">
        <v>618</v>
      </c>
      <c r="Y4" s="524"/>
      <c r="Z4" s="520" t="s">
        <v>937</v>
      </c>
      <c r="AA4" s="524"/>
      <c r="AB4" s="520">
        <v>15</v>
      </c>
      <c r="AC4" s="524"/>
      <c r="AD4" s="528"/>
      <c r="AE4"/>
    </row>
    <row r="5" spans="1:31">
      <c r="A5" s="531" t="s">
        <v>72</v>
      </c>
      <c r="B5" s="532" t="s">
        <v>646</v>
      </c>
      <c r="C5" s="619">
        <v>65781.366666666669</v>
      </c>
      <c r="D5" s="620">
        <v>15493.333333333334</v>
      </c>
      <c r="E5" s="620">
        <v>31040.366666666665</v>
      </c>
      <c r="F5" s="620">
        <v>5857.7999999999993</v>
      </c>
      <c r="G5" s="620">
        <v>2064.5</v>
      </c>
      <c r="H5" s="620">
        <v>2136.4333333333334</v>
      </c>
      <c r="I5" s="619">
        <v>122373.8</v>
      </c>
      <c r="J5" s="619"/>
      <c r="K5" s="620">
        <v>17667.7</v>
      </c>
      <c r="L5" s="620">
        <v>27799.73333333333</v>
      </c>
      <c r="M5" s="620">
        <v>10410.466666666667</v>
      </c>
      <c r="N5" s="619">
        <v>55877.9</v>
      </c>
      <c r="O5" s="619"/>
      <c r="P5" s="619"/>
      <c r="Q5" s="619">
        <v>1477.9</v>
      </c>
      <c r="R5" s="620">
        <v>1503.8333333333333</v>
      </c>
      <c r="S5" s="619">
        <v>2981.7333333333336</v>
      </c>
      <c r="T5" s="619"/>
      <c r="U5" s="619"/>
      <c r="V5" s="619"/>
      <c r="W5" s="619"/>
      <c r="X5" s="619"/>
      <c r="Y5" s="619"/>
      <c r="Z5" s="619"/>
      <c r="AA5" s="619"/>
      <c r="AB5" s="619">
        <v>428.46666666666664</v>
      </c>
      <c r="AC5" s="619">
        <v>428.46666666666664</v>
      </c>
      <c r="AD5" s="621">
        <v>181661.90000000002</v>
      </c>
      <c r="AE5"/>
    </row>
    <row r="6" spans="1:31">
      <c r="A6" s="524"/>
      <c r="B6" s="533" t="s">
        <v>647</v>
      </c>
      <c r="C6" s="622">
        <v>64980.2</v>
      </c>
      <c r="D6" s="623">
        <v>15057.833333333334</v>
      </c>
      <c r="E6" s="623">
        <v>31500.999999999996</v>
      </c>
      <c r="F6" s="623">
        <v>5781.6666666666661</v>
      </c>
      <c r="G6" s="623">
        <v>2075.2666666666669</v>
      </c>
      <c r="H6" s="623">
        <v>2168.3000000000002</v>
      </c>
      <c r="I6" s="622">
        <v>121564.26666666666</v>
      </c>
      <c r="J6" s="622"/>
      <c r="K6" s="623">
        <v>16464.533333333333</v>
      </c>
      <c r="L6" s="623">
        <v>25167.600000000002</v>
      </c>
      <c r="M6" s="623">
        <v>9671.4333333333343</v>
      </c>
      <c r="N6" s="622">
        <v>51303.566666666666</v>
      </c>
      <c r="O6" s="622"/>
      <c r="P6" s="622"/>
      <c r="Q6" s="622">
        <v>1357.8666666666666</v>
      </c>
      <c r="R6" s="623">
        <v>1239.2666666666667</v>
      </c>
      <c r="S6" s="622">
        <v>2597.1333333333332</v>
      </c>
      <c r="T6" s="622"/>
      <c r="U6" s="622"/>
      <c r="V6" s="622"/>
      <c r="W6" s="622"/>
      <c r="X6" s="622"/>
      <c r="Y6" s="622"/>
      <c r="Z6" s="622"/>
      <c r="AA6" s="622"/>
      <c r="AB6" s="622">
        <v>423.6</v>
      </c>
      <c r="AC6" s="622">
        <v>423.6</v>
      </c>
      <c r="AD6" s="624">
        <v>175888.56666666665</v>
      </c>
      <c r="AE6"/>
    </row>
    <row r="7" spans="1:31">
      <c r="A7" s="524"/>
      <c r="B7" s="533" t="s">
        <v>666</v>
      </c>
      <c r="C7" s="622">
        <v>-1.2179234139759002E-2</v>
      </c>
      <c r="D7" s="623">
        <v>-2.8108864027538726E-2</v>
      </c>
      <c r="E7" s="623">
        <v>1.4839816110419596E-2</v>
      </c>
      <c r="F7" s="623">
        <v>-1.2996915793187411E-2</v>
      </c>
      <c r="G7" s="623">
        <v>5.2151449099863785E-3</v>
      </c>
      <c r="H7" s="623">
        <v>1.4915825441155876E-2</v>
      </c>
      <c r="I7" s="622">
        <v>-6.6152504321460521E-3</v>
      </c>
      <c r="J7" s="622">
        <v>0</v>
      </c>
      <c r="K7" s="623">
        <v>-6.8099790389618789E-2</v>
      </c>
      <c r="L7" s="623">
        <v>-9.4681963376147302E-2</v>
      </c>
      <c r="M7" s="623">
        <v>-7.0989452922379348E-2</v>
      </c>
      <c r="N7" s="622">
        <v>-8.1863014417745517E-2</v>
      </c>
      <c r="O7" s="622">
        <v>0</v>
      </c>
      <c r="P7" s="622">
        <v>0</v>
      </c>
      <c r="Q7" s="622">
        <v>-8.121884656156271E-2</v>
      </c>
      <c r="R7" s="623">
        <v>-0.17592818353097636</v>
      </c>
      <c r="S7" s="622">
        <v>-0.12898537763269685</v>
      </c>
      <c r="T7" s="622">
        <v>0</v>
      </c>
      <c r="U7" s="622">
        <v>0</v>
      </c>
      <c r="V7" s="622">
        <v>0</v>
      </c>
      <c r="W7" s="622">
        <v>0</v>
      </c>
      <c r="X7" s="622">
        <v>0</v>
      </c>
      <c r="Y7" s="622">
        <v>0</v>
      </c>
      <c r="Z7" s="622">
        <v>0</v>
      </c>
      <c r="AA7" s="622">
        <v>0</v>
      </c>
      <c r="AB7" s="622">
        <v>-1.1358332036719973E-2</v>
      </c>
      <c r="AC7" s="622">
        <v>-1.1358332036719973E-2</v>
      </c>
      <c r="AD7" s="624">
        <v>-3.178065039137682E-2</v>
      </c>
      <c r="AE7"/>
    </row>
    <row r="8" spans="1:31">
      <c r="A8" s="524"/>
      <c r="B8" s="533" t="s">
        <v>654</v>
      </c>
      <c r="C8" s="622">
        <v>0</v>
      </c>
      <c r="D8" s="623">
        <v>0</v>
      </c>
      <c r="E8" s="623">
        <v>0</v>
      </c>
      <c r="F8" s="623">
        <v>0</v>
      </c>
      <c r="G8" s="623">
        <v>0</v>
      </c>
      <c r="H8" s="623">
        <v>0</v>
      </c>
      <c r="I8" s="622">
        <v>0</v>
      </c>
      <c r="J8" s="622"/>
      <c r="K8" s="623">
        <v>0</v>
      </c>
      <c r="L8" s="623">
        <v>0</v>
      </c>
      <c r="M8" s="623">
        <v>0</v>
      </c>
      <c r="N8" s="622">
        <v>0</v>
      </c>
      <c r="O8" s="622"/>
      <c r="P8" s="622"/>
      <c r="Q8" s="622">
        <v>0</v>
      </c>
      <c r="R8" s="623">
        <v>0</v>
      </c>
      <c r="S8" s="622">
        <v>0</v>
      </c>
      <c r="T8" s="622"/>
      <c r="U8" s="622"/>
      <c r="V8" s="622"/>
      <c r="W8" s="622"/>
      <c r="X8" s="622"/>
      <c r="Y8" s="622"/>
      <c r="Z8" s="622"/>
      <c r="AA8" s="622"/>
      <c r="AB8" s="622">
        <v>0</v>
      </c>
      <c r="AC8" s="622">
        <v>0</v>
      </c>
      <c r="AD8" s="624">
        <v>0</v>
      </c>
      <c r="AE8"/>
    </row>
    <row r="9" spans="1:31">
      <c r="A9" s="524"/>
      <c r="B9" s="533" t="s">
        <v>656</v>
      </c>
      <c r="C9" s="622">
        <v>0</v>
      </c>
      <c r="D9" s="623">
        <v>0</v>
      </c>
      <c r="E9" s="623">
        <v>0</v>
      </c>
      <c r="F9" s="623">
        <v>0</v>
      </c>
      <c r="G9" s="623">
        <v>0</v>
      </c>
      <c r="H9" s="623">
        <v>0</v>
      </c>
      <c r="I9" s="622">
        <v>0</v>
      </c>
      <c r="J9" s="622"/>
      <c r="K9" s="623">
        <v>0</v>
      </c>
      <c r="L9" s="623">
        <v>0</v>
      </c>
      <c r="M9" s="623">
        <v>0</v>
      </c>
      <c r="N9" s="622">
        <v>0</v>
      </c>
      <c r="O9" s="622"/>
      <c r="P9" s="622"/>
      <c r="Q9" s="622">
        <v>0</v>
      </c>
      <c r="R9" s="623">
        <v>0</v>
      </c>
      <c r="S9" s="622">
        <v>0</v>
      </c>
      <c r="T9" s="622"/>
      <c r="U9" s="622"/>
      <c r="V9" s="622"/>
      <c r="W9" s="622"/>
      <c r="X9" s="622"/>
      <c r="Y9" s="622"/>
      <c r="Z9" s="622"/>
      <c r="AA9" s="622"/>
      <c r="AB9" s="622">
        <v>0</v>
      </c>
      <c r="AC9" s="622">
        <v>0</v>
      </c>
      <c r="AD9" s="624">
        <v>0</v>
      </c>
      <c r="AE9"/>
    </row>
    <row r="10" spans="1:31">
      <c r="A10" s="524"/>
      <c r="B10" s="533" t="s">
        <v>668</v>
      </c>
      <c r="C10" s="622">
        <v>0</v>
      </c>
      <c r="D10" s="623">
        <v>0</v>
      </c>
      <c r="E10" s="623">
        <v>0</v>
      </c>
      <c r="F10" s="623">
        <v>0</v>
      </c>
      <c r="G10" s="623">
        <v>0</v>
      </c>
      <c r="H10" s="623">
        <v>0</v>
      </c>
      <c r="I10" s="622">
        <v>0</v>
      </c>
      <c r="J10" s="622">
        <v>0</v>
      </c>
      <c r="K10" s="623">
        <v>0</v>
      </c>
      <c r="L10" s="623">
        <v>0</v>
      </c>
      <c r="M10" s="623">
        <v>0</v>
      </c>
      <c r="N10" s="622">
        <v>0</v>
      </c>
      <c r="O10" s="622">
        <v>0</v>
      </c>
      <c r="P10" s="622">
        <v>0</v>
      </c>
      <c r="Q10" s="622">
        <v>0</v>
      </c>
      <c r="R10" s="623">
        <v>0</v>
      </c>
      <c r="S10" s="622">
        <v>0</v>
      </c>
      <c r="T10" s="622">
        <v>0</v>
      </c>
      <c r="U10" s="622">
        <v>0</v>
      </c>
      <c r="V10" s="622">
        <v>0</v>
      </c>
      <c r="W10" s="622">
        <v>0</v>
      </c>
      <c r="X10" s="622">
        <v>0</v>
      </c>
      <c r="Y10" s="622">
        <v>0</v>
      </c>
      <c r="Z10" s="622">
        <v>0</v>
      </c>
      <c r="AA10" s="622">
        <v>0</v>
      </c>
      <c r="AB10" s="622">
        <v>0</v>
      </c>
      <c r="AC10" s="622">
        <v>0</v>
      </c>
      <c r="AD10" s="624">
        <v>0</v>
      </c>
      <c r="AE10"/>
    </row>
    <row r="11" spans="1:31">
      <c r="A11" s="524"/>
      <c r="B11" s="533" t="s">
        <v>658</v>
      </c>
      <c r="C11" s="622">
        <v>11073.583333333334</v>
      </c>
      <c r="D11" s="623">
        <v>2025.5833333333335</v>
      </c>
      <c r="E11" s="623">
        <v>4643.666666666667</v>
      </c>
      <c r="F11" s="623">
        <v>3216.875</v>
      </c>
      <c r="G11" s="623">
        <v>248.58333333333334</v>
      </c>
      <c r="H11" s="623">
        <v>100.625</v>
      </c>
      <c r="I11" s="622">
        <v>21308.916666666668</v>
      </c>
      <c r="J11" s="622"/>
      <c r="K11" s="623">
        <v>0</v>
      </c>
      <c r="L11" s="623">
        <v>0</v>
      </c>
      <c r="M11" s="623">
        <v>0</v>
      </c>
      <c r="N11" s="622">
        <v>0</v>
      </c>
      <c r="O11" s="622"/>
      <c r="P11" s="622"/>
      <c r="Q11" s="622">
        <v>0</v>
      </c>
      <c r="R11" s="623">
        <v>0</v>
      </c>
      <c r="S11" s="622">
        <v>0</v>
      </c>
      <c r="T11" s="622"/>
      <c r="U11" s="622"/>
      <c r="V11" s="622"/>
      <c r="W11" s="622"/>
      <c r="X11" s="622"/>
      <c r="Y11" s="622"/>
      <c r="Z11" s="622"/>
      <c r="AA11" s="622"/>
      <c r="AB11" s="622">
        <v>0</v>
      </c>
      <c r="AC11" s="622">
        <v>0</v>
      </c>
      <c r="AD11" s="624">
        <v>21308.916666666668</v>
      </c>
      <c r="AE11"/>
    </row>
    <row r="12" spans="1:31">
      <c r="A12" s="524"/>
      <c r="B12" s="533" t="s">
        <v>660</v>
      </c>
      <c r="C12" s="622">
        <v>11407.041666666666</v>
      </c>
      <c r="D12" s="623">
        <v>2088.3333333333335</v>
      </c>
      <c r="E12" s="623">
        <v>5843.3333333333339</v>
      </c>
      <c r="F12" s="623">
        <v>3342.2083333333335</v>
      </c>
      <c r="G12" s="623">
        <v>277.45833333333331</v>
      </c>
      <c r="H12" s="623">
        <v>124.25</v>
      </c>
      <c r="I12" s="622">
        <v>23082.625</v>
      </c>
      <c r="J12" s="622"/>
      <c r="K12" s="623">
        <v>0</v>
      </c>
      <c r="L12" s="623">
        <v>0</v>
      </c>
      <c r="M12" s="623">
        <v>0</v>
      </c>
      <c r="N12" s="622">
        <v>0</v>
      </c>
      <c r="O12" s="622"/>
      <c r="P12" s="622"/>
      <c r="Q12" s="622">
        <v>0</v>
      </c>
      <c r="R12" s="623">
        <v>0</v>
      </c>
      <c r="S12" s="622">
        <v>0</v>
      </c>
      <c r="T12" s="622"/>
      <c r="U12" s="622"/>
      <c r="V12" s="622"/>
      <c r="W12" s="622"/>
      <c r="X12" s="622"/>
      <c r="Y12" s="622"/>
      <c r="Z12" s="622"/>
      <c r="AA12" s="622"/>
      <c r="AB12" s="622">
        <v>0</v>
      </c>
      <c r="AC12" s="622">
        <v>0</v>
      </c>
      <c r="AD12" s="624">
        <v>23082.625</v>
      </c>
      <c r="AE12"/>
    </row>
    <row r="13" spans="1:31">
      <c r="A13" s="524"/>
      <c r="B13" s="533" t="s">
        <v>670</v>
      </c>
      <c r="C13" s="622">
        <v>3.0112956510614488E-2</v>
      </c>
      <c r="D13" s="623">
        <v>3.0978730406878676E-2</v>
      </c>
      <c r="E13" s="623">
        <v>0.25834469887301709</v>
      </c>
      <c r="F13" s="623">
        <v>3.8961207175701104E-2</v>
      </c>
      <c r="G13" s="623">
        <v>0.11615822996982891</v>
      </c>
      <c r="H13" s="623">
        <v>0.23478260869565218</v>
      </c>
      <c r="I13" s="622">
        <v>8.3237846441434685E-2</v>
      </c>
      <c r="J13" s="622">
        <v>0</v>
      </c>
      <c r="K13" s="623">
        <v>0</v>
      </c>
      <c r="L13" s="623">
        <v>0</v>
      </c>
      <c r="M13" s="623">
        <v>0</v>
      </c>
      <c r="N13" s="622">
        <v>0</v>
      </c>
      <c r="O13" s="622">
        <v>0</v>
      </c>
      <c r="P13" s="622">
        <v>0</v>
      </c>
      <c r="Q13" s="622">
        <v>0</v>
      </c>
      <c r="R13" s="623">
        <v>0</v>
      </c>
      <c r="S13" s="622">
        <v>0</v>
      </c>
      <c r="T13" s="622">
        <v>0</v>
      </c>
      <c r="U13" s="622">
        <v>0</v>
      </c>
      <c r="V13" s="622">
        <v>0</v>
      </c>
      <c r="W13" s="622">
        <v>0</v>
      </c>
      <c r="X13" s="622">
        <v>0</v>
      </c>
      <c r="Y13" s="622">
        <v>0</v>
      </c>
      <c r="Z13" s="622">
        <v>0</v>
      </c>
      <c r="AA13" s="622">
        <v>0</v>
      </c>
      <c r="AB13" s="622">
        <v>0</v>
      </c>
      <c r="AC13" s="622">
        <v>0</v>
      </c>
      <c r="AD13" s="624">
        <v>8.3237846441434685E-2</v>
      </c>
      <c r="AE13"/>
    </row>
    <row r="14" spans="1:31">
      <c r="A14" s="524"/>
      <c r="B14" s="533" t="s">
        <v>662</v>
      </c>
      <c r="C14" s="622">
        <v>76854.95</v>
      </c>
      <c r="D14" s="623">
        <v>17518.916666666668</v>
      </c>
      <c r="E14" s="623">
        <v>35684.033333333333</v>
      </c>
      <c r="F14" s="623">
        <v>9074.6749999999993</v>
      </c>
      <c r="G14" s="623">
        <v>2313.0833333333335</v>
      </c>
      <c r="H14" s="623">
        <v>2237.0583333333334</v>
      </c>
      <c r="I14" s="622">
        <v>143682.71666666665</v>
      </c>
      <c r="J14" s="622"/>
      <c r="K14" s="623">
        <v>17667.7</v>
      </c>
      <c r="L14" s="623">
        <v>27799.73333333333</v>
      </c>
      <c r="M14" s="623">
        <v>10410.466666666667</v>
      </c>
      <c r="N14" s="622">
        <v>55877.9</v>
      </c>
      <c r="O14" s="622"/>
      <c r="P14" s="622"/>
      <c r="Q14" s="622">
        <v>1477.9</v>
      </c>
      <c r="R14" s="623">
        <v>1503.8333333333333</v>
      </c>
      <c r="S14" s="622">
        <v>2981.7333333333336</v>
      </c>
      <c r="T14" s="622"/>
      <c r="U14" s="622"/>
      <c r="V14" s="622"/>
      <c r="W14" s="622"/>
      <c r="X14" s="622"/>
      <c r="Y14" s="622"/>
      <c r="Z14" s="622"/>
      <c r="AA14" s="622"/>
      <c r="AB14" s="622">
        <v>428.46666666666664</v>
      </c>
      <c r="AC14" s="622">
        <v>428.46666666666664</v>
      </c>
      <c r="AD14" s="624">
        <v>202970.81666666668</v>
      </c>
      <c r="AE14"/>
    </row>
    <row r="15" spans="1:31">
      <c r="A15" s="524"/>
      <c r="B15" s="533" t="s">
        <v>664</v>
      </c>
      <c r="C15" s="622">
        <v>76387.241666666669</v>
      </c>
      <c r="D15" s="623">
        <v>17146.166666666664</v>
      </c>
      <c r="E15" s="623">
        <v>37344.333333333336</v>
      </c>
      <c r="F15" s="623">
        <v>9123.875</v>
      </c>
      <c r="G15" s="623">
        <v>2352.7250000000004</v>
      </c>
      <c r="H15" s="623">
        <v>2292.5500000000002</v>
      </c>
      <c r="I15" s="622">
        <v>144646.89166666666</v>
      </c>
      <c r="J15" s="622"/>
      <c r="K15" s="623">
        <v>16464.533333333333</v>
      </c>
      <c r="L15" s="623">
        <v>25167.600000000002</v>
      </c>
      <c r="M15" s="623">
        <v>9671.4333333333343</v>
      </c>
      <c r="N15" s="622">
        <v>51303.566666666666</v>
      </c>
      <c r="O15" s="622"/>
      <c r="P15" s="622"/>
      <c r="Q15" s="622">
        <v>1357.8666666666666</v>
      </c>
      <c r="R15" s="623">
        <v>1239.2666666666667</v>
      </c>
      <c r="S15" s="622">
        <v>2597.1333333333332</v>
      </c>
      <c r="T15" s="622"/>
      <c r="U15" s="622"/>
      <c r="V15" s="622"/>
      <c r="W15" s="622"/>
      <c r="X15" s="622"/>
      <c r="Y15" s="622"/>
      <c r="Z15" s="622"/>
      <c r="AA15" s="622"/>
      <c r="AB15" s="622">
        <v>423.6</v>
      </c>
      <c r="AC15" s="622">
        <v>423.6</v>
      </c>
      <c r="AD15" s="624">
        <v>198971.19166666665</v>
      </c>
      <c r="AE15"/>
    </row>
    <row r="16" spans="1:31">
      <c r="A16" s="524"/>
      <c r="B16" s="533" t="s">
        <v>672</v>
      </c>
      <c r="C16" s="622">
        <v>-6.0855980432402666E-3</v>
      </c>
      <c r="D16" s="623">
        <v>-2.1277000575568521E-2</v>
      </c>
      <c r="E16" s="623">
        <v>4.6527812158752686E-2</v>
      </c>
      <c r="F16" s="623">
        <v>5.4216817682176755E-3</v>
      </c>
      <c r="G16" s="623">
        <v>1.7138019238390406E-2</v>
      </c>
      <c r="H16" s="623">
        <v>2.4805641337023749E-2</v>
      </c>
      <c r="I16" s="622">
        <v>6.7104452252029221E-3</v>
      </c>
      <c r="J16" s="622">
        <v>0</v>
      </c>
      <c r="K16" s="623">
        <v>-6.8099790389618789E-2</v>
      </c>
      <c r="L16" s="623">
        <v>-9.4681963376147302E-2</v>
      </c>
      <c r="M16" s="623">
        <v>-7.0989452922379348E-2</v>
      </c>
      <c r="N16" s="622">
        <v>-8.1863014417745517E-2</v>
      </c>
      <c r="O16" s="622">
        <v>0</v>
      </c>
      <c r="P16" s="622">
        <v>0</v>
      </c>
      <c r="Q16" s="622">
        <v>-8.121884656156271E-2</v>
      </c>
      <c r="R16" s="623">
        <v>-0.17592818353097636</v>
      </c>
      <c r="S16" s="622">
        <v>-0.12898537763269685</v>
      </c>
      <c r="T16" s="622">
        <v>0</v>
      </c>
      <c r="U16" s="622">
        <v>0</v>
      </c>
      <c r="V16" s="622">
        <v>0</v>
      </c>
      <c r="W16" s="622">
        <v>0</v>
      </c>
      <c r="X16" s="622">
        <v>0</v>
      </c>
      <c r="Y16" s="622">
        <v>0</v>
      </c>
      <c r="Z16" s="622">
        <v>0</v>
      </c>
      <c r="AA16" s="622">
        <v>0</v>
      </c>
      <c r="AB16" s="622">
        <v>-1.1358332036719973E-2</v>
      </c>
      <c r="AC16" s="622">
        <v>-1.1358332036719973E-2</v>
      </c>
      <c r="AD16" s="624">
        <v>-1.9705419063117621E-2</v>
      </c>
      <c r="AE16"/>
    </row>
    <row r="17" spans="1:31">
      <c r="A17" s="534" t="s">
        <v>102</v>
      </c>
      <c r="B17" s="533" t="s">
        <v>646</v>
      </c>
      <c r="C17" s="622">
        <v>22125.8</v>
      </c>
      <c r="D17" s="623">
        <v>5840.7333333333336</v>
      </c>
      <c r="E17" s="623">
        <v>24861.866666666669</v>
      </c>
      <c r="F17" s="623">
        <v>8551.7999999999993</v>
      </c>
      <c r="G17" s="623"/>
      <c r="H17" s="623">
        <v>7353.2999999999993</v>
      </c>
      <c r="I17" s="622">
        <v>68733.5</v>
      </c>
      <c r="J17" s="622"/>
      <c r="K17" s="623">
        <v>5024.8666666666668</v>
      </c>
      <c r="L17" s="623">
        <v>6288.4333333333334</v>
      </c>
      <c r="M17" s="623">
        <v>19640.466666666671</v>
      </c>
      <c r="N17" s="622">
        <v>30953.76666666667</v>
      </c>
      <c r="O17" s="622"/>
      <c r="P17" s="622"/>
      <c r="Q17" s="622"/>
      <c r="R17" s="623"/>
      <c r="S17" s="622"/>
      <c r="T17" s="622"/>
      <c r="U17" s="622"/>
      <c r="V17" s="622"/>
      <c r="W17" s="622"/>
      <c r="X17" s="622"/>
      <c r="Y17" s="622"/>
      <c r="Z17" s="622"/>
      <c r="AA17" s="622"/>
      <c r="AB17" s="622"/>
      <c r="AC17" s="622"/>
      <c r="AD17" s="624">
        <v>99687.266666666677</v>
      </c>
      <c r="AE17"/>
    </row>
    <row r="18" spans="1:31">
      <c r="A18" s="524"/>
      <c r="B18" s="533" t="s">
        <v>647</v>
      </c>
      <c r="C18" s="622">
        <v>21805.966666666667</v>
      </c>
      <c r="D18" s="623">
        <v>5521.8</v>
      </c>
      <c r="E18" s="623">
        <v>23982.066666666666</v>
      </c>
      <c r="F18" s="623">
        <v>8118.6999999999989</v>
      </c>
      <c r="G18" s="623"/>
      <c r="H18" s="623">
        <v>7036.5</v>
      </c>
      <c r="I18" s="622">
        <v>66465.033333333326</v>
      </c>
      <c r="J18" s="622"/>
      <c r="K18" s="623">
        <v>4698.7</v>
      </c>
      <c r="L18" s="623">
        <v>6060.5333333333328</v>
      </c>
      <c r="M18" s="623">
        <v>18490.266666666666</v>
      </c>
      <c r="N18" s="622">
        <v>29249.5</v>
      </c>
      <c r="O18" s="622"/>
      <c r="P18" s="622"/>
      <c r="Q18" s="622"/>
      <c r="R18" s="623"/>
      <c r="S18" s="622"/>
      <c r="T18" s="622"/>
      <c r="U18" s="622"/>
      <c r="V18" s="622"/>
      <c r="W18" s="622"/>
      <c r="X18" s="622"/>
      <c r="Y18" s="622"/>
      <c r="Z18" s="622"/>
      <c r="AA18" s="622"/>
      <c r="AB18" s="622"/>
      <c r="AC18" s="622"/>
      <c r="AD18" s="624">
        <v>95714.533333333326</v>
      </c>
      <c r="AE18"/>
    </row>
    <row r="19" spans="1:31">
      <c r="A19" s="524"/>
      <c r="B19" s="533" t="s">
        <v>666</v>
      </c>
      <c r="C19" s="622">
        <v>-1.4455221204807606E-2</v>
      </c>
      <c r="D19" s="623">
        <v>-5.4605015351953529E-2</v>
      </c>
      <c r="E19" s="623">
        <v>-3.5387527887420743E-2</v>
      </c>
      <c r="F19" s="623">
        <v>-5.0644308800486496E-2</v>
      </c>
      <c r="G19" s="623">
        <v>0</v>
      </c>
      <c r="H19" s="623">
        <v>-4.3082697564358764E-2</v>
      </c>
      <c r="I19" s="622">
        <v>-3.3003799699806845E-2</v>
      </c>
      <c r="J19" s="622">
        <v>0</v>
      </c>
      <c r="K19" s="623">
        <v>-6.4910511721704117E-2</v>
      </c>
      <c r="L19" s="623">
        <v>-3.6241141142733038E-2</v>
      </c>
      <c r="M19" s="623">
        <v>-5.8562763274464157E-2</v>
      </c>
      <c r="N19" s="622">
        <v>-5.5058458152104146E-2</v>
      </c>
      <c r="O19" s="622">
        <v>0</v>
      </c>
      <c r="P19" s="622">
        <v>0</v>
      </c>
      <c r="Q19" s="622">
        <v>0</v>
      </c>
      <c r="R19" s="623">
        <v>0</v>
      </c>
      <c r="S19" s="622">
        <v>0</v>
      </c>
      <c r="T19" s="622">
        <v>0</v>
      </c>
      <c r="U19" s="622">
        <v>0</v>
      </c>
      <c r="V19" s="622">
        <v>0</v>
      </c>
      <c r="W19" s="622">
        <v>0</v>
      </c>
      <c r="X19" s="622">
        <v>0</v>
      </c>
      <c r="Y19" s="622">
        <v>0</v>
      </c>
      <c r="Z19" s="622">
        <v>0</v>
      </c>
      <c r="AA19" s="622">
        <v>0</v>
      </c>
      <c r="AB19" s="622">
        <v>0</v>
      </c>
      <c r="AC19" s="622">
        <v>0</v>
      </c>
      <c r="AD19" s="624">
        <v>-3.9851963707835961E-2</v>
      </c>
      <c r="AE19"/>
    </row>
    <row r="20" spans="1:31">
      <c r="A20" s="524"/>
      <c r="B20" s="533" t="s">
        <v>654</v>
      </c>
      <c r="C20" s="622">
        <v>0</v>
      </c>
      <c r="D20" s="623">
        <v>0</v>
      </c>
      <c r="E20" s="623">
        <v>0</v>
      </c>
      <c r="F20" s="623">
        <v>0</v>
      </c>
      <c r="G20" s="623"/>
      <c r="H20" s="623">
        <v>0</v>
      </c>
      <c r="I20" s="622">
        <v>0</v>
      </c>
      <c r="J20" s="622"/>
      <c r="K20" s="623">
        <v>0</v>
      </c>
      <c r="L20" s="623">
        <v>0</v>
      </c>
      <c r="M20" s="623">
        <v>0</v>
      </c>
      <c r="N20" s="622">
        <v>0</v>
      </c>
      <c r="O20" s="622"/>
      <c r="P20" s="622"/>
      <c r="Q20" s="622"/>
      <c r="R20" s="623"/>
      <c r="S20" s="622"/>
      <c r="T20" s="622"/>
      <c r="U20" s="622"/>
      <c r="V20" s="622"/>
      <c r="W20" s="622"/>
      <c r="X20" s="622"/>
      <c r="Y20" s="622"/>
      <c r="Z20" s="622"/>
      <c r="AA20" s="622"/>
      <c r="AB20" s="622"/>
      <c r="AC20" s="622"/>
      <c r="AD20" s="624">
        <v>0</v>
      </c>
      <c r="AE20"/>
    </row>
    <row r="21" spans="1:31">
      <c r="A21" s="524"/>
      <c r="B21" s="533" t="s">
        <v>656</v>
      </c>
      <c r="C21" s="622">
        <v>0</v>
      </c>
      <c r="D21" s="623">
        <v>0</v>
      </c>
      <c r="E21" s="623">
        <v>0</v>
      </c>
      <c r="F21" s="623">
        <v>0</v>
      </c>
      <c r="G21" s="623"/>
      <c r="H21" s="623">
        <v>0</v>
      </c>
      <c r="I21" s="622">
        <v>0</v>
      </c>
      <c r="J21" s="622"/>
      <c r="K21" s="623">
        <v>0</v>
      </c>
      <c r="L21" s="623">
        <v>0</v>
      </c>
      <c r="M21" s="623">
        <v>0</v>
      </c>
      <c r="N21" s="622">
        <v>0</v>
      </c>
      <c r="O21" s="622"/>
      <c r="P21" s="622"/>
      <c r="Q21" s="622"/>
      <c r="R21" s="623"/>
      <c r="S21" s="622"/>
      <c r="T21" s="622"/>
      <c r="U21" s="622"/>
      <c r="V21" s="622"/>
      <c r="W21" s="622"/>
      <c r="X21" s="622"/>
      <c r="Y21" s="622"/>
      <c r="Z21" s="622"/>
      <c r="AA21" s="622"/>
      <c r="AB21" s="622"/>
      <c r="AC21" s="622"/>
      <c r="AD21" s="624">
        <v>0</v>
      </c>
      <c r="AE21"/>
    </row>
    <row r="22" spans="1:31">
      <c r="A22" s="524"/>
      <c r="B22" s="533" t="s">
        <v>668</v>
      </c>
      <c r="C22" s="622">
        <v>0</v>
      </c>
      <c r="D22" s="623">
        <v>0</v>
      </c>
      <c r="E22" s="623">
        <v>0</v>
      </c>
      <c r="F22" s="623">
        <v>0</v>
      </c>
      <c r="G22" s="623">
        <v>0</v>
      </c>
      <c r="H22" s="623">
        <v>0</v>
      </c>
      <c r="I22" s="622">
        <v>0</v>
      </c>
      <c r="J22" s="622">
        <v>0</v>
      </c>
      <c r="K22" s="623">
        <v>0</v>
      </c>
      <c r="L22" s="623">
        <v>0</v>
      </c>
      <c r="M22" s="623">
        <v>0</v>
      </c>
      <c r="N22" s="622">
        <v>0</v>
      </c>
      <c r="O22" s="622">
        <v>0</v>
      </c>
      <c r="P22" s="622">
        <v>0</v>
      </c>
      <c r="Q22" s="622">
        <v>0</v>
      </c>
      <c r="R22" s="623">
        <v>0</v>
      </c>
      <c r="S22" s="622">
        <v>0</v>
      </c>
      <c r="T22" s="622">
        <v>0</v>
      </c>
      <c r="U22" s="622">
        <v>0</v>
      </c>
      <c r="V22" s="622">
        <v>0</v>
      </c>
      <c r="W22" s="622">
        <v>0</v>
      </c>
      <c r="X22" s="622">
        <v>0</v>
      </c>
      <c r="Y22" s="622">
        <v>0</v>
      </c>
      <c r="Z22" s="622">
        <v>0</v>
      </c>
      <c r="AA22" s="622">
        <v>0</v>
      </c>
      <c r="AB22" s="622">
        <v>0</v>
      </c>
      <c r="AC22" s="622">
        <v>0</v>
      </c>
      <c r="AD22" s="624">
        <v>0</v>
      </c>
      <c r="AE22"/>
    </row>
    <row r="23" spans="1:31">
      <c r="A23" s="524"/>
      <c r="B23" s="533" t="s">
        <v>658</v>
      </c>
      <c r="C23" s="622">
        <v>3231.7916666666665</v>
      </c>
      <c r="D23" s="623">
        <v>1635.3333333333333</v>
      </c>
      <c r="E23" s="623">
        <v>6366.458333333333</v>
      </c>
      <c r="F23" s="623">
        <v>1282.8333333333333</v>
      </c>
      <c r="G23" s="623"/>
      <c r="H23" s="623">
        <v>96.916666666666671</v>
      </c>
      <c r="I23" s="622">
        <v>12613.333333333332</v>
      </c>
      <c r="J23" s="622"/>
      <c r="K23" s="623">
        <v>0</v>
      </c>
      <c r="L23" s="623">
        <v>0</v>
      </c>
      <c r="M23" s="623">
        <v>0</v>
      </c>
      <c r="N23" s="622">
        <v>0</v>
      </c>
      <c r="O23" s="622"/>
      <c r="P23" s="622"/>
      <c r="Q23" s="622"/>
      <c r="R23" s="623"/>
      <c r="S23" s="622"/>
      <c r="T23" s="622"/>
      <c r="U23" s="622"/>
      <c r="V23" s="622"/>
      <c r="W23" s="622"/>
      <c r="X23" s="622"/>
      <c r="Y23" s="622"/>
      <c r="Z23" s="622"/>
      <c r="AA23" s="622"/>
      <c r="AB23" s="622"/>
      <c r="AC23" s="622"/>
      <c r="AD23" s="624">
        <v>12613.333333333332</v>
      </c>
      <c r="AE23"/>
    </row>
    <row r="24" spans="1:31">
      <c r="A24" s="524"/>
      <c r="B24" s="533" t="s">
        <v>660</v>
      </c>
      <c r="C24" s="622">
        <v>3422.3333333333335</v>
      </c>
      <c r="D24" s="623">
        <v>1511.9166666666667</v>
      </c>
      <c r="E24" s="623">
        <v>6538.625</v>
      </c>
      <c r="F24" s="623">
        <v>1328.0833333333335</v>
      </c>
      <c r="G24" s="623"/>
      <c r="H24" s="623">
        <v>125.29166666666667</v>
      </c>
      <c r="I24" s="622">
        <v>12926.25</v>
      </c>
      <c r="J24" s="622"/>
      <c r="K24" s="623">
        <v>0</v>
      </c>
      <c r="L24" s="623">
        <v>0</v>
      </c>
      <c r="M24" s="623">
        <v>0</v>
      </c>
      <c r="N24" s="622">
        <v>0</v>
      </c>
      <c r="O24" s="622"/>
      <c r="P24" s="622"/>
      <c r="Q24" s="622"/>
      <c r="R24" s="623"/>
      <c r="S24" s="622"/>
      <c r="T24" s="622"/>
      <c r="U24" s="622"/>
      <c r="V24" s="622"/>
      <c r="W24" s="622"/>
      <c r="X24" s="622"/>
      <c r="Y24" s="622"/>
      <c r="Z24" s="622"/>
      <c r="AA24" s="622"/>
      <c r="AB24" s="622"/>
      <c r="AC24" s="622"/>
      <c r="AD24" s="624">
        <v>12926.25</v>
      </c>
      <c r="AE24"/>
    </row>
    <row r="25" spans="1:31">
      <c r="A25" s="524"/>
      <c r="B25" s="533" t="s">
        <v>670</v>
      </c>
      <c r="C25" s="622">
        <v>5.895852403852362E-2</v>
      </c>
      <c r="D25" s="623">
        <v>-7.5468813697513154E-2</v>
      </c>
      <c r="E25" s="623">
        <v>2.7042769724140235E-2</v>
      </c>
      <c r="F25" s="623">
        <v>3.527348317526327E-2</v>
      </c>
      <c r="G25" s="623">
        <v>0</v>
      </c>
      <c r="H25" s="623">
        <v>0.29277730008598452</v>
      </c>
      <c r="I25" s="622">
        <v>2.4808403805496929E-2</v>
      </c>
      <c r="J25" s="622">
        <v>0</v>
      </c>
      <c r="K25" s="623">
        <v>0</v>
      </c>
      <c r="L25" s="623">
        <v>0</v>
      </c>
      <c r="M25" s="623">
        <v>0</v>
      </c>
      <c r="N25" s="622">
        <v>0</v>
      </c>
      <c r="O25" s="622">
        <v>0</v>
      </c>
      <c r="P25" s="622">
        <v>0</v>
      </c>
      <c r="Q25" s="622">
        <v>0</v>
      </c>
      <c r="R25" s="623">
        <v>0</v>
      </c>
      <c r="S25" s="622">
        <v>0</v>
      </c>
      <c r="T25" s="622">
        <v>0</v>
      </c>
      <c r="U25" s="622">
        <v>0</v>
      </c>
      <c r="V25" s="622">
        <v>0</v>
      </c>
      <c r="W25" s="622">
        <v>0</v>
      </c>
      <c r="X25" s="622">
        <v>0</v>
      </c>
      <c r="Y25" s="622">
        <v>0</v>
      </c>
      <c r="Z25" s="622">
        <v>0</v>
      </c>
      <c r="AA25" s="622">
        <v>0</v>
      </c>
      <c r="AB25" s="622">
        <v>0</v>
      </c>
      <c r="AC25" s="622">
        <v>0</v>
      </c>
      <c r="AD25" s="624">
        <v>2.4808403805496929E-2</v>
      </c>
      <c r="AE25"/>
    </row>
    <row r="26" spans="1:31">
      <c r="A26" s="524"/>
      <c r="B26" s="533" t="s">
        <v>662</v>
      </c>
      <c r="C26" s="622">
        <v>25357.591666666667</v>
      </c>
      <c r="D26" s="623">
        <v>7476.0666666666666</v>
      </c>
      <c r="E26" s="623">
        <v>31228.325000000001</v>
      </c>
      <c r="F26" s="623">
        <v>9834.6333333333332</v>
      </c>
      <c r="G26" s="623"/>
      <c r="H26" s="623">
        <v>7450.2166666666672</v>
      </c>
      <c r="I26" s="622">
        <v>81346.833333333343</v>
      </c>
      <c r="J26" s="622"/>
      <c r="K26" s="623">
        <v>5024.8666666666668</v>
      </c>
      <c r="L26" s="623">
        <v>6288.4333333333334</v>
      </c>
      <c r="M26" s="623">
        <v>19640.466666666671</v>
      </c>
      <c r="N26" s="622">
        <v>30953.76666666667</v>
      </c>
      <c r="O26" s="622"/>
      <c r="P26" s="622"/>
      <c r="Q26" s="622"/>
      <c r="R26" s="623"/>
      <c r="S26" s="622"/>
      <c r="T26" s="622"/>
      <c r="U26" s="622"/>
      <c r="V26" s="622"/>
      <c r="W26" s="622"/>
      <c r="X26" s="622"/>
      <c r="Y26" s="622"/>
      <c r="Z26" s="622"/>
      <c r="AA26" s="622"/>
      <c r="AB26" s="622"/>
      <c r="AC26" s="622"/>
      <c r="AD26" s="624">
        <v>112300.60000000002</v>
      </c>
      <c r="AE26"/>
    </row>
    <row r="27" spans="1:31">
      <c r="A27" s="524"/>
      <c r="B27" s="533" t="s">
        <v>664</v>
      </c>
      <c r="C27" s="622">
        <v>25228.3</v>
      </c>
      <c r="D27" s="623">
        <v>7033.7166666666672</v>
      </c>
      <c r="E27" s="623">
        <v>30520.691666666666</v>
      </c>
      <c r="F27" s="623">
        <v>9446.7833333333328</v>
      </c>
      <c r="G27" s="623"/>
      <c r="H27" s="623">
        <v>7161.7916666666661</v>
      </c>
      <c r="I27" s="622">
        <v>79391.28333333334</v>
      </c>
      <c r="J27" s="622"/>
      <c r="K27" s="623">
        <v>4698.7</v>
      </c>
      <c r="L27" s="623">
        <v>6060.5333333333328</v>
      </c>
      <c r="M27" s="623">
        <v>18490.266666666666</v>
      </c>
      <c r="N27" s="622">
        <v>29249.5</v>
      </c>
      <c r="O27" s="622"/>
      <c r="P27" s="622"/>
      <c r="Q27" s="622"/>
      <c r="R27" s="623"/>
      <c r="S27" s="622"/>
      <c r="T27" s="622"/>
      <c r="U27" s="622"/>
      <c r="V27" s="622"/>
      <c r="W27" s="622"/>
      <c r="X27" s="622"/>
      <c r="Y27" s="622"/>
      <c r="Z27" s="622"/>
      <c r="AA27" s="622"/>
      <c r="AB27" s="622"/>
      <c r="AC27" s="622"/>
      <c r="AD27" s="624">
        <v>108640.78333333333</v>
      </c>
      <c r="AE27"/>
    </row>
    <row r="28" spans="1:31">
      <c r="A28" s="524"/>
      <c r="B28" s="533" t="s">
        <v>672</v>
      </c>
      <c r="C28" s="622">
        <v>-5.0987360458456211E-3</v>
      </c>
      <c r="D28" s="623">
        <v>-5.9168814260618256E-2</v>
      </c>
      <c r="E28" s="623">
        <v>-2.2659983631313399E-2</v>
      </c>
      <c r="F28" s="623">
        <v>-3.9437159155230363E-2</v>
      </c>
      <c r="G28" s="623">
        <v>0</v>
      </c>
      <c r="H28" s="623">
        <v>-3.871363920064979E-2</v>
      </c>
      <c r="I28" s="622">
        <v>-2.4039657351956137E-2</v>
      </c>
      <c r="J28" s="622">
        <v>0</v>
      </c>
      <c r="K28" s="623">
        <v>-6.4910511721704117E-2</v>
      </c>
      <c r="L28" s="623">
        <v>-3.6241141142733038E-2</v>
      </c>
      <c r="M28" s="623">
        <v>-5.8562763274464157E-2</v>
      </c>
      <c r="N28" s="622">
        <v>-5.5058458152104146E-2</v>
      </c>
      <c r="O28" s="622">
        <v>0</v>
      </c>
      <c r="P28" s="622">
        <v>0</v>
      </c>
      <c r="Q28" s="622">
        <v>0</v>
      </c>
      <c r="R28" s="623">
        <v>0</v>
      </c>
      <c r="S28" s="622">
        <v>0</v>
      </c>
      <c r="T28" s="622">
        <v>0</v>
      </c>
      <c r="U28" s="622">
        <v>0</v>
      </c>
      <c r="V28" s="622">
        <v>0</v>
      </c>
      <c r="W28" s="622">
        <v>0</v>
      </c>
      <c r="X28" s="622">
        <v>0</v>
      </c>
      <c r="Y28" s="622">
        <v>0</v>
      </c>
      <c r="Z28" s="622">
        <v>0</v>
      </c>
      <c r="AA28" s="622">
        <v>0</v>
      </c>
      <c r="AB28" s="622">
        <v>0</v>
      </c>
      <c r="AC28" s="622">
        <v>0</v>
      </c>
      <c r="AD28" s="624">
        <v>-3.258946672294457E-2</v>
      </c>
      <c r="AE28"/>
    </row>
    <row r="29" spans="1:31">
      <c r="A29" s="534" t="s">
        <v>431</v>
      </c>
      <c r="B29" s="533" t="s">
        <v>646</v>
      </c>
      <c r="C29" s="622">
        <v>19976.366666666665</v>
      </c>
      <c r="D29" s="623"/>
      <c r="E29" s="623">
        <v>4272.7</v>
      </c>
      <c r="F29" s="623"/>
      <c r="G29" s="623"/>
      <c r="H29" s="623"/>
      <c r="I29" s="622">
        <v>24249.066666666666</v>
      </c>
      <c r="J29" s="622"/>
      <c r="K29" s="623"/>
      <c r="L29" s="623">
        <v>8659.5666666666675</v>
      </c>
      <c r="M29" s="623"/>
      <c r="N29" s="622">
        <v>8659.5666666666675</v>
      </c>
      <c r="O29" s="622"/>
      <c r="P29" s="622"/>
      <c r="Q29" s="622"/>
      <c r="R29" s="623"/>
      <c r="S29" s="622"/>
      <c r="T29" s="622"/>
      <c r="U29" s="622"/>
      <c r="V29" s="622"/>
      <c r="W29" s="622"/>
      <c r="X29" s="622"/>
      <c r="Y29" s="622"/>
      <c r="Z29" s="622"/>
      <c r="AA29" s="622"/>
      <c r="AB29" s="622"/>
      <c r="AC29" s="622"/>
      <c r="AD29" s="624">
        <v>32908.633333333331</v>
      </c>
      <c r="AE29"/>
    </row>
    <row r="30" spans="1:31">
      <c r="A30" s="524"/>
      <c r="B30" s="533" t="s">
        <v>647</v>
      </c>
      <c r="C30" s="622">
        <v>20020.400000000001</v>
      </c>
      <c r="D30" s="623"/>
      <c r="E30" s="623">
        <v>4390.2</v>
      </c>
      <c r="F30" s="623"/>
      <c r="G30" s="623"/>
      <c r="H30" s="623"/>
      <c r="I30" s="622">
        <v>24410.600000000002</v>
      </c>
      <c r="J30" s="622"/>
      <c r="K30" s="623"/>
      <c r="L30" s="623">
        <v>8302.7000000000007</v>
      </c>
      <c r="M30" s="623"/>
      <c r="N30" s="622">
        <v>8302.7000000000007</v>
      </c>
      <c r="O30" s="622"/>
      <c r="P30" s="622"/>
      <c r="Q30" s="622"/>
      <c r="R30" s="623"/>
      <c r="S30" s="622"/>
      <c r="T30" s="622"/>
      <c r="U30" s="622"/>
      <c r="V30" s="622"/>
      <c r="W30" s="622"/>
      <c r="X30" s="622"/>
      <c r="Y30" s="622"/>
      <c r="Z30" s="622"/>
      <c r="AA30" s="622"/>
      <c r="AB30" s="622"/>
      <c r="AC30" s="622"/>
      <c r="AD30" s="624">
        <v>32713.300000000003</v>
      </c>
      <c r="AE30"/>
    </row>
    <row r="31" spans="1:31">
      <c r="A31" s="524"/>
      <c r="B31" s="533" t="s">
        <v>666</v>
      </c>
      <c r="C31" s="622">
        <v>2.2042713806816635E-3</v>
      </c>
      <c r="D31" s="623">
        <v>0</v>
      </c>
      <c r="E31" s="623">
        <v>2.7500175533035319E-2</v>
      </c>
      <c r="F31" s="623">
        <v>0</v>
      </c>
      <c r="G31" s="623">
        <v>0</v>
      </c>
      <c r="H31" s="623">
        <v>0</v>
      </c>
      <c r="I31" s="622">
        <v>6.6614247696132559E-3</v>
      </c>
      <c r="J31" s="622">
        <v>0</v>
      </c>
      <c r="K31" s="623">
        <v>0</v>
      </c>
      <c r="L31" s="623">
        <v>-4.1210684137389486E-2</v>
      </c>
      <c r="M31" s="623">
        <v>0</v>
      </c>
      <c r="N31" s="622">
        <v>-4.1210684137389486E-2</v>
      </c>
      <c r="O31" s="622">
        <v>0</v>
      </c>
      <c r="P31" s="622">
        <v>0</v>
      </c>
      <c r="Q31" s="622">
        <v>0</v>
      </c>
      <c r="R31" s="623">
        <v>0</v>
      </c>
      <c r="S31" s="622">
        <v>0</v>
      </c>
      <c r="T31" s="622">
        <v>0</v>
      </c>
      <c r="U31" s="622">
        <v>0</v>
      </c>
      <c r="V31" s="622">
        <v>0</v>
      </c>
      <c r="W31" s="622">
        <v>0</v>
      </c>
      <c r="X31" s="622">
        <v>0</v>
      </c>
      <c r="Y31" s="622">
        <v>0</v>
      </c>
      <c r="Z31" s="622">
        <v>0</v>
      </c>
      <c r="AA31" s="622">
        <v>0</v>
      </c>
      <c r="AB31" s="622">
        <v>0</v>
      </c>
      <c r="AC31" s="622">
        <v>0</v>
      </c>
      <c r="AD31" s="624">
        <v>-5.9356258084249979E-3</v>
      </c>
      <c r="AE31"/>
    </row>
    <row r="32" spans="1:31">
      <c r="A32" s="524"/>
      <c r="B32" s="533" t="s">
        <v>654</v>
      </c>
      <c r="C32" s="622">
        <v>0</v>
      </c>
      <c r="D32" s="623"/>
      <c r="E32" s="623">
        <v>0</v>
      </c>
      <c r="F32" s="623"/>
      <c r="G32" s="623"/>
      <c r="H32" s="623"/>
      <c r="I32" s="622">
        <v>0</v>
      </c>
      <c r="J32" s="622"/>
      <c r="K32" s="623"/>
      <c r="L32" s="623">
        <v>0</v>
      </c>
      <c r="M32" s="623"/>
      <c r="N32" s="622">
        <v>0</v>
      </c>
      <c r="O32" s="622"/>
      <c r="P32" s="622"/>
      <c r="Q32" s="622"/>
      <c r="R32" s="623"/>
      <c r="S32" s="622"/>
      <c r="T32" s="622"/>
      <c r="U32" s="622"/>
      <c r="V32" s="622"/>
      <c r="W32" s="622"/>
      <c r="X32" s="622"/>
      <c r="Y32" s="622"/>
      <c r="Z32" s="622"/>
      <c r="AA32" s="622"/>
      <c r="AB32" s="622"/>
      <c r="AC32" s="622"/>
      <c r="AD32" s="624">
        <v>0</v>
      </c>
      <c r="AE32"/>
    </row>
    <row r="33" spans="1:31">
      <c r="A33" s="524"/>
      <c r="B33" s="533" t="s">
        <v>656</v>
      </c>
      <c r="C33" s="622">
        <v>0</v>
      </c>
      <c r="D33" s="623"/>
      <c r="E33" s="623">
        <v>0</v>
      </c>
      <c r="F33" s="623"/>
      <c r="G33" s="623"/>
      <c r="H33" s="623"/>
      <c r="I33" s="622">
        <v>0</v>
      </c>
      <c r="J33" s="622"/>
      <c r="K33" s="623"/>
      <c r="L33" s="623">
        <v>0</v>
      </c>
      <c r="M33" s="623"/>
      <c r="N33" s="622">
        <v>0</v>
      </c>
      <c r="O33" s="622"/>
      <c r="P33" s="622"/>
      <c r="Q33" s="622"/>
      <c r="R33" s="623"/>
      <c r="S33" s="622"/>
      <c r="T33" s="622"/>
      <c r="U33" s="622"/>
      <c r="V33" s="622"/>
      <c r="W33" s="622"/>
      <c r="X33" s="622"/>
      <c r="Y33" s="622"/>
      <c r="Z33" s="622"/>
      <c r="AA33" s="622"/>
      <c r="AB33" s="622"/>
      <c r="AC33" s="622"/>
      <c r="AD33" s="624">
        <v>0</v>
      </c>
      <c r="AE33"/>
    </row>
    <row r="34" spans="1:31">
      <c r="A34" s="524"/>
      <c r="B34" s="533" t="s">
        <v>668</v>
      </c>
      <c r="C34" s="622">
        <v>0</v>
      </c>
      <c r="D34" s="623">
        <v>0</v>
      </c>
      <c r="E34" s="623">
        <v>0</v>
      </c>
      <c r="F34" s="623">
        <v>0</v>
      </c>
      <c r="G34" s="623">
        <v>0</v>
      </c>
      <c r="H34" s="623">
        <v>0</v>
      </c>
      <c r="I34" s="622">
        <v>0</v>
      </c>
      <c r="J34" s="622">
        <v>0</v>
      </c>
      <c r="K34" s="623">
        <v>0</v>
      </c>
      <c r="L34" s="623">
        <v>0</v>
      </c>
      <c r="M34" s="623">
        <v>0</v>
      </c>
      <c r="N34" s="622">
        <v>0</v>
      </c>
      <c r="O34" s="622">
        <v>0</v>
      </c>
      <c r="P34" s="622">
        <v>0</v>
      </c>
      <c r="Q34" s="622">
        <v>0</v>
      </c>
      <c r="R34" s="623">
        <v>0</v>
      </c>
      <c r="S34" s="622">
        <v>0</v>
      </c>
      <c r="T34" s="622">
        <v>0</v>
      </c>
      <c r="U34" s="622">
        <v>0</v>
      </c>
      <c r="V34" s="622">
        <v>0</v>
      </c>
      <c r="W34" s="622">
        <v>0</v>
      </c>
      <c r="X34" s="622">
        <v>0</v>
      </c>
      <c r="Y34" s="622">
        <v>0</v>
      </c>
      <c r="Z34" s="622">
        <v>0</v>
      </c>
      <c r="AA34" s="622">
        <v>0</v>
      </c>
      <c r="AB34" s="622">
        <v>0</v>
      </c>
      <c r="AC34" s="622">
        <v>0</v>
      </c>
      <c r="AD34" s="624">
        <v>0</v>
      </c>
      <c r="AE34"/>
    </row>
    <row r="35" spans="1:31">
      <c r="A35" s="524"/>
      <c r="B35" s="533" t="s">
        <v>658</v>
      </c>
      <c r="C35" s="622">
        <v>3160.5</v>
      </c>
      <c r="D35" s="623"/>
      <c r="E35" s="623">
        <v>301.79166666666669</v>
      </c>
      <c r="F35" s="623"/>
      <c r="G35" s="623"/>
      <c r="H35" s="623"/>
      <c r="I35" s="622">
        <v>3462.2916666666665</v>
      </c>
      <c r="J35" s="622"/>
      <c r="K35" s="623"/>
      <c r="L35" s="623">
        <v>0</v>
      </c>
      <c r="M35" s="623"/>
      <c r="N35" s="622">
        <v>0</v>
      </c>
      <c r="O35" s="622"/>
      <c r="P35" s="622"/>
      <c r="Q35" s="622"/>
      <c r="R35" s="623"/>
      <c r="S35" s="622"/>
      <c r="T35" s="622"/>
      <c r="U35" s="622"/>
      <c r="V35" s="622"/>
      <c r="W35" s="622"/>
      <c r="X35" s="622"/>
      <c r="Y35" s="622"/>
      <c r="Z35" s="622"/>
      <c r="AA35" s="622"/>
      <c r="AB35" s="622"/>
      <c r="AC35" s="622"/>
      <c r="AD35" s="624">
        <v>3462.2916666666665</v>
      </c>
      <c r="AE35"/>
    </row>
    <row r="36" spans="1:31">
      <c r="A36" s="524"/>
      <c r="B36" s="533" t="s">
        <v>660</v>
      </c>
      <c r="C36" s="622">
        <v>3108.6666666666665</v>
      </c>
      <c r="D36" s="623"/>
      <c r="E36" s="623">
        <v>389.75</v>
      </c>
      <c r="F36" s="623"/>
      <c r="G36" s="623"/>
      <c r="H36" s="623"/>
      <c r="I36" s="622">
        <v>3498.4166666666665</v>
      </c>
      <c r="J36" s="622"/>
      <c r="K36" s="623"/>
      <c r="L36" s="623">
        <v>0</v>
      </c>
      <c r="M36" s="623"/>
      <c r="N36" s="622">
        <v>0</v>
      </c>
      <c r="O36" s="622"/>
      <c r="P36" s="622"/>
      <c r="Q36" s="622"/>
      <c r="R36" s="623"/>
      <c r="S36" s="622"/>
      <c r="T36" s="622"/>
      <c r="U36" s="622"/>
      <c r="V36" s="622"/>
      <c r="W36" s="622"/>
      <c r="X36" s="622"/>
      <c r="Y36" s="622"/>
      <c r="Z36" s="622"/>
      <c r="AA36" s="622"/>
      <c r="AB36" s="622"/>
      <c r="AC36" s="622"/>
      <c r="AD36" s="624">
        <v>3498.4166666666665</v>
      </c>
      <c r="AE36"/>
    </row>
    <row r="37" spans="1:31">
      <c r="A37" s="524"/>
      <c r="B37" s="533" t="s">
        <v>670</v>
      </c>
      <c r="C37" s="622">
        <v>-1.6400358593049672E-2</v>
      </c>
      <c r="D37" s="623">
        <v>0</v>
      </c>
      <c r="E37" s="630">
        <v>0.29145381747894511</v>
      </c>
      <c r="F37" s="623">
        <v>0</v>
      </c>
      <c r="G37" s="623">
        <v>0</v>
      </c>
      <c r="H37" s="623">
        <v>0</v>
      </c>
      <c r="I37" s="622">
        <v>1.0433840784644082E-2</v>
      </c>
      <c r="J37" s="622">
        <v>0</v>
      </c>
      <c r="K37" s="623">
        <v>0</v>
      </c>
      <c r="L37" s="623">
        <v>0</v>
      </c>
      <c r="M37" s="623">
        <v>0</v>
      </c>
      <c r="N37" s="622">
        <v>0</v>
      </c>
      <c r="O37" s="622">
        <v>0</v>
      </c>
      <c r="P37" s="622">
        <v>0</v>
      </c>
      <c r="Q37" s="622">
        <v>0</v>
      </c>
      <c r="R37" s="623">
        <v>0</v>
      </c>
      <c r="S37" s="622">
        <v>0</v>
      </c>
      <c r="T37" s="622">
        <v>0</v>
      </c>
      <c r="U37" s="622">
        <v>0</v>
      </c>
      <c r="V37" s="622">
        <v>0</v>
      </c>
      <c r="W37" s="622">
        <v>0</v>
      </c>
      <c r="X37" s="622">
        <v>0</v>
      </c>
      <c r="Y37" s="622">
        <v>0</v>
      </c>
      <c r="Z37" s="622">
        <v>0</v>
      </c>
      <c r="AA37" s="622">
        <v>0</v>
      </c>
      <c r="AB37" s="622">
        <v>0</v>
      </c>
      <c r="AC37" s="622">
        <v>0</v>
      </c>
      <c r="AD37" s="624">
        <v>1.0433840784644082E-2</v>
      </c>
      <c r="AE37"/>
    </row>
    <row r="38" spans="1:31">
      <c r="A38" s="524"/>
      <c r="B38" s="533" t="s">
        <v>662</v>
      </c>
      <c r="C38" s="622">
        <v>23136.866666666665</v>
      </c>
      <c r="D38" s="623"/>
      <c r="E38" s="623">
        <v>4574.4916666666668</v>
      </c>
      <c r="F38" s="623"/>
      <c r="G38" s="623"/>
      <c r="H38" s="623"/>
      <c r="I38" s="622">
        <v>27711.35833333333</v>
      </c>
      <c r="J38" s="622"/>
      <c r="K38" s="623"/>
      <c r="L38" s="623">
        <v>8659.5666666666675</v>
      </c>
      <c r="M38" s="623"/>
      <c r="N38" s="622">
        <v>8659.5666666666675</v>
      </c>
      <c r="O38" s="622"/>
      <c r="P38" s="622"/>
      <c r="Q38" s="622"/>
      <c r="R38" s="623"/>
      <c r="S38" s="622"/>
      <c r="T38" s="622"/>
      <c r="U38" s="622"/>
      <c r="V38" s="622"/>
      <c r="W38" s="622"/>
      <c r="X38" s="622"/>
      <c r="Y38" s="622"/>
      <c r="Z38" s="622"/>
      <c r="AA38" s="622"/>
      <c r="AB38" s="622"/>
      <c r="AC38" s="622"/>
      <c r="AD38" s="624">
        <v>36370.924999999996</v>
      </c>
      <c r="AE38"/>
    </row>
    <row r="39" spans="1:31">
      <c r="A39" s="524"/>
      <c r="B39" s="533" t="s">
        <v>664</v>
      </c>
      <c r="C39" s="622">
        <v>23129.066666666669</v>
      </c>
      <c r="D39" s="623"/>
      <c r="E39" s="623">
        <v>4779.95</v>
      </c>
      <c r="F39" s="623"/>
      <c r="G39" s="623"/>
      <c r="H39" s="623"/>
      <c r="I39" s="622">
        <v>27909.01666666667</v>
      </c>
      <c r="J39" s="622"/>
      <c r="K39" s="623"/>
      <c r="L39" s="623">
        <v>8302.7000000000007</v>
      </c>
      <c r="M39" s="623"/>
      <c r="N39" s="622">
        <v>8302.7000000000007</v>
      </c>
      <c r="O39" s="622"/>
      <c r="P39" s="622"/>
      <c r="Q39" s="622"/>
      <c r="R39" s="623"/>
      <c r="S39" s="622"/>
      <c r="T39" s="622"/>
      <c r="U39" s="622"/>
      <c r="V39" s="622"/>
      <c r="W39" s="622"/>
      <c r="X39" s="622"/>
      <c r="Y39" s="622"/>
      <c r="Z39" s="622"/>
      <c r="AA39" s="622"/>
      <c r="AB39" s="622"/>
      <c r="AC39" s="622"/>
      <c r="AD39" s="624">
        <v>36211.716666666674</v>
      </c>
      <c r="AE39"/>
    </row>
    <row r="40" spans="1:31">
      <c r="A40" s="524"/>
      <c r="B40" s="533" t="s">
        <v>672</v>
      </c>
      <c r="C40" s="622">
        <v>-3.3712430089909764E-4</v>
      </c>
      <c r="D40" s="623">
        <v>0</v>
      </c>
      <c r="E40" s="623">
        <v>4.4913915753845075E-2</v>
      </c>
      <c r="F40" s="623">
        <v>0</v>
      </c>
      <c r="G40" s="623">
        <v>0</v>
      </c>
      <c r="H40" s="623">
        <v>0</v>
      </c>
      <c r="I40" s="622">
        <v>7.1327551307934856E-3</v>
      </c>
      <c r="J40" s="622">
        <v>0</v>
      </c>
      <c r="K40" s="623">
        <v>0</v>
      </c>
      <c r="L40" s="623">
        <v>-4.1210684137389486E-2</v>
      </c>
      <c r="M40" s="623">
        <v>0</v>
      </c>
      <c r="N40" s="622">
        <v>-4.1210684137389486E-2</v>
      </c>
      <c r="O40" s="622">
        <v>0</v>
      </c>
      <c r="P40" s="622">
        <v>0</v>
      </c>
      <c r="Q40" s="622">
        <v>0</v>
      </c>
      <c r="R40" s="623">
        <v>0</v>
      </c>
      <c r="S40" s="622">
        <v>0</v>
      </c>
      <c r="T40" s="622">
        <v>0</v>
      </c>
      <c r="U40" s="622">
        <v>0</v>
      </c>
      <c r="V40" s="622">
        <v>0</v>
      </c>
      <c r="W40" s="622">
        <v>0</v>
      </c>
      <c r="X40" s="622">
        <v>0</v>
      </c>
      <c r="Y40" s="622">
        <v>0</v>
      </c>
      <c r="Z40" s="622">
        <v>0</v>
      </c>
      <c r="AA40" s="622">
        <v>0</v>
      </c>
      <c r="AB40" s="622">
        <v>0</v>
      </c>
      <c r="AC40" s="622">
        <v>0</v>
      </c>
      <c r="AD40" s="624">
        <v>-4.3773517812186859E-3</v>
      </c>
      <c r="AE40"/>
    </row>
    <row r="41" spans="1:31">
      <c r="A41" s="534" t="s">
        <v>131</v>
      </c>
      <c r="B41" s="533" t="s">
        <v>646</v>
      </c>
      <c r="C41" s="622"/>
      <c r="D41" s="623"/>
      <c r="E41" s="623"/>
      <c r="F41" s="623"/>
      <c r="G41" s="623"/>
      <c r="H41" s="623"/>
      <c r="I41" s="622"/>
      <c r="J41" s="622">
        <v>272851.76666666666</v>
      </c>
      <c r="K41" s="623">
        <v>28230.033333333333</v>
      </c>
      <c r="L41" s="623"/>
      <c r="M41" s="623">
        <v>1376.5666666666666</v>
      </c>
      <c r="N41" s="622">
        <v>302458.36666666664</v>
      </c>
      <c r="O41" s="622"/>
      <c r="P41" s="622"/>
      <c r="Q41" s="622"/>
      <c r="R41" s="623"/>
      <c r="S41" s="622"/>
      <c r="T41" s="622"/>
      <c r="U41" s="622"/>
      <c r="V41" s="622"/>
      <c r="W41" s="622"/>
      <c r="X41" s="622"/>
      <c r="Y41" s="622"/>
      <c r="Z41" s="622"/>
      <c r="AA41" s="622"/>
      <c r="AB41" s="622"/>
      <c r="AC41" s="622"/>
      <c r="AD41" s="624">
        <v>302458.36666666664</v>
      </c>
      <c r="AE41"/>
    </row>
    <row r="42" spans="1:31">
      <c r="A42" s="524"/>
      <c r="B42" s="533" t="s">
        <v>647</v>
      </c>
      <c r="C42" s="622"/>
      <c r="D42" s="623"/>
      <c r="E42" s="623"/>
      <c r="F42" s="623"/>
      <c r="G42" s="623"/>
      <c r="H42" s="623"/>
      <c r="I42" s="622"/>
      <c r="J42" s="622">
        <v>262944.06666666671</v>
      </c>
      <c r="K42" s="623">
        <v>27310.366666666669</v>
      </c>
      <c r="L42" s="623"/>
      <c r="M42" s="623">
        <v>1424.7333333333333</v>
      </c>
      <c r="N42" s="622">
        <v>291679.16666666669</v>
      </c>
      <c r="O42" s="622"/>
      <c r="P42" s="622"/>
      <c r="Q42" s="622"/>
      <c r="R42" s="623"/>
      <c r="S42" s="622"/>
      <c r="T42" s="622"/>
      <c r="U42" s="622"/>
      <c r="V42" s="622"/>
      <c r="W42" s="622"/>
      <c r="X42" s="622"/>
      <c r="Y42" s="622"/>
      <c r="Z42" s="622"/>
      <c r="AA42" s="622"/>
      <c r="AB42" s="622"/>
      <c r="AC42" s="622"/>
      <c r="AD42" s="624">
        <v>291679.16666666669</v>
      </c>
      <c r="AE42"/>
    </row>
    <row r="43" spans="1:31">
      <c r="A43" s="524"/>
      <c r="B43" s="533" t="s">
        <v>666</v>
      </c>
      <c r="C43" s="622">
        <v>0</v>
      </c>
      <c r="D43" s="623">
        <v>0</v>
      </c>
      <c r="E43" s="623">
        <v>0</v>
      </c>
      <c r="F43" s="623">
        <v>0</v>
      </c>
      <c r="G43" s="623">
        <v>0</v>
      </c>
      <c r="H43" s="623">
        <v>0</v>
      </c>
      <c r="I43" s="622">
        <v>0</v>
      </c>
      <c r="J43" s="622">
        <v>-3.6311657868441947E-2</v>
      </c>
      <c r="K43" s="623">
        <v>-3.2577597617667153E-2</v>
      </c>
      <c r="L43" s="623">
        <v>0</v>
      </c>
      <c r="M43" s="623">
        <v>3.4990435140567169E-2</v>
      </c>
      <c r="N43" s="622">
        <v>-3.563862398251802E-2</v>
      </c>
      <c r="O43" s="622">
        <v>0</v>
      </c>
      <c r="P43" s="622">
        <v>0</v>
      </c>
      <c r="Q43" s="622">
        <v>0</v>
      </c>
      <c r="R43" s="623">
        <v>0</v>
      </c>
      <c r="S43" s="622">
        <v>0</v>
      </c>
      <c r="T43" s="622">
        <v>0</v>
      </c>
      <c r="U43" s="622">
        <v>0</v>
      </c>
      <c r="V43" s="622">
        <v>0</v>
      </c>
      <c r="W43" s="622">
        <v>0</v>
      </c>
      <c r="X43" s="622">
        <v>0</v>
      </c>
      <c r="Y43" s="622">
        <v>0</v>
      </c>
      <c r="Z43" s="622">
        <v>0</v>
      </c>
      <c r="AA43" s="622">
        <v>0</v>
      </c>
      <c r="AB43" s="622">
        <v>0</v>
      </c>
      <c r="AC43" s="622">
        <v>0</v>
      </c>
      <c r="AD43" s="624">
        <v>-3.563862398251802E-2</v>
      </c>
      <c r="AE43"/>
    </row>
    <row r="44" spans="1:31">
      <c r="A44" s="524"/>
      <c r="B44" s="533" t="s">
        <v>654</v>
      </c>
      <c r="C44" s="622"/>
      <c r="D44" s="623"/>
      <c r="E44" s="623"/>
      <c r="F44" s="623"/>
      <c r="G44" s="623"/>
      <c r="H44" s="623"/>
      <c r="I44" s="622"/>
      <c r="J44" s="622">
        <v>15263.280000000002</v>
      </c>
      <c r="K44" s="623">
        <v>2568.4122222222222</v>
      </c>
      <c r="L44" s="623"/>
      <c r="M44" s="623">
        <v>177.42000000000002</v>
      </c>
      <c r="N44" s="622">
        <v>18009.112222222222</v>
      </c>
      <c r="O44" s="622"/>
      <c r="P44" s="622"/>
      <c r="Q44" s="622"/>
      <c r="R44" s="623"/>
      <c r="S44" s="622"/>
      <c r="T44" s="622"/>
      <c r="U44" s="622"/>
      <c r="V44" s="622"/>
      <c r="W44" s="622"/>
      <c r="X44" s="622"/>
      <c r="Y44" s="622"/>
      <c r="Z44" s="622"/>
      <c r="AA44" s="622"/>
      <c r="AB44" s="622"/>
      <c r="AC44" s="622"/>
      <c r="AD44" s="624">
        <v>18009.112222222222</v>
      </c>
      <c r="AE44"/>
    </row>
    <row r="45" spans="1:31">
      <c r="A45" s="524"/>
      <c r="B45" s="533" t="s">
        <v>656</v>
      </c>
      <c r="C45" s="622"/>
      <c r="D45" s="623"/>
      <c r="E45" s="623"/>
      <c r="F45" s="623"/>
      <c r="G45" s="623"/>
      <c r="H45" s="623"/>
      <c r="I45" s="622"/>
      <c r="J45" s="622">
        <v>12677.429999999998</v>
      </c>
      <c r="K45" s="623">
        <v>2282.5011111111112</v>
      </c>
      <c r="L45" s="623"/>
      <c r="M45" s="623">
        <v>158.15777777777777</v>
      </c>
      <c r="N45" s="622">
        <v>15118.088888888888</v>
      </c>
      <c r="O45" s="622"/>
      <c r="P45" s="622"/>
      <c r="Q45" s="622"/>
      <c r="R45" s="623"/>
      <c r="S45" s="622"/>
      <c r="T45" s="622"/>
      <c r="U45" s="622"/>
      <c r="V45" s="622"/>
      <c r="W45" s="622"/>
      <c r="X45" s="622"/>
      <c r="Y45" s="622"/>
      <c r="Z45" s="622"/>
      <c r="AA45" s="622"/>
      <c r="AB45" s="622"/>
      <c r="AC45" s="622"/>
      <c r="AD45" s="624">
        <v>15118.088888888888</v>
      </c>
      <c r="AE45"/>
    </row>
    <row r="46" spans="1:31">
      <c r="A46" s="524"/>
      <c r="B46" s="533" t="s">
        <v>668</v>
      </c>
      <c r="C46" s="622">
        <v>0</v>
      </c>
      <c r="D46" s="623">
        <v>0</v>
      </c>
      <c r="E46" s="623">
        <v>0</v>
      </c>
      <c r="F46" s="623">
        <v>0</v>
      </c>
      <c r="G46" s="623">
        <v>0</v>
      </c>
      <c r="H46" s="623">
        <v>0</v>
      </c>
      <c r="I46" s="622">
        <v>0</v>
      </c>
      <c r="J46" s="622">
        <v>-0.16941640328946359</v>
      </c>
      <c r="K46" s="623">
        <v>-0.11131823335731411</v>
      </c>
      <c r="L46" s="623">
        <v>0</v>
      </c>
      <c r="M46" s="623">
        <v>-0.10856849409436505</v>
      </c>
      <c r="N46" s="622">
        <v>-0.16053114099461127</v>
      </c>
      <c r="O46" s="622">
        <v>0</v>
      </c>
      <c r="P46" s="622">
        <v>0</v>
      </c>
      <c r="Q46" s="622">
        <v>0</v>
      </c>
      <c r="R46" s="623">
        <v>0</v>
      </c>
      <c r="S46" s="622">
        <v>0</v>
      </c>
      <c r="T46" s="622">
        <v>0</v>
      </c>
      <c r="U46" s="622">
        <v>0</v>
      </c>
      <c r="V46" s="622">
        <v>0</v>
      </c>
      <c r="W46" s="622">
        <v>0</v>
      </c>
      <c r="X46" s="622">
        <v>0</v>
      </c>
      <c r="Y46" s="622">
        <v>0</v>
      </c>
      <c r="Z46" s="622">
        <v>0</v>
      </c>
      <c r="AA46" s="622">
        <v>0</v>
      </c>
      <c r="AB46" s="622">
        <v>0</v>
      </c>
      <c r="AC46" s="622">
        <v>0</v>
      </c>
      <c r="AD46" s="624">
        <v>-0.16053114099461127</v>
      </c>
      <c r="AE46"/>
    </row>
    <row r="47" spans="1:31">
      <c r="A47" s="524"/>
      <c r="B47" s="533" t="s">
        <v>658</v>
      </c>
      <c r="C47" s="622"/>
      <c r="D47" s="623"/>
      <c r="E47" s="623"/>
      <c r="F47" s="623"/>
      <c r="G47" s="623"/>
      <c r="H47" s="623"/>
      <c r="I47" s="622"/>
      <c r="J47" s="622">
        <v>0</v>
      </c>
      <c r="K47" s="623">
        <v>0</v>
      </c>
      <c r="L47" s="623"/>
      <c r="M47" s="623">
        <v>0</v>
      </c>
      <c r="N47" s="622">
        <v>0</v>
      </c>
      <c r="O47" s="622"/>
      <c r="P47" s="622"/>
      <c r="Q47" s="622"/>
      <c r="R47" s="623"/>
      <c r="S47" s="622"/>
      <c r="T47" s="622"/>
      <c r="U47" s="622"/>
      <c r="V47" s="622"/>
      <c r="W47" s="622"/>
      <c r="X47" s="622"/>
      <c r="Y47" s="622"/>
      <c r="Z47" s="622"/>
      <c r="AA47" s="622"/>
      <c r="AB47" s="622"/>
      <c r="AC47" s="622"/>
      <c r="AD47" s="624">
        <v>0</v>
      </c>
      <c r="AE47"/>
    </row>
    <row r="48" spans="1:31">
      <c r="A48" s="524"/>
      <c r="B48" s="533" t="s">
        <v>660</v>
      </c>
      <c r="C48" s="622"/>
      <c r="D48" s="623"/>
      <c r="E48" s="623"/>
      <c r="F48" s="623"/>
      <c r="G48" s="623"/>
      <c r="H48" s="623"/>
      <c r="I48" s="622"/>
      <c r="J48" s="622">
        <v>0</v>
      </c>
      <c r="K48" s="623">
        <v>0</v>
      </c>
      <c r="L48" s="623"/>
      <c r="M48" s="623">
        <v>0</v>
      </c>
      <c r="N48" s="622">
        <v>0</v>
      </c>
      <c r="O48" s="622"/>
      <c r="P48" s="622"/>
      <c r="Q48" s="622"/>
      <c r="R48" s="623"/>
      <c r="S48" s="622"/>
      <c r="T48" s="622"/>
      <c r="U48" s="622"/>
      <c r="V48" s="622"/>
      <c r="W48" s="622"/>
      <c r="X48" s="622"/>
      <c r="Y48" s="622"/>
      <c r="Z48" s="622"/>
      <c r="AA48" s="622"/>
      <c r="AB48" s="622"/>
      <c r="AC48" s="622"/>
      <c r="AD48" s="624">
        <v>0</v>
      </c>
      <c r="AE48"/>
    </row>
    <row r="49" spans="1:31">
      <c r="A49" s="524"/>
      <c r="B49" s="533" t="s">
        <v>670</v>
      </c>
      <c r="C49" s="622">
        <v>0</v>
      </c>
      <c r="D49" s="623">
        <v>0</v>
      </c>
      <c r="E49" s="623">
        <v>0</v>
      </c>
      <c r="F49" s="623">
        <v>0</v>
      </c>
      <c r="G49" s="623">
        <v>0</v>
      </c>
      <c r="H49" s="623">
        <v>0</v>
      </c>
      <c r="I49" s="622">
        <v>0</v>
      </c>
      <c r="J49" s="622">
        <v>0</v>
      </c>
      <c r="K49" s="623">
        <v>0</v>
      </c>
      <c r="L49" s="623">
        <v>0</v>
      </c>
      <c r="M49" s="623">
        <v>0</v>
      </c>
      <c r="N49" s="622">
        <v>0</v>
      </c>
      <c r="O49" s="622">
        <v>0</v>
      </c>
      <c r="P49" s="622">
        <v>0</v>
      </c>
      <c r="Q49" s="622">
        <v>0</v>
      </c>
      <c r="R49" s="623">
        <v>0</v>
      </c>
      <c r="S49" s="622">
        <v>0</v>
      </c>
      <c r="T49" s="622">
        <v>0</v>
      </c>
      <c r="U49" s="622">
        <v>0</v>
      </c>
      <c r="V49" s="622">
        <v>0</v>
      </c>
      <c r="W49" s="622">
        <v>0</v>
      </c>
      <c r="X49" s="622">
        <v>0</v>
      </c>
      <c r="Y49" s="622">
        <v>0</v>
      </c>
      <c r="Z49" s="622">
        <v>0</v>
      </c>
      <c r="AA49" s="622">
        <v>0</v>
      </c>
      <c r="AB49" s="622">
        <v>0</v>
      </c>
      <c r="AC49" s="622">
        <v>0</v>
      </c>
      <c r="AD49" s="624">
        <v>0</v>
      </c>
      <c r="AE49"/>
    </row>
    <row r="50" spans="1:31">
      <c r="A50" s="524"/>
      <c r="B50" s="533" t="s">
        <v>662</v>
      </c>
      <c r="C50" s="622"/>
      <c r="D50" s="623"/>
      <c r="E50" s="623"/>
      <c r="F50" s="623"/>
      <c r="G50" s="623"/>
      <c r="H50" s="623"/>
      <c r="I50" s="622"/>
      <c r="J50" s="622">
        <v>288115.04666666669</v>
      </c>
      <c r="K50" s="623">
        <v>30798.445555555554</v>
      </c>
      <c r="L50" s="623"/>
      <c r="M50" s="623">
        <v>1553.9866666666667</v>
      </c>
      <c r="N50" s="622">
        <v>320467.47888888896</v>
      </c>
      <c r="O50" s="622"/>
      <c r="P50" s="622"/>
      <c r="Q50" s="622"/>
      <c r="R50" s="623"/>
      <c r="S50" s="622"/>
      <c r="T50" s="622"/>
      <c r="U50" s="622"/>
      <c r="V50" s="622"/>
      <c r="W50" s="622"/>
      <c r="X50" s="622"/>
      <c r="Y50" s="622"/>
      <c r="Z50" s="622"/>
      <c r="AA50" s="622"/>
      <c r="AB50" s="622"/>
      <c r="AC50" s="622"/>
      <c r="AD50" s="624">
        <v>320467.47888888896</v>
      </c>
      <c r="AE50"/>
    </row>
    <row r="51" spans="1:31">
      <c r="A51" s="524"/>
      <c r="B51" s="533" t="s">
        <v>664</v>
      </c>
      <c r="C51" s="622"/>
      <c r="D51" s="623"/>
      <c r="E51" s="623"/>
      <c r="F51" s="623"/>
      <c r="G51" s="623"/>
      <c r="H51" s="623"/>
      <c r="I51" s="622"/>
      <c r="J51" s="622">
        <v>275621.49666666664</v>
      </c>
      <c r="K51" s="623">
        <v>29592.867777777778</v>
      </c>
      <c r="L51" s="623"/>
      <c r="M51" s="623">
        <v>1582.8911111111111</v>
      </c>
      <c r="N51" s="622">
        <v>306797.25555555552</v>
      </c>
      <c r="O51" s="622"/>
      <c r="P51" s="622"/>
      <c r="Q51" s="622"/>
      <c r="R51" s="623"/>
      <c r="S51" s="622"/>
      <c r="T51" s="622"/>
      <c r="U51" s="622"/>
      <c r="V51" s="622"/>
      <c r="W51" s="622"/>
      <c r="X51" s="622"/>
      <c r="Y51" s="622"/>
      <c r="Z51" s="622"/>
      <c r="AA51" s="622"/>
      <c r="AB51" s="622"/>
      <c r="AC51" s="622"/>
      <c r="AD51" s="624">
        <v>306797.25555555552</v>
      </c>
      <c r="AE51"/>
    </row>
    <row r="52" spans="1:31">
      <c r="A52" s="524"/>
      <c r="B52" s="533" t="s">
        <v>672</v>
      </c>
      <c r="C52" s="622">
        <v>0</v>
      </c>
      <c r="D52" s="623">
        <v>0</v>
      </c>
      <c r="E52" s="623">
        <v>0</v>
      </c>
      <c r="F52" s="623">
        <v>0</v>
      </c>
      <c r="G52" s="623">
        <v>0</v>
      </c>
      <c r="H52" s="623">
        <v>0</v>
      </c>
      <c r="I52" s="622">
        <v>0</v>
      </c>
      <c r="J52" s="622">
        <v>-4.3363059807335916E-2</v>
      </c>
      <c r="K52" s="623">
        <v>-3.9144111205323781E-2</v>
      </c>
      <c r="L52" s="623">
        <v>0</v>
      </c>
      <c r="M52" s="623">
        <v>1.8600188189802816E-2</v>
      </c>
      <c r="N52" s="622">
        <v>-4.2657131328053002E-2</v>
      </c>
      <c r="O52" s="622">
        <v>0</v>
      </c>
      <c r="P52" s="622">
        <v>0</v>
      </c>
      <c r="Q52" s="622">
        <v>0</v>
      </c>
      <c r="R52" s="623">
        <v>0</v>
      </c>
      <c r="S52" s="622">
        <v>0</v>
      </c>
      <c r="T52" s="622">
        <v>0</v>
      </c>
      <c r="U52" s="622">
        <v>0</v>
      </c>
      <c r="V52" s="622">
        <v>0</v>
      </c>
      <c r="W52" s="622">
        <v>0</v>
      </c>
      <c r="X52" s="622">
        <v>0</v>
      </c>
      <c r="Y52" s="622">
        <v>0</v>
      </c>
      <c r="Z52" s="622">
        <v>0</v>
      </c>
      <c r="AA52" s="622">
        <v>0</v>
      </c>
      <c r="AB52" s="622">
        <v>0</v>
      </c>
      <c r="AC52" s="622">
        <v>0</v>
      </c>
      <c r="AD52" s="624">
        <v>-4.2657131328053002E-2</v>
      </c>
      <c r="AE52"/>
    </row>
    <row r="53" spans="1:31">
      <c r="A53" s="534" t="s">
        <v>158</v>
      </c>
      <c r="B53" s="533" t="s">
        <v>646</v>
      </c>
      <c r="C53" s="622">
        <v>67281.533333333326</v>
      </c>
      <c r="D53" s="623">
        <v>15204.251</v>
      </c>
      <c r="E53" s="623">
        <v>68859.233333333337</v>
      </c>
      <c r="F53" s="623">
        <v>44528.666666666672</v>
      </c>
      <c r="G53" s="623">
        <v>11919</v>
      </c>
      <c r="H53" s="623">
        <v>23159.100000000002</v>
      </c>
      <c r="I53" s="622">
        <v>230951.78433333334</v>
      </c>
      <c r="J53" s="622">
        <v>10092.666666666666</v>
      </c>
      <c r="K53" s="623"/>
      <c r="L53" s="623"/>
      <c r="M53" s="623"/>
      <c r="N53" s="622">
        <v>10092.666666666666</v>
      </c>
      <c r="O53" s="622"/>
      <c r="P53" s="622"/>
      <c r="Q53" s="622">
        <v>67961.233333333337</v>
      </c>
      <c r="R53" s="623"/>
      <c r="S53" s="622">
        <v>67961.233333333337</v>
      </c>
      <c r="T53" s="622"/>
      <c r="U53" s="622"/>
      <c r="V53" s="622"/>
      <c r="W53" s="622"/>
      <c r="X53" s="622"/>
      <c r="Y53" s="622"/>
      <c r="Z53" s="622"/>
      <c r="AA53" s="622"/>
      <c r="AB53" s="622"/>
      <c r="AC53" s="622"/>
      <c r="AD53" s="624">
        <v>309005.68433333334</v>
      </c>
      <c r="AE53"/>
    </row>
    <row r="54" spans="1:31">
      <c r="A54" s="524"/>
      <c r="B54" s="533" t="s">
        <v>647</v>
      </c>
      <c r="C54" s="622">
        <v>67872.183333333334</v>
      </c>
      <c r="D54" s="623">
        <v>16065.665666666666</v>
      </c>
      <c r="E54" s="623">
        <v>71271.733333333337</v>
      </c>
      <c r="F54" s="623">
        <v>44653.4</v>
      </c>
      <c r="G54" s="623">
        <v>11939.933333333334</v>
      </c>
      <c r="H54" s="623">
        <v>22397.8</v>
      </c>
      <c r="I54" s="622">
        <v>234200.71566666663</v>
      </c>
      <c r="J54" s="622">
        <v>9231.1</v>
      </c>
      <c r="K54" s="623"/>
      <c r="L54" s="623"/>
      <c r="M54" s="623"/>
      <c r="N54" s="622">
        <v>9231.1</v>
      </c>
      <c r="O54" s="622"/>
      <c r="P54" s="622"/>
      <c r="Q54" s="622">
        <v>65212.350000000013</v>
      </c>
      <c r="R54" s="623"/>
      <c r="S54" s="622">
        <v>65212.350000000013</v>
      </c>
      <c r="T54" s="622"/>
      <c r="U54" s="622"/>
      <c r="V54" s="622"/>
      <c r="W54" s="622"/>
      <c r="X54" s="622"/>
      <c r="Y54" s="622"/>
      <c r="Z54" s="622"/>
      <c r="AA54" s="622"/>
      <c r="AB54" s="622"/>
      <c r="AC54" s="622"/>
      <c r="AD54" s="624">
        <v>308644.16566666664</v>
      </c>
      <c r="AE54"/>
    </row>
    <row r="55" spans="1:31">
      <c r="A55" s="524"/>
      <c r="B55" s="533" t="s">
        <v>666</v>
      </c>
      <c r="C55" s="622">
        <v>8.7787832817921626E-3</v>
      </c>
      <c r="D55" s="623">
        <v>5.6656172452471724E-2</v>
      </c>
      <c r="E55" s="623">
        <v>3.5035243397520642E-2</v>
      </c>
      <c r="F55" s="623">
        <v>2.8011917416494976E-3</v>
      </c>
      <c r="G55" s="623">
        <v>1.7562994658389382E-3</v>
      </c>
      <c r="H55" s="623">
        <v>-3.2872607312028658E-2</v>
      </c>
      <c r="I55" s="622">
        <v>1.4067574072708523E-2</v>
      </c>
      <c r="J55" s="622">
        <v>-8.5365611995508198E-2</v>
      </c>
      <c r="K55" s="631">
        <v>0</v>
      </c>
      <c r="L55" s="623">
        <v>0</v>
      </c>
      <c r="M55" s="623">
        <v>0</v>
      </c>
      <c r="N55" s="622">
        <v>-8.5365611995508198E-2</v>
      </c>
      <c r="O55" s="622">
        <v>0</v>
      </c>
      <c r="P55" s="622">
        <v>0</v>
      </c>
      <c r="Q55" s="622">
        <v>-4.0447814121481865E-2</v>
      </c>
      <c r="R55" s="623">
        <v>0</v>
      </c>
      <c r="S55" s="622">
        <v>-4.0447814121481865E-2</v>
      </c>
      <c r="T55" s="622">
        <v>0</v>
      </c>
      <c r="U55" s="622">
        <v>0</v>
      </c>
      <c r="V55" s="622">
        <v>0</v>
      </c>
      <c r="W55" s="622">
        <v>0</v>
      </c>
      <c r="X55" s="622">
        <v>0</v>
      </c>
      <c r="Y55" s="622">
        <v>0</v>
      </c>
      <c r="Z55" s="622">
        <v>0</v>
      </c>
      <c r="AA55" s="622">
        <v>0</v>
      </c>
      <c r="AB55" s="622">
        <v>0</v>
      </c>
      <c r="AC55" s="622">
        <v>0</v>
      </c>
      <c r="AD55" s="624">
        <v>-1.1699418004127034E-3</v>
      </c>
      <c r="AE55"/>
    </row>
    <row r="56" spans="1:31">
      <c r="A56" s="524"/>
      <c r="B56" s="533" t="s">
        <v>654</v>
      </c>
      <c r="C56" s="622">
        <v>0</v>
      </c>
      <c r="D56" s="623">
        <v>0</v>
      </c>
      <c r="E56" s="623">
        <v>0</v>
      </c>
      <c r="F56" s="623">
        <v>0</v>
      </c>
      <c r="G56" s="623">
        <v>0</v>
      </c>
      <c r="H56" s="623">
        <v>0</v>
      </c>
      <c r="I56" s="622">
        <v>0</v>
      </c>
      <c r="J56" s="622">
        <v>0</v>
      </c>
      <c r="K56" s="623"/>
      <c r="L56" s="623"/>
      <c r="M56" s="623"/>
      <c r="N56" s="622">
        <v>0</v>
      </c>
      <c r="O56" s="622"/>
      <c r="P56" s="622"/>
      <c r="Q56" s="622">
        <v>0</v>
      </c>
      <c r="R56" s="623"/>
      <c r="S56" s="622">
        <v>0</v>
      </c>
      <c r="T56" s="622"/>
      <c r="U56" s="622"/>
      <c r="V56" s="622"/>
      <c r="W56" s="622"/>
      <c r="X56" s="622"/>
      <c r="Y56" s="622"/>
      <c r="Z56" s="622"/>
      <c r="AA56" s="622"/>
      <c r="AB56" s="622"/>
      <c r="AC56" s="622"/>
      <c r="AD56" s="624">
        <v>0</v>
      </c>
      <c r="AE56"/>
    </row>
    <row r="57" spans="1:31">
      <c r="A57" s="524"/>
      <c r="B57" s="533" t="s">
        <v>656</v>
      </c>
      <c r="C57" s="622">
        <v>0</v>
      </c>
      <c r="D57" s="623">
        <v>0</v>
      </c>
      <c r="E57" s="623">
        <v>0</v>
      </c>
      <c r="F57" s="623">
        <v>0</v>
      </c>
      <c r="G57" s="623">
        <v>0</v>
      </c>
      <c r="H57" s="623">
        <v>0</v>
      </c>
      <c r="I57" s="622">
        <v>0</v>
      </c>
      <c r="J57" s="622">
        <v>0</v>
      </c>
      <c r="K57" s="623"/>
      <c r="L57" s="623"/>
      <c r="M57" s="623"/>
      <c r="N57" s="622">
        <v>0</v>
      </c>
      <c r="O57" s="622"/>
      <c r="P57" s="622"/>
      <c r="Q57" s="622">
        <v>0</v>
      </c>
      <c r="R57" s="623"/>
      <c r="S57" s="622">
        <v>0</v>
      </c>
      <c r="T57" s="622"/>
      <c r="U57" s="622"/>
      <c r="V57" s="622"/>
      <c r="W57" s="622"/>
      <c r="X57" s="622"/>
      <c r="Y57" s="622"/>
      <c r="Z57" s="622"/>
      <c r="AA57" s="622"/>
      <c r="AB57" s="622"/>
      <c r="AC57" s="622"/>
      <c r="AD57" s="624">
        <v>0</v>
      </c>
      <c r="AE57"/>
    </row>
    <row r="58" spans="1:31">
      <c r="A58" s="524"/>
      <c r="B58" s="533" t="s">
        <v>668</v>
      </c>
      <c r="C58" s="622">
        <v>0</v>
      </c>
      <c r="D58" s="623">
        <v>0</v>
      </c>
      <c r="E58" s="623">
        <v>0</v>
      </c>
      <c r="F58" s="623">
        <v>0</v>
      </c>
      <c r="G58" s="623">
        <v>0</v>
      </c>
      <c r="H58" s="623">
        <v>0</v>
      </c>
      <c r="I58" s="622">
        <v>0</v>
      </c>
      <c r="J58" s="622">
        <v>0</v>
      </c>
      <c r="K58" s="623">
        <v>0</v>
      </c>
      <c r="L58" s="623">
        <v>0</v>
      </c>
      <c r="M58" s="623">
        <v>0</v>
      </c>
      <c r="N58" s="622">
        <v>0</v>
      </c>
      <c r="O58" s="622">
        <v>0</v>
      </c>
      <c r="P58" s="622">
        <v>0</v>
      </c>
      <c r="Q58" s="622">
        <v>0</v>
      </c>
      <c r="R58" s="623">
        <v>0</v>
      </c>
      <c r="S58" s="622">
        <v>0</v>
      </c>
      <c r="T58" s="622">
        <v>0</v>
      </c>
      <c r="U58" s="622">
        <v>0</v>
      </c>
      <c r="V58" s="622">
        <v>0</v>
      </c>
      <c r="W58" s="622">
        <v>0</v>
      </c>
      <c r="X58" s="622">
        <v>0</v>
      </c>
      <c r="Y58" s="622">
        <v>0</v>
      </c>
      <c r="Z58" s="622">
        <v>0</v>
      </c>
      <c r="AA58" s="622">
        <v>0</v>
      </c>
      <c r="AB58" s="622">
        <v>0</v>
      </c>
      <c r="AC58" s="622">
        <v>0</v>
      </c>
      <c r="AD58" s="624">
        <v>0</v>
      </c>
      <c r="AE58"/>
    </row>
    <row r="59" spans="1:31">
      <c r="A59" s="524"/>
      <c r="B59" s="533" t="s">
        <v>658</v>
      </c>
      <c r="C59" s="622">
        <v>21089.300000000003</v>
      </c>
      <c r="D59" s="623">
        <v>15662.729166666666</v>
      </c>
      <c r="E59" s="623">
        <v>8854.1291666666675</v>
      </c>
      <c r="F59" s="623">
        <v>5698.333333333333</v>
      </c>
      <c r="G59" s="623">
        <v>616.125</v>
      </c>
      <c r="H59" s="623">
        <v>0</v>
      </c>
      <c r="I59" s="622">
        <v>51920.616666666669</v>
      </c>
      <c r="J59" s="622">
        <v>0</v>
      </c>
      <c r="K59" s="623"/>
      <c r="L59" s="623"/>
      <c r="M59" s="623"/>
      <c r="N59" s="622">
        <v>0</v>
      </c>
      <c r="O59" s="622"/>
      <c r="P59" s="622"/>
      <c r="Q59" s="622">
        <v>0</v>
      </c>
      <c r="R59" s="623"/>
      <c r="S59" s="622">
        <v>0</v>
      </c>
      <c r="T59" s="622"/>
      <c r="U59" s="622"/>
      <c r="V59" s="622"/>
      <c r="W59" s="622"/>
      <c r="X59" s="622"/>
      <c r="Y59" s="622"/>
      <c r="Z59" s="622"/>
      <c r="AA59" s="622"/>
      <c r="AB59" s="622"/>
      <c r="AC59" s="622"/>
      <c r="AD59" s="624">
        <v>51920.616666666669</v>
      </c>
      <c r="AE59"/>
    </row>
    <row r="60" spans="1:31">
      <c r="A60" s="524"/>
      <c r="B60" s="533" t="s">
        <v>660</v>
      </c>
      <c r="C60" s="622">
        <v>21274.120833333334</v>
      </c>
      <c r="D60" s="623">
        <v>16780.770833333332</v>
      </c>
      <c r="E60" s="623">
        <v>9496.4166666666661</v>
      </c>
      <c r="F60" s="623">
        <v>6179.583333333333</v>
      </c>
      <c r="G60" s="623">
        <v>673.45833333333326</v>
      </c>
      <c r="H60" s="623">
        <v>0</v>
      </c>
      <c r="I60" s="622">
        <v>54404.35</v>
      </c>
      <c r="J60" s="622">
        <v>0</v>
      </c>
      <c r="K60" s="623"/>
      <c r="L60" s="623"/>
      <c r="M60" s="623"/>
      <c r="N60" s="622">
        <v>0</v>
      </c>
      <c r="O60" s="622"/>
      <c r="P60" s="622"/>
      <c r="Q60" s="622">
        <v>0</v>
      </c>
      <c r="R60" s="623"/>
      <c r="S60" s="622">
        <v>0</v>
      </c>
      <c r="T60" s="622"/>
      <c r="U60" s="622"/>
      <c r="V60" s="622"/>
      <c r="W60" s="622"/>
      <c r="X60" s="622"/>
      <c r="Y60" s="622"/>
      <c r="Z60" s="622"/>
      <c r="AA60" s="622"/>
      <c r="AB60" s="622"/>
      <c r="AC60" s="622"/>
      <c r="AD60" s="624">
        <v>54404.35</v>
      </c>
      <c r="AE60"/>
    </row>
    <row r="61" spans="1:31">
      <c r="A61" s="524"/>
      <c r="B61" s="533" t="s">
        <v>670</v>
      </c>
      <c r="C61" s="622">
        <v>8.7637253646793093E-3</v>
      </c>
      <c r="D61" s="623">
        <v>7.1382302200952069E-2</v>
      </c>
      <c r="E61" s="623">
        <v>7.2541013114878899E-2</v>
      </c>
      <c r="F61" s="623">
        <v>8.4454518865165251E-2</v>
      </c>
      <c r="G61" s="630">
        <v>9.3054710218434991E-2</v>
      </c>
      <c r="H61" s="623">
        <v>0</v>
      </c>
      <c r="I61" s="622">
        <v>4.7837130850718515E-2</v>
      </c>
      <c r="J61" s="622">
        <v>0</v>
      </c>
      <c r="K61" s="623">
        <v>0</v>
      </c>
      <c r="L61" s="623">
        <v>0</v>
      </c>
      <c r="M61" s="623">
        <v>0</v>
      </c>
      <c r="N61" s="622">
        <v>0</v>
      </c>
      <c r="O61" s="622">
        <v>0</v>
      </c>
      <c r="P61" s="622">
        <v>0</v>
      </c>
      <c r="Q61" s="622">
        <v>0</v>
      </c>
      <c r="R61" s="623">
        <v>0</v>
      </c>
      <c r="S61" s="622">
        <v>0</v>
      </c>
      <c r="T61" s="622">
        <v>0</v>
      </c>
      <c r="U61" s="622">
        <v>0</v>
      </c>
      <c r="V61" s="622">
        <v>0</v>
      </c>
      <c r="W61" s="622">
        <v>0</v>
      </c>
      <c r="X61" s="622">
        <v>0</v>
      </c>
      <c r="Y61" s="622">
        <v>0</v>
      </c>
      <c r="Z61" s="622">
        <v>0</v>
      </c>
      <c r="AA61" s="622">
        <v>0</v>
      </c>
      <c r="AB61" s="622">
        <v>0</v>
      </c>
      <c r="AC61" s="622">
        <v>0</v>
      </c>
      <c r="AD61" s="624">
        <v>4.7837130850718515E-2</v>
      </c>
      <c r="AE61"/>
    </row>
    <row r="62" spans="1:31">
      <c r="A62" s="524"/>
      <c r="B62" s="533" t="s">
        <v>662</v>
      </c>
      <c r="C62" s="622">
        <v>88370.833333333343</v>
      </c>
      <c r="D62" s="623">
        <v>30866.980166666668</v>
      </c>
      <c r="E62" s="623">
        <v>77713.362500000003</v>
      </c>
      <c r="F62" s="623">
        <v>50227</v>
      </c>
      <c r="G62" s="623">
        <v>12535.125</v>
      </c>
      <c r="H62" s="623">
        <v>23159.100000000002</v>
      </c>
      <c r="I62" s="622">
        <v>282872.40100000001</v>
      </c>
      <c r="J62" s="622">
        <v>10092.666666666666</v>
      </c>
      <c r="K62" s="623"/>
      <c r="L62" s="623"/>
      <c r="M62" s="623"/>
      <c r="N62" s="622">
        <v>10092.666666666666</v>
      </c>
      <c r="O62" s="622"/>
      <c r="P62" s="622"/>
      <c r="Q62" s="622">
        <v>67961.233333333337</v>
      </c>
      <c r="R62" s="623"/>
      <c r="S62" s="622">
        <v>67961.233333333337</v>
      </c>
      <c r="T62" s="622"/>
      <c r="U62" s="622"/>
      <c r="V62" s="622"/>
      <c r="W62" s="622"/>
      <c r="X62" s="622"/>
      <c r="Y62" s="622"/>
      <c r="Z62" s="622"/>
      <c r="AA62" s="622"/>
      <c r="AB62" s="622"/>
      <c r="AC62" s="622"/>
      <c r="AD62" s="624">
        <v>360926.30100000004</v>
      </c>
      <c r="AE62"/>
    </row>
    <row r="63" spans="1:31">
      <c r="A63" s="524"/>
      <c r="B63" s="533" t="s">
        <v>664</v>
      </c>
      <c r="C63" s="622">
        <v>89146.304166666669</v>
      </c>
      <c r="D63" s="623">
        <v>32846.436499999996</v>
      </c>
      <c r="E63" s="623">
        <v>80768.150000000009</v>
      </c>
      <c r="F63" s="623">
        <v>50832.98333333333</v>
      </c>
      <c r="G63" s="623">
        <v>12613.391666666666</v>
      </c>
      <c r="H63" s="623">
        <v>22397.8</v>
      </c>
      <c r="I63" s="622">
        <v>288605.06566666666</v>
      </c>
      <c r="J63" s="622">
        <v>9231.1</v>
      </c>
      <c r="K63" s="623"/>
      <c r="L63" s="623"/>
      <c r="M63" s="623"/>
      <c r="N63" s="622">
        <v>9231.1</v>
      </c>
      <c r="O63" s="622"/>
      <c r="P63" s="622"/>
      <c r="Q63" s="622">
        <v>65212.350000000013</v>
      </c>
      <c r="R63" s="623"/>
      <c r="S63" s="622">
        <v>65212.350000000013</v>
      </c>
      <c r="T63" s="622"/>
      <c r="U63" s="622"/>
      <c r="V63" s="622"/>
      <c r="W63" s="622"/>
      <c r="X63" s="622"/>
      <c r="Y63" s="622"/>
      <c r="Z63" s="622"/>
      <c r="AA63" s="622"/>
      <c r="AB63" s="622"/>
      <c r="AC63" s="622"/>
      <c r="AD63" s="624">
        <v>363048.51566666667</v>
      </c>
      <c r="AE63"/>
    </row>
    <row r="64" spans="1:31">
      <c r="A64" s="524"/>
      <c r="B64" s="533" t="s">
        <v>672</v>
      </c>
      <c r="C64" s="622">
        <v>8.7751897779243769E-3</v>
      </c>
      <c r="D64" s="623">
        <v>6.4128603531839759E-2</v>
      </c>
      <c r="E64" s="623">
        <v>3.9308394357534145E-2</v>
      </c>
      <c r="F64" s="623">
        <v>1.2064892056729049E-2</v>
      </c>
      <c r="G64" s="623">
        <v>6.2437882882433503E-3</v>
      </c>
      <c r="H64" s="623">
        <v>-3.2872607312028658E-2</v>
      </c>
      <c r="I64" s="622">
        <v>2.0265903094118364E-2</v>
      </c>
      <c r="J64" s="622">
        <v>-8.5365611995508198E-2</v>
      </c>
      <c r="K64" s="630">
        <v>0</v>
      </c>
      <c r="L64" s="623">
        <v>0</v>
      </c>
      <c r="M64" s="623">
        <v>0</v>
      </c>
      <c r="N64" s="622">
        <v>-8.5365611995508198E-2</v>
      </c>
      <c r="O64" s="622">
        <v>0</v>
      </c>
      <c r="P64" s="622">
        <v>0</v>
      </c>
      <c r="Q64" s="622">
        <v>-4.0447814121481865E-2</v>
      </c>
      <c r="R64" s="623">
        <v>0</v>
      </c>
      <c r="S64" s="622">
        <v>-4.0447814121481865E-2</v>
      </c>
      <c r="T64" s="622">
        <v>0</v>
      </c>
      <c r="U64" s="622">
        <v>0</v>
      </c>
      <c r="V64" s="622">
        <v>0</v>
      </c>
      <c r="W64" s="622">
        <v>0</v>
      </c>
      <c r="X64" s="622">
        <v>0</v>
      </c>
      <c r="Y64" s="622">
        <v>0</v>
      </c>
      <c r="Z64" s="622">
        <v>0</v>
      </c>
      <c r="AA64" s="622">
        <v>0</v>
      </c>
      <c r="AB64" s="622">
        <v>0</v>
      </c>
      <c r="AC64" s="622">
        <v>0</v>
      </c>
      <c r="AD64" s="624">
        <v>5.8799113857504557E-3</v>
      </c>
      <c r="AE64"/>
    </row>
    <row r="65" spans="1:31">
      <c r="A65" s="534" t="s">
        <v>205</v>
      </c>
      <c r="B65" s="533" t="s">
        <v>646</v>
      </c>
      <c r="C65" s="622">
        <v>32628.15</v>
      </c>
      <c r="D65" s="623"/>
      <c r="E65" s="623">
        <v>43091.383333333331</v>
      </c>
      <c r="F65" s="623">
        <v>1458.6166666666666</v>
      </c>
      <c r="G65" s="623"/>
      <c r="H65" s="623"/>
      <c r="I65" s="622">
        <v>77178.149999999994</v>
      </c>
      <c r="J65" s="622"/>
      <c r="K65" s="623">
        <v>12917.656666666666</v>
      </c>
      <c r="L65" s="623">
        <v>16668.643333333333</v>
      </c>
      <c r="M65" s="623">
        <v>9589.3133333333335</v>
      </c>
      <c r="N65" s="622">
        <v>39175.613333333335</v>
      </c>
      <c r="O65" s="622"/>
      <c r="P65" s="622"/>
      <c r="Q65" s="622">
        <v>5150.6966666666667</v>
      </c>
      <c r="R65" s="623"/>
      <c r="S65" s="622">
        <v>5150.6966666666667</v>
      </c>
      <c r="T65" s="622"/>
      <c r="U65" s="622"/>
      <c r="V65" s="622"/>
      <c r="W65" s="622"/>
      <c r="X65" s="622"/>
      <c r="Y65" s="622"/>
      <c r="Z65" s="622"/>
      <c r="AA65" s="622"/>
      <c r="AB65" s="622"/>
      <c r="AC65" s="622"/>
      <c r="AD65" s="624">
        <v>121504.45999999999</v>
      </c>
      <c r="AE65"/>
    </row>
    <row r="66" spans="1:31">
      <c r="A66" s="524"/>
      <c r="B66" s="533" t="s">
        <v>647</v>
      </c>
      <c r="C66" s="622">
        <v>33094.866666666669</v>
      </c>
      <c r="D66" s="623"/>
      <c r="E66" s="623">
        <v>45346.5</v>
      </c>
      <c r="F66" s="623">
        <v>1653.7666666666667</v>
      </c>
      <c r="G66" s="623"/>
      <c r="H66" s="623"/>
      <c r="I66" s="622">
        <v>80095.133333333331</v>
      </c>
      <c r="J66" s="622"/>
      <c r="K66" s="623">
        <v>13026.133333333333</v>
      </c>
      <c r="L66" s="623">
        <v>15528.9</v>
      </c>
      <c r="M66" s="623">
        <v>8989.2999999999993</v>
      </c>
      <c r="N66" s="622">
        <v>37544.333333333328</v>
      </c>
      <c r="O66" s="622"/>
      <c r="P66" s="622"/>
      <c r="Q66" s="622">
        <v>5040.7</v>
      </c>
      <c r="R66" s="623"/>
      <c r="S66" s="622">
        <v>5040.7</v>
      </c>
      <c r="T66" s="622"/>
      <c r="U66" s="622"/>
      <c r="V66" s="622"/>
      <c r="W66" s="622"/>
      <c r="X66" s="622"/>
      <c r="Y66" s="622"/>
      <c r="Z66" s="622"/>
      <c r="AA66" s="622"/>
      <c r="AB66" s="622"/>
      <c r="AC66" s="622"/>
      <c r="AD66" s="624">
        <v>122680.16666666666</v>
      </c>
      <c r="AE66"/>
    </row>
    <row r="67" spans="1:31">
      <c r="A67" s="524"/>
      <c r="B67" s="533" t="s">
        <v>666</v>
      </c>
      <c r="C67" s="622">
        <v>1.4304110612053307E-2</v>
      </c>
      <c r="D67" s="623">
        <v>0</v>
      </c>
      <c r="E67" s="623">
        <v>5.2333355121654296E-2</v>
      </c>
      <c r="F67" s="623">
        <v>0.13379114914816556</v>
      </c>
      <c r="G67" s="623">
        <v>0</v>
      </c>
      <c r="H67" s="623">
        <v>0</v>
      </c>
      <c r="I67" s="622">
        <v>3.7795455492692198E-2</v>
      </c>
      <c r="J67" s="622">
        <v>0</v>
      </c>
      <c r="K67" s="623">
        <v>8.3975499168193329E-3</v>
      </c>
      <c r="L67" s="623">
        <v>-6.8376490548221008E-2</v>
      </c>
      <c r="M67" s="623">
        <v>-6.2571042625923251E-2</v>
      </c>
      <c r="N67" s="622">
        <v>-4.1640190445007746E-2</v>
      </c>
      <c r="O67" s="622">
        <v>0</v>
      </c>
      <c r="P67" s="622">
        <v>0</v>
      </c>
      <c r="Q67" s="622">
        <v>-2.1355687159471677E-2</v>
      </c>
      <c r="R67" s="623">
        <v>0</v>
      </c>
      <c r="S67" s="622">
        <v>-2.1355687159471677E-2</v>
      </c>
      <c r="T67" s="622">
        <v>0</v>
      </c>
      <c r="U67" s="622">
        <v>0</v>
      </c>
      <c r="V67" s="622">
        <v>0</v>
      </c>
      <c r="W67" s="622">
        <v>0</v>
      </c>
      <c r="X67" s="622">
        <v>0</v>
      </c>
      <c r="Y67" s="622">
        <v>0</v>
      </c>
      <c r="Z67" s="622">
        <v>0</v>
      </c>
      <c r="AA67" s="622">
        <v>0</v>
      </c>
      <c r="AB67" s="622">
        <v>0</v>
      </c>
      <c r="AC67" s="622">
        <v>0</v>
      </c>
      <c r="AD67" s="624">
        <v>9.6762428857891346E-3</v>
      </c>
      <c r="AE67"/>
    </row>
    <row r="68" spans="1:31">
      <c r="A68" s="524"/>
      <c r="B68" s="533" t="s">
        <v>654</v>
      </c>
      <c r="C68" s="622">
        <v>0</v>
      </c>
      <c r="D68" s="623"/>
      <c r="E68" s="623">
        <v>0</v>
      </c>
      <c r="F68" s="623">
        <v>0</v>
      </c>
      <c r="G68" s="623"/>
      <c r="H68" s="623"/>
      <c r="I68" s="622">
        <v>0</v>
      </c>
      <c r="J68" s="622"/>
      <c r="K68" s="623">
        <v>0</v>
      </c>
      <c r="L68" s="623">
        <v>0</v>
      </c>
      <c r="M68" s="623">
        <v>0</v>
      </c>
      <c r="N68" s="622">
        <v>0</v>
      </c>
      <c r="O68" s="622"/>
      <c r="P68" s="622"/>
      <c r="Q68" s="622">
        <v>0</v>
      </c>
      <c r="R68" s="623"/>
      <c r="S68" s="622">
        <v>0</v>
      </c>
      <c r="T68" s="622"/>
      <c r="U68" s="622"/>
      <c r="V68" s="622"/>
      <c r="W68" s="622"/>
      <c r="X68" s="622"/>
      <c r="Y68" s="622"/>
      <c r="Z68" s="622"/>
      <c r="AA68" s="622"/>
      <c r="AB68" s="622"/>
      <c r="AC68" s="622"/>
      <c r="AD68" s="624">
        <v>0</v>
      </c>
      <c r="AE68"/>
    </row>
    <row r="69" spans="1:31">
      <c r="A69" s="524"/>
      <c r="B69" s="533" t="s">
        <v>656</v>
      </c>
      <c r="C69" s="622">
        <v>0</v>
      </c>
      <c r="D69" s="623"/>
      <c r="E69" s="623">
        <v>0</v>
      </c>
      <c r="F69" s="623">
        <v>0</v>
      </c>
      <c r="G69" s="623"/>
      <c r="H69" s="623"/>
      <c r="I69" s="622">
        <v>0</v>
      </c>
      <c r="J69" s="622"/>
      <c r="K69" s="623">
        <v>0</v>
      </c>
      <c r="L69" s="623">
        <v>0</v>
      </c>
      <c r="M69" s="623">
        <v>0</v>
      </c>
      <c r="N69" s="622">
        <v>0</v>
      </c>
      <c r="O69" s="622"/>
      <c r="P69" s="622"/>
      <c r="Q69" s="622">
        <v>0</v>
      </c>
      <c r="R69" s="623"/>
      <c r="S69" s="622">
        <v>0</v>
      </c>
      <c r="T69" s="622"/>
      <c r="U69" s="622"/>
      <c r="V69" s="622"/>
      <c r="W69" s="622"/>
      <c r="X69" s="622"/>
      <c r="Y69" s="622"/>
      <c r="Z69" s="622"/>
      <c r="AA69" s="622"/>
      <c r="AB69" s="622"/>
      <c r="AC69" s="622"/>
      <c r="AD69" s="624">
        <v>0</v>
      </c>
      <c r="AE69"/>
    </row>
    <row r="70" spans="1:31">
      <c r="A70" s="524"/>
      <c r="B70" s="533" t="s">
        <v>668</v>
      </c>
      <c r="C70" s="622">
        <v>0</v>
      </c>
      <c r="D70" s="623">
        <v>0</v>
      </c>
      <c r="E70" s="623">
        <v>0</v>
      </c>
      <c r="F70" s="623">
        <v>0</v>
      </c>
      <c r="G70" s="623">
        <v>0</v>
      </c>
      <c r="H70" s="623">
        <v>0</v>
      </c>
      <c r="I70" s="622">
        <v>0</v>
      </c>
      <c r="J70" s="622">
        <v>0</v>
      </c>
      <c r="K70" s="623">
        <v>0</v>
      </c>
      <c r="L70" s="623">
        <v>0</v>
      </c>
      <c r="M70" s="623">
        <v>0</v>
      </c>
      <c r="N70" s="622">
        <v>0</v>
      </c>
      <c r="O70" s="622">
        <v>0</v>
      </c>
      <c r="P70" s="622">
        <v>0</v>
      </c>
      <c r="Q70" s="622">
        <v>0</v>
      </c>
      <c r="R70" s="623">
        <v>0</v>
      </c>
      <c r="S70" s="622">
        <v>0</v>
      </c>
      <c r="T70" s="622">
        <v>0</v>
      </c>
      <c r="U70" s="622">
        <v>0</v>
      </c>
      <c r="V70" s="622">
        <v>0</v>
      </c>
      <c r="W70" s="622">
        <v>0</v>
      </c>
      <c r="X70" s="622">
        <v>0</v>
      </c>
      <c r="Y70" s="622">
        <v>0</v>
      </c>
      <c r="Z70" s="622">
        <v>0</v>
      </c>
      <c r="AA70" s="622">
        <v>0</v>
      </c>
      <c r="AB70" s="622">
        <v>0</v>
      </c>
      <c r="AC70" s="622">
        <v>0</v>
      </c>
      <c r="AD70" s="624">
        <v>0</v>
      </c>
      <c r="AE70"/>
    </row>
    <row r="71" spans="1:31">
      <c r="A71" s="524"/>
      <c r="B71" s="533" t="s">
        <v>658</v>
      </c>
      <c r="C71" s="622">
        <v>6615.8958333333339</v>
      </c>
      <c r="D71" s="623"/>
      <c r="E71" s="623">
        <v>6892.895833333333</v>
      </c>
      <c r="F71" s="623">
        <v>70.958333333333329</v>
      </c>
      <c r="G71" s="623"/>
      <c r="H71" s="623"/>
      <c r="I71" s="622">
        <v>13579.750000000002</v>
      </c>
      <c r="J71" s="622"/>
      <c r="K71" s="623">
        <v>0</v>
      </c>
      <c r="L71" s="623">
        <v>0</v>
      </c>
      <c r="M71" s="623">
        <v>0</v>
      </c>
      <c r="N71" s="622">
        <v>0</v>
      </c>
      <c r="O71" s="622"/>
      <c r="P71" s="622"/>
      <c r="Q71" s="622">
        <v>0</v>
      </c>
      <c r="R71" s="623"/>
      <c r="S71" s="622">
        <v>0</v>
      </c>
      <c r="T71" s="622"/>
      <c r="U71" s="622"/>
      <c r="V71" s="622"/>
      <c r="W71" s="622"/>
      <c r="X71" s="622"/>
      <c r="Y71" s="622"/>
      <c r="Z71" s="622"/>
      <c r="AA71" s="622"/>
      <c r="AB71" s="622"/>
      <c r="AC71" s="622"/>
      <c r="AD71" s="624">
        <v>13579.750000000002</v>
      </c>
      <c r="AE71"/>
    </row>
    <row r="72" spans="1:31">
      <c r="A72" s="524"/>
      <c r="B72" s="533" t="s">
        <v>660</v>
      </c>
      <c r="C72" s="622">
        <v>7172.125</v>
      </c>
      <c r="D72" s="623"/>
      <c r="E72" s="623">
        <v>7607.666666666667</v>
      </c>
      <c r="F72" s="623">
        <v>79.75</v>
      </c>
      <c r="G72" s="623"/>
      <c r="H72" s="623"/>
      <c r="I72" s="622">
        <v>14859.541666666668</v>
      </c>
      <c r="J72" s="622"/>
      <c r="K72" s="623">
        <v>0</v>
      </c>
      <c r="L72" s="623">
        <v>0</v>
      </c>
      <c r="M72" s="623">
        <v>0</v>
      </c>
      <c r="N72" s="622">
        <v>0</v>
      </c>
      <c r="O72" s="622"/>
      <c r="P72" s="622"/>
      <c r="Q72" s="622">
        <v>0</v>
      </c>
      <c r="R72" s="623"/>
      <c r="S72" s="622">
        <v>0</v>
      </c>
      <c r="T72" s="622"/>
      <c r="U72" s="622"/>
      <c r="V72" s="622"/>
      <c r="W72" s="622"/>
      <c r="X72" s="622"/>
      <c r="Y72" s="622"/>
      <c r="Z72" s="622"/>
      <c r="AA72" s="622"/>
      <c r="AB72" s="622"/>
      <c r="AC72" s="622"/>
      <c r="AD72" s="624">
        <v>14859.541666666668</v>
      </c>
      <c r="AE72"/>
    </row>
    <row r="73" spans="1:31">
      <c r="A73" s="524"/>
      <c r="B73" s="533" t="s">
        <v>670</v>
      </c>
      <c r="C73" s="622">
        <v>8.4074656052499724E-2</v>
      </c>
      <c r="D73" s="623">
        <v>0</v>
      </c>
      <c r="E73" s="623">
        <v>0.10369674090775838</v>
      </c>
      <c r="F73" s="623">
        <v>0.12389900176159725</v>
      </c>
      <c r="G73" s="623">
        <v>0</v>
      </c>
      <c r="H73" s="623">
        <v>0</v>
      </c>
      <c r="I73" s="622">
        <v>9.4242652969801805E-2</v>
      </c>
      <c r="J73" s="622">
        <v>0</v>
      </c>
      <c r="K73" s="623">
        <v>0</v>
      </c>
      <c r="L73" s="623">
        <v>0</v>
      </c>
      <c r="M73" s="623">
        <v>0</v>
      </c>
      <c r="N73" s="622">
        <v>0</v>
      </c>
      <c r="O73" s="622">
        <v>0</v>
      </c>
      <c r="P73" s="622">
        <v>0</v>
      </c>
      <c r="Q73" s="622">
        <v>0</v>
      </c>
      <c r="R73" s="623">
        <v>0</v>
      </c>
      <c r="S73" s="622">
        <v>0</v>
      </c>
      <c r="T73" s="622">
        <v>0</v>
      </c>
      <c r="U73" s="622">
        <v>0</v>
      </c>
      <c r="V73" s="622">
        <v>0</v>
      </c>
      <c r="W73" s="622">
        <v>0</v>
      </c>
      <c r="X73" s="622">
        <v>0</v>
      </c>
      <c r="Y73" s="622">
        <v>0</v>
      </c>
      <c r="Z73" s="622">
        <v>0</v>
      </c>
      <c r="AA73" s="622">
        <v>0</v>
      </c>
      <c r="AB73" s="622">
        <v>0</v>
      </c>
      <c r="AC73" s="622">
        <v>0</v>
      </c>
      <c r="AD73" s="624">
        <v>9.4242652969801805E-2</v>
      </c>
      <c r="AE73"/>
    </row>
    <row r="74" spans="1:31">
      <c r="A74" s="524"/>
      <c r="B74" s="533" t="s">
        <v>662</v>
      </c>
      <c r="C74" s="622">
        <v>39244.04583333333</v>
      </c>
      <c r="D74" s="623"/>
      <c r="E74" s="623">
        <v>49984.27916666666</v>
      </c>
      <c r="F74" s="623">
        <v>1529.5749999999998</v>
      </c>
      <c r="G74" s="623"/>
      <c r="H74" s="623"/>
      <c r="I74" s="622">
        <v>90757.89999999998</v>
      </c>
      <c r="J74" s="622"/>
      <c r="K74" s="623">
        <v>12917.656666666666</v>
      </c>
      <c r="L74" s="623">
        <v>16668.643333333333</v>
      </c>
      <c r="M74" s="623">
        <v>9589.3133333333335</v>
      </c>
      <c r="N74" s="622">
        <v>39175.613333333335</v>
      </c>
      <c r="O74" s="622"/>
      <c r="P74" s="622"/>
      <c r="Q74" s="622">
        <v>5150.6966666666667</v>
      </c>
      <c r="R74" s="623"/>
      <c r="S74" s="622">
        <v>5150.6966666666667</v>
      </c>
      <c r="T74" s="622"/>
      <c r="U74" s="622"/>
      <c r="V74" s="622"/>
      <c r="W74" s="622"/>
      <c r="X74" s="622"/>
      <c r="Y74" s="622"/>
      <c r="Z74" s="622"/>
      <c r="AA74" s="622"/>
      <c r="AB74" s="622"/>
      <c r="AC74" s="622"/>
      <c r="AD74" s="624">
        <v>135084.21</v>
      </c>
      <c r="AE74"/>
    </row>
    <row r="75" spans="1:31">
      <c r="A75" s="524"/>
      <c r="B75" s="533" t="s">
        <v>664</v>
      </c>
      <c r="C75" s="622">
        <v>40266.991666666669</v>
      </c>
      <c r="D75" s="623"/>
      <c r="E75" s="623">
        <v>52954.166666666664</v>
      </c>
      <c r="F75" s="623">
        <v>1733.5166666666667</v>
      </c>
      <c r="G75" s="623"/>
      <c r="H75" s="623"/>
      <c r="I75" s="622">
        <v>94954.674999999988</v>
      </c>
      <c r="J75" s="622"/>
      <c r="K75" s="623">
        <v>13026.133333333333</v>
      </c>
      <c r="L75" s="623">
        <v>15528.9</v>
      </c>
      <c r="M75" s="623">
        <v>8989.2999999999993</v>
      </c>
      <c r="N75" s="622">
        <v>37544.333333333328</v>
      </c>
      <c r="O75" s="622"/>
      <c r="P75" s="622"/>
      <c r="Q75" s="622">
        <v>5040.7</v>
      </c>
      <c r="R75" s="623"/>
      <c r="S75" s="622">
        <v>5040.7</v>
      </c>
      <c r="T75" s="622"/>
      <c r="U75" s="622"/>
      <c r="V75" s="622"/>
      <c r="W75" s="622"/>
      <c r="X75" s="622"/>
      <c r="Y75" s="622"/>
      <c r="Z75" s="622"/>
      <c r="AA75" s="622"/>
      <c r="AB75" s="622"/>
      <c r="AC75" s="622"/>
      <c r="AD75" s="624">
        <v>137539.70833333331</v>
      </c>
      <c r="AE75"/>
    </row>
    <row r="76" spans="1:31">
      <c r="A76" s="524"/>
      <c r="B76" s="533" t="s">
        <v>672</v>
      </c>
      <c r="C76" s="622">
        <v>2.6066268439235773E-2</v>
      </c>
      <c r="D76" s="623">
        <v>0</v>
      </c>
      <c r="E76" s="623">
        <v>5.941643151634269E-2</v>
      </c>
      <c r="F76" s="623">
        <v>0.13333224370604047</v>
      </c>
      <c r="G76" s="623">
        <v>0</v>
      </c>
      <c r="H76" s="623">
        <v>0</v>
      </c>
      <c r="I76" s="622">
        <v>4.6241429120770852E-2</v>
      </c>
      <c r="J76" s="622">
        <v>0</v>
      </c>
      <c r="K76" s="630">
        <v>8.3975499168193329E-3</v>
      </c>
      <c r="L76" s="623">
        <v>-6.8376490548221008E-2</v>
      </c>
      <c r="M76" s="623">
        <v>-6.2571042625923251E-2</v>
      </c>
      <c r="N76" s="622">
        <v>-4.1640190445007746E-2</v>
      </c>
      <c r="O76" s="622">
        <v>0</v>
      </c>
      <c r="P76" s="622">
        <v>0</v>
      </c>
      <c r="Q76" s="622">
        <v>-2.1355687159471677E-2</v>
      </c>
      <c r="R76" s="623">
        <v>0</v>
      </c>
      <c r="S76" s="622">
        <v>-2.1355687159471677E-2</v>
      </c>
      <c r="T76" s="622">
        <v>0</v>
      </c>
      <c r="U76" s="622">
        <v>0</v>
      </c>
      <c r="V76" s="622">
        <v>0</v>
      </c>
      <c r="W76" s="622">
        <v>0</v>
      </c>
      <c r="X76" s="622">
        <v>0</v>
      </c>
      <c r="Y76" s="622">
        <v>0</v>
      </c>
      <c r="Z76" s="622">
        <v>0</v>
      </c>
      <c r="AA76" s="622">
        <v>0</v>
      </c>
      <c r="AB76" s="622">
        <v>0</v>
      </c>
      <c r="AC76" s="622">
        <v>0</v>
      </c>
      <c r="AD76" s="624">
        <v>1.8177537799076229E-2</v>
      </c>
      <c r="AE76"/>
    </row>
    <row r="77" spans="1:31">
      <c r="A77" s="534" t="s">
        <v>435</v>
      </c>
      <c r="B77" s="533" t="s">
        <v>646</v>
      </c>
      <c r="C77" s="622">
        <v>23384.066666666666</v>
      </c>
      <c r="D77" s="623">
        <v>27295.933333333334</v>
      </c>
      <c r="E77" s="623">
        <v>28277.933333333331</v>
      </c>
      <c r="F77" s="623">
        <v>19325.599999999999</v>
      </c>
      <c r="G77" s="623">
        <v>1542.5666666666666</v>
      </c>
      <c r="H77" s="623">
        <v>2500.3333333333335</v>
      </c>
      <c r="I77" s="622">
        <v>102326.43333333332</v>
      </c>
      <c r="J77" s="622"/>
      <c r="K77" s="623">
        <v>14677</v>
      </c>
      <c r="L77" s="623">
        <v>16564.283333333333</v>
      </c>
      <c r="M77" s="623">
        <v>3512</v>
      </c>
      <c r="N77" s="622">
        <v>34753.283333333333</v>
      </c>
      <c r="O77" s="622"/>
      <c r="P77" s="622"/>
      <c r="Q77" s="622">
        <v>7890.55</v>
      </c>
      <c r="R77" s="623">
        <v>820.6</v>
      </c>
      <c r="S77" s="622">
        <v>8711.15</v>
      </c>
      <c r="T77" s="622"/>
      <c r="U77" s="622"/>
      <c r="V77" s="622"/>
      <c r="W77" s="622"/>
      <c r="X77" s="622"/>
      <c r="Y77" s="622"/>
      <c r="Z77" s="622"/>
      <c r="AA77" s="622"/>
      <c r="AB77" s="622">
        <v>0</v>
      </c>
      <c r="AC77" s="622">
        <v>0</v>
      </c>
      <c r="AD77" s="624">
        <v>145790.86666666664</v>
      </c>
      <c r="AE77"/>
    </row>
    <row r="78" spans="1:31">
      <c r="A78" s="524"/>
      <c r="B78" s="533" t="s">
        <v>647</v>
      </c>
      <c r="C78" s="622">
        <v>24845.433333333334</v>
      </c>
      <c r="D78" s="623">
        <v>26513.73333333333</v>
      </c>
      <c r="E78" s="623">
        <v>27981.599999999999</v>
      </c>
      <c r="F78" s="623">
        <v>19565.833333333332</v>
      </c>
      <c r="G78" s="623">
        <v>1386.5333333333333</v>
      </c>
      <c r="H78" s="623">
        <v>2684.5</v>
      </c>
      <c r="I78" s="622">
        <v>102977.63333333333</v>
      </c>
      <c r="J78" s="622"/>
      <c r="K78" s="623">
        <v>14350.5</v>
      </c>
      <c r="L78" s="623">
        <v>15872.166666666668</v>
      </c>
      <c r="M78" s="623">
        <v>3439.0333333333333</v>
      </c>
      <c r="N78" s="622">
        <v>33661.700000000004</v>
      </c>
      <c r="O78" s="622"/>
      <c r="P78" s="622"/>
      <c r="Q78" s="622">
        <v>7418.1666666666661</v>
      </c>
      <c r="R78" s="623">
        <v>760.76666666666665</v>
      </c>
      <c r="S78" s="622">
        <v>8178.9333333333325</v>
      </c>
      <c r="T78" s="622"/>
      <c r="U78" s="622"/>
      <c r="V78" s="622"/>
      <c r="W78" s="622"/>
      <c r="X78" s="622"/>
      <c r="Y78" s="622"/>
      <c r="Z78" s="622"/>
      <c r="AA78" s="622"/>
      <c r="AB78" s="622">
        <v>0</v>
      </c>
      <c r="AC78" s="622">
        <v>0</v>
      </c>
      <c r="AD78" s="624">
        <v>144818.26666666663</v>
      </c>
      <c r="AE78"/>
    </row>
    <row r="79" spans="1:31">
      <c r="A79" s="524"/>
      <c r="B79" s="533" t="s">
        <v>666</v>
      </c>
      <c r="C79" s="622">
        <v>6.249411992781418E-2</v>
      </c>
      <c r="D79" s="623">
        <v>-2.8656283353564425E-2</v>
      </c>
      <c r="E79" s="623">
        <v>-1.0479313669787237E-2</v>
      </c>
      <c r="F79" s="623">
        <v>1.2430834402726621E-2</v>
      </c>
      <c r="G79" s="623">
        <v>-0.10115176005359032</v>
      </c>
      <c r="H79" s="623">
        <v>7.3656845753899414E-2</v>
      </c>
      <c r="I79" s="622">
        <v>6.3639470153198964E-3</v>
      </c>
      <c r="J79" s="622">
        <v>0</v>
      </c>
      <c r="K79" s="623">
        <v>-2.2245690536213121E-2</v>
      </c>
      <c r="L79" s="623">
        <v>-4.1783677128600892E-2</v>
      </c>
      <c r="M79" s="623">
        <v>-2.0776385725132886E-2</v>
      </c>
      <c r="N79" s="622">
        <v>-3.1409502315608621E-2</v>
      </c>
      <c r="O79" s="622">
        <v>0</v>
      </c>
      <c r="P79" s="622">
        <v>0</v>
      </c>
      <c r="Q79" s="622">
        <v>-5.9866971672866164E-2</v>
      </c>
      <c r="R79" s="623">
        <v>-7.2914127873913437E-2</v>
      </c>
      <c r="S79" s="622">
        <v>-6.1096028270282016E-2</v>
      </c>
      <c r="T79" s="622">
        <v>0</v>
      </c>
      <c r="U79" s="622">
        <v>0</v>
      </c>
      <c r="V79" s="622">
        <v>0</v>
      </c>
      <c r="W79" s="622">
        <v>0</v>
      </c>
      <c r="X79" s="622">
        <v>0</v>
      </c>
      <c r="Y79" s="622">
        <v>0</v>
      </c>
      <c r="Z79" s="622">
        <v>0</v>
      </c>
      <c r="AA79" s="622">
        <v>0</v>
      </c>
      <c r="AB79" s="622">
        <v>0</v>
      </c>
      <c r="AC79" s="622">
        <v>0</v>
      </c>
      <c r="AD79" s="624">
        <v>-6.6711997962374476E-3</v>
      </c>
      <c r="AE79"/>
    </row>
    <row r="80" spans="1:31">
      <c r="A80" s="524"/>
      <c r="B80" s="533" t="s">
        <v>654</v>
      </c>
      <c r="C80" s="622">
        <v>0</v>
      </c>
      <c r="D80" s="623">
        <v>0</v>
      </c>
      <c r="E80" s="623">
        <v>0</v>
      </c>
      <c r="F80" s="623">
        <v>0</v>
      </c>
      <c r="G80" s="623">
        <v>0</v>
      </c>
      <c r="H80" s="623">
        <v>0</v>
      </c>
      <c r="I80" s="622">
        <v>0</v>
      </c>
      <c r="J80" s="622"/>
      <c r="K80" s="623">
        <v>0</v>
      </c>
      <c r="L80" s="623">
        <v>0</v>
      </c>
      <c r="M80" s="623">
        <v>0</v>
      </c>
      <c r="N80" s="622">
        <v>0</v>
      </c>
      <c r="O80" s="622"/>
      <c r="P80" s="622"/>
      <c r="Q80" s="622">
        <v>0</v>
      </c>
      <c r="R80" s="623">
        <v>0</v>
      </c>
      <c r="S80" s="622">
        <v>0</v>
      </c>
      <c r="T80" s="622"/>
      <c r="U80" s="622"/>
      <c r="V80" s="622"/>
      <c r="W80" s="622"/>
      <c r="X80" s="622"/>
      <c r="Y80" s="622"/>
      <c r="Z80" s="622"/>
      <c r="AA80" s="622"/>
      <c r="AB80" s="622">
        <v>0</v>
      </c>
      <c r="AC80" s="622">
        <v>0</v>
      </c>
      <c r="AD80" s="624">
        <v>0</v>
      </c>
      <c r="AE80"/>
    </row>
    <row r="81" spans="1:31">
      <c r="A81" s="524"/>
      <c r="B81" s="533" t="s">
        <v>656</v>
      </c>
      <c r="C81" s="622">
        <v>0</v>
      </c>
      <c r="D81" s="623">
        <v>0</v>
      </c>
      <c r="E81" s="623">
        <v>0</v>
      </c>
      <c r="F81" s="623">
        <v>0</v>
      </c>
      <c r="G81" s="623">
        <v>0</v>
      </c>
      <c r="H81" s="623">
        <v>0</v>
      </c>
      <c r="I81" s="622">
        <v>0</v>
      </c>
      <c r="J81" s="622"/>
      <c r="K81" s="623">
        <v>0</v>
      </c>
      <c r="L81" s="623">
        <v>0</v>
      </c>
      <c r="M81" s="623">
        <v>0</v>
      </c>
      <c r="N81" s="622">
        <v>0</v>
      </c>
      <c r="O81" s="622"/>
      <c r="P81" s="622"/>
      <c r="Q81" s="622">
        <v>0</v>
      </c>
      <c r="R81" s="623">
        <v>0</v>
      </c>
      <c r="S81" s="622">
        <v>0</v>
      </c>
      <c r="T81" s="622"/>
      <c r="U81" s="622"/>
      <c r="V81" s="622"/>
      <c r="W81" s="622"/>
      <c r="X81" s="622"/>
      <c r="Y81" s="622"/>
      <c r="Z81" s="622"/>
      <c r="AA81" s="622"/>
      <c r="AB81" s="622">
        <v>0</v>
      </c>
      <c r="AC81" s="622">
        <v>0</v>
      </c>
      <c r="AD81" s="624">
        <v>0</v>
      </c>
      <c r="AE81"/>
    </row>
    <row r="82" spans="1:31">
      <c r="A82" s="524"/>
      <c r="B82" s="533" t="s">
        <v>668</v>
      </c>
      <c r="C82" s="622">
        <v>0</v>
      </c>
      <c r="D82" s="623">
        <v>0</v>
      </c>
      <c r="E82" s="623">
        <v>0</v>
      </c>
      <c r="F82" s="623">
        <v>0</v>
      </c>
      <c r="G82" s="623">
        <v>0</v>
      </c>
      <c r="H82" s="623">
        <v>0</v>
      </c>
      <c r="I82" s="622">
        <v>0</v>
      </c>
      <c r="J82" s="622">
        <v>0</v>
      </c>
      <c r="K82" s="623">
        <v>0</v>
      </c>
      <c r="L82" s="623">
        <v>0</v>
      </c>
      <c r="M82" s="623">
        <v>0</v>
      </c>
      <c r="N82" s="622">
        <v>0</v>
      </c>
      <c r="O82" s="622">
        <v>0</v>
      </c>
      <c r="P82" s="622">
        <v>0</v>
      </c>
      <c r="Q82" s="622">
        <v>0</v>
      </c>
      <c r="R82" s="623">
        <v>0</v>
      </c>
      <c r="S82" s="622">
        <v>0</v>
      </c>
      <c r="T82" s="622">
        <v>0</v>
      </c>
      <c r="U82" s="622">
        <v>0</v>
      </c>
      <c r="V82" s="622">
        <v>0</v>
      </c>
      <c r="W82" s="622">
        <v>0</v>
      </c>
      <c r="X82" s="622">
        <v>0</v>
      </c>
      <c r="Y82" s="622">
        <v>0</v>
      </c>
      <c r="Z82" s="622">
        <v>0</v>
      </c>
      <c r="AA82" s="622">
        <v>0</v>
      </c>
      <c r="AB82" s="622">
        <v>0</v>
      </c>
      <c r="AC82" s="622">
        <v>0</v>
      </c>
      <c r="AD82" s="624">
        <v>0</v>
      </c>
      <c r="AE82"/>
    </row>
    <row r="83" spans="1:31">
      <c r="A83" s="524"/>
      <c r="B83" s="533" t="s">
        <v>658</v>
      </c>
      <c r="C83" s="622">
        <v>5999.3125</v>
      </c>
      <c r="D83" s="623">
        <v>3502.8333333333335</v>
      </c>
      <c r="E83" s="623">
        <v>3419.125</v>
      </c>
      <c r="F83" s="623">
        <v>5847.875</v>
      </c>
      <c r="G83" s="623">
        <v>369.75</v>
      </c>
      <c r="H83" s="623">
        <v>0</v>
      </c>
      <c r="I83" s="622">
        <v>19138.895833333336</v>
      </c>
      <c r="J83" s="622"/>
      <c r="K83" s="623">
        <v>0</v>
      </c>
      <c r="L83" s="623">
        <v>0</v>
      </c>
      <c r="M83" s="623">
        <v>0</v>
      </c>
      <c r="N83" s="622">
        <v>0</v>
      </c>
      <c r="O83" s="622"/>
      <c r="P83" s="622"/>
      <c r="Q83" s="622">
        <v>0</v>
      </c>
      <c r="R83" s="623">
        <v>0</v>
      </c>
      <c r="S83" s="622">
        <v>0</v>
      </c>
      <c r="T83" s="622"/>
      <c r="U83" s="622"/>
      <c r="V83" s="622"/>
      <c r="W83" s="622"/>
      <c r="X83" s="622"/>
      <c r="Y83" s="622"/>
      <c r="Z83" s="622"/>
      <c r="AA83" s="622"/>
      <c r="AB83" s="622">
        <v>741.16666666666663</v>
      </c>
      <c r="AC83" s="622">
        <v>741.16666666666663</v>
      </c>
      <c r="AD83" s="624">
        <v>19880.062500000004</v>
      </c>
      <c r="AE83"/>
    </row>
    <row r="84" spans="1:31">
      <c r="A84" s="524"/>
      <c r="B84" s="533" t="s">
        <v>660</v>
      </c>
      <c r="C84" s="622">
        <v>6259.875</v>
      </c>
      <c r="D84" s="623">
        <v>3589.458333333333</v>
      </c>
      <c r="E84" s="623">
        <v>3520.75</v>
      </c>
      <c r="F84" s="623">
        <v>6997.9999999999991</v>
      </c>
      <c r="G84" s="623">
        <v>293.29166666666669</v>
      </c>
      <c r="H84" s="623">
        <v>0</v>
      </c>
      <c r="I84" s="622">
        <v>20661.375</v>
      </c>
      <c r="J84" s="622"/>
      <c r="K84" s="623">
        <v>0</v>
      </c>
      <c r="L84" s="623">
        <v>0</v>
      </c>
      <c r="M84" s="623">
        <v>0</v>
      </c>
      <c r="N84" s="622">
        <v>0</v>
      </c>
      <c r="O84" s="622"/>
      <c r="P84" s="622"/>
      <c r="Q84" s="622">
        <v>0</v>
      </c>
      <c r="R84" s="623">
        <v>0</v>
      </c>
      <c r="S84" s="622">
        <v>0</v>
      </c>
      <c r="T84" s="622"/>
      <c r="U84" s="622"/>
      <c r="V84" s="622"/>
      <c r="W84" s="622"/>
      <c r="X84" s="622"/>
      <c r="Y84" s="622"/>
      <c r="Z84" s="622"/>
      <c r="AA84" s="622"/>
      <c r="AB84" s="622">
        <v>884.16666666666663</v>
      </c>
      <c r="AC84" s="622">
        <v>884.16666666666663</v>
      </c>
      <c r="AD84" s="624">
        <v>21545.541666666668</v>
      </c>
      <c r="AE84"/>
    </row>
    <row r="85" spans="1:31">
      <c r="A85" s="524"/>
      <c r="B85" s="533" t="s">
        <v>670</v>
      </c>
      <c r="C85" s="622">
        <v>4.3432059923532905E-2</v>
      </c>
      <c r="D85" s="623">
        <v>2.4729980491982551E-2</v>
      </c>
      <c r="E85" s="623">
        <v>2.9722516725770483E-2</v>
      </c>
      <c r="F85" s="630">
        <v>0.19667400551482361</v>
      </c>
      <c r="G85" s="630">
        <v>-0.20678386297047549</v>
      </c>
      <c r="H85" s="623">
        <v>0</v>
      </c>
      <c r="I85" s="622">
        <v>7.9548955170916397E-2</v>
      </c>
      <c r="J85" s="622">
        <v>0</v>
      </c>
      <c r="K85" s="623">
        <v>0</v>
      </c>
      <c r="L85" s="623">
        <v>0</v>
      </c>
      <c r="M85" s="623">
        <v>0</v>
      </c>
      <c r="N85" s="622">
        <v>0</v>
      </c>
      <c r="O85" s="622">
        <v>0</v>
      </c>
      <c r="P85" s="622">
        <v>0</v>
      </c>
      <c r="Q85" s="622">
        <v>0</v>
      </c>
      <c r="R85" s="623">
        <v>0</v>
      </c>
      <c r="S85" s="622">
        <v>0</v>
      </c>
      <c r="T85" s="622">
        <v>0</v>
      </c>
      <c r="U85" s="622">
        <v>0</v>
      </c>
      <c r="V85" s="622">
        <v>0</v>
      </c>
      <c r="W85" s="622">
        <v>0</v>
      </c>
      <c r="X85" s="622">
        <v>0</v>
      </c>
      <c r="Y85" s="622">
        <v>0</v>
      </c>
      <c r="Z85" s="622">
        <v>0</v>
      </c>
      <c r="AA85" s="622">
        <v>0</v>
      </c>
      <c r="AB85" s="622">
        <v>0.19293906004047673</v>
      </c>
      <c r="AC85" s="622">
        <v>0.19293906004047673</v>
      </c>
      <c r="AD85" s="624">
        <v>8.3776354660186403E-2</v>
      </c>
      <c r="AE85"/>
    </row>
    <row r="86" spans="1:31">
      <c r="A86" s="524"/>
      <c r="B86" s="533" t="s">
        <v>662</v>
      </c>
      <c r="C86" s="622">
        <v>29383.379166666666</v>
      </c>
      <c r="D86" s="623">
        <v>30798.76666666667</v>
      </c>
      <c r="E86" s="623">
        <v>31697.058333333334</v>
      </c>
      <c r="F86" s="623">
        <v>25173.474999999999</v>
      </c>
      <c r="G86" s="623">
        <v>1912.3166666666666</v>
      </c>
      <c r="H86" s="623">
        <v>2500.3333333333335</v>
      </c>
      <c r="I86" s="622">
        <v>121465.32916666666</v>
      </c>
      <c r="J86" s="622"/>
      <c r="K86" s="623">
        <v>14677</v>
      </c>
      <c r="L86" s="623">
        <v>16564.283333333333</v>
      </c>
      <c r="M86" s="623">
        <v>3512</v>
      </c>
      <c r="N86" s="622">
        <v>34753.283333333333</v>
      </c>
      <c r="O86" s="622"/>
      <c r="P86" s="622"/>
      <c r="Q86" s="622">
        <v>7890.55</v>
      </c>
      <c r="R86" s="623">
        <v>820.6</v>
      </c>
      <c r="S86" s="622">
        <v>8711.15</v>
      </c>
      <c r="T86" s="622"/>
      <c r="U86" s="622"/>
      <c r="V86" s="622"/>
      <c r="W86" s="622"/>
      <c r="X86" s="622"/>
      <c r="Y86" s="622"/>
      <c r="Z86" s="622"/>
      <c r="AA86" s="622"/>
      <c r="AB86" s="622">
        <v>741.16666666666663</v>
      </c>
      <c r="AC86" s="622">
        <v>741.16666666666663</v>
      </c>
      <c r="AD86" s="624">
        <v>165670.92916666664</v>
      </c>
      <c r="AE86"/>
    </row>
    <row r="87" spans="1:31">
      <c r="A87" s="524"/>
      <c r="B87" s="533" t="s">
        <v>664</v>
      </c>
      <c r="C87" s="622">
        <v>31105.308333333334</v>
      </c>
      <c r="D87" s="623">
        <v>30103.191666666669</v>
      </c>
      <c r="E87" s="623">
        <v>31502.35</v>
      </c>
      <c r="F87" s="623">
        <v>26563.833333333332</v>
      </c>
      <c r="G87" s="623">
        <v>1679.825</v>
      </c>
      <c r="H87" s="623">
        <v>2684.5</v>
      </c>
      <c r="I87" s="622">
        <v>123639.00833333333</v>
      </c>
      <c r="J87" s="622"/>
      <c r="K87" s="623">
        <v>14350.5</v>
      </c>
      <c r="L87" s="623">
        <v>15872.166666666668</v>
      </c>
      <c r="M87" s="623">
        <v>3439.0333333333333</v>
      </c>
      <c r="N87" s="622">
        <v>33661.700000000004</v>
      </c>
      <c r="O87" s="622"/>
      <c r="P87" s="622"/>
      <c r="Q87" s="622">
        <v>7418.1666666666661</v>
      </c>
      <c r="R87" s="623">
        <v>760.76666666666665</v>
      </c>
      <c r="S87" s="622">
        <v>8178.9333333333325</v>
      </c>
      <c r="T87" s="622"/>
      <c r="U87" s="622"/>
      <c r="V87" s="622"/>
      <c r="W87" s="622"/>
      <c r="X87" s="622"/>
      <c r="Y87" s="622"/>
      <c r="Z87" s="622"/>
      <c r="AA87" s="622"/>
      <c r="AB87" s="622">
        <v>884.16666666666663</v>
      </c>
      <c r="AC87" s="622">
        <v>884.16666666666663</v>
      </c>
      <c r="AD87" s="624">
        <v>166363.80833333329</v>
      </c>
      <c r="AE87"/>
    </row>
    <row r="88" spans="1:31">
      <c r="A88" s="524"/>
      <c r="B88" s="533" t="s">
        <v>672</v>
      </c>
      <c r="C88" s="622">
        <v>5.8602149089103869E-2</v>
      </c>
      <c r="D88" s="623">
        <v>-2.258450825411842E-2</v>
      </c>
      <c r="E88" s="623">
        <v>-6.1427887498498911E-3</v>
      </c>
      <c r="F88" s="623">
        <v>5.5231084835658709E-2</v>
      </c>
      <c r="G88" s="630">
        <v>-0.12157592448949349</v>
      </c>
      <c r="H88" s="623">
        <v>7.3656845753899414E-2</v>
      </c>
      <c r="I88" s="622">
        <v>1.7895470103111284E-2</v>
      </c>
      <c r="J88" s="622">
        <v>0</v>
      </c>
      <c r="K88" s="623">
        <v>-2.2245690536213121E-2</v>
      </c>
      <c r="L88" s="623">
        <v>-4.1783677128600892E-2</v>
      </c>
      <c r="M88" s="623">
        <v>-2.0776385725132886E-2</v>
      </c>
      <c r="N88" s="622">
        <v>-3.1409502315608621E-2</v>
      </c>
      <c r="O88" s="622">
        <v>0</v>
      </c>
      <c r="P88" s="622">
        <v>0</v>
      </c>
      <c r="Q88" s="622">
        <v>-5.9866971672866164E-2</v>
      </c>
      <c r="R88" s="623">
        <v>-7.2914127873913437E-2</v>
      </c>
      <c r="S88" s="622">
        <v>-6.1096028270282016E-2</v>
      </c>
      <c r="T88" s="622">
        <v>0</v>
      </c>
      <c r="U88" s="622">
        <v>0</v>
      </c>
      <c r="V88" s="622">
        <v>0</v>
      </c>
      <c r="W88" s="622">
        <v>0</v>
      </c>
      <c r="X88" s="622">
        <v>0</v>
      </c>
      <c r="Y88" s="622">
        <v>0</v>
      </c>
      <c r="Z88" s="622">
        <v>0</v>
      </c>
      <c r="AA88" s="622">
        <v>0</v>
      </c>
      <c r="AB88" s="622">
        <v>0.19293906004047673</v>
      </c>
      <c r="AC88" s="622">
        <v>0.19293906004047673</v>
      </c>
      <c r="AD88" s="624">
        <v>4.1822616083098335E-3</v>
      </c>
      <c r="AE88"/>
    </row>
    <row r="89" spans="1:31">
      <c r="A89" s="534" t="s">
        <v>463</v>
      </c>
      <c r="B89" s="533" t="s">
        <v>646</v>
      </c>
      <c r="C89" s="622">
        <v>29066.333333333332</v>
      </c>
      <c r="D89" s="623">
        <v>16626.650000000001</v>
      </c>
      <c r="E89" s="623">
        <v>19951.883333333331</v>
      </c>
      <c r="F89" s="623">
        <v>18662.633333333335</v>
      </c>
      <c r="G89" s="623">
        <v>2008.8666666666666</v>
      </c>
      <c r="H89" s="623">
        <v>1562.0666666666666</v>
      </c>
      <c r="I89" s="622">
        <v>87878.433333333334</v>
      </c>
      <c r="J89" s="622"/>
      <c r="K89" s="623">
        <v>59201.116666666669</v>
      </c>
      <c r="L89" s="623">
        <v>18232.45</v>
      </c>
      <c r="M89" s="623">
        <v>6247.0166666666664</v>
      </c>
      <c r="N89" s="622">
        <v>83680.583333333328</v>
      </c>
      <c r="O89" s="622"/>
      <c r="P89" s="622"/>
      <c r="Q89" s="622"/>
      <c r="R89" s="623"/>
      <c r="S89" s="622"/>
      <c r="T89" s="622"/>
      <c r="U89" s="622"/>
      <c r="V89" s="622"/>
      <c r="W89" s="622"/>
      <c r="X89" s="622"/>
      <c r="Y89" s="622"/>
      <c r="Z89" s="622"/>
      <c r="AA89" s="622"/>
      <c r="AB89" s="622"/>
      <c r="AC89" s="622"/>
      <c r="AD89" s="624">
        <v>171559.01666666666</v>
      </c>
      <c r="AE89"/>
    </row>
    <row r="90" spans="1:31">
      <c r="A90" s="524"/>
      <c r="B90" s="533" t="s">
        <v>647</v>
      </c>
      <c r="C90" s="622">
        <v>29434.866666666665</v>
      </c>
      <c r="D90" s="623">
        <v>16543.783333333333</v>
      </c>
      <c r="E90" s="623">
        <v>19349.833333333336</v>
      </c>
      <c r="F90" s="623">
        <v>17962.566666666666</v>
      </c>
      <c r="G90" s="623">
        <v>1872.7</v>
      </c>
      <c r="H90" s="623">
        <v>1547.05</v>
      </c>
      <c r="I90" s="622">
        <v>86710.799999999988</v>
      </c>
      <c r="J90" s="622"/>
      <c r="K90" s="623">
        <v>58575.316666666666</v>
      </c>
      <c r="L90" s="623">
        <v>18163.383333333331</v>
      </c>
      <c r="M90" s="623">
        <v>5960.6416666666664</v>
      </c>
      <c r="N90" s="622">
        <v>82699.34166666666</v>
      </c>
      <c r="O90" s="622"/>
      <c r="P90" s="622"/>
      <c r="Q90" s="622"/>
      <c r="R90" s="623"/>
      <c r="S90" s="622"/>
      <c r="T90" s="622"/>
      <c r="U90" s="622"/>
      <c r="V90" s="622"/>
      <c r="W90" s="622"/>
      <c r="X90" s="622"/>
      <c r="Y90" s="622"/>
      <c r="Z90" s="622"/>
      <c r="AA90" s="622"/>
      <c r="AB90" s="622"/>
      <c r="AC90" s="622"/>
      <c r="AD90" s="624">
        <v>169410.14166666663</v>
      </c>
      <c r="AE90"/>
    </row>
    <row r="91" spans="1:31">
      <c r="A91" s="524"/>
      <c r="B91" s="533" t="s">
        <v>666</v>
      </c>
      <c r="C91" s="622">
        <v>1.2679044484455081E-2</v>
      </c>
      <c r="D91" s="623">
        <v>-4.9839665035752E-3</v>
      </c>
      <c r="E91" s="623">
        <v>-3.0175096252400353E-2</v>
      </c>
      <c r="F91" s="623">
        <v>-3.7511676630129151E-2</v>
      </c>
      <c r="G91" s="623">
        <v>-6.7782829456077984E-2</v>
      </c>
      <c r="H91" s="623">
        <v>-9.6133327642866188E-3</v>
      </c>
      <c r="I91" s="622">
        <v>-1.32869156747977E-2</v>
      </c>
      <c r="J91" s="622">
        <v>0</v>
      </c>
      <c r="K91" s="623">
        <v>-1.0570746554048719E-2</v>
      </c>
      <c r="L91" s="623">
        <v>-3.788117705885349E-3</v>
      </c>
      <c r="M91" s="623">
        <v>-4.5841881858273682E-2</v>
      </c>
      <c r="N91" s="622">
        <v>-1.1726037601315515E-2</v>
      </c>
      <c r="O91" s="622">
        <v>0</v>
      </c>
      <c r="P91" s="622">
        <v>0</v>
      </c>
      <c r="Q91" s="622">
        <v>0</v>
      </c>
      <c r="R91" s="623">
        <v>0</v>
      </c>
      <c r="S91" s="622">
        <v>0</v>
      </c>
      <c r="T91" s="622">
        <v>0</v>
      </c>
      <c r="U91" s="622">
        <v>0</v>
      </c>
      <c r="V91" s="622">
        <v>0</v>
      </c>
      <c r="W91" s="622">
        <v>0</v>
      </c>
      <c r="X91" s="622">
        <v>0</v>
      </c>
      <c r="Y91" s="622">
        <v>0</v>
      </c>
      <c r="Z91" s="622">
        <v>0</v>
      </c>
      <c r="AA91" s="622">
        <v>0</v>
      </c>
      <c r="AB91" s="622">
        <v>0</v>
      </c>
      <c r="AC91" s="622">
        <v>0</v>
      </c>
      <c r="AD91" s="624">
        <v>-1.2525573075387422E-2</v>
      </c>
      <c r="AE91"/>
    </row>
    <row r="92" spans="1:31">
      <c r="A92" s="524"/>
      <c r="B92" s="533" t="s">
        <v>654</v>
      </c>
      <c r="C92" s="622">
        <v>0</v>
      </c>
      <c r="D92" s="623">
        <v>0</v>
      </c>
      <c r="E92" s="623">
        <v>0</v>
      </c>
      <c r="F92" s="623">
        <v>0</v>
      </c>
      <c r="G92" s="623">
        <v>0</v>
      </c>
      <c r="H92" s="623">
        <v>0</v>
      </c>
      <c r="I92" s="622">
        <v>0</v>
      </c>
      <c r="J92" s="622"/>
      <c r="K92" s="623">
        <v>0</v>
      </c>
      <c r="L92" s="623">
        <v>0</v>
      </c>
      <c r="M92" s="623">
        <v>0</v>
      </c>
      <c r="N92" s="622">
        <v>0</v>
      </c>
      <c r="O92" s="622"/>
      <c r="P92" s="622"/>
      <c r="Q92" s="622"/>
      <c r="R92" s="623"/>
      <c r="S92" s="622"/>
      <c r="T92" s="622"/>
      <c r="U92" s="622"/>
      <c r="V92" s="622"/>
      <c r="W92" s="622"/>
      <c r="X92" s="622"/>
      <c r="Y92" s="622"/>
      <c r="Z92" s="622"/>
      <c r="AA92" s="622"/>
      <c r="AB92" s="622"/>
      <c r="AC92" s="622"/>
      <c r="AD92" s="624">
        <v>0</v>
      </c>
      <c r="AE92"/>
    </row>
    <row r="93" spans="1:31">
      <c r="A93" s="524"/>
      <c r="B93" s="533" t="s">
        <v>656</v>
      </c>
      <c r="C93" s="622">
        <v>0</v>
      </c>
      <c r="D93" s="623">
        <v>0</v>
      </c>
      <c r="E93" s="623">
        <v>0</v>
      </c>
      <c r="F93" s="623">
        <v>0</v>
      </c>
      <c r="G93" s="623">
        <v>0</v>
      </c>
      <c r="H93" s="623">
        <v>0</v>
      </c>
      <c r="I93" s="622">
        <v>0</v>
      </c>
      <c r="J93" s="622"/>
      <c r="K93" s="623">
        <v>0</v>
      </c>
      <c r="L93" s="623">
        <v>0</v>
      </c>
      <c r="M93" s="623">
        <v>0</v>
      </c>
      <c r="N93" s="622">
        <v>0</v>
      </c>
      <c r="O93" s="622"/>
      <c r="P93" s="622"/>
      <c r="Q93" s="622"/>
      <c r="R93" s="623"/>
      <c r="S93" s="622"/>
      <c r="T93" s="622"/>
      <c r="U93" s="622"/>
      <c r="V93" s="622"/>
      <c r="W93" s="622"/>
      <c r="X93" s="622"/>
      <c r="Y93" s="622"/>
      <c r="Z93" s="622"/>
      <c r="AA93" s="622"/>
      <c r="AB93" s="622"/>
      <c r="AC93" s="622"/>
      <c r="AD93" s="624">
        <v>0</v>
      </c>
      <c r="AE93"/>
    </row>
    <row r="94" spans="1:31">
      <c r="A94" s="524"/>
      <c r="B94" s="533" t="s">
        <v>668</v>
      </c>
      <c r="C94" s="622">
        <v>0</v>
      </c>
      <c r="D94" s="623">
        <v>0</v>
      </c>
      <c r="E94" s="623">
        <v>0</v>
      </c>
      <c r="F94" s="623">
        <v>0</v>
      </c>
      <c r="G94" s="623">
        <v>0</v>
      </c>
      <c r="H94" s="623">
        <v>0</v>
      </c>
      <c r="I94" s="622">
        <v>0</v>
      </c>
      <c r="J94" s="622">
        <v>0</v>
      </c>
      <c r="K94" s="623">
        <v>0</v>
      </c>
      <c r="L94" s="623">
        <v>0</v>
      </c>
      <c r="M94" s="623">
        <v>0</v>
      </c>
      <c r="N94" s="622">
        <v>0</v>
      </c>
      <c r="O94" s="622">
        <v>0</v>
      </c>
      <c r="P94" s="622">
        <v>0</v>
      </c>
      <c r="Q94" s="622">
        <v>0</v>
      </c>
      <c r="R94" s="623">
        <v>0</v>
      </c>
      <c r="S94" s="622">
        <v>0</v>
      </c>
      <c r="T94" s="622">
        <v>0</v>
      </c>
      <c r="U94" s="622">
        <v>0</v>
      </c>
      <c r="V94" s="622">
        <v>0</v>
      </c>
      <c r="W94" s="622">
        <v>0</v>
      </c>
      <c r="X94" s="622">
        <v>0</v>
      </c>
      <c r="Y94" s="622">
        <v>0</v>
      </c>
      <c r="Z94" s="622">
        <v>0</v>
      </c>
      <c r="AA94" s="622">
        <v>0</v>
      </c>
      <c r="AB94" s="622">
        <v>0</v>
      </c>
      <c r="AC94" s="622">
        <v>0</v>
      </c>
      <c r="AD94" s="624">
        <v>0</v>
      </c>
      <c r="AE94"/>
    </row>
    <row r="95" spans="1:31">
      <c r="A95" s="524"/>
      <c r="B95" s="533" t="s">
        <v>658</v>
      </c>
      <c r="C95" s="622">
        <v>6425.708333333333</v>
      </c>
      <c r="D95" s="623">
        <v>2476.333333333333</v>
      </c>
      <c r="E95" s="623">
        <v>3557.4375</v>
      </c>
      <c r="F95" s="623">
        <v>2428.354166666667</v>
      </c>
      <c r="G95" s="623">
        <v>191.29166666666666</v>
      </c>
      <c r="H95" s="623">
        <v>46.75</v>
      </c>
      <c r="I95" s="622">
        <v>15125.874999999998</v>
      </c>
      <c r="J95" s="622"/>
      <c r="K95" s="623">
        <v>0</v>
      </c>
      <c r="L95" s="623">
        <v>0</v>
      </c>
      <c r="M95" s="623">
        <v>0</v>
      </c>
      <c r="N95" s="622">
        <v>0</v>
      </c>
      <c r="O95" s="622"/>
      <c r="P95" s="622"/>
      <c r="Q95" s="622"/>
      <c r="R95" s="623"/>
      <c r="S95" s="622"/>
      <c r="T95" s="622"/>
      <c r="U95" s="622"/>
      <c r="V95" s="622"/>
      <c r="W95" s="622"/>
      <c r="X95" s="622"/>
      <c r="Y95" s="622"/>
      <c r="Z95" s="622"/>
      <c r="AA95" s="622"/>
      <c r="AB95" s="622"/>
      <c r="AC95" s="622"/>
      <c r="AD95" s="624">
        <v>15125.874999999998</v>
      </c>
      <c r="AE95"/>
    </row>
    <row r="96" spans="1:31">
      <c r="A96" s="524"/>
      <c r="B96" s="533" t="s">
        <v>660</v>
      </c>
      <c r="C96" s="622">
        <v>6250.458333333333</v>
      </c>
      <c r="D96" s="623">
        <v>2590.75</v>
      </c>
      <c r="E96" s="623">
        <v>3515.0625</v>
      </c>
      <c r="F96" s="623">
        <v>2532.0625</v>
      </c>
      <c r="G96" s="623">
        <v>157.33333333333334</v>
      </c>
      <c r="H96" s="623">
        <v>37.041666666666664</v>
      </c>
      <c r="I96" s="622">
        <v>15082.708333333332</v>
      </c>
      <c r="J96" s="622"/>
      <c r="K96" s="623">
        <v>0</v>
      </c>
      <c r="L96" s="623">
        <v>0</v>
      </c>
      <c r="M96" s="623">
        <v>0</v>
      </c>
      <c r="N96" s="622">
        <v>0</v>
      </c>
      <c r="O96" s="622"/>
      <c r="P96" s="622"/>
      <c r="Q96" s="622"/>
      <c r="R96" s="623"/>
      <c r="S96" s="622"/>
      <c r="T96" s="622"/>
      <c r="U96" s="622"/>
      <c r="V96" s="622"/>
      <c r="W96" s="622"/>
      <c r="X96" s="622"/>
      <c r="Y96" s="622"/>
      <c r="Z96" s="622"/>
      <c r="AA96" s="622"/>
      <c r="AB96" s="622"/>
      <c r="AC96" s="622"/>
      <c r="AD96" s="624">
        <v>15082.708333333332</v>
      </c>
      <c r="AE96"/>
    </row>
    <row r="97" spans="1:31">
      <c r="A97" s="524"/>
      <c r="B97" s="533" t="s">
        <v>670</v>
      </c>
      <c r="C97" s="622">
        <v>-2.727325781204407E-2</v>
      </c>
      <c r="D97" s="623">
        <v>4.6204065150087625E-2</v>
      </c>
      <c r="E97" s="623">
        <v>-1.1911663943498655E-2</v>
      </c>
      <c r="F97" s="623">
        <v>4.2707251996808408E-2</v>
      </c>
      <c r="G97" s="623">
        <v>-0.1775212372032236</v>
      </c>
      <c r="H97" s="623">
        <v>-0.20766488413547243</v>
      </c>
      <c r="I97" s="622">
        <v>-2.8538293927900288E-3</v>
      </c>
      <c r="J97" s="622">
        <v>0</v>
      </c>
      <c r="K97" s="623">
        <v>0</v>
      </c>
      <c r="L97" s="623">
        <v>0</v>
      </c>
      <c r="M97" s="623">
        <v>0</v>
      </c>
      <c r="N97" s="622">
        <v>0</v>
      </c>
      <c r="O97" s="622">
        <v>0</v>
      </c>
      <c r="P97" s="622">
        <v>0</v>
      </c>
      <c r="Q97" s="622">
        <v>0</v>
      </c>
      <c r="R97" s="623">
        <v>0</v>
      </c>
      <c r="S97" s="622">
        <v>0</v>
      </c>
      <c r="T97" s="622">
        <v>0</v>
      </c>
      <c r="U97" s="622">
        <v>0</v>
      </c>
      <c r="V97" s="622">
        <v>0</v>
      </c>
      <c r="W97" s="622">
        <v>0</v>
      </c>
      <c r="X97" s="622">
        <v>0</v>
      </c>
      <c r="Y97" s="622">
        <v>0</v>
      </c>
      <c r="Z97" s="622">
        <v>0</v>
      </c>
      <c r="AA97" s="622">
        <v>0</v>
      </c>
      <c r="AB97" s="622">
        <v>0</v>
      </c>
      <c r="AC97" s="622">
        <v>0</v>
      </c>
      <c r="AD97" s="624">
        <v>-2.8538293927900288E-3</v>
      </c>
      <c r="AE97"/>
    </row>
    <row r="98" spans="1:31">
      <c r="A98" s="524"/>
      <c r="B98" s="533" t="s">
        <v>662</v>
      </c>
      <c r="C98" s="622">
        <v>35492.041666666664</v>
      </c>
      <c r="D98" s="623">
        <v>19102.983333333334</v>
      </c>
      <c r="E98" s="623">
        <v>23509.320833333331</v>
      </c>
      <c r="F98" s="623">
        <v>21090.987500000003</v>
      </c>
      <c r="G98" s="623">
        <v>2200.1583333333333</v>
      </c>
      <c r="H98" s="623">
        <v>1608.8166666666666</v>
      </c>
      <c r="I98" s="622">
        <v>103004.30833333333</v>
      </c>
      <c r="J98" s="622"/>
      <c r="K98" s="623">
        <v>59201.116666666669</v>
      </c>
      <c r="L98" s="623">
        <v>18232.45</v>
      </c>
      <c r="M98" s="623">
        <v>6247.0166666666664</v>
      </c>
      <c r="N98" s="622">
        <v>83680.583333333328</v>
      </c>
      <c r="O98" s="622"/>
      <c r="P98" s="622"/>
      <c r="Q98" s="622"/>
      <c r="R98" s="623"/>
      <c r="S98" s="622"/>
      <c r="T98" s="622"/>
      <c r="U98" s="622"/>
      <c r="V98" s="622"/>
      <c r="W98" s="622"/>
      <c r="X98" s="622"/>
      <c r="Y98" s="622"/>
      <c r="Z98" s="622"/>
      <c r="AA98" s="622"/>
      <c r="AB98" s="622"/>
      <c r="AC98" s="622"/>
      <c r="AD98" s="624">
        <v>186684.89166666666</v>
      </c>
      <c r="AE98"/>
    </row>
    <row r="99" spans="1:31">
      <c r="A99" s="524"/>
      <c r="B99" s="533" t="s">
        <v>664</v>
      </c>
      <c r="C99" s="622">
        <v>35685.324999999997</v>
      </c>
      <c r="D99" s="623">
        <v>19134.533333333333</v>
      </c>
      <c r="E99" s="623">
        <v>22864.895833333332</v>
      </c>
      <c r="F99" s="623">
        <v>20494.629166666666</v>
      </c>
      <c r="G99" s="623">
        <v>2030.0333333333333</v>
      </c>
      <c r="H99" s="623">
        <v>1584.0916666666667</v>
      </c>
      <c r="I99" s="622">
        <v>101793.50833333333</v>
      </c>
      <c r="J99" s="622"/>
      <c r="K99" s="623">
        <v>58575.316666666666</v>
      </c>
      <c r="L99" s="623">
        <v>18163.383333333331</v>
      </c>
      <c r="M99" s="623">
        <v>5960.6416666666664</v>
      </c>
      <c r="N99" s="622">
        <v>82699.34166666666</v>
      </c>
      <c r="O99" s="622"/>
      <c r="P99" s="622"/>
      <c r="Q99" s="622"/>
      <c r="R99" s="623"/>
      <c r="S99" s="622"/>
      <c r="T99" s="622"/>
      <c r="U99" s="622"/>
      <c r="V99" s="622"/>
      <c r="W99" s="622"/>
      <c r="X99" s="622"/>
      <c r="Y99" s="622"/>
      <c r="Z99" s="622"/>
      <c r="AA99" s="622"/>
      <c r="AB99" s="622"/>
      <c r="AC99" s="622"/>
      <c r="AD99" s="624">
        <v>184492.85</v>
      </c>
      <c r="AE99"/>
    </row>
    <row r="100" spans="1:31">
      <c r="A100" s="524"/>
      <c r="B100" s="533" t="s">
        <v>672</v>
      </c>
      <c r="C100" s="622">
        <v>5.4458217745996917E-3</v>
      </c>
      <c r="D100" s="623">
        <v>1.6515744922913056E-3</v>
      </c>
      <c r="E100" s="623">
        <v>-2.7411468181857628E-2</v>
      </c>
      <c r="F100" s="623">
        <v>-2.8275505513117256E-2</v>
      </c>
      <c r="G100" s="623">
        <v>-7.7323980471102463E-2</v>
      </c>
      <c r="H100" s="623">
        <v>-1.5368438500346989E-2</v>
      </c>
      <c r="I100" s="622">
        <v>-1.175484811840802E-2</v>
      </c>
      <c r="J100" s="622">
        <v>0</v>
      </c>
      <c r="K100" s="623">
        <v>-1.0570746554048719E-2</v>
      </c>
      <c r="L100" s="623">
        <v>-3.788117705885349E-3</v>
      </c>
      <c r="M100" s="623">
        <v>-4.5841881858273682E-2</v>
      </c>
      <c r="N100" s="622">
        <v>-1.1726037601315515E-2</v>
      </c>
      <c r="O100" s="622">
        <v>0</v>
      </c>
      <c r="P100" s="622">
        <v>0</v>
      </c>
      <c r="Q100" s="622">
        <v>0</v>
      </c>
      <c r="R100" s="623">
        <v>0</v>
      </c>
      <c r="S100" s="622">
        <v>0</v>
      </c>
      <c r="T100" s="622">
        <v>0</v>
      </c>
      <c r="U100" s="622">
        <v>0</v>
      </c>
      <c r="V100" s="622">
        <v>0</v>
      </c>
      <c r="W100" s="622">
        <v>0</v>
      </c>
      <c r="X100" s="622">
        <v>0</v>
      </c>
      <c r="Y100" s="622">
        <v>0</v>
      </c>
      <c r="Z100" s="622">
        <v>0</v>
      </c>
      <c r="AA100" s="622">
        <v>0</v>
      </c>
      <c r="AB100" s="622">
        <v>0</v>
      </c>
      <c r="AC100" s="622">
        <v>0</v>
      </c>
      <c r="AD100" s="624">
        <v>-1.1741933946002476E-2</v>
      </c>
      <c r="AE100"/>
    </row>
    <row r="101" spans="1:31">
      <c r="A101" s="534" t="s">
        <v>230</v>
      </c>
      <c r="B101" s="533" t="s">
        <v>646</v>
      </c>
      <c r="C101" s="622">
        <v>46763.333333333336</v>
      </c>
      <c r="D101" s="623">
        <v>4740.5333333333338</v>
      </c>
      <c r="E101" s="623"/>
      <c r="F101" s="623">
        <v>9495.2566666666662</v>
      </c>
      <c r="G101" s="623"/>
      <c r="H101" s="623"/>
      <c r="I101" s="622">
        <v>60999.123333333337</v>
      </c>
      <c r="J101" s="622"/>
      <c r="K101" s="623"/>
      <c r="L101" s="623"/>
      <c r="M101" s="623"/>
      <c r="N101" s="622"/>
      <c r="O101" s="622"/>
      <c r="P101" s="622"/>
      <c r="Q101" s="622"/>
      <c r="R101" s="623"/>
      <c r="S101" s="622"/>
      <c r="T101" s="622"/>
      <c r="U101" s="622"/>
      <c r="V101" s="622"/>
      <c r="W101" s="622"/>
      <c r="X101" s="622"/>
      <c r="Y101" s="622"/>
      <c r="Z101" s="622">
        <v>0</v>
      </c>
      <c r="AA101" s="622">
        <v>0</v>
      </c>
      <c r="AB101" s="622"/>
      <c r="AC101" s="622"/>
      <c r="AD101" s="624">
        <v>60999.123333333337</v>
      </c>
      <c r="AE101"/>
    </row>
    <row r="102" spans="1:31">
      <c r="A102" s="524"/>
      <c r="B102" s="533" t="s">
        <v>647</v>
      </c>
      <c r="C102" s="622">
        <v>46052.733333333337</v>
      </c>
      <c r="D102" s="623">
        <v>4409.6166666666668</v>
      </c>
      <c r="E102" s="623"/>
      <c r="F102" s="623">
        <v>8769.2000000000007</v>
      </c>
      <c r="G102" s="623"/>
      <c r="H102" s="623"/>
      <c r="I102" s="622">
        <v>59231.55</v>
      </c>
      <c r="J102" s="622"/>
      <c r="K102" s="623"/>
      <c r="L102" s="623"/>
      <c r="M102" s="623"/>
      <c r="N102" s="622"/>
      <c r="O102" s="622"/>
      <c r="P102" s="622"/>
      <c r="Q102" s="622"/>
      <c r="R102" s="623"/>
      <c r="S102" s="622"/>
      <c r="T102" s="622"/>
      <c r="U102" s="622"/>
      <c r="V102" s="622"/>
      <c r="W102" s="622"/>
      <c r="X102" s="622"/>
      <c r="Y102" s="622"/>
      <c r="Z102" s="622">
        <v>0</v>
      </c>
      <c r="AA102" s="622">
        <v>0</v>
      </c>
      <c r="AB102" s="622"/>
      <c r="AC102" s="622"/>
      <c r="AD102" s="624">
        <v>59231.55</v>
      </c>
      <c r="AE102"/>
    </row>
    <row r="103" spans="1:31">
      <c r="A103" s="524"/>
      <c r="B103" s="533" t="s">
        <v>666</v>
      </c>
      <c r="C103" s="622">
        <v>-1.5195666120179595E-2</v>
      </c>
      <c r="D103" s="623">
        <v>-6.9805788378241612E-2</v>
      </c>
      <c r="E103" s="623">
        <v>0</v>
      </c>
      <c r="F103" s="623">
        <v>-7.6465196482313674E-2</v>
      </c>
      <c r="G103" s="623">
        <v>0</v>
      </c>
      <c r="H103" s="623">
        <v>0</v>
      </c>
      <c r="I103" s="622">
        <v>-2.8977028467676771E-2</v>
      </c>
      <c r="J103" s="622">
        <v>0</v>
      </c>
      <c r="K103" s="623">
        <v>0</v>
      </c>
      <c r="L103" s="623">
        <v>0</v>
      </c>
      <c r="M103" s="623">
        <v>0</v>
      </c>
      <c r="N103" s="622">
        <v>0</v>
      </c>
      <c r="O103" s="622">
        <v>0</v>
      </c>
      <c r="P103" s="622">
        <v>0</v>
      </c>
      <c r="Q103" s="622">
        <v>0</v>
      </c>
      <c r="R103" s="623">
        <v>0</v>
      </c>
      <c r="S103" s="622">
        <v>0</v>
      </c>
      <c r="T103" s="622">
        <v>0</v>
      </c>
      <c r="U103" s="622">
        <v>0</v>
      </c>
      <c r="V103" s="622">
        <v>0</v>
      </c>
      <c r="W103" s="622">
        <v>0</v>
      </c>
      <c r="X103" s="622">
        <v>0</v>
      </c>
      <c r="Y103" s="622">
        <v>0</v>
      </c>
      <c r="Z103" s="622">
        <v>0</v>
      </c>
      <c r="AA103" s="622">
        <v>0</v>
      </c>
      <c r="AB103" s="622">
        <v>0</v>
      </c>
      <c r="AC103" s="622">
        <v>0</v>
      </c>
      <c r="AD103" s="624">
        <v>-2.8977028467676771E-2</v>
      </c>
      <c r="AE103"/>
    </row>
    <row r="104" spans="1:31">
      <c r="A104" s="524"/>
      <c r="B104" s="533" t="s">
        <v>654</v>
      </c>
      <c r="C104" s="622">
        <v>0</v>
      </c>
      <c r="D104" s="623">
        <v>0</v>
      </c>
      <c r="E104" s="623"/>
      <c r="F104" s="623">
        <v>0</v>
      </c>
      <c r="G104" s="623"/>
      <c r="H104" s="623"/>
      <c r="I104" s="622">
        <v>0</v>
      </c>
      <c r="J104" s="622"/>
      <c r="K104" s="623"/>
      <c r="L104" s="623"/>
      <c r="M104" s="623"/>
      <c r="N104" s="622"/>
      <c r="O104" s="622"/>
      <c r="P104" s="622"/>
      <c r="Q104" s="622"/>
      <c r="R104" s="623"/>
      <c r="S104" s="622"/>
      <c r="T104" s="622"/>
      <c r="U104" s="622"/>
      <c r="V104" s="622"/>
      <c r="W104" s="622"/>
      <c r="X104" s="622"/>
      <c r="Y104" s="622"/>
      <c r="Z104" s="622">
        <v>0</v>
      </c>
      <c r="AA104" s="622">
        <v>0</v>
      </c>
      <c r="AB104" s="622"/>
      <c r="AC104" s="622"/>
      <c r="AD104" s="624">
        <v>0</v>
      </c>
      <c r="AE104"/>
    </row>
    <row r="105" spans="1:31">
      <c r="A105" s="524"/>
      <c r="B105" s="533" t="s">
        <v>656</v>
      </c>
      <c r="C105" s="622">
        <v>0</v>
      </c>
      <c r="D105" s="623">
        <v>0</v>
      </c>
      <c r="E105" s="623"/>
      <c r="F105" s="623">
        <v>0</v>
      </c>
      <c r="G105" s="623"/>
      <c r="H105" s="623"/>
      <c r="I105" s="622">
        <v>0</v>
      </c>
      <c r="J105" s="622"/>
      <c r="K105" s="623"/>
      <c r="L105" s="623"/>
      <c r="M105" s="623"/>
      <c r="N105" s="622"/>
      <c r="O105" s="622"/>
      <c r="P105" s="622"/>
      <c r="Q105" s="622"/>
      <c r="R105" s="623"/>
      <c r="S105" s="622"/>
      <c r="T105" s="622"/>
      <c r="U105" s="622"/>
      <c r="V105" s="622"/>
      <c r="W105" s="622"/>
      <c r="X105" s="622"/>
      <c r="Y105" s="622"/>
      <c r="Z105" s="622">
        <v>0</v>
      </c>
      <c r="AA105" s="622">
        <v>0</v>
      </c>
      <c r="AB105" s="622"/>
      <c r="AC105" s="622"/>
      <c r="AD105" s="624">
        <v>0</v>
      </c>
      <c r="AE105"/>
    </row>
    <row r="106" spans="1:31">
      <c r="A106" s="524"/>
      <c r="B106" s="533" t="s">
        <v>668</v>
      </c>
      <c r="C106" s="622">
        <v>0</v>
      </c>
      <c r="D106" s="623">
        <v>0</v>
      </c>
      <c r="E106" s="623">
        <v>0</v>
      </c>
      <c r="F106" s="623">
        <v>0</v>
      </c>
      <c r="G106" s="623">
        <v>0</v>
      </c>
      <c r="H106" s="623">
        <v>0</v>
      </c>
      <c r="I106" s="622">
        <v>0</v>
      </c>
      <c r="J106" s="622">
        <v>0</v>
      </c>
      <c r="K106" s="623">
        <v>0</v>
      </c>
      <c r="L106" s="623">
        <v>0</v>
      </c>
      <c r="M106" s="623">
        <v>0</v>
      </c>
      <c r="N106" s="622">
        <v>0</v>
      </c>
      <c r="O106" s="622">
        <v>0</v>
      </c>
      <c r="P106" s="622">
        <v>0</v>
      </c>
      <c r="Q106" s="622">
        <v>0</v>
      </c>
      <c r="R106" s="623">
        <v>0</v>
      </c>
      <c r="S106" s="622">
        <v>0</v>
      </c>
      <c r="T106" s="622">
        <v>0</v>
      </c>
      <c r="U106" s="622">
        <v>0</v>
      </c>
      <c r="V106" s="622">
        <v>0</v>
      </c>
      <c r="W106" s="622">
        <v>0</v>
      </c>
      <c r="X106" s="622">
        <v>0</v>
      </c>
      <c r="Y106" s="622">
        <v>0</v>
      </c>
      <c r="Z106" s="622">
        <v>0</v>
      </c>
      <c r="AA106" s="622">
        <v>0</v>
      </c>
      <c r="AB106" s="622">
        <v>0</v>
      </c>
      <c r="AC106" s="622">
        <v>0</v>
      </c>
      <c r="AD106" s="624">
        <v>0</v>
      </c>
      <c r="AE106"/>
    </row>
    <row r="107" spans="1:31">
      <c r="A107" s="524"/>
      <c r="B107" s="533" t="s">
        <v>658</v>
      </c>
      <c r="C107" s="622">
        <v>7184.7083333333339</v>
      </c>
      <c r="D107" s="623">
        <v>1237.2083333333333</v>
      </c>
      <c r="E107" s="623"/>
      <c r="F107" s="623">
        <v>1373.1041666666667</v>
      </c>
      <c r="G107" s="623"/>
      <c r="H107" s="623"/>
      <c r="I107" s="622">
        <v>9795.0208333333339</v>
      </c>
      <c r="J107" s="622"/>
      <c r="K107" s="623"/>
      <c r="L107" s="623"/>
      <c r="M107" s="623"/>
      <c r="N107" s="622"/>
      <c r="O107" s="622"/>
      <c r="P107" s="622"/>
      <c r="Q107" s="622"/>
      <c r="R107" s="623"/>
      <c r="S107" s="622"/>
      <c r="T107" s="622"/>
      <c r="U107" s="622"/>
      <c r="V107" s="622"/>
      <c r="W107" s="622"/>
      <c r="X107" s="622"/>
      <c r="Y107" s="622"/>
      <c r="Z107" s="622">
        <v>0</v>
      </c>
      <c r="AA107" s="622">
        <v>0</v>
      </c>
      <c r="AB107" s="622"/>
      <c r="AC107" s="622"/>
      <c r="AD107" s="624">
        <v>9795.0208333333339</v>
      </c>
      <c r="AE107"/>
    </row>
    <row r="108" spans="1:31">
      <c r="A108" s="524"/>
      <c r="B108" s="533" t="s">
        <v>660</v>
      </c>
      <c r="C108" s="622">
        <v>7847.3333333333339</v>
      </c>
      <c r="D108" s="623">
        <v>1435.4583333333333</v>
      </c>
      <c r="E108" s="623"/>
      <c r="F108" s="623">
        <v>1465.7083333333333</v>
      </c>
      <c r="G108" s="623"/>
      <c r="H108" s="623"/>
      <c r="I108" s="622">
        <v>10748.500000000002</v>
      </c>
      <c r="J108" s="622"/>
      <c r="K108" s="623"/>
      <c r="L108" s="623"/>
      <c r="M108" s="623"/>
      <c r="N108" s="622"/>
      <c r="O108" s="622"/>
      <c r="P108" s="622"/>
      <c r="Q108" s="622"/>
      <c r="R108" s="623"/>
      <c r="S108" s="622"/>
      <c r="T108" s="622"/>
      <c r="U108" s="622"/>
      <c r="V108" s="622"/>
      <c r="W108" s="622"/>
      <c r="X108" s="622"/>
      <c r="Y108" s="622"/>
      <c r="Z108" s="622">
        <v>0</v>
      </c>
      <c r="AA108" s="622">
        <v>0</v>
      </c>
      <c r="AB108" s="622"/>
      <c r="AC108" s="622"/>
      <c r="AD108" s="624">
        <v>10748.500000000002</v>
      </c>
      <c r="AE108"/>
    </row>
    <row r="109" spans="1:31">
      <c r="A109" s="524"/>
      <c r="B109" s="533" t="s">
        <v>670</v>
      </c>
      <c r="C109" s="622">
        <v>9.222712589817493E-2</v>
      </c>
      <c r="D109" s="623">
        <v>0.16023978715522177</v>
      </c>
      <c r="E109" s="623">
        <v>0</v>
      </c>
      <c r="F109" s="623">
        <v>6.7441472333065175E-2</v>
      </c>
      <c r="G109" s="630">
        <v>0</v>
      </c>
      <c r="H109" s="623">
        <v>0</v>
      </c>
      <c r="I109" s="622">
        <v>9.7343250503551026E-2</v>
      </c>
      <c r="J109" s="622">
        <v>0</v>
      </c>
      <c r="K109" s="623">
        <v>0</v>
      </c>
      <c r="L109" s="623">
        <v>0</v>
      </c>
      <c r="M109" s="623">
        <v>0</v>
      </c>
      <c r="N109" s="622">
        <v>0</v>
      </c>
      <c r="O109" s="622">
        <v>0</v>
      </c>
      <c r="P109" s="622">
        <v>0</v>
      </c>
      <c r="Q109" s="622">
        <v>0</v>
      </c>
      <c r="R109" s="623">
        <v>0</v>
      </c>
      <c r="S109" s="622">
        <v>0</v>
      </c>
      <c r="T109" s="622">
        <v>0</v>
      </c>
      <c r="U109" s="622">
        <v>0</v>
      </c>
      <c r="V109" s="622">
        <v>0</v>
      </c>
      <c r="W109" s="622">
        <v>0</v>
      </c>
      <c r="X109" s="622">
        <v>0</v>
      </c>
      <c r="Y109" s="622">
        <v>0</v>
      </c>
      <c r="Z109" s="622">
        <v>0</v>
      </c>
      <c r="AA109" s="622">
        <v>0</v>
      </c>
      <c r="AB109" s="622">
        <v>0</v>
      </c>
      <c r="AC109" s="622">
        <v>0</v>
      </c>
      <c r="AD109" s="624">
        <v>9.7343250503551026E-2</v>
      </c>
      <c r="AE109"/>
    </row>
    <row r="110" spans="1:31">
      <c r="A110" s="524"/>
      <c r="B110" s="533" t="s">
        <v>662</v>
      </c>
      <c r="C110" s="622">
        <v>53948.041666666664</v>
      </c>
      <c r="D110" s="623">
        <v>5977.7416666666668</v>
      </c>
      <c r="E110" s="623"/>
      <c r="F110" s="623">
        <v>10868.360833333334</v>
      </c>
      <c r="G110" s="623"/>
      <c r="H110" s="623"/>
      <c r="I110" s="622">
        <v>70794.144166666665</v>
      </c>
      <c r="J110" s="622"/>
      <c r="K110" s="623"/>
      <c r="L110" s="623"/>
      <c r="M110" s="623"/>
      <c r="N110" s="622"/>
      <c r="O110" s="622"/>
      <c r="P110" s="622"/>
      <c r="Q110" s="622"/>
      <c r="R110" s="623"/>
      <c r="S110" s="622"/>
      <c r="T110" s="622"/>
      <c r="U110" s="622"/>
      <c r="V110" s="622"/>
      <c r="W110" s="622"/>
      <c r="X110" s="622"/>
      <c r="Y110" s="622"/>
      <c r="Z110" s="622">
        <v>0</v>
      </c>
      <c r="AA110" s="622">
        <v>0</v>
      </c>
      <c r="AB110" s="622"/>
      <c r="AC110" s="622"/>
      <c r="AD110" s="624">
        <v>70794.144166666665</v>
      </c>
      <c r="AE110"/>
    </row>
    <row r="111" spans="1:31">
      <c r="A111" s="524"/>
      <c r="B111" s="533" t="s">
        <v>664</v>
      </c>
      <c r="C111" s="622">
        <v>53900.066666666673</v>
      </c>
      <c r="D111" s="623">
        <v>5845.0749999999998</v>
      </c>
      <c r="E111" s="623"/>
      <c r="F111" s="623">
        <v>10234.908333333335</v>
      </c>
      <c r="G111" s="623"/>
      <c r="H111" s="623"/>
      <c r="I111" s="622">
        <v>69980.05</v>
      </c>
      <c r="J111" s="622"/>
      <c r="K111" s="623"/>
      <c r="L111" s="623"/>
      <c r="M111" s="623"/>
      <c r="N111" s="622"/>
      <c r="O111" s="622"/>
      <c r="P111" s="622"/>
      <c r="Q111" s="622"/>
      <c r="R111" s="623"/>
      <c r="S111" s="622"/>
      <c r="T111" s="622"/>
      <c r="U111" s="622"/>
      <c r="V111" s="622"/>
      <c r="W111" s="622"/>
      <c r="X111" s="622"/>
      <c r="Y111" s="622"/>
      <c r="Z111" s="622">
        <v>0</v>
      </c>
      <c r="AA111" s="622">
        <v>0</v>
      </c>
      <c r="AB111" s="622"/>
      <c r="AC111" s="622"/>
      <c r="AD111" s="624">
        <v>69980.05</v>
      </c>
      <c r="AE111"/>
    </row>
    <row r="112" spans="1:31">
      <c r="A112" s="524"/>
      <c r="B112" s="533" t="s">
        <v>672</v>
      </c>
      <c r="C112" s="622">
        <v>-8.892815849816842E-4</v>
      </c>
      <c r="D112" s="623">
        <v>-2.2193442618380181E-2</v>
      </c>
      <c r="E112" s="623">
        <v>0</v>
      </c>
      <c r="F112" s="623">
        <v>-5.8284088071238527E-2</v>
      </c>
      <c r="G112" s="623">
        <v>0</v>
      </c>
      <c r="H112" s="623">
        <v>0</v>
      </c>
      <c r="I112" s="622">
        <v>-1.1499456293307469E-2</v>
      </c>
      <c r="J112" s="622">
        <v>0</v>
      </c>
      <c r="K112" s="623">
        <v>0</v>
      </c>
      <c r="L112" s="623">
        <v>0</v>
      </c>
      <c r="M112" s="623">
        <v>0</v>
      </c>
      <c r="N112" s="622">
        <v>0</v>
      </c>
      <c r="O112" s="622">
        <v>0</v>
      </c>
      <c r="P112" s="622">
        <v>0</v>
      </c>
      <c r="Q112" s="622">
        <v>0</v>
      </c>
      <c r="R112" s="623">
        <v>0</v>
      </c>
      <c r="S112" s="622">
        <v>0</v>
      </c>
      <c r="T112" s="622">
        <v>0</v>
      </c>
      <c r="U112" s="622">
        <v>0</v>
      </c>
      <c r="V112" s="622">
        <v>0</v>
      </c>
      <c r="W112" s="622">
        <v>0</v>
      </c>
      <c r="X112" s="622">
        <v>0</v>
      </c>
      <c r="Y112" s="622">
        <v>0</v>
      </c>
      <c r="Z112" s="622">
        <v>0</v>
      </c>
      <c r="AA112" s="622">
        <v>0</v>
      </c>
      <c r="AB112" s="622">
        <v>0</v>
      </c>
      <c r="AC112" s="622">
        <v>0</v>
      </c>
      <c r="AD112" s="624">
        <v>-1.1499456293307469E-2</v>
      </c>
      <c r="AE112"/>
    </row>
    <row r="113" spans="1:31">
      <c r="A113" s="534" t="s">
        <v>239</v>
      </c>
      <c r="B113" s="533" t="s">
        <v>646</v>
      </c>
      <c r="C113" s="622">
        <v>80606.566666666666</v>
      </c>
      <c r="D113" s="623">
        <v>21374.733333333334</v>
      </c>
      <c r="E113" s="623">
        <v>57185.416666666672</v>
      </c>
      <c r="F113" s="623">
        <v>5003.833333333333</v>
      </c>
      <c r="G113" s="623">
        <v>10095</v>
      </c>
      <c r="H113" s="623">
        <v>4844.5</v>
      </c>
      <c r="I113" s="622">
        <v>179110.05000000002</v>
      </c>
      <c r="J113" s="622"/>
      <c r="K113" s="623">
        <v>70054.21666666666</v>
      </c>
      <c r="L113" s="623">
        <v>54422.400000000009</v>
      </c>
      <c r="M113" s="623">
        <v>26302.783333333333</v>
      </c>
      <c r="N113" s="622">
        <v>150779.4</v>
      </c>
      <c r="O113" s="622"/>
      <c r="P113" s="622"/>
      <c r="Q113" s="622"/>
      <c r="R113" s="623"/>
      <c r="S113" s="622"/>
      <c r="T113" s="622"/>
      <c r="U113" s="622"/>
      <c r="V113" s="622"/>
      <c r="W113" s="622"/>
      <c r="X113" s="622"/>
      <c r="Y113" s="622"/>
      <c r="Z113" s="622"/>
      <c r="AA113" s="622"/>
      <c r="AB113" s="622">
        <v>914.56666666666672</v>
      </c>
      <c r="AC113" s="622">
        <v>914.56666666666672</v>
      </c>
      <c r="AD113" s="624">
        <v>330804.01666666666</v>
      </c>
      <c r="AE113"/>
    </row>
    <row r="114" spans="1:31">
      <c r="A114" s="524"/>
      <c r="B114" s="533" t="s">
        <v>647</v>
      </c>
      <c r="C114" s="622">
        <v>81820.166666666657</v>
      </c>
      <c r="D114" s="623">
        <v>21106.400000000001</v>
      </c>
      <c r="E114" s="623">
        <v>57784.933333333334</v>
      </c>
      <c r="F114" s="623">
        <v>5002.4333333333334</v>
      </c>
      <c r="G114" s="623">
        <v>10261.200000000001</v>
      </c>
      <c r="H114" s="623">
        <v>4893.6666666666661</v>
      </c>
      <c r="I114" s="622">
        <v>180868.8</v>
      </c>
      <c r="J114" s="622"/>
      <c r="K114" s="623">
        <v>69690.416666666672</v>
      </c>
      <c r="L114" s="623">
        <v>54635.726666666669</v>
      </c>
      <c r="M114" s="623">
        <v>26095.95</v>
      </c>
      <c r="N114" s="622">
        <v>150422.09333333335</v>
      </c>
      <c r="O114" s="622"/>
      <c r="P114" s="622"/>
      <c r="Q114" s="622"/>
      <c r="R114" s="623"/>
      <c r="S114" s="622"/>
      <c r="T114" s="622"/>
      <c r="U114" s="622"/>
      <c r="V114" s="622"/>
      <c r="W114" s="622"/>
      <c r="X114" s="622"/>
      <c r="Y114" s="622"/>
      <c r="Z114" s="622"/>
      <c r="AA114" s="622"/>
      <c r="AB114" s="622">
        <v>890.6</v>
      </c>
      <c r="AC114" s="622">
        <v>890.6</v>
      </c>
      <c r="AD114" s="624">
        <v>332181.49333333335</v>
      </c>
      <c r="AE114"/>
    </row>
    <row r="115" spans="1:31">
      <c r="A115" s="524"/>
      <c r="B115" s="533" t="s">
        <v>666</v>
      </c>
      <c r="C115" s="622">
        <v>1.5055845326083747E-2</v>
      </c>
      <c r="D115" s="623">
        <v>-1.2553762853961474E-2</v>
      </c>
      <c r="E115" s="623">
        <v>1.0483733469343077E-2</v>
      </c>
      <c r="F115" s="623">
        <v>-2.7978549778495877E-4</v>
      </c>
      <c r="G115" s="623">
        <v>1.646359583952459E-2</v>
      </c>
      <c r="H115" s="623">
        <v>1.0148966181580361E-2</v>
      </c>
      <c r="I115" s="622">
        <v>9.8193819944772075E-3</v>
      </c>
      <c r="J115" s="622">
        <v>0</v>
      </c>
      <c r="K115" s="623">
        <v>-5.193120661544595E-3</v>
      </c>
      <c r="L115" s="623">
        <v>3.9198320299483379E-3</v>
      </c>
      <c r="M115" s="623">
        <v>-7.8635530967254598E-3</v>
      </c>
      <c r="N115" s="622">
        <v>-2.3697313205033321E-3</v>
      </c>
      <c r="O115" s="622">
        <v>0</v>
      </c>
      <c r="P115" s="622">
        <v>0</v>
      </c>
      <c r="Q115" s="622">
        <v>0</v>
      </c>
      <c r="R115" s="623">
        <v>0</v>
      </c>
      <c r="S115" s="622">
        <v>0</v>
      </c>
      <c r="T115" s="622">
        <v>0</v>
      </c>
      <c r="U115" s="622">
        <v>0</v>
      </c>
      <c r="V115" s="622">
        <v>0</v>
      </c>
      <c r="W115" s="622">
        <v>0</v>
      </c>
      <c r="X115" s="622">
        <v>0</v>
      </c>
      <c r="Y115" s="622">
        <v>0</v>
      </c>
      <c r="Z115" s="622">
        <v>0</v>
      </c>
      <c r="AA115" s="622">
        <v>0</v>
      </c>
      <c r="AB115" s="622">
        <v>-2.6205488938295034E-2</v>
      </c>
      <c r="AC115" s="622">
        <v>-2.6205488938295034E-2</v>
      </c>
      <c r="AD115" s="624">
        <v>4.1640264243068955E-3</v>
      </c>
      <c r="AE115"/>
    </row>
    <row r="116" spans="1:31">
      <c r="A116" s="524"/>
      <c r="B116" s="533" t="s">
        <v>654</v>
      </c>
      <c r="C116" s="622">
        <v>0</v>
      </c>
      <c r="D116" s="623">
        <v>0</v>
      </c>
      <c r="E116" s="623">
        <v>0</v>
      </c>
      <c r="F116" s="623">
        <v>0</v>
      </c>
      <c r="G116" s="623">
        <v>0</v>
      </c>
      <c r="H116" s="623">
        <v>0</v>
      </c>
      <c r="I116" s="622">
        <v>0</v>
      </c>
      <c r="J116" s="622"/>
      <c r="K116" s="623">
        <v>11853.945555555556</v>
      </c>
      <c r="L116" s="623">
        <v>12665.833333333334</v>
      </c>
      <c r="M116" s="623">
        <v>7569.2344444444434</v>
      </c>
      <c r="N116" s="622">
        <v>32089.013333333332</v>
      </c>
      <c r="O116" s="622"/>
      <c r="P116" s="622"/>
      <c r="Q116" s="622"/>
      <c r="R116" s="623"/>
      <c r="S116" s="622"/>
      <c r="T116" s="622"/>
      <c r="U116" s="622"/>
      <c r="V116" s="622"/>
      <c r="W116" s="622"/>
      <c r="X116" s="622"/>
      <c r="Y116" s="622"/>
      <c r="Z116" s="622"/>
      <c r="AA116" s="622"/>
      <c r="AB116" s="622">
        <v>0</v>
      </c>
      <c r="AC116" s="622">
        <v>0</v>
      </c>
      <c r="AD116" s="624">
        <v>32089.013333333332</v>
      </c>
      <c r="AE116"/>
    </row>
    <row r="117" spans="1:31">
      <c r="A117" s="524"/>
      <c r="B117" s="533" t="s">
        <v>656</v>
      </c>
      <c r="C117" s="622">
        <v>0</v>
      </c>
      <c r="D117" s="623">
        <v>0</v>
      </c>
      <c r="E117" s="623">
        <v>0</v>
      </c>
      <c r="F117" s="623">
        <v>0</v>
      </c>
      <c r="G117" s="623">
        <v>0</v>
      </c>
      <c r="H117" s="623">
        <v>0</v>
      </c>
      <c r="I117" s="622">
        <v>0</v>
      </c>
      <c r="J117" s="622"/>
      <c r="K117" s="623">
        <v>8401.4155555555553</v>
      </c>
      <c r="L117" s="623">
        <v>9513.4866666666694</v>
      </c>
      <c r="M117" s="623">
        <v>5173.3033333333351</v>
      </c>
      <c r="N117" s="622">
        <v>23088.205555555563</v>
      </c>
      <c r="O117" s="622"/>
      <c r="P117" s="622"/>
      <c r="Q117" s="622"/>
      <c r="R117" s="623"/>
      <c r="S117" s="622"/>
      <c r="T117" s="622"/>
      <c r="U117" s="622"/>
      <c r="V117" s="622"/>
      <c r="W117" s="622"/>
      <c r="X117" s="622"/>
      <c r="Y117" s="622"/>
      <c r="Z117" s="622"/>
      <c r="AA117" s="622"/>
      <c r="AB117" s="622">
        <v>0</v>
      </c>
      <c r="AC117" s="622">
        <v>0</v>
      </c>
      <c r="AD117" s="624">
        <v>23088.205555555563</v>
      </c>
      <c r="AE117"/>
    </row>
    <row r="118" spans="1:31">
      <c r="A118" s="524"/>
      <c r="B118" s="533" t="s">
        <v>668</v>
      </c>
      <c r="C118" s="622">
        <v>0</v>
      </c>
      <c r="D118" s="623">
        <v>0</v>
      </c>
      <c r="E118" s="623">
        <v>0</v>
      </c>
      <c r="F118" s="623">
        <v>0</v>
      </c>
      <c r="G118" s="623">
        <v>0</v>
      </c>
      <c r="H118" s="623">
        <v>0</v>
      </c>
      <c r="I118" s="622">
        <v>0</v>
      </c>
      <c r="J118" s="622">
        <v>0</v>
      </c>
      <c r="K118" s="623">
        <v>-0.2912557665984819</v>
      </c>
      <c r="L118" s="623">
        <v>-0.24888584775314149</v>
      </c>
      <c r="M118" s="623">
        <v>-0.31653546058011706</v>
      </c>
      <c r="N118" s="622">
        <v>-0.2804949994653762</v>
      </c>
      <c r="O118" s="622">
        <v>0</v>
      </c>
      <c r="P118" s="622">
        <v>0</v>
      </c>
      <c r="Q118" s="622">
        <v>0</v>
      </c>
      <c r="R118" s="623">
        <v>0</v>
      </c>
      <c r="S118" s="622">
        <v>0</v>
      </c>
      <c r="T118" s="622">
        <v>0</v>
      </c>
      <c r="U118" s="622">
        <v>0</v>
      </c>
      <c r="V118" s="622">
        <v>0</v>
      </c>
      <c r="W118" s="622">
        <v>0</v>
      </c>
      <c r="X118" s="622">
        <v>0</v>
      </c>
      <c r="Y118" s="622">
        <v>0</v>
      </c>
      <c r="Z118" s="622">
        <v>0</v>
      </c>
      <c r="AA118" s="622">
        <v>0</v>
      </c>
      <c r="AB118" s="622">
        <v>0</v>
      </c>
      <c r="AC118" s="622">
        <v>0</v>
      </c>
      <c r="AD118" s="624">
        <v>-0.2804949994653762</v>
      </c>
      <c r="AE118"/>
    </row>
    <row r="119" spans="1:31">
      <c r="A119" s="524"/>
      <c r="B119" s="533" t="s">
        <v>658</v>
      </c>
      <c r="C119" s="622">
        <v>21698.020833333332</v>
      </c>
      <c r="D119" s="623">
        <v>3632.7083333333335</v>
      </c>
      <c r="E119" s="623">
        <v>7242.5</v>
      </c>
      <c r="F119" s="623">
        <v>597.41666666666663</v>
      </c>
      <c r="G119" s="623">
        <v>1382.6666666666665</v>
      </c>
      <c r="H119" s="623">
        <v>60.041666666666664</v>
      </c>
      <c r="I119" s="622">
        <v>34613.354166666657</v>
      </c>
      <c r="J119" s="622"/>
      <c r="K119" s="623">
        <v>0</v>
      </c>
      <c r="L119" s="623">
        <v>0</v>
      </c>
      <c r="M119" s="623">
        <v>0</v>
      </c>
      <c r="N119" s="622">
        <v>0</v>
      </c>
      <c r="O119" s="622"/>
      <c r="P119" s="622"/>
      <c r="Q119" s="622"/>
      <c r="R119" s="623"/>
      <c r="S119" s="622"/>
      <c r="T119" s="622"/>
      <c r="U119" s="622"/>
      <c r="V119" s="622"/>
      <c r="W119" s="622"/>
      <c r="X119" s="622"/>
      <c r="Y119" s="622"/>
      <c r="Z119" s="622"/>
      <c r="AA119" s="622"/>
      <c r="AB119" s="622">
        <v>159.25</v>
      </c>
      <c r="AC119" s="622">
        <v>159.25</v>
      </c>
      <c r="AD119" s="624">
        <v>34772.604166666657</v>
      </c>
      <c r="AE119"/>
    </row>
    <row r="120" spans="1:31">
      <c r="A120" s="524"/>
      <c r="B120" s="533" t="s">
        <v>660</v>
      </c>
      <c r="C120" s="622">
        <v>21377.697916666668</v>
      </c>
      <c r="D120" s="623">
        <v>3727.625</v>
      </c>
      <c r="E120" s="623">
        <v>7887.2916666666661</v>
      </c>
      <c r="F120" s="623">
        <v>732.70833333333337</v>
      </c>
      <c r="G120" s="623">
        <v>1693.3333333333333</v>
      </c>
      <c r="H120" s="623">
        <v>69.125</v>
      </c>
      <c r="I120" s="622">
        <v>35487.781250000007</v>
      </c>
      <c r="J120" s="622"/>
      <c r="K120" s="623">
        <v>0</v>
      </c>
      <c r="L120" s="623">
        <v>0</v>
      </c>
      <c r="M120" s="623">
        <v>0</v>
      </c>
      <c r="N120" s="622">
        <v>0</v>
      </c>
      <c r="O120" s="622"/>
      <c r="P120" s="622"/>
      <c r="Q120" s="622"/>
      <c r="R120" s="623"/>
      <c r="S120" s="622"/>
      <c r="T120" s="622"/>
      <c r="U120" s="622"/>
      <c r="V120" s="622"/>
      <c r="W120" s="622"/>
      <c r="X120" s="622"/>
      <c r="Y120" s="622"/>
      <c r="Z120" s="622"/>
      <c r="AA120" s="622"/>
      <c r="AB120" s="622">
        <v>153</v>
      </c>
      <c r="AC120" s="622">
        <v>153</v>
      </c>
      <c r="AD120" s="624">
        <v>35640.781250000007</v>
      </c>
      <c r="AE120"/>
    </row>
    <row r="121" spans="1:31">
      <c r="A121" s="524"/>
      <c r="B121" s="533" t="s">
        <v>670</v>
      </c>
      <c r="C121" s="622">
        <v>-1.476277118208735E-2</v>
      </c>
      <c r="D121" s="623">
        <v>2.6128347766244151E-2</v>
      </c>
      <c r="E121" s="623">
        <v>8.9028880451041223E-2</v>
      </c>
      <c r="F121" s="630">
        <v>0.22646115218301033</v>
      </c>
      <c r="G121" s="623">
        <v>0.22468659594985543</v>
      </c>
      <c r="H121" s="623">
        <v>0.15128383067314369</v>
      </c>
      <c r="I121" s="622">
        <v>2.5262708696848594E-2</v>
      </c>
      <c r="J121" s="622">
        <v>0</v>
      </c>
      <c r="K121" s="623">
        <v>0</v>
      </c>
      <c r="L121" s="623">
        <v>0</v>
      </c>
      <c r="M121" s="623">
        <v>0</v>
      </c>
      <c r="N121" s="622">
        <v>0</v>
      </c>
      <c r="O121" s="622">
        <v>0</v>
      </c>
      <c r="P121" s="622">
        <v>0</v>
      </c>
      <c r="Q121" s="622">
        <v>0</v>
      </c>
      <c r="R121" s="623">
        <v>0</v>
      </c>
      <c r="S121" s="622">
        <v>0</v>
      </c>
      <c r="T121" s="622">
        <v>0</v>
      </c>
      <c r="U121" s="622">
        <v>0</v>
      </c>
      <c r="V121" s="622">
        <v>0</v>
      </c>
      <c r="W121" s="622">
        <v>0</v>
      </c>
      <c r="X121" s="622">
        <v>0</v>
      </c>
      <c r="Y121" s="622">
        <v>0</v>
      </c>
      <c r="Z121" s="622">
        <v>0</v>
      </c>
      <c r="AA121" s="622">
        <v>0</v>
      </c>
      <c r="AB121" s="622">
        <v>-3.924646781789639E-2</v>
      </c>
      <c r="AC121" s="622">
        <v>-3.924646781789639E-2</v>
      </c>
      <c r="AD121" s="624">
        <v>2.4967272487620956E-2</v>
      </c>
      <c r="AE121"/>
    </row>
    <row r="122" spans="1:31">
      <c r="A122" s="524"/>
      <c r="B122" s="533" t="s">
        <v>662</v>
      </c>
      <c r="C122" s="622">
        <v>102304.58749999999</v>
      </c>
      <c r="D122" s="623">
        <v>25007.441666666666</v>
      </c>
      <c r="E122" s="623">
        <v>64427.916666666672</v>
      </c>
      <c r="F122" s="623">
        <v>5601.25</v>
      </c>
      <c r="G122" s="623">
        <v>11477.666666666668</v>
      </c>
      <c r="H122" s="623">
        <v>4904.541666666667</v>
      </c>
      <c r="I122" s="622">
        <v>213723.40416666665</v>
      </c>
      <c r="J122" s="622"/>
      <c r="K122" s="623">
        <v>81908.162222222221</v>
      </c>
      <c r="L122" s="623">
        <v>67088.233333333323</v>
      </c>
      <c r="M122" s="623">
        <v>33872.017777777779</v>
      </c>
      <c r="N122" s="622">
        <v>182868.4133333333</v>
      </c>
      <c r="O122" s="622"/>
      <c r="P122" s="622"/>
      <c r="Q122" s="622"/>
      <c r="R122" s="623"/>
      <c r="S122" s="622"/>
      <c r="T122" s="622"/>
      <c r="U122" s="622"/>
      <c r="V122" s="622"/>
      <c r="W122" s="622"/>
      <c r="X122" s="622"/>
      <c r="Y122" s="622"/>
      <c r="Z122" s="622"/>
      <c r="AA122" s="622"/>
      <c r="AB122" s="622">
        <v>1073.8166666666666</v>
      </c>
      <c r="AC122" s="622">
        <v>1073.8166666666666</v>
      </c>
      <c r="AD122" s="624">
        <v>397665.63416666666</v>
      </c>
      <c r="AE122"/>
    </row>
    <row r="123" spans="1:31">
      <c r="A123" s="524"/>
      <c r="B123" s="533" t="s">
        <v>664</v>
      </c>
      <c r="C123" s="622">
        <v>103197.86458333331</v>
      </c>
      <c r="D123" s="623">
        <v>24834.025000000001</v>
      </c>
      <c r="E123" s="623">
        <v>65672.225000000006</v>
      </c>
      <c r="F123" s="623">
        <v>5735.1416666666664</v>
      </c>
      <c r="G123" s="623">
        <v>11954.533333333333</v>
      </c>
      <c r="H123" s="623">
        <v>4962.7916666666661</v>
      </c>
      <c r="I123" s="622">
        <v>216356.58124999996</v>
      </c>
      <c r="J123" s="622"/>
      <c r="K123" s="623">
        <v>78091.83222222222</v>
      </c>
      <c r="L123" s="623">
        <v>64149.213333333326</v>
      </c>
      <c r="M123" s="623">
        <v>31269.253333333338</v>
      </c>
      <c r="N123" s="622">
        <v>173510.29888888888</v>
      </c>
      <c r="O123" s="622"/>
      <c r="P123" s="622"/>
      <c r="Q123" s="622"/>
      <c r="R123" s="623"/>
      <c r="S123" s="622"/>
      <c r="T123" s="622"/>
      <c r="U123" s="622"/>
      <c r="V123" s="622"/>
      <c r="W123" s="622"/>
      <c r="X123" s="622"/>
      <c r="Y123" s="622"/>
      <c r="Z123" s="622"/>
      <c r="AA123" s="622"/>
      <c r="AB123" s="622">
        <v>1043.5999999999999</v>
      </c>
      <c r="AC123" s="622">
        <v>1043.5999999999999</v>
      </c>
      <c r="AD123" s="624">
        <v>390910.48013888882</v>
      </c>
      <c r="AE123"/>
    </row>
    <row r="124" spans="1:31">
      <c r="A124" s="524"/>
      <c r="B124" s="533" t="s">
        <v>672</v>
      </c>
      <c r="C124" s="622">
        <v>8.7315447445924146E-3</v>
      </c>
      <c r="D124" s="623">
        <v>-6.934602466665659E-3</v>
      </c>
      <c r="E124" s="623">
        <v>1.9313185924838498E-2</v>
      </c>
      <c r="F124" s="623">
        <v>2.3903890500632255E-2</v>
      </c>
      <c r="G124" s="623">
        <v>4.1547352830133728E-2</v>
      </c>
      <c r="H124" s="623">
        <v>1.1876746892760776E-2</v>
      </c>
      <c r="I124" s="622">
        <v>1.2320490091388863E-2</v>
      </c>
      <c r="J124" s="622">
        <v>0</v>
      </c>
      <c r="K124" s="623">
        <v>-4.6592792420931728E-2</v>
      </c>
      <c r="L124" s="623">
        <v>-4.3808278351842082E-2</v>
      </c>
      <c r="M124" s="623">
        <v>-7.6841139536482597E-2</v>
      </c>
      <c r="N124" s="622">
        <v>-5.1174034235133004E-2</v>
      </c>
      <c r="O124" s="622">
        <v>0</v>
      </c>
      <c r="P124" s="622">
        <v>0</v>
      </c>
      <c r="Q124" s="622">
        <v>0</v>
      </c>
      <c r="R124" s="623">
        <v>0</v>
      </c>
      <c r="S124" s="622">
        <v>0</v>
      </c>
      <c r="T124" s="622">
        <v>0</v>
      </c>
      <c r="U124" s="622">
        <v>0</v>
      </c>
      <c r="V124" s="622">
        <v>0</v>
      </c>
      <c r="W124" s="622">
        <v>0</v>
      </c>
      <c r="X124" s="622">
        <v>0</v>
      </c>
      <c r="Y124" s="622">
        <v>0</v>
      </c>
      <c r="Z124" s="622">
        <v>0</v>
      </c>
      <c r="AA124" s="622">
        <v>0</v>
      </c>
      <c r="AB124" s="622">
        <v>-2.8139502397988514E-2</v>
      </c>
      <c r="AC124" s="622">
        <v>-2.8139502397988514E-2</v>
      </c>
      <c r="AD124" s="624">
        <v>-1.6987019866410508E-2</v>
      </c>
      <c r="AE124"/>
    </row>
    <row r="125" spans="1:31">
      <c r="A125" s="534" t="s">
        <v>936</v>
      </c>
      <c r="B125" s="533" t="s">
        <v>646</v>
      </c>
      <c r="C125" s="622"/>
      <c r="D125" s="623"/>
      <c r="E125" s="623"/>
      <c r="F125" s="623"/>
      <c r="G125" s="623"/>
      <c r="H125" s="623"/>
      <c r="I125" s="622"/>
      <c r="J125" s="622"/>
      <c r="K125" s="623"/>
      <c r="L125" s="623"/>
      <c r="M125" s="623"/>
      <c r="N125" s="622"/>
      <c r="O125" s="622"/>
      <c r="P125" s="622"/>
      <c r="Q125" s="622">
        <v>0</v>
      </c>
      <c r="R125" s="623">
        <v>0</v>
      </c>
      <c r="S125" s="622">
        <v>0</v>
      </c>
      <c r="T125" s="622"/>
      <c r="U125" s="622"/>
      <c r="V125" s="622"/>
      <c r="W125" s="622"/>
      <c r="X125" s="622"/>
      <c r="Y125" s="622"/>
      <c r="Z125" s="622">
        <v>0</v>
      </c>
      <c r="AA125" s="622">
        <v>0</v>
      </c>
      <c r="AB125" s="622"/>
      <c r="AC125" s="622"/>
      <c r="AD125" s="624">
        <v>0</v>
      </c>
      <c r="AE125"/>
    </row>
    <row r="126" spans="1:31">
      <c r="A126" s="524"/>
      <c r="B126" s="533" t="s">
        <v>647</v>
      </c>
      <c r="C126" s="622"/>
      <c r="D126" s="623"/>
      <c r="E126" s="623"/>
      <c r="F126" s="623"/>
      <c r="G126" s="623"/>
      <c r="H126" s="623"/>
      <c r="I126" s="622"/>
      <c r="J126" s="622"/>
      <c r="K126" s="623"/>
      <c r="L126" s="623"/>
      <c r="M126" s="623"/>
      <c r="N126" s="622"/>
      <c r="O126" s="622"/>
      <c r="P126" s="622"/>
      <c r="Q126" s="622">
        <v>0</v>
      </c>
      <c r="R126" s="623">
        <v>0</v>
      </c>
      <c r="S126" s="622">
        <v>0</v>
      </c>
      <c r="T126" s="622"/>
      <c r="U126" s="622"/>
      <c r="V126" s="622"/>
      <c r="W126" s="622"/>
      <c r="X126" s="622"/>
      <c r="Y126" s="622"/>
      <c r="Z126" s="622">
        <v>0</v>
      </c>
      <c r="AA126" s="622">
        <v>0</v>
      </c>
      <c r="AB126" s="622"/>
      <c r="AC126" s="622"/>
      <c r="AD126" s="624">
        <v>0</v>
      </c>
      <c r="AE126"/>
    </row>
    <row r="127" spans="1:31">
      <c r="A127" s="524"/>
      <c r="B127" s="533" t="s">
        <v>666</v>
      </c>
      <c r="C127" s="622">
        <v>0</v>
      </c>
      <c r="D127" s="623">
        <v>0</v>
      </c>
      <c r="E127" s="623">
        <v>0</v>
      </c>
      <c r="F127" s="623">
        <v>0</v>
      </c>
      <c r="G127" s="623">
        <v>0</v>
      </c>
      <c r="H127" s="623">
        <v>0</v>
      </c>
      <c r="I127" s="622">
        <v>0</v>
      </c>
      <c r="J127" s="622">
        <v>0</v>
      </c>
      <c r="K127" s="623">
        <v>0</v>
      </c>
      <c r="L127" s="623">
        <v>0</v>
      </c>
      <c r="M127" s="623">
        <v>0</v>
      </c>
      <c r="N127" s="622">
        <v>0</v>
      </c>
      <c r="O127" s="622">
        <v>0</v>
      </c>
      <c r="P127" s="622">
        <v>0</v>
      </c>
      <c r="Q127" s="622">
        <v>0</v>
      </c>
      <c r="R127" s="623">
        <v>0</v>
      </c>
      <c r="S127" s="622">
        <v>0</v>
      </c>
      <c r="T127" s="622">
        <v>0</v>
      </c>
      <c r="U127" s="622">
        <v>0</v>
      </c>
      <c r="V127" s="622">
        <v>0</v>
      </c>
      <c r="W127" s="622">
        <v>0</v>
      </c>
      <c r="X127" s="622">
        <v>0</v>
      </c>
      <c r="Y127" s="622">
        <v>0</v>
      </c>
      <c r="Z127" s="622">
        <v>0</v>
      </c>
      <c r="AA127" s="622">
        <v>0</v>
      </c>
      <c r="AB127" s="622">
        <v>0</v>
      </c>
      <c r="AC127" s="622">
        <v>0</v>
      </c>
      <c r="AD127" s="624">
        <v>0</v>
      </c>
      <c r="AE127"/>
    </row>
    <row r="128" spans="1:31">
      <c r="A128" s="524"/>
      <c r="B128" s="533" t="s">
        <v>654</v>
      </c>
      <c r="C128" s="622"/>
      <c r="D128" s="623"/>
      <c r="E128" s="623"/>
      <c r="F128" s="623"/>
      <c r="G128" s="623"/>
      <c r="H128" s="623"/>
      <c r="I128" s="622"/>
      <c r="J128" s="622"/>
      <c r="K128" s="623"/>
      <c r="L128" s="623"/>
      <c r="M128" s="623"/>
      <c r="N128" s="622"/>
      <c r="O128" s="622"/>
      <c r="P128" s="622"/>
      <c r="Q128" s="622">
        <v>3714.7210444444445</v>
      </c>
      <c r="R128" s="623">
        <v>15335.873522222222</v>
      </c>
      <c r="S128" s="622">
        <v>19050.594566666667</v>
      </c>
      <c r="T128" s="622"/>
      <c r="U128" s="622"/>
      <c r="V128" s="622"/>
      <c r="W128" s="622"/>
      <c r="X128" s="622"/>
      <c r="Y128" s="622"/>
      <c r="Z128" s="622">
        <v>0</v>
      </c>
      <c r="AA128" s="622">
        <v>0</v>
      </c>
      <c r="AB128" s="622"/>
      <c r="AC128" s="622"/>
      <c r="AD128" s="624">
        <v>19050.594566666667</v>
      </c>
      <c r="AE128"/>
    </row>
    <row r="129" spans="1:31">
      <c r="A129" s="524"/>
      <c r="B129" s="533" t="s">
        <v>656</v>
      </c>
      <c r="C129" s="622"/>
      <c r="D129" s="623"/>
      <c r="E129" s="623"/>
      <c r="F129" s="623"/>
      <c r="G129" s="623"/>
      <c r="H129" s="623"/>
      <c r="I129" s="622"/>
      <c r="J129" s="622"/>
      <c r="K129" s="623"/>
      <c r="L129" s="623"/>
      <c r="M129" s="623"/>
      <c r="N129" s="622"/>
      <c r="O129" s="622"/>
      <c r="P129" s="622"/>
      <c r="Q129" s="622">
        <v>4216.6121111111115</v>
      </c>
      <c r="R129" s="623">
        <v>18113.878999999997</v>
      </c>
      <c r="S129" s="622">
        <v>22330.491111111107</v>
      </c>
      <c r="T129" s="622"/>
      <c r="U129" s="622"/>
      <c r="V129" s="622"/>
      <c r="W129" s="622"/>
      <c r="X129" s="622"/>
      <c r="Y129" s="622"/>
      <c r="Z129" s="622">
        <v>0</v>
      </c>
      <c r="AA129" s="622">
        <v>0</v>
      </c>
      <c r="AB129" s="622"/>
      <c r="AC129" s="622"/>
      <c r="AD129" s="624">
        <v>22330.491111111107</v>
      </c>
      <c r="AE129"/>
    </row>
    <row r="130" spans="1:31">
      <c r="A130" s="524"/>
      <c r="B130" s="533" t="s">
        <v>668</v>
      </c>
      <c r="C130" s="622">
        <v>0</v>
      </c>
      <c r="D130" s="623">
        <v>0</v>
      </c>
      <c r="E130" s="623">
        <v>0</v>
      </c>
      <c r="F130" s="623">
        <v>0</v>
      </c>
      <c r="G130" s="623">
        <v>0</v>
      </c>
      <c r="H130" s="623">
        <v>0</v>
      </c>
      <c r="I130" s="622">
        <v>0</v>
      </c>
      <c r="J130" s="622">
        <v>0</v>
      </c>
      <c r="K130" s="623">
        <v>0</v>
      </c>
      <c r="L130" s="623">
        <v>0</v>
      </c>
      <c r="M130" s="623">
        <v>0</v>
      </c>
      <c r="N130" s="622">
        <v>0</v>
      </c>
      <c r="O130" s="622">
        <v>0</v>
      </c>
      <c r="P130" s="622">
        <v>0</v>
      </c>
      <c r="Q130" s="622">
        <v>0.13510868263372583</v>
      </c>
      <c r="R130" s="623">
        <v>0.18114426111772158</v>
      </c>
      <c r="S130" s="622">
        <v>0.17216767345326672</v>
      </c>
      <c r="T130" s="622">
        <v>0</v>
      </c>
      <c r="U130" s="622">
        <v>0</v>
      </c>
      <c r="V130" s="622">
        <v>0</v>
      </c>
      <c r="W130" s="622">
        <v>0</v>
      </c>
      <c r="X130" s="622">
        <v>0</v>
      </c>
      <c r="Y130" s="622">
        <v>0</v>
      </c>
      <c r="Z130" s="622">
        <v>0</v>
      </c>
      <c r="AA130" s="622">
        <v>0</v>
      </c>
      <c r="AB130" s="622">
        <v>0</v>
      </c>
      <c r="AC130" s="622">
        <v>0</v>
      </c>
      <c r="AD130" s="624">
        <v>0.17216767345326672</v>
      </c>
      <c r="AE130"/>
    </row>
    <row r="131" spans="1:31">
      <c r="A131" s="524"/>
      <c r="B131" s="533" t="s">
        <v>658</v>
      </c>
      <c r="C131" s="622"/>
      <c r="D131" s="623"/>
      <c r="E131" s="623"/>
      <c r="F131" s="623"/>
      <c r="G131" s="623"/>
      <c r="H131" s="623"/>
      <c r="I131" s="622"/>
      <c r="J131" s="622"/>
      <c r="K131" s="623"/>
      <c r="L131" s="623"/>
      <c r="M131" s="623"/>
      <c r="N131" s="622"/>
      <c r="O131" s="622"/>
      <c r="P131" s="622"/>
      <c r="Q131" s="622">
        <v>0</v>
      </c>
      <c r="R131" s="623">
        <v>0</v>
      </c>
      <c r="S131" s="622">
        <v>0</v>
      </c>
      <c r="T131" s="622"/>
      <c r="U131" s="622"/>
      <c r="V131" s="622"/>
      <c r="W131" s="622"/>
      <c r="X131" s="622"/>
      <c r="Y131" s="622"/>
      <c r="Z131" s="622">
        <v>0</v>
      </c>
      <c r="AA131" s="622">
        <v>0</v>
      </c>
      <c r="AB131" s="622"/>
      <c r="AC131" s="622"/>
      <c r="AD131" s="624">
        <v>0</v>
      </c>
      <c r="AE131"/>
    </row>
    <row r="132" spans="1:31">
      <c r="A132" s="524"/>
      <c r="B132" s="533" t="s">
        <v>660</v>
      </c>
      <c r="C132" s="622"/>
      <c r="D132" s="623"/>
      <c r="E132" s="623"/>
      <c r="F132" s="623"/>
      <c r="G132" s="623"/>
      <c r="H132" s="623"/>
      <c r="I132" s="622"/>
      <c r="J132" s="622"/>
      <c r="K132" s="623"/>
      <c r="L132" s="623"/>
      <c r="M132" s="623"/>
      <c r="N132" s="622"/>
      <c r="O132" s="622"/>
      <c r="P132" s="622"/>
      <c r="Q132" s="622">
        <v>0</v>
      </c>
      <c r="R132" s="623">
        <v>0</v>
      </c>
      <c r="S132" s="622">
        <v>0</v>
      </c>
      <c r="T132" s="622"/>
      <c r="U132" s="622"/>
      <c r="V132" s="622"/>
      <c r="W132" s="622"/>
      <c r="X132" s="622"/>
      <c r="Y132" s="622"/>
      <c r="Z132" s="622">
        <v>0</v>
      </c>
      <c r="AA132" s="622">
        <v>0</v>
      </c>
      <c r="AB132" s="622"/>
      <c r="AC132" s="622"/>
      <c r="AD132" s="624">
        <v>0</v>
      </c>
      <c r="AE132"/>
    </row>
    <row r="133" spans="1:31">
      <c r="A133" s="524"/>
      <c r="B133" s="533" t="s">
        <v>670</v>
      </c>
      <c r="C133" s="622">
        <v>0</v>
      </c>
      <c r="D133" s="623">
        <v>0</v>
      </c>
      <c r="E133" s="623">
        <v>0</v>
      </c>
      <c r="F133" s="623">
        <v>0</v>
      </c>
      <c r="G133" s="623">
        <v>0</v>
      </c>
      <c r="H133" s="623">
        <v>0</v>
      </c>
      <c r="I133" s="622">
        <v>0</v>
      </c>
      <c r="J133" s="622">
        <v>0</v>
      </c>
      <c r="K133" s="623">
        <v>0</v>
      </c>
      <c r="L133" s="623">
        <v>0</v>
      </c>
      <c r="M133" s="623">
        <v>0</v>
      </c>
      <c r="N133" s="622">
        <v>0</v>
      </c>
      <c r="O133" s="622">
        <v>0</v>
      </c>
      <c r="P133" s="622">
        <v>0</v>
      </c>
      <c r="Q133" s="622">
        <v>0</v>
      </c>
      <c r="R133" s="623">
        <v>0</v>
      </c>
      <c r="S133" s="622">
        <v>0</v>
      </c>
      <c r="T133" s="622">
        <v>0</v>
      </c>
      <c r="U133" s="622">
        <v>0</v>
      </c>
      <c r="V133" s="622">
        <v>0</v>
      </c>
      <c r="W133" s="622">
        <v>0</v>
      </c>
      <c r="X133" s="622">
        <v>0</v>
      </c>
      <c r="Y133" s="622">
        <v>0</v>
      </c>
      <c r="Z133" s="622">
        <v>0</v>
      </c>
      <c r="AA133" s="622">
        <v>0</v>
      </c>
      <c r="AB133" s="622">
        <v>0</v>
      </c>
      <c r="AC133" s="622">
        <v>0</v>
      </c>
      <c r="AD133" s="624">
        <v>0</v>
      </c>
      <c r="AE133"/>
    </row>
    <row r="134" spans="1:31">
      <c r="A134" s="524"/>
      <c r="B134" s="533" t="s">
        <v>662</v>
      </c>
      <c r="C134" s="622"/>
      <c r="D134" s="623"/>
      <c r="E134" s="623"/>
      <c r="F134" s="623"/>
      <c r="G134" s="623"/>
      <c r="H134" s="623"/>
      <c r="I134" s="622"/>
      <c r="J134" s="622"/>
      <c r="K134" s="623"/>
      <c r="L134" s="623"/>
      <c r="M134" s="623"/>
      <c r="N134" s="622"/>
      <c r="O134" s="622"/>
      <c r="P134" s="622"/>
      <c r="Q134" s="622">
        <v>3714.7210444444445</v>
      </c>
      <c r="R134" s="623">
        <v>15335.873522222222</v>
      </c>
      <c r="S134" s="622">
        <v>19050.594566666667</v>
      </c>
      <c r="T134" s="622"/>
      <c r="U134" s="622"/>
      <c r="V134" s="622"/>
      <c r="W134" s="622"/>
      <c r="X134" s="622"/>
      <c r="Y134" s="622"/>
      <c r="Z134" s="622">
        <v>0</v>
      </c>
      <c r="AA134" s="622">
        <v>0</v>
      </c>
      <c r="AB134" s="622"/>
      <c r="AC134" s="622"/>
      <c r="AD134" s="624">
        <v>19050.594566666667</v>
      </c>
      <c r="AE134"/>
    </row>
    <row r="135" spans="1:31">
      <c r="A135" s="524"/>
      <c r="B135" s="533" t="s">
        <v>664</v>
      </c>
      <c r="C135" s="622"/>
      <c r="D135" s="623"/>
      <c r="E135" s="623"/>
      <c r="F135" s="623"/>
      <c r="G135" s="623"/>
      <c r="H135" s="623"/>
      <c r="I135" s="622"/>
      <c r="J135" s="622"/>
      <c r="K135" s="623"/>
      <c r="L135" s="623"/>
      <c r="M135" s="623"/>
      <c r="N135" s="622"/>
      <c r="O135" s="622"/>
      <c r="P135" s="622"/>
      <c r="Q135" s="622">
        <v>4216.6121111111115</v>
      </c>
      <c r="R135" s="623">
        <v>18113.878999999997</v>
      </c>
      <c r="S135" s="622">
        <v>22330.491111111107</v>
      </c>
      <c r="T135" s="622"/>
      <c r="U135" s="622"/>
      <c r="V135" s="622"/>
      <c r="W135" s="622"/>
      <c r="X135" s="622"/>
      <c r="Y135" s="622"/>
      <c r="Z135" s="622">
        <v>0</v>
      </c>
      <c r="AA135" s="622">
        <v>0</v>
      </c>
      <c r="AB135" s="622"/>
      <c r="AC135" s="622"/>
      <c r="AD135" s="624">
        <v>22330.491111111107</v>
      </c>
      <c r="AE135"/>
    </row>
    <row r="136" spans="1:31">
      <c r="A136" s="524"/>
      <c r="B136" s="533" t="s">
        <v>672</v>
      </c>
      <c r="C136" s="622">
        <v>0</v>
      </c>
      <c r="D136" s="623">
        <v>0</v>
      </c>
      <c r="E136" s="623">
        <v>0</v>
      </c>
      <c r="F136" s="623">
        <v>0</v>
      </c>
      <c r="G136" s="623">
        <v>0</v>
      </c>
      <c r="H136" s="623">
        <v>0</v>
      </c>
      <c r="I136" s="622">
        <v>0</v>
      </c>
      <c r="J136" s="622">
        <v>0</v>
      </c>
      <c r="K136" s="623">
        <v>0</v>
      </c>
      <c r="L136" s="623">
        <v>0</v>
      </c>
      <c r="M136" s="623">
        <v>0</v>
      </c>
      <c r="N136" s="622">
        <v>0</v>
      </c>
      <c r="O136" s="622">
        <v>0</v>
      </c>
      <c r="P136" s="622">
        <v>0</v>
      </c>
      <c r="Q136" s="622">
        <v>0.13510868263372583</v>
      </c>
      <c r="R136" s="623">
        <v>0.18114426111772158</v>
      </c>
      <c r="S136" s="622">
        <v>0.17216767345326672</v>
      </c>
      <c r="T136" s="622">
        <v>0</v>
      </c>
      <c r="U136" s="622">
        <v>0</v>
      </c>
      <c r="V136" s="622">
        <v>0</v>
      </c>
      <c r="W136" s="622">
        <v>0</v>
      </c>
      <c r="X136" s="622">
        <v>0</v>
      </c>
      <c r="Y136" s="622">
        <v>0</v>
      </c>
      <c r="Z136" s="622">
        <v>0</v>
      </c>
      <c r="AA136" s="622">
        <v>0</v>
      </c>
      <c r="AB136" s="622">
        <v>0</v>
      </c>
      <c r="AC136" s="622">
        <v>0</v>
      </c>
      <c r="AD136" s="624">
        <v>0.17216767345326672</v>
      </c>
      <c r="AE136"/>
    </row>
    <row r="137" spans="1:31">
      <c r="A137" s="534" t="s">
        <v>491</v>
      </c>
      <c r="B137" s="533" t="s">
        <v>646</v>
      </c>
      <c r="C137" s="622">
        <v>47741.566666666666</v>
      </c>
      <c r="D137" s="623"/>
      <c r="E137" s="623">
        <v>17448.3</v>
      </c>
      <c r="F137" s="623">
        <v>9703.2666666666664</v>
      </c>
      <c r="G137" s="623">
        <v>4904.3999999999996</v>
      </c>
      <c r="H137" s="623">
        <v>12992.583333333334</v>
      </c>
      <c r="I137" s="622">
        <v>92790.116666666654</v>
      </c>
      <c r="J137" s="622"/>
      <c r="K137" s="623">
        <v>27911.933333333334</v>
      </c>
      <c r="L137" s="623">
        <v>19925.133333333335</v>
      </c>
      <c r="M137" s="623">
        <v>9789.6666666666679</v>
      </c>
      <c r="N137" s="622">
        <v>57626.733333333337</v>
      </c>
      <c r="O137" s="622"/>
      <c r="P137" s="622"/>
      <c r="Q137" s="622"/>
      <c r="R137" s="623"/>
      <c r="S137" s="622"/>
      <c r="T137" s="622"/>
      <c r="U137" s="622"/>
      <c r="V137" s="622"/>
      <c r="W137" s="622"/>
      <c r="X137" s="622"/>
      <c r="Y137" s="622"/>
      <c r="Z137" s="622"/>
      <c r="AA137" s="622"/>
      <c r="AB137" s="622"/>
      <c r="AC137" s="622"/>
      <c r="AD137" s="624">
        <v>150416.84999999998</v>
      </c>
      <c r="AE137"/>
    </row>
    <row r="138" spans="1:31">
      <c r="A138" s="524"/>
      <c r="B138" s="533" t="s">
        <v>647</v>
      </c>
      <c r="C138" s="622">
        <v>48886.433333333334</v>
      </c>
      <c r="D138" s="623"/>
      <c r="E138" s="623">
        <v>17030.05</v>
      </c>
      <c r="F138" s="623">
        <v>9458.6333333333332</v>
      </c>
      <c r="G138" s="623">
        <v>5016.5333333333328</v>
      </c>
      <c r="H138" s="623">
        <v>12920.666666666668</v>
      </c>
      <c r="I138" s="622">
        <v>93312.316666666666</v>
      </c>
      <c r="J138" s="622"/>
      <c r="K138" s="623">
        <v>27210.300000000003</v>
      </c>
      <c r="L138" s="623">
        <v>19132.266666666666</v>
      </c>
      <c r="M138" s="623">
        <v>9627.6666666666661</v>
      </c>
      <c r="N138" s="622">
        <v>55970.23333333333</v>
      </c>
      <c r="O138" s="622"/>
      <c r="P138" s="622"/>
      <c r="Q138" s="622"/>
      <c r="R138" s="623"/>
      <c r="S138" s="622"/>
      <c r="T138" s="622"/>
      <c r="U138" s="622"/>
      <c r="V138" s="622"/>
      <c r="W138" s="622"/>
      <c r="X138" s="622"/>
      <c r="Y138" s="622"/>
      <c r="Z138" s="622"/>
      <c r="AA138" s="622"/>
      <c r="AB138" s="622"/>
      <c r="AC138" s="622"/>
      <c r="AD138" s="624">
        <v>149282.54999999999</v>
      </c>
      <c r="AE138"/>
    </row>
    <row r="139" spans="1:31">
      <c r="A139" s="524"/>
      <c r="B139" s="533" t="s">
        <v>666</v>
      </c>
      <c r="C139" s="622">
        <v>2.3980500570083274E-2</v>
      </c>
      <c r="D139" s="623">
        <v>0</v>
      </c>
      <c r="E139" s="623">
        <v>-2.397081664116275E-2</v>
      </c>
      <c r="F139" s="623">
        <v>-2.52114408206171E-2</v>
      </c>
      <c r="G139" s="623">
        <v>2.2863822961694237E-2</v>
      </c>
      <c r="H139" s="623">
        <v>-5.5352091898582699E-3</v>
      </c>
      <c r="I139" s="622">
        <v>5.6277545363578952E-3</v>
      </c>
      <c r="J139" s="622">
        <v>0</v>
      </c>
      <c r="K139" s="623">
        <v>-2.5137396430200631E-2</v>
      </c>
      <c r="L139" s="623">
        <v>-3.9792289135664599E-2</v>
      </c>
      <c r="M139" s="623">
        <v>-1.6548060880520462E-2</v>
      </c>
      <c r="N139" s="622">
        <v>-2.8745339258052435E-2</v>
      </c>
      <c r="O139" s="622">
        <v>0</v>
      </c>
      <c r="P139" s="622">
        <v>0</v>
      </c>
      <c r="Q139" s="622">
        <v>0</v>
      </c>
      <c r="R139" s="623">
        <v>0</v>
      </c>
      <c r="S139" s="622">
        <v>0</v>
      </c>
      <c r="T139" s="622">
        <v>0</v>
      </c>
      <c r="U139" s="622">
        <v>0</v>
      </c>
      <c r="V139" s="622">
        <v>0</v>
      </c>
      <c r="W139" s="622">
        <v>0</v>
      </c>
      <c r="X139" s="622">
        <v>0</v>
      </c>
      <c r="Y139" s="622">
        <v>0</v>
      </c>
      <c r="Z139" s="622">
        <v>0</v>
      </c>
      <c r="AA139" s="622">
        <v>0</v>
      </c>
      <c r="AB139" s="622">
        <v>0</v>
      </c>
      <c r="AC139" s="622">
        <v>0</v>
      </c>
      <c r="AD139" s="624">
        <v>-7.5410434402793857E-3</v>
      </c>
      <c r="AE139"/>
    </row>
    <row r="140" spans="1:31">
      <c r="A140" s="524"/>
      <c r="B140" s="533" t="s">
        <v>654</v>
      </c>
      <c r="C140" s="622">
        <v>0</v>
      </c>
      <c r="D140" s="623"/>
      <c r="E140" s="623">
        <v>0</v>
      </c>
      <c r="F140" s="623">
        <v>0</v>
      </c>
      <c r="G140" s="623">
        <v>0</v>
      </c>
      <c r="H140" s="623">
        <v>0</v>
      </c>
      <c r="I140" s="622">
        <v>0</v>
      </c>
      <c r="J140" s="622"/>
      <c r="K140" s="623">
        <v>0</v>
      </c>
      <c r="L140" s="623">
        <v>0</v>
      </c>
      <c r="M140" s="623">
        <v>0</v>
      </c>
      <c r="N140" s="622">
        <v>0</v>
      </c>
      <c r="O140" s="622"/>
      <c r="P140" s="622"/>
      <c r="Q140" s="622"/>
      <c r="R140" s="623"/>
      <c r="S140" s="622"/>
      <c r="T140" s="622"/>
      <c r="U140" s="622"/>
      <c r="V140" s="622"/>
      <c r="W140" s="622"/>
      <c r="X140" s="622"/>
      <c r="Y140" s="622"/>
      <c r="Z140" s="622"/>
      <c r="AA140" s="622"/>
      <c r="AB140" s="622"/>
      <c r="AC140" s="622"/>
      <c r="AD140" s="624">
        <v>0</v>
      </c>
      <c r="AE140"/>
    </row>
    <row r="141" spans="1:31">
      <c r="A141" s="524"/>
      <c r="B141" s="533" t="s">
        <v>656</v>
      </c>
      <c r="C141" s="622">
        <v>0</v>
      </c>
      <c r="D141" s="623"/>
      <c r="E141" s="623">
        <v>0</v>
      </c>
      <c r="F141" s="623">
        <v>0</v>
      </c>
      <c r="G141" s="623">
        <v>0</v>
      </c>
      <c r="H141" s="623">
        <v>0</v>
      </c>
      <c r="I141" s="622">
        <v>0</v>
      </c>
      <c r="J141" s="622"/>
      <c r="K141" s="623">
        <v>0</v>
      </c>
      <c r="L141" s="623">
        <v>0</v>
      </c>
      <c r="M141" s="623">
        <v>0</v>
      </c>
      <c r="N141" s="622">
        <v>0</v>
      </c>
      <c r="O141" s="622"/>
      <c r="P141" s="622"/>
      <c r="Q141" s="622"/>
      <c r="R141" s="623"/>
      <c r="S141" s="622"/>
      <c r="T141" s="622"/>
      <c r="U141" s="622"/>
      <c r="V141" s="622"/>
      <c r="W141" s="622"/>
      <c r="X141" s="622"/>
      <c r="Y141" s="622"/>
      <c r="Z141" s="622"/>
      <c r="AA141" s="622"/>
      <c r="AB141" s="622"/>
      <c r="AC141" s="622"/>
      <c r="AD141" s="624">
        <v>0</v>
      </c>
      <c r="AE141"/>
    </row>
    <row r="142" spans="1:31">
      <c r="A142" s="524"/>
      <c r="B142" s="533" t="s">
        <v>668</v>
      </c>
      <c r="C142" s="622">
        <v>0</v>
      </c>
      <c r="D142" s="623">
        <v>0</v>
      </c>
      <c r="E142" s="623">
        <v>0</v>
      </c>
      <c r="F142" s="623">
        <v>0</v>
      </c>
      <c r="G142" s="623">
        <v>0</v>
      </c>
      <c r="H142" s="623">
        <v>0</v>
      </c>
      <c r="I142" s="622">
        <v>0</v>
      </c>
      <c r="J142" s="622">
        <v>0</v>
      </c>
      <c r="K142" s="623">
        <v>0</v>
      </c>
      <c r="L142" s="623">
        <v>0</v>
      </c>
      <c r="M142" s="623">
        <v>0</v>
      </c>
      <c r="N142" s="622">
        <v>0</v>
      </c>
      <c r="O142" s="622">
        <v>0</v>
      </c>
      <c r="P142" s="622">
        <v>0</v>
      </c>
      <c r="Q142" s="622">
        <v>0</v>
      </c>
      <c r="R142" s="623">
        <v>0</v>
      </c>
      <c r="S142" s="622">
        <v>0</v>
      </c>
      <c r="T142" s="622">
        <v>0</v>
      </c>
      <c r="U142" s="622">
        <v>0</v>
      </c>
      <c r="V142" s="622">
        <v>0</v>
      </c>
      <c r="W142" s="622">
        <v>0</v>
      </c>
      <c r="X142" s="622">
        <v>0</v>
      </c>
      <c r="Y142" s="622">
        <v>0</v>
      </c>
      <c r="Z142" s="622">
        <v>0</v>
      </c>
      <c r="AA142" s="622">
        <v>0</v>
      </c>
      <c r="AB142" s="622">
        <v>0</v>
      </c>
      <c r="AC142" s="622">
        <v>0</v>
      </c>
      <c r="AD142" s="624">
        <v>0</v>
      </c>
      <c r="AE142"/>
    </row>
    <row r="143" spans="1:31">
      <c r="A143" s="524"/>
      <c r="B143" s="533" t="s">
        <v>658</v>
      </c>
      <c r="C143" s="622">
        <v>11530.666666666666</v>
      </c>
      <c r="D143" s="623"/>
      <c r="E143" s="623">
        <v>1868.875</v>
      </c>
      <c r="F143" s="623">
        <v>528.16666666666663</v>
      </c>
      <c r="G143" s="623">
        <v>849.08333333333337</v>
      </c>
      <c r="H143" s="623">
        <v>548.04166666666663</v>
      </c>
      <c r="I143" s="622">
        <v>15324.833333333332</v>
      </c>
      <c r="J143" s="622"/>
      <c r="K143" s="623">
        <v>0</v>
      </c>
      <c r="L143" s="623">
        <v>0</v>
      </c>
      <c r="M143" s="623">
        <v>0</v>
      </c>
      <c r="N143" s="622">
        <v>0</v>
      </c>
      <c r="O143" s="622"/>
      <c r="P143" s="622"/>
      <c r="Q143" s="622"/>
      <c r="R143" s="623"/>
      <c r="S143" s="622"/>
      <c r="T143" s="622"/>
      <c r="U143" s="622"/>
      <c r="V143" s="622"/>
      <c r="W143" s="622"/>
      <c r="X143" s="622"/>
      <c r="Y143" s="622"/>
      <c r="Z143" s="622"/>
      <c r="AA143" s="622"/>
      <c r="AB143" s="622"/>
      <c r="AC143" s="622"/>
      <c r="AD143" s="624">
        <v>15324.833333333332</v>
      </c>
      <c r="AE143"/>
    </row>
    <row r="144" spans="1:31">
      <c r="A144" s="524"/>
      <c r="B144" s="533" t="s">
        <v>660</v>
      </c>
      <c r="C144" s="622">
        <v>11754.125</v>
      </c>
      <c r="D144" s="623"/>
      <c r="E144" s="623">
        <v>2101.25</v>
      </c>
      <c r="F144" s="623">
        <v>516.29166666666663</v>
      </c>
      <c r="G144" s="623">
        <v>683.5</v>
      </c>
      <c r="H144" s="623">
        <v>723.66666666666674</v>
      </c>
      <c r="I144" s="622">
        <v>15778.833333333332</v>
      </c>
      <c r="J144" s="622"/>
      <c r="K144" s="623">
        <v>0</v>
      </c>
      <c r="L144" s="623">
        <v>0</v>
      </c>
      <c r="M144" s="623">
        <v>0</v>
      </c>
      <c r="N144" s="622">
        <v>0</v>
      </c>
      <c r="O144" s="622"/>
      <c r="P144" s="622"/>
      <c r="Q144" s="622"/>
      <c r="R144" s="623"/>
      <c r="S144" s="622"/>
      <c r="T144" s="622"/>
      <c r="U144" s="622"/>
      <c r="V144" s="622"/>
      <c r="W144" s="622"/>
      <c r="X144" s="622"/>
      <c r="Y144" s="622"/>
      <c r="Z144" s="622"/>
      <c r="AA144" s="622"/>
      <c r="AB144" s="622"/>
      <c r="AC144" s="622"/>
      <c r="AD144" s="624">
        <v>15778.833333333332</v>
      </c>
      <c r="AE144"/>
    </row>
    <row r="145" spans="1:31">
      <c r="A145" s="524"/>
      <c r="B145" s="533" t="s">
        <v>670</v>
      </c>
      <c r="C145" s="622">
        <v>1.9379480804810414E-2</v>
      </c>
      <c r="D145" s="623">
        <v>0</v>
      </c>
      <c r="E145" s="623">
        <v>0.12433950906293893</v>
      </c>
      <c r="F145" s="623">
        <v>-2.2483433259703377E-2</v>
      </c>
      <c r="G145" s="623">
        <v>-0.19501423103346749</v>
      </c>
      <c r="H145" s="623">
        <v>0.32045921082642764</v>
      </c>
      <c r="I145" s="622">
        <v>2.962511827208537E-2</v>
      </c>
      <c r="J145" s="622">
        <v>0</v>
      </c>
      <c r="K145" s="623">
        <v>0</v>
      </c>
      <c r="L145" s="623">
        <v>0</v>
      </c>
      <c r="M145" s="623">
        <v>0</v>
      </c>
      <c r="N145" s="622">
        <v>0</v>
      </c>
      <c r="O145" s="622">
        <v>0</v>
      </c>
      <c r="P145" s="622">
        <v>0</v>
      </c>
      <c r="Q145" s="622">
        <v>0</v>
      </c>
      <c r="R145" s="623">
        <v>0</v>
      </c>
      <c r="S145" s="622">
        <v>0</v>
      </c>
      <c r="T145" s="622">
        <v>0</v>
      </c>
      <c r="U145" s="622">
        <v>0</v>
      </c>
      <c r="V145" s="622">
        <v>0</v>
      </c>
      <c r="W145" s="622">
        <v>0</v>
      </c>
      <c r="X145" s="622">
        <v>0</v>
      </c>
      <c r="Y145" s="622">
        <v>0</v>
      </c>
      <c r="Z145" s="622">
        <v>0</v>
      </c>
      <c r="AA145" s="622">
        <v>0</v>
      </c>
      <c r="AB145" s="622">
        <v>0</v>
      </c>
      <c r="AC145" s="622">
        <v>0</v>
      </c>
      <c r="AD145" s="624">
        <v>2.962511827208537E-2</v>
      </c>
      <c r="AE145"/>
    </row>
    <row r="146" spans="1:31">
      <c r="A146" s="524"/>
      <c r="B146" s="533" t="s">
        <v>662</v>
      </c>
      <c r="C146" s="622">
        <v>59272.23333333333</v>
      </c>
      <c r="D146" s="623"/>
      <c r="E146" s="623">
        <v>19317.175000000003</v>
      </c>
      <c r="F146" s="623">
        <v>10231.433333333332</v>
      </c>
      <c r="G146" s="623">
        <v>5753.4833333333336</v>
      </c>
      <c r="H146" s="623">
        <v>13540.625</v>
      </c>
      <c r="I146" s="622">
        <v>108114.95</v>
      </c>
      <c r="J146" s="622"/>
      <c r="K146" s="623">
        <v>27911.933333333334</v>
      </c>
      <c r="L146" s="623">
        <v>19925.133333333335</v>
      </c>
      <c r="M146" s="623">
        <v>9789.6666666666679</v>
      </c>
      <c r="N146" s="622">
        <v>57626.733333333337</v>
      </c>
      <c r="O146" s="622"/>
      <c r="P146" s="622"/>
      <c r="Q146" s="622"/>
      <c r="R146" s="623"/>
      <c r="S146" s="622"/>
      <c r="T146" s="622"/>
      <c r="U146" s="622"/>
      <c r="V146" s="622"/>
      <c r="W146" s="622"/>
      <c r="X146" s="622"/>
      <c r="Y146" s="622"/>
      <c r="Z146" s="622"/>
      <c r="AA146" s="622"/>
      <c r="AB146" s="622"/>
      <c r="AC146" s="622"/>
      <c r="AD146" s="624">
        <v>165741.68333333332</v>
      </c>
      <c r="AE146"/>
    </row>
    <row r="147" spans="1:31">
      <c r="A147" s="524"/>
      <c r="B147" s="533" t="s">
        <v>664</v>
      </c>
      <c r="C147" s="622">
        <v>60640.558333333334</v>
      </c>
      <c r="D147" s="623"/>
      <c r="E147" s="623">
        <v>19131.3</v>
      </c>
      <c r="F147" s="623">
        <v>9974.9249999999993</v>
      </c>
      <c r="G147" s="623">
        <v>5700.0333333333328</v>
      </c>
      <c r="H147" s="623">
        <v>13644.333333333332</v>
      </c>
      <c r="I147" s="622">
        <v>109091.15000000001</v>
      </c>
      <c r="J147" s="622"/>
      <c r="K147" s="623">
        <v>27210.300000000003</v>
      </c>
      <c r="L147" s="623">
        <v>19132.266666666666</v>
      </c>
      <c r="M147" s="623">
        <v>9627.6666666666661</v>
      </c>
      <c r="N147" s="622">
        <v>55970.23333333333</v>
      </c>
      <c r="O147" s="622"/>
      <c r="P147" s="622"/>
      <c r="Q147" s="622"/>
      <c r="R147" s="623"/>
      <c r="S147" s="622"/>
      <c r="T147" s="622"/>
      <c r="U147" s="622"/>
      <c r="V147" s="622"/>
      <c r="W147" s="622"/>
      <c r="X147" s="622"/>
      <c r="Y147" s="622"/>
      <c r="Z147" s="622"/>
      <c r="AA147" s="622"/>
      <c r="AB147" s="622"/>
      <c r="AC147" s="622"/>
      <c r="AD147" s="624">
        <v>165061.38333333333</v>
      </c>
      <c r="AE147"/>
    </row>
    <row r="148" spans="1:31">
      <c r="A148" s="524"/>
      <c r="B148" s="533" t="s">
        <v>672</v>
      </c>
      <c r="C148" s="622">
        <v>2.3085430108645662E-2</v>
      </c>
      <c r="D148" s="623">
        <v>0</v>
      </c>
      <c r="E148" s="623">
        <v>-9.6222661957560355E-3</v>
      </c>
      <c r="F148" s="623">
        <v>-2.5070615716924632E-2</v>
      </c>
      <c r="G148" s="623">
        <v>-9.2900243041173416E-3</v>
      </c>
      <c r="H148" s="623">
        <v>7.6590506962073111E-3</v>
      </c>
      <c r="I148" s="622">
        <v>9.0292785595332704E-3</v>
      </c>
      <c r="J148" s="622">
        <v>0</v>
      </c>
      <c r="K148" s="623">
        <v>-2.5137396430200631E-2</v>
      </c>
      <c r="L148" s="623">
        <v>-3.9792289135664599E-2</v>
      </c>
      <c r="M148" s="623">
        <v>-1.6548060880520462E-2</v>
      </c>
      <c r="N148" s="622">
        <v>-2.8745339258052435E-2</v>
      </c>
      <c r="O148" s="622">
        <v>0</v>
      </c>
      <c r="P148" s="622">
        <v>0</v>
      </c>
      <c r="Q148" s="622">
        <v>0</v>
      </c>
      <c r="R148" s="623">
        <v>0</v>
      </c>
      <c r="S148" s="622">
        <v>0</v>
      </c>
      <c r="T148" s="622">
        <v>0</v>
      </c>
      <c r="U148" s="622">
        <v>0</v>
      </c>
      <c r="V148" s="622">
        <v>0</v>
      </c>
      <c r="W148" s="622">
        <v>0</v>
      </c>
      <c r="X148" s="622">
        <v>0</v>
      </c>
      <c r="Y148" s="622">
        <v>0</v>
      </c>
      <c r="Z148" s="622">
        <v>0</v>
      </c>
      <c r="AA148" s="622">
        <v>0</v>
      </c>
      <c r="AB148" s="622">
        <v>0</v>
      </c>
      <c r="AC148" s="622">
        <v>0</v>
      </c>
      <c r="AD148" s="624">
        <v>-4.1045800085896022E-3</v>
      </c>
      <c r="AE148"/>
    </row>
    <row r="149" spans="1:31">
      <c r="A149" s="534" t="s">
        <v>359</v>
      </c>
      <c r="B149" s="533" t="s">
        <v>646</v>
      </c>
      <c r="C149" s="622">
        <v>35589.300000000003</v>
      </c>
      <c r="D149" s="623">
        <v>32692.866666666669</v>
      </c>
      <c r="E149" s="623">
        <v>25980.899999999998</v>
      </c>
      <c r="F149" s="623">
        <v>5443.3</v>
      </c>
      <c r="G149" s="623"/>
      <c r="H149" s="623"/>
      <c r="I149" s="622">
        <v>99706.366666666669</v>
      </c>
      <c r="J149" s="622"/>
      <c r="K149" s="623">
        <v>30270.366666666669</v>
      </c>
      <c r="L149" s="623">
        <v>26590.26666666667</v>
      </c>
      <c r="M149" s="623">
        <v>1770.2666666666667</v>
      </c>
      <c r="N149" s="622">
        <v>58630.900000000009</v>
      </c>
      <c r="O149" s="622"/>
      <c r="P149" s="622"/>
      <c r="Q149" s="622"/>
      <c r="R149" s="623">
        <v>0</v>
      </c>
      <c r="S149" s="622">
        <v>0</v>
      </c>
      <c r="T149" s="622"/>
      <c r="U149" s="622"/>
      <c r="V149" s="622"/>
      <c r="W149" s="622"/>
      <c r="X149" s="622"/>
      <c r="Y149" s="622"/>
      <c r="Z149" s="622"/>
      <c r="AA149" s="622"/>
      <c r="AB149" s="622"/>
      <c r="AC149" s="622"/>
      <c r="AD149" s="624">
        <v>158337.26666666666</v>
      </c>
      <c r="AE149"/>
    </row>
    <row r="150" spans="1:31">
      <c r="A150" s="524"/>
      <c r="B150" s="533" t="s">
        <v>647</v>
      </c>
      <c r="C150" s="622">
        <v>36821.983333333337</v>
      </c>
      <c r="D150" s="623">
        <v>32332.133333333331</v>
      </c>
      <c r="E150" s="623">
        <v>25724.833333333336</v>
      </c>
      <c r="F150" s="623">
        <v>5384.3</v>
      </c>
      <c r="G150" s="623"/>
      <c r="H150" s="623"/>
      <c r="I150" s="622">
        <v>100263.25000000001</v>
      </c>
      <c r="J150" s="622"/>
      <c r="K150" s="623">
        <v>28409.85</v>
      </c>
      <c r="L150" s="623">
        <v>25486.266666666663</v>
      </c>
      <c r="M150" s="623">
        <v>1717.9666666666667</v>
      </c>
      <c r="N150" s="622">
        <v>55614.083333333328</v>
      </c>
      <c r="O150" s="622"/>
      <c r="P150" s="622"/>
      <c r="Q150" s="622"/>
      <c r="R150" s="623">
        <v>0</v>
      </c>
      <c r="S150" s="622">
        <v>0</v>
      </c>
      <c r="T150" s="622"/>
      <c r="U150" s="622"/>
      <c r="V150" s="622"/>
      <c r="W150" s="622"/>
      <c r="X150" s="622"/>
      <c r="Y150" s="622"/>
      <c r="Z150" s="622"/>
      <c r="AA150" s="622"/>
      <c r="AB150" s="622"/>
      <c r="AC150" s="622"/>
      <c r="AD150" s="624">
        <v>155877.33333333334</v>
      </c>
      <c r="AE150"/>
    </row>
    <row r="151" spans="1:31">
      <c r="A151" s="524"/>
      <c r="B151" s="533" t="s">
        <v>666</v>
      </c>
      <c r="C151" s="622">
        <v>3.4636346692217442E-2</v>
      </c>
      <c r="D151" s="623">
        <v>-1.1034007418539942E-2</v>
      </c>
      <c r="E151" s="623">
        <v>-9.8559582873057553E-3</v>
      </c>
      <c r="F151" s="623">
        <v>-1.0839013098671762E-2</v>
      </c>
      <c r="G151" s="623">
        <v>0</v>
      </c>
      <c r="H151" s="623">
        <v>0</v>
      </c>
      <c r="I151" s="622">
        <v>5.5852334404588345E-3</v>
      </c>
      <c r="J151" s="622">
        <v>0</v>
      </c>
      <c r="K151" s="623">
        <v>-6.1463301292463253E-2</v>
      </c>
      <c r="L151" s="623">
        <v>-4.1518951796898379E-2</v>
      </c>
      <c r="M151" s="623">
        <v>-2.9543571589967586E-2</v>
      </c>
      <c r="N151" s="622">
        <v>-5.145438099477715E-2</v>
      </c>
      <c r="O151" s="622">
        <v>0</v>
      </c>
      <c r="P151" s="622">
        <v>0</v>
      </c>
      <c r="Q151" s="622">
        <v>0</v>
      </c>
      <c r="R151" s="623">
        <v>0</v>
      </c>
      <c r="S151" s="622">
        <v>0</v>
      </c>
      <c r="T151" s="622">
        <v>0</v>
      </c>
      <c r="U151" s="622">
        <v>0</v>
      </c>
      <c r="V151" s="622">
        <v>0</v>
      </c>
      <c r="W151" s="622">
        <v>0</v>
      </c>
      <c r="X151" s="622">
        <v>0</v>
      </c>
      <c r="Y151" s="622">
        <v>0</v>
      </c>
      <c r="Z151" s="622">
        <v>0</v>
      </c>
      <c r="AA151" s="622">
        <v>0</v>
      </c>
      <c r="AB151" s="622">
        <v>0</v>
      </c>
      <c r="AC151" s="622">
        <v>0</v>
      </c>
      <c r="AD151" s="624">
        <v>-1.5536035104812045E-2</v>
      </c>
      <c r="AE151"/>
    </row>
    <row r="152" spans="1:31">
      <c r="A152" s="524"/>
      <c r="B152" s="533" t="s">
        <v>654</v>
      </c>
      <c r="C152" s="622">
        <v>0</v>
      </c>
      <c r="D152" s="623">
        <v>0</v>
      </c>
      <c r="E152" s="623">
        <v>0</v>
      </c>
      <c r="F152" s="623">
        <v>0</v>
      </c>
      <c r="G152" s="623"/>
      <c r="H152" s="623"/>
      <c r="I152" s="622">
        <v>0</v>
      </c>
      <c r="J152" s="622"/>
      <c r="K152" s="623">
        <v>0</v>
      </c>
      <c r="L152" s="623">
        <v>0</v>
      </c>
      <c r="M152" s="623">
        <v>0</v>
      </c>
      <c r="N152" s="622">
        <v>0</v>
      </c>
      <c r="O152" s="622"/>
      <c r="P152" s="622"/>
      <c r="Q152" s="622"/>
      <c r="R152" s="623">
        <v>12858.136666666669</v>
      </c>
      <c r="S152" s="622">
        <v>12858.136666666669</v>
      </c>
      <c r="T152" s="622"/>
      <c r="U152" s="622"/>
      <c r="V152" s="622"/>
      <c r="W152" s="622"/>
      <c r="X152" s="622"/>
      <c r="Y152" s="622"/>
      <c r="Z152" s="622"/>
      <c r="AA152" s="622"/>
      <c r="AB152" s="622"/>
      <c r="AC152" s="622"/>
      <c r="AD152" s="624">
        <v>12858.136666666669</v>
      </c>
      <c r="AE152"/>
    </row>
    <row r="153" spans="1:31">
      <c r="A153" s="524"/>
      <c r="B153" s="533" t="s">
        <v>656</v>
      </c>
      <c r="C153" s="622">
        <v>0</v>
      </c>
      <c r="D153" s="623">
        <v>0</v>
      </c>
      <c r="E153" s="623">
        <v>0</v>
      </c>
      <c r="F153" s="623">
        <v>0</v>
      </c>
      <c r="G153" s="623"/>
      <c r="H153" s="623"/>
      <c r="I153" s="622">
        <v>0</v>
      </c>
      <c r="J153" s="622"/>
      <c r="K153" s="623">
        <v>0</v>
      </c>
      <c r="L153" s="623">
        <v>0</v>
      </c>
      <c r="M153" s="623">
        <v>0</v>
      </c>
      <c r="N153" s="622">
        <v>0</v>
      </c>
      <c r="O153" s="622"/>
      <c r="P153" s="622"/>
      <c r="Q153" s="622"/>
      <c r="R153" s="623">
        <v>12630.868888888888</v>
      </c>
      <c r="S153" s="622">
        <v>12630.868888888888</v>
      </c>
      <c r="T153" s="622"/>
      <c r="U153" s="622"/>
      <c r="V153" s="622"/>
      <c r="W153" s="622"/>
      <c r="X153" s="622"/>
      <c r="Y153" s="622"/>
      <c r="Z153" s="622"/>
      <c r="AA153" s="622"/>
      <c r="AB153" s="622"/>
      <c r="AC153" s="622"/>
      <c r="AD153" s="624">
        <v>12630.868888888888</v>
      </c>
      <c r="AE153"/>
    </row>
    <row r="154" spans="1:31">
      <c r="A154" s="524"/>
      <c r="B154" s="533" t="s">
        <v>668</v>
      </c>
      <c r="C154" s="622">
        <v>0</v>
      </c>
      <c r="D154" s="623">
        <v>0</v>
      </c>
      <c r="E154" s="623">
        <v>0</v>
      </c>
      <c r="F154" s="623">
        <v>0</v>
      </c>
      <c r="G154" s="623">
        <v>0</v>
      </c>
      <c r="H154" s="623">
        <v>0</v>
      </c>
      <c r="I154" s="622">
        <v>0</v>
      </c>
      <c r="J154" s="622">
        <v>0</v>
      </c>
      <c r="K154" s="623">
        <v>0</v>
      </c>
      <c r="L154" s="623">
        <v>0</v>
      </c>
      <c r="M154" s="623">
        <v>0</v>
      </c>
      <c r="N154" s="622">
        <v>0</v>
      </c>
      <c r="O154" s="622">
        <v>0</v>
      </c>
      <c r="P154" s="622">
        <v>0</v>
      </c>
      <c r="Q154" s="622">
        <v>0</v>
      </c>
      <c r="R154" s="623">
        <v>-1.7675016502736975E-2</v>
      </c>
      <c r="S154" s="622">
        <v>-1.7675016502736975E-2</v>
      </c>
      <c r="T154" s="622">
        <v>0</v>
      </c>
      <c r="U154" s="622">
        <v>0</v>
      </c>
      <c r="V154" s="622">
        <v>0</v>
      </c>
      <c r="W154" s="622">
        <v>0</v>
      </c>
      <c r="X154" s="622">
        <v>0</v>
      </c>
      <c r="Y154" s="622">
        <v>0</v>
      </c>
      <c r="Z154" s="622">
        <v>0</v>
      </c>
      <c r="AA154" s="622">
        <v>0</v>
      </c>
      <c r="AB154" s="622">
        <v>0</v>
      </c>
      <c r="AC154" s="622">
        <v>0</v>
      </c>
      <c r="AD154" s="624">
        <v>-1.7675016502736975E-2</v>
      </c>
      <c r="AE154"/>
    </row>
    <row r="155" spans="1:31">
      <c r="A155" s="524"/>
      <c r="B155" s="533" t="s">
        <v>658</v>
      </c>
      <c r="C155" s="622">
        <v>7761.4166666666661</v>
      </c>
      <c r="D155" s="623">
        <v>4860.333333333333</v>
      </c>
      <c r="E155" s="623">
        <v>2740.916666666667</v>
      </c>
      <c r="F155" s="623">
        <v>286.75</v>
      </c>
      <c r="G155" s="623"/>
      <c r="H155" s="623"/>
      <c r="I155" s="622">
        <v>15649.416666666668</v>
      </c>
      <c r="J155" s="622"/>
      <c r="K155" s="623">
        <v>0</v>
      </c>
      <c r="L155" s="623">
        <v>0</v>
      </c>
      <c r="M155" s="623">
        <v>0</v>
      </c>
      <c r="N155" s="622">
        <v>0</v>
      </c>
      <c r="O155" s="622"/>
      <c r="P155" s="622"/>
      <c r="Q155" s="622"/>
      <c r="R155" s="623">
        <v>0</v>
      </c>
      <c r="S155" s="622">
        <v>0</v>
      </c>
      <c r="T155" s="622"/>
      <c r="U155" s="622"/>
      <c r="V155" s="622"/>
      <c r="W155" s="622"/>
      <c r="X155" s="622"/>
      <c r="Y155" s="622"/>
      <c r="Z155" s="622"/>
      <c r="AA155" s="622"/>
      <c r="AB155" s="622"/>
      <c r="AC155" s="622"/>
      <c r="AD155" s="624">
        <v>15649.416666666668</v>
      </c>
      <c r="AE155"/>
    </row>
    <row r="156" spans="1:31">
      <c r="A156" s="524"/>
      <c r="B156" s="533" t="s">
        <v>660</v>
      </c>
      <c r="C156" s="622">
        <v>8035.125</v>
      </c>
      <c r="D156" s="623">
        <v>4908.9583333333339</v>
      </c>
      <c r="E156" s="623">
        <v>2896.4166666666665</v>
      </c>
      <c r="F156" s="623">
        <v>491.79166666666669</v>
      </c>
      <c r="G156" s="623"/>
      <c r="H156" s="623"/>
      <c r="I156" s="622">
        <v>16332.291666666666</v>
      </c>
      <c r="J156" s="622"/>
      <c r="K156" s="623">
        <v>0</v>
      </c>
      <c r="L156" s="623">
        <v>0</v>
      </c>
      <c r="M156" s="623">
        <v>0</v>
      </c>
      <c r="N156" s="622">
        <v>0</v>
      </c>
      <c r="O156" s="622"/>
      <c r="P156" s="622"/>
      <c r="Q156" s="622"/>
      <c r="R156" s="623">
        <v>0</v>
      </c>
      <c r="S156" s="622">
        <v>0</v>
      </c>
      <c r="T156" s="622"/>
      <c r="U156" s="622"/>
      <c r="V156" s="622"/>
      <c r="W156" s="622"/>
      <c r="X156" s="622"/>
      <c r="Y156" s="622"/>
      <c r="Z156" s="622"/>
      <c r="AA156" s="622"/>
      <c r="AB156" s="622"/>
      <c r="AC156" s="622"/>
      <c r="AD156" s="624">
        <v>16332.291666666666</v>
      </c>
      <c r="AE156"/>
    </row>
    <row r="157" spans="1:31">
      <c r="A157" s="524"/>
      <c r="B157" s="533" t="s">
        <v>670</v>
      </c>
      <c r="C157" s="622">
        <v>3.5265254410170047E-2</v>
      </c>
      <c r="D157" s="623">
        <v>1.0004457856114309E-2</v>
      </c>
      <c r="E157" s="623">
        <v>5.673284485117492E-2</v>
      </c>
      <c r="F157" s="623">
        <v>0.71505376344086025</v>
      </c>
      <c r="G157" s="623">
        <v>0</v>
      </c>
      <c r="H157" s="623">
        <v>0</v>
      </c>
      <c r="I157" s="622">
        <v>4.3635811771471661E-2</v>
      </c>
      <c r="J157" s="622">
        <v>0</v>
      </c>
      <c r="K157" s="623">
        <v>0</v>
      </c>
      <c r="L157" s="623">
        <v>0</v>
      </c>
      <c r="M157" s="623">
        <v>0</v>
      </c>
      <c r="N157" s="622">
        <v>0</v>
      </c>
      <c r="O157" s="622">
        <v>0</v>
      </c>
      <c r="P157" s="622">
        <v>0</v>
      </c>
      <c r="Q157" s="622">
        <v>0</v>
      </c>
      <c r="R157" s="623">
        <v>0</v>
      </c>
      <c r="S157" s="622">
        <v>0</v>
      </c>
      <c r="T157" s="622">
        <v>0</v>
      </c>
      <c r="U157" s="622">
        <v>0</v>
      </c>
      <c r="V157" s="622">
        <v>0</v>
      </c>
      <c r="W157" s="622">
        <v>0</v>
      </c>
      <c r="X157" s="622">
        <v>0</v>
      </c>
      <c r="Y157" s="622">
        <v>0</v>
      </c>
      <c r="Z157" s="622">
        <v>0</v>
      </c>
      <c r="AA157" s="622">
        <v>0</v>
      </c>
      <c r="AB157" s="622">
        <v>0</v>
      </c>
      <c r="AC157" s="622">
        <v>0</v>
      </c>
      <c r="AD157" s="624">
        <v>4.3635811771471661E-2</v>
      </c>
      <c r="AE157"/>
    </row>
    <row r="158" spans="1:31">
      <c r="A158" s="524"/>
      <c r="B158" s="533" t="s">
        <v>662</v>
      </c>
      <c r="C158" s="622">
        <v>43350.716666666667</v>
      </c>
      <c r="D158" s="623">
        <v>37553.199999999997</v>
      </c>
      <c r="E158" s="623">
        <v>28721.816666666666</v>
      </c>
      <c r="F158" s="623">
        <v>5730.05</v>
      </c>
      <c r="G158" s="623"/>
      <c r="H158" s="623"/>
      <c r="I158" s="622">
        <v>115355.78333333333</v>
      </c>
      <c r="J158" s="622"/>
      <c r="K158" s="623">
        <v>30270.366666666669</v>
      </c>
      <c r="L158" s="623">
        <v>26590.26666666667</v>
      </c>
      <c r="M158" s="623">
        <v>1770.2666666666667</v>
      </c>
      <c r="N158" s="622">
        <v>58630.900000000009</v>
      </c>
      <c r="O158" s="622"/>
      <c r="P158" s="622"/>
      <c r="Q158" s="622"/>
      <c r="R158" s="623">
        <v>12858.136666666669</v>
      </c>
      <c r="S158" s="622">
        <v>12858.136666666669</v>
      </c>
      <c r="T158" s="622"/>
      <c r="U158" s="622"/>
      <c r="V158" s="622"/>
      <c r="W158" s="622"/>
      <c r="X158" s="622"/>
      <c r="Y158" s="622"/>
      <c r="Z158" s="622"/>
      <c r="AA158" s="622"/>
      <c r="AB158" s="622"/>
      <c r="AC158" s="622"/>
      <c r="AD158" s="624">
        <v>186844.81999999998</v>
      </c>
      <c r="AE158"/>
    </row>
    <row r="159" spans="1:31">
      <c r="A159" s="524"/>
      <c r="B159" s="533" t="s">
        <v>664</v>
      </c>
      <c r="C159" s="622">
        <v>44857.108333333337</v>
      </c>
      <c r="D159" s="623">
        <v>37241.091666666667</v>
      </c>
      <c r="E159" s="623">
        <v>28621.25</v>
      </c>
      <c r="F159" s="623">
        <v>5876.0916666666672</v>
      </c>
      <c r="G159" s="623"/>
      <c r="H159" s="623"/>
      <c r="I159" s="622">
        <v>116595.54166666669</v>
      </c>
      <c r="J159" s="622"/>
      <c r="K159" s="623">
        <v>28409.85</v>
      </c>
      <c r="L159" s="623">
        <v>25486.266666666663</v>
      </c>
      <c r="M159" s="623">
        <v>1717.9666666666667</v>
      </c>
      <c r="N159" s="622">
        <v>55614.083333333328</v>
      </c>
      <c r="O159" s="622"/>
      <c r="P159" s="622"/>
      <c r="Q159" s="622"/>
      <c r="R159" s="623">
        <v>12630.868888888888</v>
      </c>
      <c r="S159" s="622">
        <v>12630.868888888888</v>
      </c>
      <c r="T159" s="622"/>
      <c r="U159" s="622"/>
      <c r="V159" s="622"/>
      <c r="W159" s="622"/>
      <c r="X159" s="622"/>
      <c r="Y159" s="622"/>
      <c r="Z159" s="622"/>
      <c r="AA159" s="622"/>
      <c r="AB159" s="622"/>
      <c r="AC159" s="622"/>
      <c r="AD159" s="624">
        <v>184840.49388888892</v>
      </c>
      <c r="AE159"/>
    </row>
    <row r="160" spans="1:31">
      <c r="A160" s="524"/>
      <c r="B160" s="533" t="s">
        <v>672</v>
      </c>
      <c r="C160" s="622">
        <v>3.474894494247123E-2</v>
      </c>
      <c r="D160" s="623">
        <v>-8.311098210893611E-3</v>
      </c>
      <c r="E160" s="623">
        <v>-3.501403404728892E-3</v>
      </c>
      <c r="F160" s="623">
        <v>2.5486979462075718E-2</v>
      </c>
      <c r="G160" s="623">
        <v>0</v>
      </c>
      <c r="H160" s="623">
        <v>0</v>
      </c>
      <c r="I160" s="622">
        <v>1.0747257723099132E-2</v>
      </c>
      <c r="J160" s="622">
        <v>0</v>
      </c>
      <c r="K160" s="623">
        <v>-6.1463301292463253E-2</v>
      </c>
      <c r="L160" s="623">
        <v>-4.1518951796898379E-2</v>
      </c>
      <c r="M160" s="623">
        <v>-2.9543571589967586E-2</v>
      </c>
      <c r="N160" s="622">
        <v>-5.145438099477715E-2</v>
      </c>
      <c r="O160" s="622">
        <v>0</v>
      </c>
      <c r="P160" s="622">
        <v>0</v>
      </c>
      <c r="Q160" s="622">
        <v>0</v>
      </c>
      <c r="R160" s="623">
        <v>-1.7675016502736975E-2</v>
      </c>
      <c r="S160" s="622">
        <v>-1.7675016502736975E-2</v>
      </c>
      <c r="T160" s="622">
        <v>0</v>
      </c>
      <c r="U160" s="622">
        <v>0</v>
      </c>
      <c r="V160" s="622">
        <v>0</v>
      </c>
      <c r="W160" s="622">
        <v>0</v>
      </c>
      <c r="X160" s="622">
        <v>0</v>
      </c>
      <c r="Y160" s="622">
        <v>0</v>
      </c>
      <c r="Z160" s="622">
        <v>0</v>
      </c>
      <c r="AA160" s="622">
        <v>0</v>
      </c>
      <c r="AB160" s="622">
        <v>0</v>
      </c>
      <c r="AC160" s="622">
        <v>0</v>
      </c>
      <c r="AD160" s="624">
        <v>-1.0727223324205797E-2</v>
      </c>
      <c r="AE160"/>
    </row>
    <row r="161" spans="1:37">
      <c r="A161" s="534" t="s">
        <v>523</v>
      </c>
      <c r="B161" s="533" t="s">
        <v>646</v>
      </c>
      <c r="C161" s="622">
        <v>236716.7</v>
      </c>
      <c r="D161" s="623">
        <v>54400.399999999994</v>
      </c>
      <c r="E161" s="623">
        <v>137503.33333333331</v>
      </c>
      <c r="F161" s="623">
        <v>19412.666666666668</v>
      </c>
      <c r="G161" s="623">
        <v>2260.2000000000003</v>
      </c>
      <c r="H161" s="623"/>
      <c r="I161" s="622">
        <v>450293.3</v>
      </c>
      <c r="J161" s="622">
        <v>27074.300000000003</v>
      </c>
      <c r="K161" s="623">
        <v>342957.86666666664</v>
      </c>
      <c r="L161" s="623">
        <v>81828.266666666677</v>
      </c>
      <c r="M161" s="623">
        <v>13515.266666666663</v>
      </c>
      <c r="N161" s="622">
        <v>465375.69999999995</v>
      </c>
      <c r="O161" s="622">
        <v>75336</v>
      </c>
      <c r="P161" s="622">
        <v>75336</v>
      </c>
      <c r="Q161" s="622"/>
      <c r="R161" s="623"/>
      <c r="S161" s="622"/>
      <c r="T161" s="622">
        <v>65045.766666666663</v>
      </c>
      <c r="U161" s="622">
        <v>65045.766666666663</v>
      </c>
      <c r="V161" s="622">
        <v>6703.1333333333332</v>
      </c>
      <c r="W161" s="622">
        <v>6703.1333333333332</v>
      </c>
      <c r="X161" s="622">
        <v>3587.1</v>
      </c>
      <c r="Y161" s="622">
        <v>3587.1</v>
      </c>
      <c r="Z161" s="622"/>
      <c r="AA161" s="622"/>
      <c r="AB161" s="622"/>
      <c r="AC161" s="622"/>
      <c r="AD161" s="624">
        <v>1066341</v>
      </c>
      <c r="AE161"/>
    </row>
    <row r="162" spans="1:37">
      <c r="A162" s="524"/>
      <c r="B162" s="533" t="s">
        <v>647</v>
      </c>
      <c r="C162" s="622">
        <v>246060.76666666663</v>
      </c>
      <c r="D162" s="623">
        <v>54374.600000000006</v>
      </c>
      <c r="E162" s="623">
        <v>137657.20000000001</v>
      </c>
      <c r="F162" s="623">
        <v>20899.633333333335</v>
      </c>
      <c r="G162" s="623">
        <v>2163.2333333333331</v>
      </c>
      <c r="H162" s="623"/>
      <c r="I162" s="622">
        <v>461155.43333333335</v>
      </c>
      <c r="J162" s="622">
        <v>24860.433333333334</v>
      </c>
      <c r="K162" s="623">
        <v>317128.00000000006</v>
      </c>
      <c r="L162" s="623">
        <v>78977.400000000009</v>
      </c>
      <c r="M162" s="623">
        <v>25983.300000000003</v>
      </c>
      <c r="N162" s="622">
        <v>446949.13333333342</v>
      </c>
      <c r="O162" s="622">
        <v>69892.53333333334</v>
      </c>
      <c r="P162" s="622">
        <v>69892.53333333334</v>
      </c>
      <c r="Q162" s="622"/>
      <c r="R162" s="623"/>
      <c r="S162" s="622"/>
      <c r="T162" s="622">
        <v>61257.2</v>
      </c>
      <c r="U162" s="622">
        <v>61257.2</v>
      </c>
      <c r="V162" s="622">
        <v>5187.3</v>
      </c>
      <c r="W162" s="622">
        <v>5187.3</v>
      </c>
      <c r="X162" s="622">
        <v>3448.0333333333333</v>
      </c>
      <c r="Y162" s="622">
        <v>3448.0333333333333</v>
      </c>
      <c r="Z162" s="622"/>
      <c r="AA162" s="622"/>
      <c r="AB162" s="622"/>
      <c r="AC162" s="622"/>
      <c r="AD162" s="624">
        <v>1047889.6333333334</v>
      </c>
      <c r="AE162"/>
    </row>
    <row r="163" spans="1:37">
      <c r="A163" s="524"/>
      <c r="B163" s="533" t="s">
        <v>666</v>
      </c>
      <c r="C163" s="622">
        <v>3.9473626772706029E-2</v>
      </c>
      <c r="D163" s="623">
        <v>-4.7426121866729588E-4</v>
      </c>
      <c r="E163" s="623">
        <v>1.1190031756808155E-3</v>
      </c>
      <c r="F163" s="623">
        <v>7.659775404375152E-2</v>
      </c>
      <c r="G163" s="623">
        <v>-4.2901808099578415E-2</v>
      </c>
      <c r="H163" s="623">
        <v>0</v>
      </c>
      <c r="I163" s="622">
        <v>2.4122351661313549E-2</v>
      </c>
      <c r="J163" s="622">
        <v>-8.1770042685006386E-2</v>
      </c>
      <c r="K163" s="623">
        <v>-7.5314985242113081E-2</v>
      </c>
      <c r="L163" s="623">
        <v>-3.4839631618739757E-2</v>
      </c>
      <c r="M163" s="623">
        <v>0.92251478574846302</v>
      </c>
      <c r="N163" s="622">
        <v>-3.9595034005142374E-2</v>
      </c>
      <c r="O163" s="622">
        <v>-7.2255849350465376E-2</v>
      </c>
      <c r="P163" s="622">
        <v>-7.2255849350465376E-2</v>
      </c>
      <c r="Q163" s="622">
        <v>0</v>
      </c>
      <c r="R163" s="623">
        <v>0</v>
      </c>
      <c r="S163" s="622">
        <v>0</v>
      </c>
      <c r="T163" s="622">
        <v>-5.8244630831727186E-2</v>
      </c>
      <c r="U163" s="622">
        <v>-5.8244630831727186E-2</v>
      </c>
      <c r="V163" s="622">
        <v>-0.22613802500323227</v>
      </c>
      <c r="W163" s="622">
        <v>-0.22613802500323227</v>
      </c>
      <c r="X163" s="622">
        <v>-3.8768550268090271E-2</v>
      </c>
      <c r="Y163" s="622">
        <v>-3.8768550268090271E-2</v>
      </c>
      <c r="Z163" s="622">
        <v>0</v>
      </c>
      <c r="AA163" s="622">
        <v>0</v>
      </c>
      <c r="AB163" s="622">
        <v>0</v>
      </c>
      <c r="AC163" s="622">
        <v>0</v>
      </c>
      <c r="AD163" s="624">
        <v>-1.7303439206282044E-2</v>
      </c>
      <c r="AE163"/>
    </row>
    <row r="164" spans="1:37">
      <c r="A164" s="524"/>
      <c r="B164" s="533" t="s">
        <v>654</v>
      </c>
      <c r="C164" s="622">
        <v>0</v>
      </c>
      <c r="D164" s="623">
        <v>0</v>
      </c>
      <c r="E164" s="623">
        <v>0</v>
      </c>
      <c r="F164" s="623">
        <v>0</v>
      </c>
      <c r="G164" s="623">
        <v>0</v>
      </c>
      <c r="H164" s="623"/>
      <c r="I164" s="622">
        <v>0</v>
      </c>
      <c r="J164" s="622">
        <v>407.12555555555559</v>
      </c>
      <c r="K164" s="623">
        <v>10292.454444444447</v>
      </c>
      <c r="L164" s="623">
        <v>3707.14</v>
      </c>
      <c r="M164" s="623">
        <v>692.92222222222222</v>
      </c>
      <c r="N164" s="622">
        <v>15099.642222222225</v>
      </c>
      <c r="O164" s="622">
        <v>2960.6711111111108</v>
      </c>
      <c r="P164" s="622">
        <v>2960.6711111111108</v>
      </c>
      <c r="Q164" s="622"/>
      <c r="R164" s="623"/>
      <c r="S164" s="622"/>
      <c r="T164" s="622">
        <v>2178.67</v>
      </c>
      <c r="U164" s="622">
        <v>2178.67</v>
      </c>
      <c r="V164" s="622">
        <v>753.24111111111119</v>
      </c>
      <c r="W164" s="622">
        <v>753.24111111111119</v>
      </c>
      <c r="X164" s="622">
        <v>28.76</v>
      </c>
      <c r="Y164" s="622">
        <v>28.76</v>
      </c>
      <c r="Z164" s="622"/>
      <c r="AA164" s="622"/>
      <c r="AB164" s="622"/>
      <c r="AC164" s="622"/>
      <c r="AD164" s="624">
        <v>21020.984444444446</v>
      </c>
      <c r="AE164"/>
    </row>
    <row r="165" spans="1:37">
      <c r="A165" s="524"/>
      <c r="B165" s="533" t="s">
        <v>656</v>
      </c>
      <c r="C165" s="622">
        <v>0</v>
      </c>
      <c r="D165" s="623">
        <v>0</v>
      </c>
      <c r="E165" s="623">
        <v>0</v>
      </c>
      <c r="F165" s="623">
        <v>0</v>
      </c>
      <c r="G165" s="623">
        <v>0</v>
      </c>
      <c r="H165" s="623"/>
      <c r="I165" s="622">
        <v>0</v>
      </c>
      <c r="J165" s="622">
        <v>304.15000000000003</v>
      </c>
      <c r="K165" s="623">
        <v>6913.4622222222233</v>
      </c>
      <c r="L165" s="623">
        <v>2452.4933333333329</v>
      </c>
      <c r="M165" s="623">
        <v>724.49888888888881</v>
      </c>
      <c r="N165" s="622">
        <v>10394.604444444445</v>
      </c>
      <c r="O165" s="622">
        <v>1720.6677777777779</v>
      </c>
      <c r="P165" s="622">
        <v>1720.6677777777779</v>
      </c>
      <c r="Q165" s="622"/>
      <c r="R165" s="623"/>
      <c r="S165" s="622"/>
      <c r="T165" s="622">
        <v>1236.9911111111112</v>
      </c>
      <c r="U165" s="622">
        <v>1236.9911111111112</v>
      </c>
      <c r="V165" s="622">
        <v>466.16555555555556</v>
      </c>
      <c r="W165" s="622">
        <v>466.16555555555556</v>
      </c>
      <c r="X165" s="622">
        <v>17.511111111111113</v>
      </c>
      <c r="Y165" s="622">
        <v>17.511111111111113</v>
      </c>
      <c r="Z165" s="622"/>
      <c r="AA165" s="622"/>
      <c r="AB165" s="622"/>
      <c r="AC165" s="622"/>
      <c r="AD165" s="624">
        <v>13835.94</v>
      </c>
      <c r="AE165"/>
    </row>
    <row r="166" spans="1:37">
      <c r="A166" s="524"/>
      <c r="B166" s="533" t="s">
        <v>668</v>
      </c>
      <c r="C166" s="622">
        <v>0</v>
      </c>
      <c r="D166" s="623">
        <v>0</v>
      </c>
      <c r="E166" s="623">
        <v>0</v>
      </c>
      <c r="F166" s="623">
        <v>0</v>
      </c>
      <c r="G166" s="623">
        <v>0</v>
      </c>
      <c r="H166" s="623">
        <v>0</v>
      </c>
      <c r="I166" s="622">
        <v>0</v>
      </c>
      <c r="J166" s="629">
        <v>-0.2529331655809155</v>
      </c>
      <c r="K166" s="623">
        <v>-0.32829800126500447</v>
      </c>
      <c r="L166" s="630">
        <v>-0.3384405948161297</v>
      </c>
      <c r="M166" s="623">
        <v>4.5570290075846155E-2</v>
      </c>
      <c r="N166" s="622">
        <v>-0.31159928881317173</v>
      </c>
      <c r="O166" s="622">
        <v>-0.4188250862041788</v>
      </c>
      <c r="P166" s="622">
        <v>-0.4188250862041788</v>
      </c>
      <c r="Q166" s="622">
        <v>0</v>
      </c>
      <c r="R166" s="623">
        <v>0</v>
      </c>
      <c r="S166" s="622">
        <v>0</v>
      </c>
      <c r="T166" s="622">
        <v>-0.43222649088154186</v>
      </c>
      <c r="U166" s="622">
        <v>-0.43222649088154186</v>
      </c>
      <c r="V166" s="622">
        <v>-0.38112040264516167</v>
      </c>
      <c r="W166" s="622">
        <v>-0.38112040264516167</v>
      </c>
      <c r="X166" s="622">
        <v>-0.39112965538556632</v>
      </c>
      <c r="Y166" s="622">
        <v>-0.39112965538556632</v>
      </c>
      <c r="Z166" s="622">
        <v>0</v>
      </c>
      <c r="AA166" s="622">
        <v>0</v>
      </c>
      <c r="AB166" s="622">
        <v>0</v>
      </c>
      <c r="AC166" s="622">
        <v>0</v>
      </c>
      <c r="AD166" s="624">
        <v>-0.34180342330938551</v>
      </c>
      <c r="AE166"/>
    </row>
    <row r="167" spans="1:37">
      <c r="A167" s="524"/>
      <c r="B167" s="533" t="s">
        <v>658</v>
      </c>
      <c r="C167" s="622">
        <v>54253.041666666664</v>
      </c>
      <c r="D167" s="623">
        <v>9519.875</v>
      </c>
      <c r="E167" s="623">
        <v>28397.291666666668</v>
      </c>
      <c r="F167" s="623">
        <v>3368.9583333333335</v>
      </c>
      <c r="G167" s="623">
        <v>167.08333333333331</v>
      </c>
      <c r="H167" s="623"/>
      <c r="I167" s="622">
        <v>95706.249999999985</v>
      </c>
      <c r="J167" s="622">
        <v>0</v>
      </c>
      <c r="K167" s="623">
        <v>0</v>
      </c>
      <c r="L167" s="623">
        <v>0</v>
      </c>
      <c r="M167" s="623">
        <v>0</v>
      </c>
      <c r="N167" s="622">
        <v>0</v>
      </c>
      <c r="O167" s="622">
        <v>0</v>
      </c>
      <c r="P167" s="622">
        <v>0</v>
      </c>
      <c r="Q167" s="622"/>
      <c r="R167" s="623"/>
      <c r="S167" s="622"/>
      <c r="T167" s="622">
        <v>0</v>
      </c>
      <c r="U167" s="622">
        <v>0</v>
      </c>
      <c r="V167" s="622">
        <v>0</v>
      </c>
      <c r="W167" s="622">
        <v>0</v>
      </c>
      <c r="X167" s="622">
        <v>0</v>
      </c>
      <c r="Y167" s="622">
        <v>0</v>
      </c>
      <c r="Z167" s="622"/>
      <c r="AA167" s="622"/>
      <c r="AB167" s="622"/>
      <c r="AC167" s="622"/>
      <c r="AD167" s="624">
        <v>95706.249999999985</v>
      </c>
      <c r="AE167"/>
    </row>
    <row r="168" spans="1:37">
      <c r="A168" s="524"/>
      <c r="B168" s="533" t="s">
        <v>660</v>
      </c>
      <c r="C168" s="622">
        <v>54740.666666666664</v>
      </c>
      <c r="D168" s="623">
        <v>9980.9583333333339</v>
      </c>
      <c r="E168" s="623">
        <v>30185.416666666668</v>
      </c>
      <c r="F168" s="623">
        <v>3558.8333333333335</v>
      </c>
      <c r="G168" s="623">
        <v>185.875</v>
      </c>
      <c r="H168" s="623"/>
      <c r="I168" s="622">
        <v>98651.75</v>
      </c>
      <c r="J168" s="622">
        <v>0</v>
      </c>
      <c r="K168" s="623">
        <v>0</v>
      </c>
      <c r="L168" s="623">
        <v>0</v>
      </c>
      <c r="M168" s="623">
        <v>0</v>
      </c>
      <c r="N168" s="622">
        <v>0</v>
      </c>
      <c r="O168" s="622">
        <v>0</v>
      </c>
      <c r="P168" s="622">
        <v>0</v>
      </c>
      <c r="Q168" s="622"/>
      <c r="R168" s="623"/>
      <c r="S168" s="622"/>
      <c r="T168" s="622">
        <v>0</v>
      </c>
      <c r="U168" s="622">
        <v>0</v>
      </c>
      <c r="V168" s="622">
        <v>0</v>
      </c>
      <c r="W168" s="622">
        <v>0</v>
      </c>
      <c r="X168" s="622">
        <v>0</v>
      </c>
      <c r="Y168" s="622">
        <v>0</v>
      </c>
      <c r="Z168" s="622"/>
      <c r="AA168" s="622"/>
      <c r="AB168" s="622"/>
      <c r="AC168" s="622"/>
      <c r="AD168" s="624">
        <v>98651.75</v>
      </c>
      <c r="AE168"/>
    </row>
    <row r="169" spans="1:37">
      <c r="A169" s="524"/>
      <c r="B169" s="533" t="s">
        <v>670</v>
      </c>
      <c r="C169" s="622">
        <v>8.9879753285722081E-3</v>
      </c>
      <c r="D169" s="623">
        <v>4.8433759196768227E-2</v>
      </c>
      <c r="E169" s="623">
        <v>6.296815277278496E-2</v>
      </c>
      <c r="F169" s="623">
        <v>5.6360150887391006E-2</v>
      </c>
      <c r="G169" s="623">
        <v>0.11246882793017469</v>
      </c>
      <c r="H169" s="623">
        <v>0</v>
      </c>
      <c r="I169" s="622">
        <v>3.0776464441977555E-2</v>
      </c>
      <c r="J169" s="622">
        <v>0</v>
      </c>
      <c r="K169" s="623">
        <v>0</v>
      </c>
      <c r="L169" s="623">
        <v>0</v>
      </c>
      <c r="M169" s="623">
        <v>0</v>
      </c>
      <c r="N169" s="622">
        <v>0</v>
      </c>
      <c r="O169" s="622">
        <v>0</v>
      </c>
      <c r="P169" s="622">
        <v>0</v>
      </c>
      <c r="Q169" s="622">
        <v>0</v>
      </c>
      <c r="R169" s="623">
        <v>0</v>
      </c>
      <c r="S169" s="622">
        <v>0</v>
      </c>
      <c r="T169" s="622">
        <v>0</v>
      </c>
      <c r="U169" s="622">
        <v>0</v>
      </c>
      <c r="V169" s="622">
        <v>0</v>
      </c>
      <c r="W169" s="622">
        <v>0</v>
      </c>
      <c r="X169" s="622">
        <v>0</v>
      </c>
      <c r="Y169" s="622">
        <v>0</v>
      </c>
      <c r="Z169" s="622">
        <v>0</v>
      </c>
      <c r="AA169" s="622">
        <v>0</v>
      </c>
      <c r="AB169" s="622">
        <v>0</v>
      </c>
      <c r="AC169" s="622">
        <v>0</v>
      </c>
      <c r="AD169" s="624">
        <v>3.0776464441977555E-2</v>
      </c>
      <c r="AE169"/>
      <c r="AI169" s="1" t="s">
        <v>789</v>
      </c>
      <c r="AJ169" s="1">
        <v>11</v>
      </c>
      <c r="AK169" s="1" t="s">
        <v>690</v>
      </c>
    </row>
    <row r="170" spans="1:37">
      <c r="A170" s="524"/>
      <c r="B170" s="533" t="s">
        <v>662</v>
      </c>
      <c r="C170" s="622">
        <v>290969.7416666667</v>
      </c>
      <c r="D170" s="623">
        <v>63920.274999999994</v>
      </c>
      <c r="E170" s="623">
        <v>165900.62500000003</v>
      </c>
      <c r="F170" s="623">
        <v>22781.625</v>
      </c>
      <c r="G170" s="623">
        <v>2427.2833333333333</v>
      </c>
      <c r="H170" s="623"/>
      <c r="I170" s="622">
        <v>545999.55000000005</v>
      </c>
      <c r="J170" s="622">
        <v>27481.425555555557</v>
      </c>
      <c r="K170" s="623">
        <v>353250.32111111115</v>
      </c>
      <c r="L170" s="623">
        <v>85535.406666666691</v>
      </c>
      <c r="M170" s="623">
        <v>14208.188888888888</v>
      </c>
      <c r="N170" s="622">
        <v>480475.34222222224</v>
      </c>
      <c r="O170" s="622">
        <v>78296.671111111122</v>
      </c>
      <c r="P170" s="622">
        <v>78296.671111111122</v>
      </c>
      <c r="Q170" s="622"/>
      <c r="R170" s="623"/>
      <c r="S170" s="622"/>
      <c r="T170" s="622">
        <v>67224.436666666661</v>
      </c>
      <c r="U170" s="622">
        <v>67224.436666666661</v>
      </c>
      <c r="V170" s="622">
        <v>7456.3744444444455</v>
      </c>
      <c r="W170" s="622">
        <v>7456.3744444444455</v>
      </c>
      <c r="X170" s="622">
        <v>3615.86</v>
      </c>
      <c r="Y170" s="622">
        <v>3615.86</v>
      </c>
      <c r="Z170" s="622"/>
      <c r="AA170" s="622"/>
      <c r="AB170" s="622"/>
      <c r="AC170" s="622"/>
      <c r="AD170" s="624">
        <v>1183068.234444445</v>
      </c>
      <c r="AE170"/>
      <c r="AI170" s="1">
        <f>+GETPIVOTDATA("Sum of Old Grand Total FTE",$A$2,"State","TX","Category","10","Category2","Two-Year")-GETPIVOTDATA("Sum of Old Grand Total FTE",$A$2,"State","TX","Category","10b","Category2","10b")</f>
        <v>10592.328888888887</v>
      </c>
      <c r="AJ170" s="1">
        <f>+GETPIVOTDATA("Sum of Old Grand Total FTE",$A$2,"State","TX","Category","11","Category2","11")</f>
        <v>78296.671111111122</v>
      </c>
      <c r="AK170" s="1">
        <f>SUM(AF170:AJ170)</f>
        <v>88889.000000000015</v>
      </c>
    </row>
    <row r="171" spans="1:37">
      <c r="A171" s="524"/>
      <c r="B171" s="533" t="s">
        <v>664</v>
      </c>
      <c r="C171" s="622">
        <v>300801.43333333335</v>
      </c>
      <c r="D171" s="623">
        <v>64355.558333333334</v>
      </c>
      <c r="E171" s="623">
        <v>167842.6166666667</v>
      </c>
      <c r="F171" s="623">
        <v>24458.466666666667</v>
      </c>
      <c r="G171" s="623">
        <v>2349.1083333333331</v>
      </c>
      <c r="H171" s="623"/>
      <c r="I171" s="622">
        <v>559807.18333333335</v>
      </c>
      <c r="J171" s="622">
        <v>25164.583333333332</v>
      </c>
      <c r="K171" s="623">
        <v>324041.4622222223</v>
      </c>
      <c r="L171" s="623">
        <v>81429.893333333341</v>
      </c>
      <c r="M171" s="623">
        <v>26707.79888888889</v>
      </c>
      <c r="N171" s="622">
        <v>457343.73777777783</v>
      </c>
      <c r="O171" s="622">
        <v>71613.201111111121</v>
      </c>
      <c r="P171" s="622">
        <v>71613.201111111121</v>
      </c>
      <c r="Q171" s="622"/>
      <c r="R171" s="623"/>
      <c r="S171" s="622"/>
      <c r="T171" s="622">
        <v>62494.191111111111</v>
      </c>
      <c r="U171" s="622">
        <v>62494.191111111111</v>
      </c>
      <c r="V171" s="622">
        <v>5653.4655555555555</v>
      </c>
      <c r="W171" s="622">
        <v>5653.4655555555555</v>
      </c>
      <c r="X171" s="622">
        <v>3465.5444444444443</v>
      </c>
      <c r="Y171" s="622">
        <v>3465.5444444444443</v>
      </c>
      <c r="Z171" s="622"/>
      <c r="AA171" s="622"/>
      <c r="AB171" s="622"/>
      <c r="AC171" s="622"/>
      <c r="AD171" s="624">
        <v>1160377.3233333335</v>
      </c>
      <c r="AE171"/>
      <c r="AI171" s="1">
        <f>+GETPIVOTDATA("Sum of NEW Grand Total FTE",$A$2,"State","TX","Category","10","Category2","Two-Year")-GETPIVOTDATA("Sum of NEW Grand Total FTE",$A$2,"State","TX","Category","10b","Category2","10b")</f>
        <v>23242.254444444447</v>
      </c>
      <c r="AJ171" s="1">
        <f>+GETPIVOTDATA("Sum of NEW Grand Total FTE",$A$2,"State","TX","Category","11","Category2","11")</f>
        <v>71613.201111111121</v>
      </c>
      <c r="AK171" s="1">
        <f>SUM(AF171:AJ171)</f>
        <v>94855.455555555571</v>
      </c>
    </row>
    <row r="172" spans="1:37">
      <c r="A172" s="524"/>
      <c r="B172" s="533" t="s">
        <v>672</v>
      </c>
      <c r="C172" s="622">
        <v>3.3789395455180289E-2</v>
      </c>
      <c r="D172" s="623">
        <v>6.8097850538556062E-3</v>
      </c>
      <c r="E172" s="623">
        <v>1.1705752565227939E-2</v>
      </c>
      <c r="F172" s="623">
        <v>7.360500695919045E-2</v>
      </c>
      <c r="G172" s="623">
        <v>-3.2206788110164385E-2</v>
      </c>
      <c r="H172" s="623">
        <v>0</v>
      </c>
      <c r="I172" s="622">
        <v>2.5288726581062751E-2</v>
      </c>
      <c r="J172" s="622">
        <v>-8.4305751080436933E-2</v>
      </c>
      <c r="K172" s="623">
        <v>-8.2686008032534841E-2</v>
      </c>
      <c r="L172" s="623">
        <v>-4.7997823279576184E-2</v>
      </c>
      <c r="M172" s="623">
        <v>0.87974689087748326</v>
      </c>
      <c r="N172" s="622">
        <v>-4.8143166593023708E-2</v>
      </c>
      <c r="O172" s="622">
        <v>-8.5360844914025291E-2</v>
      </c>
      <c r="P172" s="622">
        <v>-8.5360844914025291E-2</v>
      </c>
      <c r="Q172" s="622">
        <v>0</v>
      </c>
      <c r="R172" s="623">
        <v>0</v>
      </c>
      <c r="S172" s="622">
        <v>0</v>
      </c>
      <c r="T172" s="622">
        <v>-7.0364971282846758E-2</v>
      </c>
      <c r="U172" s="622">
        <v>-7.0364971282846758E-2</v>
      </c>
      <c r="V172" s="622">
        <v>-0.24179430664620008</v>
      </c>
      <c r="W172" s="622">
        <v>-0.24179430664620008</v>
      </c>
      <c r="X172" s="622">
        <v>-4.1571176858494485E-2</v>
      </c>
      <c r="Y172" s="622">
        <v>-4.1571176858494485E-2</v>
      </c>
      <c r="Z172" s="622">
        <v>0</v>
      </c>
      <c r="AA172" s="622">
        <v>0</v>
      </c>
      <c r="AB172" s="622">
        <v>0</v>
      </c>
      <c r="AC172" s="622">
        <v>0</v>
      </c>
      <c r="AD172" s="624">
        <v>-1.9179714618714656E-2</v>
      </c>
      <c r="AE172"/>
    </row>
    <row r="173" spans="1:37">
      <c r="A173" s="534" t="s">
        <v>621</v>
      </c>
      <c r="B173" s="533" t="s">
        <v>646</v>
      </c>
      <c r="C173" s="622">
        <v>109154.79999999999</v>
      </c>
      <c r="D173" s="623">
        <v>6138.1166666666668</v>
      </c>
      <c r="E173" s="623">
        <v>31479.29</v>
      </c>
      <c r="F173" s="623">
        <v>4583.2666666666664</v>
      </c>
      <c r="G173" s="623">
        <v>12422.406666666666</v>
      </c>
      <c r="H173" s="623">
        <v>1527.6666666666667</v>
      </c>
      <c r="I173" s="622">
        <v>165305.54666666666</v>
      </c>
      <c r="J173" s="622"/>
      <c r="K173" s="623">
        <v>60664.966666666667</v>
      </c>
      <c r="L173" s="623">
        <v>23934.799999999996</v>
      </c>
      <c r="M173" s="623">
        <v>14328.066666666668</v>
      </c>
      <c r="N173" s="622">
        <v>98927.833333333328</v>
      </c>
      <c r="O173" s="622">
        <v>97665.2</v>
      </c>
      <c r="P173" s="622">
        <v>97665.2</v>
      </c>
      <c r="Q173" s="622"/>
      <c r="R173" s="623"/>
      <c r="S173" s="622"/>
      <c r="T173" s="622">
        <v>60664.966666666667</v>
      </c>
      <c r="U173" s="622">
        <v>60664.966666666667</v>
      </c>
      <c r="V173" s="622">
        <v>23934.799999999999</v>
      </c>
      <c r="W173" s="622">
        <v>23934.799999999999</v>
      </c>
      <c r="X173" s="622">
        <v>14328.066666666666</v>
      </c>
      <c r="Y173" s="622">
        <v>14328.066666666666</v>
      </c>
      <c r="Z173" s="622"/>
      <c r="AA173" s="622"/>
      <c r="AB173" s="622"/>
      <c r="AC173" s="622"/>
      <c r="AD173" s="624">
        <v>460826.41333333333</v>
      </c>
      <c r="AE173"/>
    </row>
    <row r="174" spans="1:37">
      <c r="A174" s="524"/>
      <c r="B174" s="533" t="s">
        <v>647</v>
      </c>
      <c r="C174" s="622">
        <v>110592.53333333334</v>
      </c>
      <c r="D174" s="623">
        <v>6086.6766666666663</v>
      </c>
      <c r="E174" s="623">
        <v>30750.799999999999</v>
      </c>
      <c r="F174" s="623">
        <v>4560.0666666666666</v>
      </c>
      <c r="G174" s="623">
        <v>12135.466666666667</v>
      </c>
      <c r="H174" s="623">
        <v>1527.3666666666666</v>
      </c>
      <c r="I174" s="622">
        <v>165652.91000000003</v>
      </c>
      <c r="J174" s="622"/>
      <c r="K174" s="623">
        <v>57725.333333333336</v>
      </c>
      <c r="L174" s="623">
        <v>23497.866666666669</v>
      </c>
      <c r="M174" s="623">
        <v>13804.266666666666</v>
      </c>
      <c r="N174" s="622">
        <v>95027.466666666674</v>
      </c>
      <c r="O174" s="622">
        <v>93799.2</v>
      </c>
      <c r="P174" s="622">
        <v>93799.2</v>
      </c>
      <c r="Q174" s="622"/>
      <c r="R174" s="623"/>
      <c r="S174" s="622"/>
      <c r="T174" s="622">
        <v>57725.333333333336</v>
      </c>
      <c r="U174" s="622">
        <v>57725.333333333336</v>
      </c>
      <c r="V174" s="622">
        <v>23497.866666666665</v>
      </c>
      <c r="W174" s="622">
        <v>23497.866666666665</v>
      </c>
      <c r="X174" s="622">
        <v>13804.266666666666</v>
      </c>
      <c r="Y174" s="622">
        <v>13804.266666666666</v>
      </c>
      <c r="Z174" s="622"/>
      <c r="AA174" s="622"/>
      <c r="AB174" s="622"/>
      <c r="AC174" s="622"/>
      <c r="AD174" s="624">
        <v>449507.04333333333</v>
      </c>
      <c r="AE174"/>
    </row>
    <row r="175" spans="1:37">
      <c r="A175" s="524"/>
      <c r="B175" s="533" t="s">
        <v>666</v>
      </c>
      <c r="C175" s="622">
        <v>1.3171508108973237E-2</v>
      </c>
      <c r="D175" s="623">
        <v>-8.3804207045049938E-3</v>
      </c>
      <c r="E175" s="623">
        <v>-2.3141881535447641E-2</v>
      </c>
      <c r="F175" s="623">
        <v>-5.0618918093353693E-3</v>
      </c>
      <c r="G175" s="623">
        <v>-2.3098583688292183E-2</v>
      </c>
      <c r="H175" s="623">
        <v>-1.9637791839418407E-4</v>
      </c>
      <c r="I175" s="622">
        <v>2.1013410640951936E-3</v>
      </c>
      <c r="J175" s="622">
        <v>0</v>
      </c>
      <c r="K175" s="623">
        <v>-4.8456852362346384E-2</v>
      </c>
      <c r="L175" s="623">
        <v>-1.8255148709549574E-2</v>
      </c>
      <c r="M175" s="623">
        <v>-3.6557618845994649E-2</v>
      </c>
      <c r="N175" s="622">
        <v>-3.942638320526623E-2</v>
      </c>
      <c r="O175" s="622">
        <v>-3.958421218612157E-2</v>
      </c>
      <c r="P175" s="622">
        <v>-3.958421218612157E-2</v>
      </c>
      <c r="Q175" s="622">
        <v>0</v>
      </c>
      <c r="R175" s="623">
        <v>0</v>
      </c>
      <c r="S175" s="622">
        <v>0</v>
      </c>
      <c r="T175" s="622">
        <v>-4.8456852362346384E-2</v>
      </c>
      <c r="U175" s="622">
        <v>-4.8456852362346384E-2</v>
      </c>
      <c r="V175" s="622">
        <v>-1.8255148709549873E-2</v>
      </c>
      <c r="W175" s="622">
        <v>-1.8255148709549873E-2</v>
      </c>
      <c r="X175" s="622">
        <v>-3.6557618845994524E-2</v>
      </c>
      <c r="Y175" s="622">
        <v>-3.6557618845994524E-2</v>
      </c>
      <c r="Z175" s="622">
        <v>0</v>
      </c>
      <c r="AA175" s="622">
        <v>0</v>
      </c>
      <c r="AB175" s="622">
        <v>0</v>
      </c>
      <c r="AC175" s="622">
        <v>0</v>
      </c>
      <c r="AD175" s="624">
        <v>-2.4563197057483596E-2</v>
      </c>
      <c r="AE175"/>
    </row>
    <row r="176" spans="1:37">
      <c r="A176" s="524"/>
      <c r="B176" s="533" t="s">
        <v>654</v>
      </c>
      <c r="C176" s="622">
        <v>0</v>
      </c>
      <c r="D176" s="623">
        <v>0</v>
      </c>
      <c r="E176" s="623">
        <v>0</v>
      </c>
      <c r="F176" s="623">
        <v>0</v>
      </c>
      <c r="G176" s="623">
        <v>0</v>
      </c>
      <c r="H176" s="623">
        <v>0</v>
      </c>
      <c r="I176" s="622">
        <v>0</v>
      </c>
      <c r="J176" s="622"/>
      <c r="K176" s="623">
        <v>0</v>
      </c>
      <c r="L176" s="623">
        <v>0</v>
      </c>
      <c r="M176" s="623">
        <v>0</v>
      </c>
      <c r="N176" s="622">
        <v>0</v>
      </c>
      <c r="O176" s="622">
        <v>0</v>
      </c>
      <c r="P176" s="622">
        <v>0</v>
      </c>
      <c r="Q176" s="622"/>
      <c r="R176" s="623"/>
      <c r="S176" s="622"/>
      <c r="T176" s="622">
        <v>0</v>
      </c>
      <c r="U176" s="622">
        <v>0</v>
      </c>
      <c r="V176" s="622">
        <v>0</v>
      </c>
      <c r="W176" s="622">
        <v>0</v>
      </c>
      <c r="X176" s="622">
        <v>0</v>
      </c>
      <c r="Y176" s="622">
        <v>0</v>
      </c>
      <c r="Z176" s="622"/>
      <c r="AA176" s="622"/>
      <c r="AB176" s="622"/>
      <c r="AC176" s="622"/>
      <c r="AD176" s="624">
        <v>0</v>
      </c>
      <c r="AE176"/>
    </row>
    <row r="177" spans="1:37">
      <c r="A177" s="524"/>
      <c r="B177" s="533" t="s">
        <v>656</v>
      </c>
      <c r="C177" s="622">
        <v>0</v>
      </c>
      <c r="D177" s="623">
        <v>0</v>
      </c>
      <c r="E177" s="623">
        <v>0</v>
      </c>
      <c r="F177" s="623">
        <v>0</v>
      </c>
      <c r="G177" s="623">
        <v>0</v>
      </c>
      <c r="H177" s="623">
        <v>0</v>
      </c>
      <c r="I177" s="622">
        <v>0</v>
      </c>
      <c r="J177" s="622"/>
      <c r="K177" s="623">
        <v>0</v>
      </c>
      <c r="L177" s="623">
        <v>0</v>
      </c>
      <c r="M177" s="623">
        <v>0</v>
      </c>
      <c r="N177" s="622">
        <v>0</v>
      </c>
      <c r="O177" s="622">
        <v>0</v>
      </c>
      <c r="P177" s="622">
        <v>0</v>
      </c>
      <c r="Q177" s="622"/>
      <c r="R177" s="623"/>
      <c r="S177" s="622"/>
      <c r="T177" s="622">
        <v>0</v>
      </c>
      <c r="U177" s="622">
        <v>0</v>
      </c>
      <c r="V177" s="622">
        <v>0</v>
      </c>
      <c r="W177" s="622">
        <v>0</v>
      </c>
      <c r="X177" s="622">
        <v>0</v>
      </c>
      <c r="Y177" s="622">
        <v>0</v>
      </c>
      <c r="Z177" s="622"/>
      <c r="AA177" s="622"/>
      <c r="AB177" s="622"/>
      <c r="AC177" s="622"/>
      <c r="AD177" s="624">
        <v>0</v>
      </c>
      <c r="AE177"/>
    </row>
    <row r="178" spans="1:37">
      <c r="A178" s="524"/>
      <c r="B178" s="533" t="s">
        <v>668</v>
      </c>
      <c r="C178" s="622">
        <v>0</v>
      </c>
      <c r="D178" s="623">
        <v>0</v>
      </c>
      <c r="E178" s="623">
        <v>0</v>
      </c>
      <c r="F178" s="623">
        <v>0</v>
      </c>
      <c r="G178" s="623">
        <v>0</v>
      </c>
      <c r="H178" s="623">
        <v>0</v>
      </c>
      <c r="I178" s="622">
        <v>0</v>
      </c>
      <c r="J178" s="622">
        <v>0</v>
      </c>
      <c r="K178" s="623">
        <v>0</v>
      </c>
      <c r="L178" s="623">
        <v>0</v>
      </c>
      <c r="M178" s="623">
        <v>0</v>
      </c>
      <c r="N178" s="622">
        <v>0</v>
      </c>
      <c r="O178" s="622">
        <v>0</v>
      </c>
      <c r="P178" s="622">
        <v>0</v>
      </c>
      <c r="Q178" s="622">
        <v>0</v>
      </c>
      <c r="R178" s="623">
        <v>0</v>
      </c>
      <c r="S178" s="622">
        <v>0</v>
      </c>
      <c r="T178" s="622">
        <v>0</v>
      </c>
      <c r="U178" s="622">
        <v>0</v>
      </c>
      <c r="V178" s="622">
        <v>0</v>
      </c>
      <c r="W178" s="622">
        <v>0</v>
      </c>
      <c r="X178" s="622">
        <v>0</v>
      </c>
      <c r="Y178" s="622">
        <v>0</v>
      </c>
      <c r="Z178" s="622">
        <v>0</v>
      </c>
      <c r="AA178" s="622">
        <v>0</v>
      </c>
      <c r="AB178" s="622">
        <v>0</v>
      </c>
      <c r="AC178" s="622">
        <v>0</v>
      </c>
      <c r="AD178" s="624">
        <v>0</v>
      </c>
      <c r="AE178"/>
    </row>
    <row r="179" spans="1:37">
      <c r="A179" s="524"/>
      <c r="B179" s="533" t="s">
        <v>658</v>
      </c>
      <c r="C179" s="622">
        <v>29650.791666666664</v>
      </c>
      <c r="D179" s="623">
        <v>2495.125</v>
      </c>
      <c r="E179" s="623">
        <v>2986.5833333333335</v>
      </c>
      <c r="F179" s="623">
        <v>397.66666666666669</v>
      </c>
      <c r="G179" s="623">
        <v>780.75</v>
      </c>
      <c r="H179" s="623">
        <v>0</v>
      </c>
      <c r="I179" s="622">
        <v>36310.916666666664</v>
      </c>
      <c r="J179" s="622"/>
      <c r="K179" s="623">
        <v>0</v>
      </c>
      <c r="L179" s="623">
        <v>0</v>
      </c>
      <c r="M179" s="623">
        <v>0</v>
      </c>
      <c r="N179" s="622">
        <v>0</v>
      </c>
      <c r="O179" s="622">
        <v>0</v>
      </c>
      <c r="P179" s="622">
        <v>0</v>
      </c>
      <c r="Q179" s="622"/>
      <c r="R179" s="623"/>
      <c r="S179" s="622"/>
      <c r="T179" s="622">
        <v>0</v>
      </c>
      <c r="U179" s="622">
        <v>0</v>
      </c>
      <c r="V179" s="622">
        <v>0</v>
      </c>
      <c r="W179" s="622">
        <v>0</v>
      </c>
      <c r="X179" s="622">
        <v>0</v>
      </c>
      <c r="Y179" s="622">
        <v>0</v>
      </c>
      <c r="Z179" s="622"/>
      <c r="AA179" s="622"/>
      <c r="AB179" s="622"/>
      <c r="AC179" s="622"/>
      <c r="AD179" s="624">
        <v>36310.916666666664</v>
      </c>
      <c r="AE179"/>
    </row>
    <row r="180" spans="1:37">
      <c r="A180" s="524"/>
      <c r="B180" s="533" t="s">
        <v>660</v>
      </c>
      <c r="C180" s="622">
        <v>30006.958333333336</v>
      </c>
      <c r="D180" s="623">
        <v>2588.8958333333335</v>
      </c>
      <c r="E180" s="623">
        <v>3428.8749999999995</v>
      </c>
      <c r="F180" s="623">
        <v>353.04166666666669</v>
      </c>
      <c r="G180" s="623">
        <v>937.48333333333335</v>
      </c>
      <c r="H180" s="623">
        <v>0</v>
      </c>
      <c r="I180" s="622">
        <v>37315.254166666658</v>
      </c>
      <c r="J180" s="622"/>
      <c r="K180" s="623">
        <v>0</v>
      </c>
      <c r="L180" s="623">
        <v>0</v>
      </c>
      <c r="M180" s="623">
        <v>0</v>
      </c>
      <c r="N180" s="622">
        <v>0</v>
      </c>
      <c r="O180" s="622">
        <v>0</v>
      </c>
      <c r="P180" s="622">
        <v>0</v>
      </c>
      <c r="Q180" s="622"/>
      <c r="R180" s="623"/>
      <c r="S180" s="622"/>
      <c r="T180" s="622">
        <v>0</v>
      </c>
      <c r="U180" s="622">
        <v>0</v>
      </c>
      <c r="V180" s="622">
        <v>0</v>
      </c>
      <c r="W180" s="622">
        <v>0</v>
      </c>
      <c r="X180" s="622">
        <v>0</v>
      </c>
      <c r="Y180" s="622">
        <v>0</v>
      </c>
      <c r="Z180" s="622"/>
      <c r="AA180" s="622"/>
      <c r="AB180" s="622"/>
      <c r="AC180" s="622"/>
      <c r="AD180" s="624">
        <v>37315.254166666658</v>
      </c>
      <c r="AE180"/>
    </row>
    <row r="181" spans="1:37" ht="13">
      <c r="A181" s="524"/>
      <c r="B181" s="533" t="s">
        <v>670</v>
      </c>
      <c r="C181" s="622">
        <v>1.201204577168417E-2</v>
      </c>
      <c r="D181" s="623">
        <v>3.758161748743389E-2</v>
      </c>
      <c r="E181" s="623">
        <v>0.14809285973380934</v>
      </c>
      <c r="F181" s="623">
        <v>-0.11221709974853311</v>
      </c>
      <c r="G181" s="623">
        <v>0.20074714483936387</v>
      </c>
      <c r="H181" s="623">
        <v>0</v>
      </c>
      <c r="I181" s="622">
        <v>2.7659381590935329E-2</v>
      </c>
      <c r="J181" s="622">
        <v>0</v>
      </c>
      <c r="K181" s="623">
        <v>0</v>
      </c>
      <c r="L181" s="623">
        <v>0</v>
      </c>
      <c r="M181" s="623">
        <v>0</v>
      </c>
      <c r="N181" s="622">
        <v>0</v>
      </c>
      <c r="O181" s="622">
        <v>0</v>
      </c>
      <c r="P181" s="622">
        <v>0</v>
      </c>
      <c r="Q181" s="622">
        <v>0</v>
      </c>
      <c r="R181" s="623">
        <v>0</v>
      </c>
      <c r="S181" s="622">
        <v>0</v>
      </c>
      <c r="T181" s="622">
        <v>0</v>
      </c>
      <c r="U181" s="622">
        <v>0</v>
      </c>
      <c r="V181" s="622">
        <v>0</v>
      </c>
      <c r="W181" s="622">
        <v>0</v>
      </c>
      <c r="X181" s="622">
        <v>0</v>
      </c>
      <c r="Y181" s="622">
        <v>0</v>
      </c>
      <c r="Z181" s="622">
        <v>0</v>
      </c>
      <c r="AA181" s="622">
        <v>0</v>
      </c>
      <c r="AB181" s="622">
        <v>0</v>
      </c>
      <c r="AC181" s="622">
        <v>0</v>
      </c>
      <c r="AD181" s="624">
        <v>2.7659381590935329E-2</v>
      </c>
      <c r="AE181"/>
      <c r="AF181" s="59"/>
      <c r="AG181" s="60"/>
      <c r="AI181" s="1" t="s">
        <v>618</v>
      </c>
      <c r="AJ181" s="1">
        <v>11</v>
      </c>
      <c r="AK181" s="1" t="s">
        <v>690</v>
      </c>
    </row>
    <row r="182" spans="1:37" ht="13">
      <c r="A182" s="524"/>
      <c r="B182" s="533" t="s">
        <v>662</v>
      </c>
      <c r="C182" s="622">
        <v>138805.59166666667</v>
      </c>
      <c r="D182" s="623">
        <v>8633.2416666666668</v>
      </c>
      <c r="E182" s="623">
        <v>34465.873333333337</v>
      </c>
      <c r="F182" s="623">
        <v>4980.9333333333334</v>
      </c>
      <c r="G182" s="623">
        <v>13203.156666666666</v>
      </c>
      <c r="H182" s="623">
        <v>1527.6666666666667</v>
      </c>
      <c r="I182" s="622">
        <v>201616.46333333332</v>
      </c>
      <c r="J182" s="622"/>
      <c r="K182" s="623">
        <v>60664.966666666667</v>
      </c>
      <c r="L182" s="623">
        <v>23934.799999999996</v>
      </c>
      <c r="M182" s="623">
        <v>14328.066666666668</v>
      </c>
      <c r="N182" s="622">
        <v>98927.833333333328</v>
      </c>
      <c r="O182" s="622">
        <v>97665.2</v>
      </c>
      <c r="P182" s="622">
        <v>97665.2</v>
      </c>
      <c r="Q182" s="622"/>
      <c r="R182" s="623"/>
      <c r="S182" s="622"/>
      <c r="T182" s="622">
        <v>60664.966666666667</v>
      </c>
      <c r="U182" s="622">
        <v>60664.966666666667</v>
      </c>
      <c r="V182" s="622">
        <v>23934.799999999999</v>
      </c>
      <c r="W182" s="622">
        <v>23934.799999999999</v>
      </c>
      <c r="X182" s="622">
        <v>14328.066666666666</v>
      </c>
      <c r="Y182" s="622">
        <v>14328.066666666666</v>
      </c>
      <c r="Z182" s="622"/>
      <c r="AA182" s="622"/>
      <c r="AB182" s="622"/>
      <c r="AC182" s="622"/>
      <c r="AD182" s="624">
        <v>497137.32999999996</v>
      </c>
      <c r="AE182"/>
      <c r="AF182" s="61"/>
      <c r="AI182" s="1">
        <f>+GETPIVOTDATA("Sum of Old Grand Total FTE",$A$2,"State","VA","Category","10b","Category2","10b")</f>
        <v>14328.066666666666</v>
      </c>
      <c r="AJ182" s="1">
        <f>+GETPIVOTDATA("Sum of Old Grand Total FTE",$A$2,"State","VA","Category","11","Category2","11")</f>
        <v>97665.2</v>
      </c>
      <c r="AK182" s="1">
        <f>+AJ182+AI182</f>
        <v>111993.26666666666</v>
      </c>
    </row>
    <row r="183" spans="1:37" ht="13">
      <c r="A183" s="524"/>
      <c r="B183" s="533" t="s">
        <v>664</v>
      </c>
      <c r="C183" s="622">
        <v>140599.49166666667</v>
      </c>
      <c r="D183" s="623">
        <v>8675.5725000000002</v>
      </c>
      <c r="E183" s="623">
        <v>34179.675000000003</v>
      </c>
      <c r="F183" s="623">
        <v>4913.1083333333336</v>
      </c>
      <c r="G183" s="623">
        <v>13072.95</v>
      </c>
      <c r="H183" s="623">
        <v>1527.3666666666666</v>
      </c>
      <c r="I183" s="622">
        <v>202968.16416666671</v>
      </c>
      <c r="J183" s="622"/>
      <c r="K183" s="623">
        <v>57725.333333333336</v>
      </c>
      <c r="L183" s="623">
        <v>23497.866666666669</v>
      </c>
      <c r="M183" s="623">
        <v>13804.266666666666</v>
      </c>
      <c r="N183" s="622">
        <v>95027.466666666674</v>
      </c>
      <c r="O183" s="622">
        <v>93799.2</v>
      </c>
      <c r="P183" s="622">
        <v>93799.2</v>
      </c>
      <c r="Q183" s="622"/>
      <c r="R183" s="623"/>
      <c r="S183" s="622"/>
      <c r="T183" s="622">
        <v>57725.333333333336</v>
      </c>
      <c r="U183" s="622">
        <v>57725.333333333336</v>
      </c>
      <c r="V183" s="622">
        <v>23497.866666666665</v>
      </c>
      <c r="W183" s="622">
        <v>23497.866666666665</v>
      </c>
      <c r="X183" s="622">
        <v>13804.266666666666</v>
      </c>
      <c r="Y183" s="622">
        <v>13804.266666666666</v>
      </c>
      <c r="Z183" s="622"/>
      <c r="AA183" s="622"/>
      <c r="AB183" s="622"/>
      <c r="AC183" s="622"/>
      <c r="AD183" s="624">
        <v>486822.29750000004</v>
      </c>
      <c r="AE183"/>
      <c r="AF183" s="61"/>
      <c r="AI183" s="1">
        <f>+GETPIVOTDATA("Sum of NEW Grand Total FTE",$A$2,"State","VA","Category","10b","Category2","10b")</f>
        <v>13804.266666666666</v>
      </c>
      <c r="AJ183" s="1">
        <f>+GETPIVOTDATA("Sum of NEW Grand Total FTE",$A$2,"State","VA","Category","11","Category2","11")</f>
        <v>93799.2</v>
      </c>
      <c r="AK183" s="1">
        <f>+AJ183+AI183</f>
        <v>107603.46666666666</v>
      </c>
    </row>
    <row r="184" spans="1:37" ht="13">
      <c r="A184" s="524"/>
      <c r="B184" s="533" t="s">
        <v>672</v>
      </c>
      <c r="C184" s="622">
        <v>1.2923830938366934E-2</v>
      </c>
      <c r="D184" s="623">
        <v>4.9032373895861944E-3</v>
      </c>
      <c r="E184" s="623">
        <v>-8.303817824820349E-3</v>
      </c>
      <c r="F184" s="623">
        <v>-1.3616925877345575E-2</v>
      </c>
      <c r="G184" s="623">
        <v>-9.8617830533959516E-3</v>
      </c>
      <c r="H184" s="623">
        <v>-1.9637791839418407E-4</v>
      </c>
      <c r="I184" s="622">
        <v>6.7043177475966508E-3</v>
      </c>
      <c r="J184" s="622">
        <v>0</v>
      </c>
      <c r="K184" s="623">
        <v>-4.8456852362346384E-2</v>
      </c>
      <c r="L184" s="623">
        <v>-1.8255148709549574E-2</v>
      </c>
      <c r="M184" s="623">
        <v>-3.6557618845994649E-2</v>
      </c>
      <c r="N184" s="622">
        <v>-3.942638320526623E-2</v>
      </c>
      <c r="O184" s="622">
        <v>-3.958421218612157E-2</v>
      </c>
      <c r="P184" s="622">
        <v>-3.958421218612157E-2</v>
      </c>
      <c r="Q184" s="622">
        <v>0</v>
      </c>
      <c r="R184" s="623">
        <v>0</v>
      </c>
      <c r="S184" s="622">
        <v>0</v>
      </c>
      <c r="T184" s="622">
        <v>-4.8456852362346384E-2</v>
      </c>
      <c r="U184" s="622">
        <v>-4.8456852362346384E-2</v>
      </c>
      <c r="V184" s="622">
        <v>-1.8255148709549873E-2</v>
      </c>
      <c r="W184" s="622">
        <v>-1.8255148709549873E-2</v>
      </c>
      <c r="X184" s="622">
        <v>-3.6557618845994524E-2</v>
      </c>
      <c r="Y184" s="622">
        <v>-3.6557618845994524E-2</v>
      </c>
      <c r="Z184" s="622">
        <v>0</v>
      </c>
      <c r="AA184" s="622">
        <v>0</v>
      </c>
      <c r="AB184" s="622">
        <v>0</v>
      </c>
      <c r="AC184" s="622">
        <v>0</v>
      </c>
      <c r="AD184" s="624">
        <v>-2.0748859273955842E-2</v>
      </c>
      <c r="AE184"/>
      <c r="AF184" s="62"/>
      <c r="AG184" s="59"/>
    </row>
    <row r="185" spans="1:37">
      <c r="A185" s="534" t="s">
        <v>410</v>
      </c>
      <c r="B185" s="533" t="s">
        <v>646</v>
      </c>
      <c r="C185" s="622">
        <v>20253.849999999999</v>
      </c>
      <c r="D185" s="623"/>
      <c r="E185" s="623">
        <v>8151.9</v>
      </c>
      <c r="F185" s="623"/>
      <c r="G185" s="623">
        <v>9511.1833333333343</v>
      </c>
      <c r="H185" s="623">
        <v>5923.5999999999995</v>
      </c>
      <c r="I185" s="622">
        <v>43840.533333333333</v>
      </c>
      <c r="J185" s="622">
        <v>2882.4</v>
      </c>
      <c r="K185" s="623"/>
      <c r="L185" s="623">
        <v>2178.4899999999998</v>
      </c>
      <c r="M185" s="623">
        <v>7098.4866666666667</v>
      </c>
      <c r="N185" s="622">
        <v>12159.376666666667</v>
      </c>
      <c r="O185" s="622"/>
      <c r="P185" s="622"/>
      <c r="Q185" s="622"/>
      <c r="R185" s="623"/>
      <c r="S185" s="622"/>
      <c r="T185" s="622"/>
      <c r="U185" s="622"/>
      <c r="V185" s="622"/>
      <c r="W185" s="622"/>
      <c r="X185" s="622"/>
      <c r="Y185" s="622"/>
      <c r="Z185" s="622"/>
      <c r="AA185" s="622"/>
      <c r="AB185" s="622"/>
      <c r="AC185" s="622"/>
      <c r="AD185" s="624">
        <v>55999.909999999996</v>
      </c>
      <c r="AE185"/>
    </row>
    <row r="186" spans="1:37">
      <c r="A186" s="524"/>
      <c r="B186" s="533" t="s">
        <v>647</v>
      </c>
      <c r="C186" s="622">
        <v>19871.566666666666</v>
      </c>
      <c r="D186" s="623"/>
      <c r="E186" s="623">
        <v>7865.2</v>
      </c>
      <c r="F186" s="623"/>
      <c r="G186" s="623">
        <v>9110.6333333333332</v>
      </c>
      <c r="H186" s="623">
        <v>5763.3333333333321</v>
      </c>
      <c r="I186" s="622">
        <v>42610.733333333337</v>
      </c>
      <c r="J186" s="622">
        <v>2858.0333333333333</v>
      </c>
      <c r="K186" s="623"/>
      <c r="L186" s="623">
        <v>1695.0799999999997</v>
      </c>
      <c r="M186" s="623">
        <v>6645</v>
      </c>
      <c r="N186" s="622">
        <v>11198.113333333333</v>
      </c>
      <c r="O186" s="622"/>
      <c r="P186" s="622"/>
      <c r="Q186" s="622"/>
      <c r="R186" s="623"/>
      <c r="S186" s="622"/>
      <c r="T186" s="622"/>
      <c r="U186" s="622"/>
      <c r="V186" s="622"/>
      <c r="W186" s="622"/>
      <c r="X186" s="622"/>
      <c r="Y186" s="622"/>
      <c r="Z186" s="622"/>
      <c r="AA186" s="622"/>
      <c r="AB186" s="622"/>
      <c r="AC186" s="622"/>
      <c r="AD186" s="624">
        <v>53808.846666666672</v>
      </c>
      <c r="AE186"/>
    </row>
    <row r="187" spans="1:37">
      <c r="A187" s="524"/>
      <c r="B187" s="533" t="s">
        <v>666</v>
      </c>
      <c r="C187" s="622">
        <v>-1.887460079606262E-2</v>
      </c>
      <c r="D187" s="623">
        <v>0</v>
      </c>
      <c r="E187" s="623">
        <v>-3.5169715035758511E-2</v>
      </c>
      <c r="F187" s="623">
        <v>0</v>
      </c>
      <c r="G187" s="623">
        <v>-4.2113582081444584E-2</v>
      </c>
      <c r="H187" s="623">
        <v>-2.7055619330587369E-2</v>
      </c>
      <c r="I187" s="622">
        <v>-2.8051666038126286E-2</v>
      </c>
      <c r="J187" s="622">
        <v>-8.4536034785827052E-3</v>
      </c>
      <c r="K187" s="623">
        <v>0</v>
      </c>
      <c r="L187" s="623">
        <v>-0.22190140877396736</v>
      </c>
      <c r="M187" s="623">
        <v>-6.3884978300539172E-2</v>
      </c>
      <c r="N187" s="622">
        <v>-7.9055313416559386E-2</v>
      </c>
      <c r="O187" s="622">
        <v>0</v>
      </c>
      <c r="P187" s="622">
        <v>0</v>
      </c>
      <c r="Q187" s="622">
        <v>0</v>
      </c>
      <c r="R187" s="623">
        <v>0</v>
      </c>
      <c r="S187" s="622">
        <v>0</v>
      </c>
      <c r="T187" s="622">
        <v>0</v>
      </c>
      <c r="U187" s="622">
        <v>0</v>
      </c>
      <c r="V187" s="622">
        <v>0</v>
      </c>
      <c r="W187" s="622">
        <v>0</v>
      </c>
      <c r="X187" s="622">
        <v>0</v>
      </c>
      <c r="Y187" s="622">
        <v>0</v>
      </c>
      <c r="Z187" s="622">
        <v>0</v>
      </c>
      <c r="AA187" s="622">
        <v>0</v>
      </c>
      <c r="AB187" s="622">
        <v>0</v>
      </c>
      <c r="AC187" s="622">
        <v>0</v>
      </c>
      <c r="AD187" s="624">
        <v>-3.9126193833763867E-2</v>
      </c>
      <c r="AE187"/>
    </row>
    <row r="188" spans="1:37">
      <c r="A188" s="524"/>
      <c r="B188" s="533" t="s">
        <v>654</v>
      </c>
      <c r="C188" s="622">
        <v>0</v>
      </c>
      <c r="D188" s="623"/>
      <c r="E188" s="623">
        <v>0</v>
      </c>
      <c r="F188" s="623"/>
      <c r="G188" s="623">
        <v>0</v>
      </c>
      <c r="H188" s="623">
        <v>0</v>
      </c>
      <c r="I188" s="622">
        <v>0</v>
      </c>
      <c r="J188" s="622">
        <v>0</v>
      </c>
      <c r="K188" s="623"/>
      <c r="L188" s="623">
        <v>0</v>
      </c>
      <c r="M188" s="623">
        <v>0</v>
      </c>
      <c r="N188" s="622">
        <v>0</v>
      </c>
      <c r="O188" s="622"/>
      <c r="P188" s="622"/>
      <c r="Q188" s="622"/>
      <c r="R188" s="623"/>
      <c r="S188" s="622"/>
      <c r="T188" s="622"/>
      <c r="U188" s="622"/>
      <c r="V188" s="622"/>
      <c r="W188" s="622"/>
      <c r="X188" s="622"/>
      <c r="Y188" s="622"/>
      <c r="Z188" s="622"/>
      <c r="AA188" s="622"/>
      <c r="AB188" s="622"/>
      <c r="AC188" s="622"/>
      <c r="AD188" s="624">
        <v>0</v>
      </c>
      <c r="AE188"/>
    </row>
    <row r="189" spans="1:37">
      <c r="A189" s="524"/>
      <c r="B189" s="533" t="s">
        <v>656</v>
      </c>
      <c r="C189" s="622">
        <v>0</v>
      </c>
      <c r="D189" s="623"/>
      <c r="E189" s="623">
        <v>0</v>
      </c>
      <c r="F189" s="623"/>
      <c r="G189" s="623">
        <v>0</v>
      </c>
      <c r="H189" s="623">
        <v>0</v>
      </c>
      <c r="I189" s="622">
        <v>0</v>
      </c>
      <c r="J189" s="622">
        <v>0</v>
      </c>
      <c r="K189" s="623"/>
      <c r="L189" s="623">
        <v>0</v>
      </c>
      <c r="M189" s="623">
        <v>0</v>
      </c>
      <c r="N189" s="622">
        <v>0</v>
      </c>
      <c r="O189" s="622"/>
      <c r="P189" s="622"/>
      <c r="Q189" s="622"/>
      <c r="R189" s="623"/>
      <c r="S189" s="622"/>
      <c r="T189" s="622"/>
      <c r="U189" s="622"/>
      <c r="V189" s="622"/>
      <c r="W189" s="622"/>
      <c r="X189" s="622"/>
      <c r="Y189" s="622"/>
      <c r="Z189" s="622"/>
      <c r="AA189" s="622"/>
      <c r="AB189" s="622"/>
      <c r="AC189" s="622"/>
      <c r="AD189" s="624">
        <v>0</v>
      </c>
      <c r="AE189"/>
    </row>
    <row r="190" spans="1:37">
      <c r="A190" s="524"/>
      <c r="B190" s="533" t="s">
        <v>668</v>
      </c>
      <c r="C190" s="622">
        <v>0</v>
      </c>
      <c r="D190" s="623">
        <v>0</v>
      </c>
      <c r="E190" s="623">
        <v>0</v>
      </c>
      <c r="F190" s="623">
        <v>0</v>
      </c>
      <c r="G190" s="623">
        <v>0</v>
      </c>
      <c r="H190" s="623">
        <v>0</v>
      </c>
      <c r="I190" s="622">
        <v>0</v>
      </c>
      <c r="J190" s="622">
        <v>0</v>
      </c>
      <c r="K190" s="623">
        <v>0</v>
      </c>
      <c r="L190" s="623">
        <v>0</v>
      </c>
      <c r="M190" s="623">
        <v>0</v>
      </c>
      <c r="N190" s="622">
        <v>0</v>
      </c>
      <c r="O190" s="622">
        <v>0</v>
      </c>
      <c r="P190" s="622">
        <v>0</v>
      </c>
      <c r="Q190" s="622">
        <v>0</v>
      </c>
      <c r="R190" s="623">
        <v>0</v>
      </c>
      <c r="S190" s="622">
        <v>0</v>
      </c>
      <c r="T190" s="622">
        <v>0</v>
      </c>
      <c r="U190" s="622">
        <v>0</v>
      </c>
      <c r="V190" s="622">
        <v>0</v>
      </c>
      <c r="W190" s="622">
        <v>0</v>
      </c>
      <c r="X190" s="622">
        <v>0</v>
      </c>
      <c r="Y190" s="622">
        <v>0</v>
      </c>
      <c r="Z190" s="622">
        <v>0</v>
      </c>
      <c r="AA190" s="622">
        <v>0</v>
      </c>
      <c r="AB190" s="622">
        <v>0</v>
      </c>
      <c r="AC190" s="622">
        <v>0</v>
      </c>
      <c r="AD190" s="624">
        <v>0</v>
      </c>
      <c r="AE190"/>
    </row>
    <row r="191" spans="1:37">
      <c r="A191" s="524"/>
      <c r="B191" s="533" t="s">
        <v>658</v>
      </c>
      <c r="C191" s="622">
        <v>3708.6666666666665</v>
      </c>
      <c r="D191" s="623"/>
      <c r="E191" s="623">
        <v>2768.25</v>
      </c>
      <c r="F191" s="623"/>
      <c r="G191" s="623">
        <v>967.87499999999989</v>
      </c>
      <c r="H191" s="623">
        <v>101.54166666666667</v>
      </c>
      <c r="I191" s="622">
        <v>7546.333333333333</v>
      </c>
      <c r="J191" s="622">
        <v>0</v>
      </c>
      <c r="K191" s="623"/>
      <c r="L191" s="623">
        <v>0</v>
      </c>
      <c r="M191" s="623">
        <v>0</v>
      </c>
      <c r="N191" s="622">
        <v>0</v>
      </c>
      <c r="O191" s="622"/>
      <c r="P191" s="622"/>
      <c r="Q191" s="622"/>
      <c r="R191" s="623"/>
      <c r="S191" s="622"/>
      <c r="T191" s="622"/>
      <c r="U191" s="622"/>
      <c r="V191" s="622"/>
      <c r="W191" s="622"/>
      <c r="X191" s="622"/>
      <c r="Y191" s="622"/>
      <c r="Z191" s="622"/>
      <c r="AA191" s="622"/>
      <c r="AB191" s="622"/>
      <c r="AC191" s="622"/>
      <c r="AD191" s="624">
        <v>7546.333333333333</v>
      </c>
      <c r="AE191"/>
    </row>
    <row r="192" spans="1:37">
      <c r="A192" s="524"/>
      <c r="B192" s="533" t="s">
        <v>660</v>
      </c>
      <c r="C192" s="622">
        <v>3798.2083333333335</v>
      </c>
      <c r="D192" s="623"/>
      <c r="E192" s="623">
        <v>2650.9166666666665</v>
      </c>
      <c r="F192" s="623"/>
      <c r="G192" s="623">
        <v>1224.875</v>
      </c>
      <c r="H192" s="623">
        <v>98.958333333333329</v>
      </c>
      <c r="I192" s="622">
        <v>7772.958333333333</v>
      </c>
      <c r="J192" s="622">
        <v>0</v>
      </c>
      <c r="K192" s="623"/>
      <c r="L192" s="623">
        <v>0</v>
      </c>
      <c r="M192" s="623">
        <v>0</v>
      </c>
      <c r="N192" s="622">
        <v>0</v>
      </c>
      <c r="O192" s="622"/>
      <c r="P192" s="622"/>
      <c r="Q192" s="622"/>
      <c r="R192" s="623"/>
      <c r="S192" s="622"/>
      <c r="T192" s="622"/>
      <c r="U192" s="622"/>
      <c r="V192" s="622"/>
      <c r="W192" s="622"/>
      <c r="X192" s="622"/>
      <c r="Y192" s="622"/>
      <c r="Z192" s="622"/>
      <c r="AA192" s="622"/>
      <c r="AB192" s="622"/>
      <c r="AC192" s="622"/>
      <c r="AD192" s="624">
        <v>7772.958333333333</v>
      </c>
      <c r="AE192"/>
    </row>
    <row r="193" spans="1:33" ht="13">
      <c r="A193" s="524"/>
      <c r="B193" s="533" t="s">
        <v>670</v>
      </c>
      <c r="C193" s="622">
        <v>2.4143897177781856E-2</v>
      </c>
      <c r="D193" s="623">
        <v>0</v>
      </c>
      <c r="E193" s="623">
        <v>-4.2385381859779095E-2</v>
      </c>
      <c r="F193" s="623">
        <v>0</v>
      </c>
      <c r="G193" s="623">
        <v>0.26553015627017967</v>
      </c>
      <c r="H193" s="623">
        <v>-2.5441116126384992E-2</v>
      </c>
      <c r="I193" s="622">
        <v>3.0031140951455454E-2</v>
      </c>
      <c r="J193" s="622">
        <v>0</v>
      </c>
      <c r="K193" s="623">
        <v>0</v>
      </c>
      <c r="L193" s="623">
        <v>0</v>
      </c>
      <c r="M193" s="623">
        <v>0</v>
      </c>
      <c r="N193" s="622">
        <v>0</v>
      </c>
      <c r="O193" s="622">
        <v>0</v>
      </c>
      <c r="P193" s="622">
        <v>0</v>
      </c>
      <c r="Q193" s="622">
        <v>0</v>
      </c>
      <c r="R193" s="623">
        <v>0</v>
      </c>
      <c r="S193" s="622">
        <v>0</v>
      </c>
      <c r="T193" s="622">
        <v>0</v>
      </c>
      <c r="U193" s="622">
        <v>0</v>
      </c>
      <c r="V193" s="622">
        <v>0</v>
      </c>
      <c r="W193" s="622">
        <v>0</v>
      </c>
      <c r="X193" s="622">
        <v>0</v>
      </c>
      <c r="Y193" s="622">
        <v>0</v>
      </c>
      <c r="Z193" s="622">
        <v>0</v>
      </c>
      <c r="AA193" s="622">
        <v>0</v>
      </c>
      <c r="AB193" s="622">
        <v>0</v>
      </c>
      <c r="AC193" s="622">
        <v>0</v>
      </c>
      <c r="AD193" s="624">
        <v>3.0031140951455454E-2</v>
      </c>
      <c r="AE193"/>
      <c r="AF193" s="59"/>
      <c r="AG193" s="60"/>
    </row>
    <row r="194" spans="1:33" ht="13">
      <c r="A194" s="524"/>
      <c r="B194" s="533" t="s">
        <v>662</v>
      </c>
      <c r="C194" s="622">
        <v>23962.516666666666</v>
      </c>
      <c r="D194" s="623"/>
      <c r="E194" s="623">
        <v>10920.15</v>
      </c>
      <c r="F194" s="623"/>
      <c r="G194" s="623">
        <v>10479.058333333334</v>
      </c>
      <c r="H194" s="623">
        <v>6025.1416666666664</v>
      </c>
      <c r="I194" s="622">
        <v>51386.866666666669</v>
      </c>
      <c r="J194" s="622">
        <v>2882.4</v>
      </c>
      <c r="K194" s="623"/>
      <c r="L194" s="623">
        <v>2178.4899999999998</v>
      </c>
      <c r="M194" s="623">
        <v>7098.4866666666667</v>
      </c>
      <c r="N194" s="622">
        <v>12159.376666666667</v>
      </c>
      <c r="O194" s="622"/>
      <c r="P194" s="622"/>
      <c r="Q194" s="622"/>
      <c r="R194" s="623"/>
      <c r="S194" s="622"/>
      <c r="T194" s="622"/>
      <c r="U194" s="622"/>
      <c r="V194" s="622"/>
      <c r="W194" s="622"/>
      <c r="X194" s="622"/>
      <c r="Y194" s="622"/>
      <c r="Z194" s="622"/>
      <c r="AA194" s="622"/>
      <c r="AB194" s="622"/>
      <c r="AC194" s="622"/>
      <c r="AD194" s="624">
        <v>63546.243333333332</v>
      </c>
      <c r="AE194"/>
      <c r="AF194" s="61"/>
    </row>
    <row r="195" spans="1:33" ht="13">
      <c r="A195" s="524"/>
      <c r="B195" s="533" t="s">
        <v>664</v>
      </c>
      <c r="C195" s="622">
        <v>23669.774999999998</v>
      </c>
      <c r="D195" s="623"/>
      <c r="E195" s="623">
        <v>10516.116666666667</v>
      </c>
      <c r="F195" s="623"/>
      <c r="G195" s="623">
        <v>10335.508333333333</v>
      </c>
      <c r="H195" s="623">
        <v>5862.2916666666661</v>
      </c>
      <c r="I195" s="622">
        <v>50383.691666666658</v>
      </c>
      <c r="J195" s="622">
        <v>2858.0333333333333</v>
      </c>
      <c r="K195" s="623"/>
      <c r="L195" s="623">
        <v>1695.0799999999997</v>
      </c>
      <c r="M195" s="623">
        <v>6645</v>
      </c>
      <c r="N195" s="622">
        <v>11198.113333333333</v>
      </c>
      <c r="O195" s="622"/>
      <c r="P195" s="622"/>
      <c r="Q195" s="622"/>
      <c r="R195" s="623"/>
      <c r="S195" s="622"/>
      <c r="T195" s="622"/>
      <c r="U195" s="622"/>
      <c r="V195" s="622"/>
      <c r="W195" s="622"/>
      <c r="X195" s="622"/>
      <c r="Y195" s="622"/>
      <c r="Z195" s="622"/>
      <c r="AA195" s="622"/>
      <c r="AB195" s="622"/>
      <c r="AC195" s="622"/>
      <c r="AD195" s="624">
        <v>61581.804999999993</v>
      </c>
      <c r="AE195"/>
      <c r="AF195" s="61"/>
    </row>
    <row r="196" spans="1:33" ht="13">
      <c r="A196" s="524"/>
      <c r="B196" s="533" t="s">
        <v>672</v>
      </c>
      <c r="C196" s="622">
        <v>-1.2216649475465583E-2</v>
      </c>
      <c r="D196" s="623">
        <v>0</v>
      </c>
      <c r="E196" s="623">
        <v>-3.6998881272998344E-2</v>
      </c>
      <c r="F196" s="623">
        <v>0</v>
      </c>
      <c r="G196" s="623">
        <v>-1.3698749967196583E-2</v>
      </c>
      <c r="H196" s="623">
        <v>-2.7028410120370674E-2</v>
      </c>
      <c r="I196" s="622">
        <v>-1.9522011460775378E-2</v>
      </c>
      <c r="J196" s="622">
        <v>-8.4536034785827052E-3</v>
      </c>
      <c r="K196" s="623">
        <v>0</v>
      </c>
      <c r="L196" s="623">
        <v>-0.22190140877396736</v>
      </c>
      <c r="M196" s="623">
        <v>-6.3884978300539172E-2</v>
      </c>
      <c r="N196" s="622">
        <v>-7.9055313416559386E-2</v>
      </c>
      <c r="O196" s="622">
        <v>0</v>
      </c>
      <c r="P196" s="622">
        <v>0</v>
      </c>
      <c r="Q196" s="622">
        <v>0</v>
      </c>
      <c r="R196" s="623">
        <v>0</v>
      </c>
      <c r="S196" s="622">
        <v>0</v>
      </c>
      <c r="T196" s="622">
        <v>0</v>
      </c>
      <c r="U196" s="622">
        <v>0</v>
      </c>
      <c r="V196" s="622">
        <v>0</v>
      </c>
      <c r="W196" s="622">
        <v>0</v>
      </c>
      <c r="X196" s="622">
        <v>0</v>
      </c>
      <c r="Y196" s="622">
        <v>0</v>
      </c>
      <c r="Z196" s="622">
        <v>0</v>
      </c>
      <c r="AA196" s="622">
        <v>0</v>
      </c>
      <c r="AB196" s="622">
        <v>0</v>
      </c>
      <c r="AC196" s="622">
        <v>0</v>
      </c>
      <c r="AD196" s="624">
        <v>-3.0913524235080529E-2</v>
      </c>
      <c r="AE196"/>
      <c r="AF196" s="62"/>
      <c r="AG196" s="59"/>
    </row>
    <row r="197" spans="1:33">
      <c r="A197" s="531" t="s">
        <v>651</v>
      </c>
      <c r="B197" s="521"/>
      <c r="C197" s="619">
        <v>837069.73333333328</v>
      </c>
      <c r="D197" s="620">
        <v>199807.55100000004</v>
      </c>
      <c r="E197" s="620">
        <v>498104.50666666665</v>
      </c>
      <c r="F197" s="620">
        <v>152026.70666666667</v>
      </c>
      <c r="G197" s="620">
        <v>56728.123333333322</v>
      </c>
      <c r="H197" s="620">
        <v>61999.583333333336</v>
      </c>
      <c r="I197" s="619">
        <v>1805736.2043333335</v>
      </c>
      <c r="J197" s="619">
        <v>312901.13333333336</v>
      </c>
      <c r="K197" s="620">
        <v>669577.72333333327</v>
      </c>
      <c r="L197" s="620">
        <v>303092.46666666667</v>
      </c>
      <c r="M197" s="620">
        <v>123580.36666666667</v>
      </c>
      <c r="N197" s="619">
        <v>1409151.69</v>
      </c>
      <c r="O197" s="619">
        <v>173001.2</v>
      </c>
      <c r="P197" s="619">
        <v>173001.2</v>
      </c>
      <c r="Q197" s="619">
        <v>82480.38</v>
      </c>
      <c r="R197" s="620">
        <v>2324.4333333333334</v>
      </c>
      <c r="S197" s="619">
        <v>84804.813333333339</v>
      </c>
      <c r="T197" s="619">
        <v>125710.73333333334</v>
      </c>
      <c r="U197" s="619">
        <v>125710.73333333334</v>
      </c>
      <c r="V197" s="619">
        <v>30637.933333333334</v>
      </c>
      <c r="W197" s="619">
        <v>30637.933333333334</v>
      </c>
      <c r="X197" s="619">
        <v>17915.166666666664</v>
      </c>
      <c r="Y197" s="619">
        <v>17915.166666666664</v>
      </c>
      <c r="Z197" s="619">
        <v>0</v>
      </c>
      <c r="AA197" s="619">
        <v>0</v>
      </c>
      <c r="AB197" s="619">
        <v>1343.0333333333333</v>
      </c>
      <c r="AC197" s="619">
        <v>1343.0333333333333</v>
      </c>
      <c r="AD197" s="621">
        <v>3648300.7743333336</v>
      </c>
      <c r="AE197"/>
    </row>
    <row r="198" spans="1:33">
      <c r="A198" s="531" t="s">
        <v>652</v>
      </c>
      <c r="B198" s="521"/>
      <c r="C198" s="619">
        <v>852160.1</v>
      </c>
      <c r="D198" s="620">
        <v>198012.24233333333</v>
      </c>
      <c r="E198" s="620">
        <v>500635.95</v>
      </c>
      <c r="F198" s="620">
        <v>151810.20000000001</v>
      </c>
      <c r="G198" s="620">
        <v>55961.5</v>
      </c>
      <c r="H198" s="620">
        <v>60939.183333333334</v>
      </c>
      <c r="I198" s="619">
        <v>1819519.1756666666</v>
      </c>
      <c r="J198" s="619">
        <v>299893.63333333336</v>
      </c>
      <c r="K198" s="620">
        <v>634589.45000000007</v>
      </c>
      <c r="L198" s="620">
        <v>292519.89000000007</v>
      </c>
      <c r="M198" s="620">
        <v>131849.55833333335</v>
      </c>
      <c r="N198" s="619">
        <v>1358852.5316666667</v>
      </c>
      <c r="O198" s="619">
        <v>163691.73333333334</v>
      </c>
      <c r="P198" s="619">
        <v>163691.73333333334</v>
      </c>
      <c r="Q198" s="619">
        <v>79029.083333333343</v>
      </c>
      <c r="R198" s="620">
        <v>2000.0333333333333</v>
      </c>
      <c r="S198" s="619">
        <v>81029.116666666683</v>
      </c>
      <c r="T198" s="619">
        <v>118982.53333333333</v>
      </c>
      <c r="U198" s="619">
        <v>118982.53333333333</v>
      </c>
      <c r="V198" s="619">
        <v>28685.166666666664</v>
      </c>
      <c r="W198" s="619">
        <v>28685.166666666664</v>
      </c>
      <c r="X198" s="619">
        <v>17252.3</v>
      </c>
      <c r="Y198" s="619">
        <v>17252.3</v>
      </c>
      <c r="Z198" s="619">
        <v>0</v>
      </c>
      <c r="AA198" s="619">
        <v>0</v>
      </c>
      <c r="AB198" s="619">
        <v>1314.2</v>
      </c>
      <c r="AC198" s="619">
        <v>1314.2</v>
      </c>
      <c r="AD198" s="621">
        <v>3589326.7573333336</v>
      </c>
      <c r="AE198"/>
    </row>
    <row r="199" spans="1:33">
      <c r="A199" s="531" t="s">
        <v>667</v>
      </c>
      <c r="B199" s="521"/>
      <c r="C199" s="619">
        <v>1.802760996574853E-2</v>
      </c>
      <c r="D199" s="620">
        <v>-8.9851892867986692E-3</v>
      </c>
      <c r="E199" s="620">
        <v>5.0821530410833067E-3</v>
      </c>
      <c r="F199" s="620">
        <v>-1.4241357417640738E-3</v>
      </c>
      <c r="G199" s="620">
        <v>-1.351399073839735E-2</v>
      </c>
      <c r="H199" s="620">
        <v>-1.7103340748257628E-2</v>
      </c>
      <c r="I199" s="619">
        <v>7.6328819792488151E-3</v>
      </c>
      <c r="J199" s="619">
        <v>-4.1570638819460791E-2</v>
      </c>
      <c r="K199" s="620">
        <v>-5.2254237430648713E-2</v>
      </c>
      <c r="L199" s="620">
        <v>-3.4882347235288332E-2</v>
      </c>
      <c r="M199" s="620">
        <v>6.6913474119810162E-2</v>
      </c>
      <c r="N199" s="619">
        <v>-3.569463719930227E-2</v>
      </c>
      <c r="O199" s="619">
        <v>-5.3811572790631937E-2</v>
      </c>
      <c r="P199" s="619">
        <v>-5.3811572790631937E-2</v>
      </c>
      <c r="Q199" s="619">
        <v>-4.1843850218278286E-2</v>
      </c>
      <c r="R199" s="620">
        <v>-0.13956089656260312</v>
      </c>
      <c r="S199" s="619">
        <v>-4.4522197718022481E-2</v>
      </c>
      <c r="T199" s="619">
        <v>-5.352128510904143E-2</v>
      </c>
      <c r="U199" s="619">
        <v>-5.352128510904143E-2</v>
      </c>
      <c r="V199" s="619">
        <v>-6.3736892610250145E-2</v>
      </c>
      <c r="W199" s="619">
        <v>-6.3736892610250145E-2</v>
      </c>
      <c r="X199" s="619">
        <v>-3.7000307002446629E-2</v>
      </c>
      <c r="Y199" s="619">
        <v>-3.7000307002446629E-2</v>
      </c>
      <c r="Z199" s="619">
        <v>0</v>
      </c>
      <c r="AA199" s="619">
        <v>0</v>
      </c>
      <c r="AB199" s="619">
        <v>-2.1468814375418772E-2</v>
      </c>
      <c r="AC199" s="619">
        <v>-2.1468814375418772E-2</v>
      </c>
      <c r="AD199" s="621">
        <v>-1.6164790308654194E-2</v>
      </c>
      <c r="AE199"/>
    </row>
    <row r="200" spans="1:33">
      <c r="A200" s="531" t="s">
        <v>655</v>
      </c>
      <c r="B200" s="521"/>
      <c r="C200" s="619">
        <v>0</v>
      </c>
      <c r="D200" s="620">
        <v>0</v>
      </c>
      <c r="E200" s="620">
        <v>0</v>
      </c>
      <c r="F200" s="620">
        <v>0</v>
      </c>
      <c r="G200" s="620">
        <v>0</v>
      </c>
      <c r="H200" s="620">
        <v>0</v>
      </c>
      <c r="I200" s="619">
        <v>0</v>
      </c>
      <c r="J200" s="619">
        <v>15670.405555555559</v>
      </c>
      <c r="K200" s="620">
        <v>24714.812222222226</v>
      </c>
      <c r="L200" s="620">
        <v>16372.973333333333</v>
      </c>
      <c r="M200" s="620">
        <v>8439.5766666666659</v>
      </c>
      <c r="N200" s="619">
        <v>65197.767777777779</v>
      </c>
      <c r="O200" s="619">
        <v>2960.6711111111108</v>
      </c>
      <c r="P200" s="619">
        <v>2960.6711111111108</v>
      </c>
      <c r="Q200" s="619">
        <v>3714.7210444444445</v>
      </c>
      <c r="R200" s="620">
        <v>28194.010188888889</v>
      </c>
      <c r="S200" s="619">
        <v>31908.731233333336</v>
      </c>
      <c r="T200" s="619">
        <v>2178.67</v>
      </c>
      <c r="U200" s="619">
        <v>2178.67</v>
      </c>
      <c r="V200" s="619">
        <v>753.24111111111119</v>
      </c>
      <c r="W200" s="619">
        <v>753.24111111111119</v>
      </c>
      <c r="X200" s="619">
        <v>28.76</v>
      </c>
      <c r="Y200" s="619">
        <v>28.76</v>
      </c>
      <c r="Z200" s="619">
        <v>0</v>
      </c>
      <c r="AA200" s="619">
        <v>0</v>
      </c>
      <c r="AB200" s="619">
        <v>0</v>
      </c>
      <c r="AC200" s="619">
        <v>0</v>
      </c>
      <c r="AD200" s="621">
        <v>103027.84123333334</v>
      </c>
      <c r="AE200"/>
    </row>
    <row r="201" spans="1:33">
      <c r="A201" s="531" t="s">
        <v>657</v>
      </c>
      <c r="B201" s="521"/>
      <c r="C201" s="619">
        <v>0</v>
      </c>
      <c r="D201" s="620">
        <v>0</v>
      </c>
      <c r="E201" s="620">
        <v>0</v>
      </c>
      <c r="F201" s="620">
        <v>0</v>
      </c>
      <c r="G201" s="620">
        <v>0</v>
      </c>
      <c r="H201" s="620">
        <v>0</v>
      </c>
      <c r="I201" s="619">
        <v>0</v>
      </c>
      <c r="J201" s="619">
        <v>12981.579999999998</v>
      </c>
      <c r="K201" s="620">
        <v>17597.378888888888</v>
      </c>
      <c r="L201" s="620">
        <v>11965.980000000003</v>
      </c>
      <c r="M201" s="620">
        <v>6055.9600000000009</v>
      </c>
      <c r="N201" s="619">
        <v>48600.8988888889</v>
      </c>
      <c r="O201" s="619">
        <v>1720.6677777777779</v>
      </c>
      <c r="P201" s="619">
        <v>1720.6677777777779</v>
      </c>
      <c r="Q201" s="619">
        <v>4216.6121111111115</v>
      </c>
      <c r="R201" s="620">
        <v>30744.747888888887</v>
      </c>
      <c r="S201" s="619">
        <v>34961.359999999993</v>
      </c>
      <c r="T201" s="619">
        <v>1236.9911111111112</v>
      </c>
      <c r="U201" s="619">
        <v>1236.9911111111112</v>
      </c>
      <c r="V201" s="619">
        <v>466.16555555555556</v>
      </c>
      <c r="W201" s="619">
        <v>466.16555555555556</v>
      </c>
      <c r="X201" s="619">
        <v>17.511111111111113</v>
      </c>
      <c r="Y201" s="619">
        <v>17.511111111111113</v>
      </c>
      <c r="Z201" s="619">
        <v>0</v>
      </c>
      <c r="AA201" s="619">
        <v>0</v>
      </c>
      <c r="AB201" s="619">
        <v>0</v>
      </c>
      <c r="AC201" s="619">
        <v>0</v>
      </c>
      <c r="AD201" s="621">
        <v>87003.594444444447</v>
      </c>
      <c r="AE201"/>
    </row>
    <row r="202" spans="1:33">
      <c r="A202" s="531" t="s">
        <v>669</v>
      </c>
      <c r="B202" s="521"/>
      <c r="C202" s="619">
        <v>0</v>
      </c>
      <c r="D202" s="620">
        <v>0</v>
      </c>
      <c r="E202" s="620">
        <v>0</v>
      </c>
      <c r="F202" s="620">
        <v>0</v>
      </c>
      <c r="G202" s="620">
        <v>0</v>
      </c>
      <c r="H202" s="620">
        <v>0</v>
      </c>
      <c r="I202" s="619">
        <v>0</v>
      </c>
      <c r="J202" s="628">
        <v>-0.17158621364475801</v>
      </c>
      <c r="K202" s="620">
        <v>-0.28798249686613914</v>
      </c>
      <c r="L202" s="620">
        <v>-0.26916267702954383</v>
      </c>
      <c r="M202" s="620">
        <v>-0.28243320261324306</v>
      </c>
      <c r="N202" s="619">
        <v>-0.25456191913591603</v>
      </c>
      <c r="O202" s="628">
        <v>-0.4188250862041788</v>
      </c>
      <c r="P202" s="619">
        <v>-0.4188250862041788</v>
      </c>
      <c r="Q202" s="619">
        <v>0.13510868263372583</v>
      </c>
      <c r="R202" s="620">
        <v>9.0470907930834593E-2</v>
      </c>
      <c r="S202" s="619">
        <v>9.5667506938594535E-2</v>
      </c>
      <c r="T202" s="619">
        <v>-0.43222649088154186</v>
      </c>
      <c r="U202" s="619">
        <v>-0.43222649088154186</v>
      </c>
      <c r="V202" s="619">
        <v>-0.38112040264516167</v>
      </c>
      <c r="W202" s="619">
        <v>-0.38112040264516167</v>
      </c>
      <c r="X202" s="619">
        <v>-0.39112965538556632</v>
      </c>
      <c r="Y202" s="619">
        <v>-0.39112965538556632</v>
      </c>
      <c r="Z202" s="619">
        <v>0</v>
      </c>
      <c r="AA202" s="619">
        <v>0</v>
      </c>
      <c r="AB202" s="619">
        <v>0</v>
      </c>
      <c r="AC202" s="619">
        <v>0</v>
      </c>
      <c r="AD202" s="621">
        <v>-0.15553317042330186</v>
      </c>
      <c r="AE202"/>
    </row>
    <row r="203" spans="1:33">
      <c r="A203" s="531" t="s">
        <v>659</v>
      </c>
      <c r="B203" s="521"/>
      <c r="C203" s="619">
        <v>193383.40416666667</v>
      </c>
      <c r="D203" s="620">
        <v>47048.062499999993</v>
      </c>
      <c r="E203" s="620">
        <v>80039.920833333323</v>
      </c>
      <c r="F203" s="620">
        <v>25097.291666666672</v>
      </c>
      <c r="G203" s="620">
        <v>5573.2083333333339</v>
      </c>
      <c r="H203" s="620">
        <v>953.91666666666663</v>
      </c>
      <c r="I203" s="619">
        <v>352095.80416666664</v>
      </c>
      <c r="J203" s="619">
        <v>0</v>
      </c>
      <c r="K203" s="620">
        <v>0</v>
      </c>
      <c r="L203" s="620">
        <v>0</v>
      </c>
      <c r="M203" s="620">
        <v>0</v>
      </c>
      <c r="N203" s="619">
        <v>0</v>
      </c>
      <c r="O203" s="619">
        <v>0</v>
      </c>
      <c r="P203" s="619">
        <v>0</v>
      </c>
      <c r="Q203" s="619">
        <v>0</v>
      </c>
      <c r="R203" s="620">
        <v>0</v>
      </c>
      <c r="S203" s="619">
        <v>0</v>
      </c>
      <c r="T203" s="619">
        <v>0</v>
      </c>
      <c r="U203" s="619">
        <v>0</v>
      </c>
      <c r="V203" s="619">
        <v>0</v>
      </c>
      <c r="W203" s="619">
        <v>0</v>
      </c>
      <c r="X203" s="619">
        <v>0</v>
      </c>
      <c r="Y203" s="619">
        <v>0</v>
      </c>
      <c r="Z203" s="619">
        <v>0</v>
      </c>
      <c r="AA203" s="619">
        <v>0</v>
      </c>
      <c r="AB203" s="619">
        <v>900.41666666666663</v>
      </c>
      <c r="AC203" s="619">
        <v>900.41666666666663</v>
      </c>
      <c r="AD203" s="621">
        <v>352996.22083333333</v>
      </c>
      <c r="AE203"/>
    </row>
    <row r="204" spans="1:33">
      <c r="A204" s="531" t="s">
        <v>661</v>
      </c>
      <c r="B204" s="521"/>
      <c r="C204" s="619">
        <v>196454.73541666669</v>
      </c>
      <c r="D204" s="620">
        <v>49203.125</v>
      </c>
      <c r="E204" s="620">
        <v>86061.770833333343</v>
      </c>
      <c r="F204" s="620">
        <v>27578.0625</v>
      </c>
      <c r="G204" s="620">
        <v>6126.6083333333336</v>
      </c>
      <c r="H204" s="620">
        <v>1178.3333333333333</v>
      </c>
      <c r="I204" s="619">
        <v>366602.63541666663</v>
      </c>
      <c r="J204" s="619">
        <v>0</v>
      </c>
      <c r="K204" s="620">
        <v>0</v>
      </c>
      <c r="L204" s="620">
        <v>0</v>
      </c>
      <c r="M204" s="620">
        <v>0</v>
      </c>
      <c r="N204" s="619">
        <v>0</v>
      </c>
      <c r="O204" s="619">
        <v>0</v>
      </c>
      <c r="P204" s="619">
        <v>0</v>
      </c>
      <c r="Q204" s="619">
        <v>0</v>
      </c>
      <c r="R204" s="620">
        <v>0</v>
      </c>
      <c r="S204" s="619">
        <v>0</v>
      </c>
      <c r="T204" s="619">
        <v>0</v>
      </c>
      <c r="U204" s="619">
        <v>0</v>
      </c>
      <c r="V204" s="619">
        <v>0</v>
      </c>
      <c r="W204" s="619">
        <v>0</v>
      </c>
      <c r="X204" s="619">
        <v>0</v>
      </c>
      <c r="Y204" s="619">
        <v>0</v>
      </c>
      <c r="Z204" s="619">
        <v>0</v>
      </c>
      <c r="AA204" s="619">
        <v>0</v>
      </c>
      <c r="AB204" s="619">
        <v>1037.1666666666665</v>
      </c>
      <c r="AC204" s="619">
        <v>1037.1666666666665</v>
      </c>
      <c r="AD204" s="621">
        <v>367639.80208333331</v>
      </c>
      <c r="AE204"/>
    </row>
    <row r="205" spans="1:33" ht="13">
      <c r="A205" s="531" t="s">
        <v>671</v>
      </c>
      <c r="B205" s="521"/>
      <c r="C205" s="619">
        <v>1.5882082866599059E-2</v>
      </c>
      <c r="D205" s="620">
        <v>4.5805552566590815E-2</v>
      </c>
      <c r="E205" s="620">
        <v>7.5235581661047227E-2</v>
      </c>
      <c r="F205" s="620">
        <v>9.884615703885706E-2</v>
      </c>
      <c r="G205" s="620">
        <v>9.929648541758572E-2</v>
      </c>
      <c r="H205" s="620">
        <v>0.23525814623918914</v>
      </c>
      <c r="I205" s="619">
        <v>4.120137496194954E-2</v>
      </c>
      <c r="J205" s="619">
        <v>0</v>
      </c>
      <c r="K205" s="620">
        <v>0</v>
      </c>
      <c r="L205" s="620">
        <v>0</v>
      </c>
      <c r="M205" s="620">
        <v>0</v>
      </c>
      <c r="N205" s="619">
        <v>0</v>
      </c>
      <c r="O205" s="619">
        <v>0</v>
      </c>
      <c r="P205" s="619">
        <v>0</v>
      </c>
      <c r="Q205" s="619">
        <v>0</v>
      </c>
      <c r="R205" s="620">
        <v>0</v>
      </c>
      <c r="S205" s="619">
        <v>0</v>
      </c>
      <c r="T205" s="619">
        <v>0</v>
      </c>
      <c r="U205" s="619">
        <v>0</v>
      </c>
      <c r="V205" s="619">
        <v>0</v>
      </c>
      <c r="W205" s="619">
        <v>0</v>
      </c>
      <c r="X205" s="619">
        <v>0</v>
      </c>
      <c r="Y205" s="619">
        <v>0</v>
      </c>
      <c r="Z205" s="619">
        <v>0</v>
      </c>
      <c r="AA205" s="619">
        <v>0</v>
      </c>
      <c r="AB205" s="619">
        <v>0.15187413234613592</v>
      </c>
      <c r="AC205" s="619">
        <v>0.15187413234613592</v>
      </c>
      <c r="AD205" s="621">
        <v>4.1483677121047523E-2</v>
      </c>
      <c r="AE205"/>
      <c r="AF205" s="59"/>
      <c r="AG205" s="60"/>
    </row>
    <row r="206" spans="1:33" ht="13">
      <c r="A206" s="531" t="s">
        <v>663</v>
      </c>
      <c r="B206" s="521"/>
      <c r="C206" s="619">
        <v>1030453.1375000001</v>
      </c>
      <c r="D206" s="620">
        <v>246855.61350000004</v>
      </c>
      <c r="E206" s="620">
        <v>578144.42749999999</v>
      </c>
      <c r="F206" s="620">
        <v>177123.99833333329</v>
      </c>
      <c r="G206" s="620">
        <v>62301.331666666665</v>
      </c>
      <c r="H206" s="620">
        <v>62953.5</v>
      </c>
      <c r="I206" s="619">
        <v>2157832.0085</v>
      </c>
      <c r="J206" s="619">
        <v>328571.53888888896</v>
      </c>
      <c r="K206" s="620">
        <v>694292.5355555556</v>
      </c>
      <c r="L206" s="620">
        <v>319465.44</v>
      </c>
      <c r="M206" s="620">
        <v>132019.94333333333</v>
      </c>
      <c r="N206" s="619">
        <v>1474349.4577777779</v>
      </c>
      <c r="O206" s="619">
        <v>175961.87111111113</v>
      </c>
      <c r="P206" s="619">
        <v>175961.87111111113</v>
      </c>
      <c r="Q206" s="619">
        <v>86195.101044444455</v>
      </c>
      <c r="R206" s="620">
        <v>30518.443522222224</v>
      </c>
      <c r="S206" s="619">
        <v>116713.54456666668</v>
      </c>
      <c r="T206" s="619">
        <v>127889.40333333332</v>
      </c>
      <c r="U206" s="619">
        <v>127889.40333333332</v>
      </c>
      <c r="V206" s="619">
        <v>31391.174444444445</v>
      </c>
      <c r="W206" s="619">
        <v>31391.174444444445</v>
      </c>
      <c r="X206" s="619">
        <v>17943.926666666666</v>
      </c>
      <c r="Y206" s="619">
        <v>17943.926666666666</v>
      </c>
      <c r="Z206" s="619">
        <v>0</v>
      </c>
      <c r="AA206" s="619">
        <v>0</v>
      </c>
      <c r="AB206" s="619">
        <v>2243.4499999999998</v>
      </c>
      <c r="AC206" s="619">
        <v>2243.4499999999998</v>
      </c>
      <c r="AD206" s="621">
        <v>4104324.8364000004</v>
      </c>
      <c r="AE206"/>
      <c r="AF206" s="61"/>
    </row>
    <row r="207" spans="1:33" ht="13">
      <c r="A207" s="531" t="s">
        <v>665</v>
      </c>
      <c r="B207" s="521"/>
      <c r="C207" s="619">
        <v>1048614.8354166667</v>
      </c>
      <c r="D207" s="620">
        <v>247215.36733333336</v>
      </c>
      <c r="E207" s="620">
        <v>586697.72083333344</v>
      </c>
      <c r="F207" s="620">
        <v>179388.26250000001</v>
      </c>
      <c r="G207" s="620">
        <v>62088.108333333323</v>
      </c>
      <c r="H207" s="620">
        <v>62117.516666666656</v>
      </c>
      <c r="I207" s="619">
        <v>2186121.8110833336</v>
      </c>
      <c r="J207" s="619">
        <v>312875.21333333326</v>
      </c>
      <c r="K207" s="620">
        <v>652186.82888888905</v>
      </c>
      <c r="L207" s="620">
        <v>304485.87000000005</v>
      </c>
      <c r="M207" s="620">
        <v>137905.51833333334</v>
      </c>
      <c r="N207" s="619">
        <v>1407453.4305555555</v>
      </c>
      <c r="O207" s="619">
        <v>165412.4011111111</v>
      </c>
      <c r="P207" s="619">
        <v>165412.4011111111</v>
      </c>
      <c r="Q207" s="619">
        <v>83245.695444444456</v>
      </c>
      <c r="R207" s="620">
        <v>32744.78122222222</v>
      </c>
      <c r="S207" s="619">
        <v>115990.47666666668</v>
      </c>
      <c r="T207" s="619">
        <v>120219.52444444445</v>
      </c>
      <c r="U207" s="619">
        <v>120219.52444444445</v>
      </c>
      <c r="V207" s="619">
        <v>29151.33222222222</v>
      </c>
      <c r="W207" s="619">
        <v>29151.33222222222</v>
      </c>
      <c r="X207" s="619">
        <v>17269.81111111111</v>
      </c>
      <c r="Y207" s="619">
        <v>17269.81111111111</v>
      </c>
      <c r="Z207" s="619">
        <v>0</v>
      </c>
      <c r="AA207" s="619">
        <v>0</v>
      </c>
      <c r="AB207" s="619">
        <v>2351.3666666666668</v>
      </c>
      <c r="AC207" s="619">
        <v>2351.3666666666668</v>
      </c>
      <c r="AD207" s="621">
        <v>4043970.153861111</v>
      </c>
      <c r="AE207"/>
      <c r="AF207" s="61"/>
    </row>
    <row r="208" spans="1:33" ht="13">
      <c r="A208" s="535" t="s">
        <v>673</v>
      </c>
      <c r="B208" s="529"/>
      <c r="C208" s="625">
        <v>1.7624962509919469E-2</v>
      </c>
      <c r="D208" s="626">
        <v>1.457345159109985E-3</v>
      </c>
      <c r="E208" s="626">
        <v>1.4794388610332724E-2</v>
      </c>
      <c r="F208" s="626">
        <v>1.2783497368919291E-2</v>
      </c>
      <c r="G208" s="626">
        <v>-3.4224522595143326E-3</v>
      </c>
      <c r="H208" s="626">
        <v>-1.3279378165365504E-2</v>
      </c>
      <c r="I208" s="625">
        <v>1.3110289620274475E-2</v>
      </c>
      <c r="J208" s="625">
        <v>-4.7771409564671567E-2</v>
      </c>
      <c r="K208" s="626">
        <v>-6.0645483726790489E-2</v>
      </c>
      <c r="L208" s="626">
        <v>-4.6889485134917738E-2</v>
      </c>
      <c r="M208" s="626">
        <v>4.4580953842251872E-2</v>
      </c>
      <c r="N208" s="625">
        <v>-4.5373250466040849E-2</v>
      </c>
      <c r="O208" s="625">
        <v>-5.9953158791648489E-2</v>
      </c>
      <c r="P208" s="625">
        <v>-5.9953158791648489E-2</v>
      </c>
      <c r="Q208" s="625">
        <v>-3.421778690739289E-2</v>
      </c>
      <c r="R208" s="626">
        <v>7.2950565069901482E-2</v>
      </c>
      <c r="S208" s="625">
        <v>-6.1952355460079336E-3</v>
      </c>
      <c r="T208" s="625">
        <v>-5.9972747459755921E-2</v>
      </c>
      <c r="U208" s="625">
        <v>-5.9972747459755921E-2</v>
      </c>
      <c r="V208" s="625">
        <v>-7.1352609829436586E-2</v>
      </c>
      <c r="W208" s="625">
        <v>-7.1352609829436586E-2</v>
      </c>
      <c r="X208" s="625">
        <v>-3.7567895147934328E-2</v>
      </c>
      <c r="Y208" s="625">
        <v>-3.7567895147934328E-2</v>
      </c>
      <c r="Z208" s="625">
        <v>0</v>
      </c>
      <c r="AA208" s="625">
        <v>0</v>
      </c>
      <c r="AB208" s="625">
        <v>4.8102996129473344E-2</v>
      </c>
      <c r="AC208" s="625">
        <v>4.8102996129473344E-2</v>
      </c>
      <c r="AD208" s="627">
        <v>-1.470514273227626E-2</v>
      </c>
      <c r="AE208"/>
      <c r="AF208" s="62"/>
      <c r="AG208" s="59"/>
    </row>
    <row r="209" spans="3:27">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339933"/>
  </sheetPr>
  <dimension ref="A1:AC141"/>
  <sheetViews>
    <sheetView zoomScale="80" zoomScaleNormal="80" workbookViewId="0">
      <pane xSplit="2" ySplit="5" topLeftCell="C6" activePane="bottomRight" state="frozen"/>
      <selection pane="topRight" activeCell="C1" sqref="C1"/>
      <selection pane="bottomLeft" activeCell="A6" sqref="A6"/>
      <selection pane="bottomRight" activeCell="AA124" sqref="A6:AA124"/>
    </sheetView>
  </sheetViews>
  <sheetFormatPr defaultColWidth="9.33203125" defaultRowHeight="12.5"/>
  <cols>
    <col min="1" max="1" width="5" style="1" customWidth="1"/>
    <col min="2" max="2" width="31" style="1" bestFit="1" customWidth="1"/>
    <col min="3" max="8" width="14.88671875" style="1" bestFit="1" customWidth="1"/>
    <col min="9" max="9" width="16.6640625" style="1" bestFit="1" customWidth="1"/>
    <col min="10" max="13" width="12.77734375" style="1" bestFit="1" customWidth="1"/>
    <col min="14" max="14" width="16.44140625" style="1" bestFit="1" customWidth="1"/>
    <col min="15" max="16" width="11.109375" style="1" bestFit="1" customWidth="1"/>
    <col min="17" max="18" width="12.21875" style="1" bestFit="1" customWidth="1"/>
    <col min="19" max="19" width="15.77734375" style="1" bestFit="1" customWidth="1"/>
    <col min="20" max="20" width="8" style="1" bestFit="1" customWidth="1"/>
    <col min="21" max="21" width="9" style="1" bestFit="1" customWidth="1"/>
    <col min="22" max="23" width="11.109375" style="1" bestFit="1" customWidth="1"/>
    <col min="24" max="24" width="9.33203125" style="1" bestFit="1" customWidth="1"/>
    <col min="25" max="25" width="10.21875" style="1" bestFit="1" customWidth="1"/>
    <col min="26" max="26" width="9.33203125" style="1" bestFit="1" customWidth="1"/>
    <col min="27" max="27" width="10.21875" style="1" bestFit="1" customWidth="1"/>
    <col min="28" max="28" width="9.6640625" style="1" bestFit="1" customWidth="1"/>
    <col min="29" max="29" width="13.33203125" style="1" bestFit="1" customWidth="1"/>
    <col min="30" max="16384" width="9.33203125" style="1"/>
  </cols>
  <sheetData>
    <row r="1" spans="1:29" ht="13">
      <c r="E1" s="73" t="s">
        <v>771</v>
      </c>
      <c r="L1" s="74"/>
    </row>
    <row r="3" spans="1:29">
      <c r="A3" s="655"/>
      <c r="B3" s="656"/>
      <c r="C3" s="655" t="s">
        <v>772</v>
      </c>
      <c r="D3" s="656" t="s">
        <v>21</v>
      </c>
      <c r="E3" s="656"/>
      <c r="F3" s="656"/>
      <c r="G3" s="656"/>
      <c r="H3" s="656"/>
      <c r="I3" s="656"/>
      <c r="J3" s="656"/>
      <c r="K3" s="656"/>
      <c r="L3" s="656"/>
      <c r="M3" s="656"/>
      <c r="N3" s="656"/>
      <c r="O3" s="656"/>
      <c r="P3" s="656"/>
      <c r="Q3" s="656"/>
      <c r="R3" s="656"/>
      <c r="S3" s="656"/>
      <c r="T3" s="656"/>
      <c r="U3" s="656"/>
      <c r="V3" s="656"/>
      <c r="W3" s="656"/>
      <c r="X3" s="656"/>
      <c r="Y3" s="656"/>
      <c r="Z3" s="656"/>
      <c r="AA3" s="656"/>
      <c r="AB3" s="656"/>
      <c r="AC3" s="657"/>
    </row>
    <row r="4" spans="1:29">
      <c r="A4" s="658"/>
      <c r="B4" s="661"/>
      <c r="C4" s="655" t="s">
        <v>675</v>
      </c>
      <c r="D4" s="656"/>
      <c r="E4" s="656"/>
      <c r="F4" s="656"/>
      <c r="G4" s="656"/>
      <c r="H4" s="656"/>
      <c r="I4" s="655" t="s">
        <v>674</v>
      </c>
      <c r="J4" s="655" t="s">
        <v>676</v>
      </c>
      <c r="K4" s="656"/>
      <c r="L4" s="656"/>
      <c r="M4" s="656"/>
      <c r="N4" s="655" t="s">
        <v>677</v>
      </c>
      <c r="O4" s="655">
        <v>11</v>
      </c>
      <c r="P4" s="655" t="s">
        <v>773</v>
      </c>
      <c r="Q4" s="655" t="s">
        <v>678</v>
      </c>
      <c r="R4" s="656"/>
      <c r="S4" s="655" t="s">
        <v>679</v>
      </c>
      <c r="T4" s="85">
        <v>15</v>
      </c>
      <c r="U4" s="85" t="s">
        <v>829</v>
      </c>
      <c r="V4" s="85" t="s">
        <v>616</v>
      </c>
      <c r="W4" s="85" t="s">
        <v>648</v>
      </c>
      <c r="X4" s="85" t="s">
        <v>617</v>
      </c>
      <c r="Y4" s="85" t="s">
        <v>649</v>
      </c>
      <c r="Z4" s="85" t="s">
        <v>618</v>
      </c>
      <c r="AA4" s="85" t="s">
        <v>650</v>
      </c>
      <c r="AB4" s="85" t="s">
        <v>937</v>
      </c>
      <c r="AC4" s="86" t="s">
        <v>938</v>
      </c>
    </row>
    <row r="5" spans="1:29">
      <c r="A5" s="655" t="s">
        <v>17</v>
      </c>
      <c r="B5" s="655" t="s">
        <v>774</v>
      </c>
      <c r="C5" s="655">
        <v>1</v>
      </c>
      <c r="D5" s="659">
        <v>2</v>
      </c>
      <c r="E5" s="659">
        <v>3</v>
      </c>
      <c r="F5" s="659">
        <v>4</v>
      </c>
      <c r="G5" s="659">
        <v>5</v>
      </c>
      <c r="H5" s="659">
        <v>6</v>
      </c>
      <c r="I5" s="658"/>
      <c r="J5" s="655">
        <v>7</v>
      </c>
      <c r="K5" s="659">
        <v>8</v>
      </c>
      <c r="L5" s="659">
        <v>9</v>
      </c>
      <c r="M5" s="659">
        <v>10</v>
      </c>
      <c r="N5" s="658"/>
      <c r="O5" s="655">
        <v>11</v>
      </c>
      <c r="P5" s="658"/>
      <c r="Q5" s="655">
        <v>12</v>
      </c>
      <c r="R5" s="659">
        <v>13</v>
      </c>
      <c r="S5" s="658"/>
      <c r="T5" s="85">
        <v>15</v>
      </c>
      <c r="U5" s="506"/>
      <c r="V5" s="85" t="s">
        <v>616</v>
      </c>
      <c r="W5" s="506"/>
      <c r="X5" s="85" t="s">
        <v>617</v>
      </c>
      <c r="Y5" s="506"/>
      <c r="Z5" s="85" t="s">
        <v>618</v>
      </c>
      <c r="AA5" s="506"/>
      <c r="AB5" s="85" t="s">
        <v>937</v>
      </c>
      <c r="AC5" s="90"/>
    </row>
    <row r="6" spans="1:29">
      <c r="A6" s="655" t="s">
        <v>72</v>
      </c>
      <c r="B6" s="655" t="s">
        <v>775</v>
      </c>
      <c r="C6" s="632">
        <v>1973441</v>
      </c>
      <c r="D6" s="633">
        <v>464800</v>
      </c>
      <c r="E6" s="633">
        <v>931211</v>
      </c>
      <c r="F6" s="633">
        <v>175734</v>
      </c>
      <c r="G6" s="633">
        <v>61935</v>
      </c>
      <c r="H6" s="633">
        <v>64093</v>
      </c>
      <c r="I6" s="640">
        <v>3671214</v>
      </c>
      <c r="J6" s="632">
        <v>0</v>
      </c>
      <c r="K6" s="633">
        <v>530031</v>
      </c>
      <c r="L6" s="633">
        <v>833992</v>
      </c>
      <c r="M6" s="633">
        <v>312314</v>
      </c>
      <c r="N6" s="640">
        <v>1676337</v>
      </c>
      <c r="O6" s="632">
        <v>0</v>
      </c>
      <c r="P6" s="640">
        <v>0</v>
      </c>
      <c r="Q6" s="632">
        <v>44337</v>
      </c>
      <c r="R6" s="646">
        <v>45115</v>
      </c>
      <c r="S6" s="640">
        <v>89452</v>
      </c>
      <c r="T6" s="632">
        <v>0</v>
      </c>
      <c r="U6" s="632">
        <v>0</v>
      </c>
      <c r="V6" s="632">
        <v>0</v>
      </c>
      <c r="W6" s="632">
        <v>0</v>
      </c>
      <c r="X6" s="632">
        <v>0</v>
      </c>
      <c r="Y6" s="632">
        <v>0</v>
      </c>
      <c r="Z6" s="632">
        <v>0</v>
      </c>
      <c r="AA6" s="632">
        <v>0</v>
      </c>
      <c r="AB6" s="632">
        <v>0</v>
      </c>
      <c r="AC6" s="634">
        <v>0</v>
      </c>
    </row>
    <row r="7" spans="1:29">
      <c r="A7" s="658"/>
      <c r="B7" s="665" t="s">
        <v>776</v>
      </c>
      <c r="C7" s="635">
        <v>11342</v>
      </c>
      <c r="D7" s="636">
        <v>2065</v>
      </c>
      <c r="E7" s="636">
        <v>9563</v>
      </c>
      <c r="F7" s="636">
        <v>264</v>
      </c>
      <c r="G7" s="636">
        <v>207</v>
      </c>
      <c r="H7" s="636">
        <v>0</v>
      </c>
      <c r="I7" s="641">
        <v>23441</v>
      </c>
      <c r="J7" s="635">
        <v>0</v>
      </c>
      <c r="K7" s="636">
        <v>45216</v>
      </c>
      <c r="L7" s="636">
        <v>51581</v>
      </c>
      <c r="M7" s="636">
        <v>36063</v>
      </c>
      <c r="N7" s="641">
        <v>132860</v>
      </c>
      <c r="O7" s="635">
        <v>0</v>
      </c>
      <c r="P7" s="641">
        <v>0</v>
      </c>
      <c r="Q7" s="635">
        <v>1993</v>
      </c>
      <c r="R7" s="647">
        <v>2287</v>
      </c>
      <c r="S7" s="641">
        <v>4280</v>
      </c>
      <c r="T7" s="635">
        <v>0</v>
      </c>
      <c r="U7" s="635">
        <v>0</v>
      </c>
      <c r="V7" s="635">
        <v>0</v>
      </c>
      <c r="W7" s="635">
        <v>0</v>
      </c>
      <c r="X7" s="635">
        <v>0</v>
      </c>
      <c r="Y7" s="635">
        <v>0</v>
      </c>
      <c r="Z7" s="635">
        <v>0</v>
      </c>
      <c r="AA7" s="635">
        <v>0</v>
      </c>
      <c r="AB7" s="635">
        <v>0</v>
      </c>
      <c r="AC7" s="637">
        <v>0</v>
      </c>
    </row>
    <row r="8" spans="1:29">
      <c r="A8" s="658"/>
      <c r="B8" s="665" t="s">
        <v>777</v>
      </c>
      <c r="C8" s="635">
        <v>5.7473215566110156E-3</v>
      </c>
      <c r="D8" s="636">
        <v>4.4427710843373495E-3</v>
      </c>
      <c r="E8" s="636">
        <v>1.0269423363770402E-2</v>
      </c>
      <c r="F8" s="636">
        <v>1.5022704769708764E-3</v>
      </c>
      <c r="G8" s="636">
        <v>3.3422136110438363E-3</v>
      </c>
      <c r="H8" s="636">
        <v>0</v>
      </c>
      <c r="I8" s="641">
        <v>6.3850813382167314E-3</v>
      </c>
      <c r="J8" s="635">
        <v>0</v>
      </c>
      <c r="K8" s="636">
        <v>8.5308217821221777E-2</v>
      </c>
      <c r="L8" s="636">
        <v>6.1848315091751482E-2</v>
      </c>
      <c r="M8" s="636">
        <v>0.1154703279391894</v>
      </c>
      <c r="N8" s="641">
        <v>7.9256140024350719E-2</v>
      </c>
      <c r="O8" s="635">
        <v>0</v>
      </c>
      <c r="P8" s="641">
        <v>0</v>
      </c>
      <c r="Q8" s="635">
        <v>4.4951169452150573E-2</v>
      </c>
      <c r="R8" s="647">
        <v>5.0692674276848058E-2</v>
      </c>
      <c r="S8" s="641">
        <v>4.784688995215311E-2</v>
      </c>
      <c r="T8" s="635">
        <v>0</v>
      </c>
      <c r="U8" s="635">
        <v>0</v>
      </c>
      <c r="V8" s="635">
        <v>0</v>
      </c>
      <c r="W8" s="635">
        <v>0</v>
      </c>
      <c r="X8" s="635">
        <v>0</v>
      </c>
      <c r="Y8" s="635">
        <v>0</v>
      </c>
      <c r="Z8" s="635">
        <v>0</v>
      </c>
      <c r="AA8" s="635">
        <v>0</v>
      </c>
      <c r="AB8" s="635">
        <v>0</v>
      </c>
      <c r="AC8" s="637">
        <v>0</v>
      </c>
    </row>
    <row r="9" spans="1:29">
      <c r="A9" s="658"/>
      <c r="B9" s="665" t="s">
        <v>778</v>
      </c>
      <c r="C9" s="635">
        <v>1949406</v>
      </c>
      <c r="D9" s="636">
        <v>451735</v>
      </c>
      <c r="E9" s="636">
        <v>945030</v>
      </c>
      <c r="F9" s="636">
        <v>173450</v>
      </c>
      <c r="G9" s="636">
        <v>62258</v>
      </c>
      <c r="H9" s="636">
        <v>65049</v>
      </c>
      <c r="I9" s="641">
        <v>3646928</v>
      </c>
      <c r="J9" s="635">
        <v>0</v>
      </c>
      <c r="K9" s="636">
        <v>493936</v>
      </c>
      <c r="L9" s="636">
        <v>755028</v>
      </c>
      <c r="M9" s="636">
        <v>290143</v>
      </c>
      <c r="N9" s="641">
        <v>1539107</v>
      </c>
      <c r="O9" s="635">
        <v>0</v>
      </c>
      <c r="P9" s="641">
        <v>0</v>
      </c>
      <c r="Q9" s="635">
        <v>40736</v>
      </c>
      <c r="R9" s="647">
        <v>37178</v>
      </c>
      <c r="S9" s="641">
        <v>77914</v>
      </c>
      <c r="T9" s="635">
        <v>12708</v>
      </c>
      <c r="U9" s="635">
        <v>12708</v>
      </c>
      <c r="V9" s="635">
        <v>0</v>
      </c>
      <c r="W9" s="635">
        <v>0</v>
      </c>
      <c r="X9" s="635">
        <v>0</v>
      </c>
      <c r="Y9" s="635">
        <v>0</v>
      </c>
      <c r="Z9" s="635">
        <v>0</v>
      </c>
      <c r="AA9" s="635">
        <v>0</v>
      </c>
      <c r="AB9" s="635">
        <v>0</v>
      </c>
      <c r="AC9" s="637">
        <v>0</v>
      </c>
    </row>
    <row r="10" spans="1:29">
      <c r="A10" s="658"/>
      <c r="B10" s="665" t="s">
        <v>779</v>
      </c>
      <c r="C10" s="635">
        <v>13960</v>
      </c>
      <c r="D10" s="636">
        <v>1772</v>
      </c>
      <c r="E10" s="636">
        <v>12592</v>
      </c>
      <c r="F10" s="636">
        <v>252</v>
      </c>
      <c r="G10" s="636">
        <v>227</v>
      </c>
      <c r="H10" s="636">
        <v>0</v>
      </c>
      <c r="I10" s="641">
        <v>28803</v>
      </c>
      <c r="J10" s="635">
        <v>0</v>
      </c>
      <c r="K10" s="636">
        <v>46119</v>
      </c>
      <c r="L10" s="636">
        <v>51290</v>
      </c>
      <c r="M10" s="636">
        <v>37313</v>
      </c>
      <c r="N10" s="641">
        <v>134722</v>
      </c>
      <c r="O10" s="635">
        <v>0</v>
      </c>
      <c r="P10" s="641">
        <v>0</v>
      </c>
      <c r="Q10" s="635">
        <v>1729</v>
      </c>
      <c r="R10" s="647">
        <v>2343</v>
      </c>
      <c r="S10" s="641">
        <v>4072</v>
      </c>
      <c r="T10" s="635">
        <v>36</v>
      </c>
      <c r="U10" s="635">
        <v>36</v>
      </c>
      <c r="V10" s="635">
        <v>0</v>
      </c>
      <c r="W10" s="635">
        <v>0</v>
      </c>
      <c r="X10" s="635">
        <v>0</v>
      </c>
      <c r="Y10" s="635">
        <v>0</v>
      </c>
      <c r="Z10" s="635">
        <v>0</v>
      </c>
      <c r="AA10" s="635">
        <v>0</v>
      </c>
      <c r="AB10" s="635">
        <v>0</v>
      </c>
      <c r="AC10" s="637">
        <v>0</v>
      </c>
    </row>
    <row r="11" spans="1:29">
      <c r="A11" s="658"/>
      <c r="B11" s="665" t="s">
        <v>780</v>
      </c>
      <c r="C11" s="635">
        <v>7.1611557571896259E-3</v>
      </c>
      <c r="D11" s="636">
        <v>3.922653768249084E-3</v>
      </c>
      <c r="E11" s="636">
        <v>1.3324444726622435E-2</v>
      </c>
      <c r="F11" s="636">
        <v>1.452868261746901E-3</v>
      </c>
      <c r="G11" s="636">
        <v>3.6461177679976871E-3</v>
      </c>
      <c r="H11" s="636">
        <v>0</v>
      </c>
      <c r="I11" s="641">
        <v>7.8978800787950845E-3</v>
      </c>
      <c r="J11" s="635">
        <v>0</v>
      </c>
      <c r="K11" s="636">
        <v>9.3370396164685301E-2</v>
      </c>
      <c r="L11" s="636">
        <v>6.7931255529596252E-2</v>
      </c>
      <c r="M11" s="636">
        <v>0.12860210310088474</v>
      </c>
      <c r="N11" s="641">
        <v>8.7532575707861771E-2</v>
      </c>
      <c r="O11" s="635">
        <v>0</v>
      </c>
      <c r="P11" s="641">
        <v>0</v>
      </c>
      <c r="Q11" s="635">
        <v>4.2444029850746266E-2</v>
      </c>
      <c r="R11" s="647">
        <v>6.3021141535316585E-2</v>
      </c>
      <c r="S11" s="641">
        <v>5.2262751238545062E-2</v>
      </c>
      <c r="T11" s="635">
        <v>2.8328611898016999E-3</v>
      </c>
      <c r="U11" s="635">
        <v>2.8328611898016999E-3</v>
      </c>
      <c r="V11" s="635">
        <v>0</v>
      </c>
      <c r="W11" s="635">
        <v>0</v>
      </c>
      <c r="X11" s="635">
        <v>0</v>
      </c>
      <c r="Y11" s="635">
        <v>0</v>
      </c>
      <c r="Z11" s="635">
        <v>0</v>
      </c>
      <c r="AA11" s="635">
        <v>0</v>
      </c>
      <c r="AB11" s="635">
        <v>0</v>
      </c>
      <c r="AC11" s="637">
        <v>0</v>
      </c>
    </row>
    <row r="12" spans="1:29">
      <c r="A12" s="658"/>
      <c r="B12" s="665" t="s">
        <v>781</v>
      </c>
      <c r="C12" s="635">
        <v>1.4138342005786102E-3</v>
      </c>
      <c r="D12" s="636">
        <v>-5.2011731608826543E-4</v>
      </c>
      <c r="E12" s="636">
        <v>3.0550213628520329E-3</v>
      </c>
      <c r="F12" s="647">
        <v>-4.94022152239754E-5</v>
      </c>
      <c r="G12" s="647">
        <v>3.0390415695385076E-4</v>
      </c>
      <c r="H12" s="636">
        <v>0</v>
      </c>
      <c r="I12" s="641">
        <v>1.5127987405783531E-3</v>
      </c>
      <c r="J12" s="635">
        <v>0</v>
      </c>
      <c r="K12" s="636">
        <v>8.0621783434635247E-3</v>
      </c>
      <c r="L12" s="636">
        <v>6.0829404378447693E-3</v>
      </c>
      <c r="M12" s="636">
        <v>1.3131775161695336E-2</v>
      </c>
      <c r="N12" s="641">
        <v>8.276435683511052E-3</v>
      </c>
      <c r="O12" s="635">
        <v>0</v>
      </c>
      <c r="P12" s="641">
        <v>0</v>
      </c>
      <c r="Q12" s="635">
        <v>-2.5071396014043068E-3</v>
      </c>
      <c r="R12" s="650">
        <v>1.2328467258468527E-2</v>
      </c>
      <c r="S12" s="641">
        <v>4.4158612863919519E-3</v>
      </c>
      <c r="T12" s="635">
        <v>2.8328611898016999E-3</v>
      </c>
      <c r="U12" s="635">
        <v>2.8328611898016999E-3</v>
      </c>
      <c r="V12" s="635">
        <v>0</v>
      </c>
      <c r="W12" s="635">
        <v>0</v>
      </c>
      <c r="X12" s="635">
        <v>0</v>
      </c>
      <c r="Y12" s="635">
        <v>0</v>
      </c>
      <c r="Z12" s="635">
        <v>0</v>
      </c>
      <c r="AA12" s="635">
        <v>0</v>
      </c>
      <c r="AB12" s="635">
        <v>0</v>
      </c>
      <c r="AC12" s="637">
        <v>0</v>
      </c>
    </row>
    <row r="13" spans="1:29">
      <c r="A13" s="655" t="s">
        <v>102</v>
      </c>
      <c r="B13" s="655" t="s">
        <v>775</v>
      </c>
      <c r="C13" s="632">
        <v>663774</v>
      </c>
      <c r="D13" s="633">
        <v>175222</v>
      </c>
      <c r="E13" s="633">
        <v>745856</v>
      </c>
      <c r="F13" s="633">
        <v>256554</v>
      </c>
      <c r="G13" s="633">
        <v>0</v>
      </c>
      <c r="H13" s="633">
        <v>220599</v>
      </c>
      <c r="I13" s="640">
        <v>2062005</v>
      </c>
      <c r="J13" s="632">
        <v>0</v>
      </c>
      <c r="K13" s="633">
        <v>150746</v>
      </c>
      <c r="L13" s="633">
        <v>188653</v>
      </c>
      <c r="M13" s="633">
        <v>589214</v>
      </c>
      <c r="N13" s="640">
        <v>928613</v>
      </c>
      <c r="O13" s="632">
        <v>0</v>
      </c>
      <c r="P13" s="640">
        <v>0</v>
      </c>
      <c r="Q13" s="632">
        <v>0</v>
      </c>
      <c r="R13" s="646">
        <v>0</v>
      </c>
      <c r="S13" s="640">
        <v>0</v>
      </c>
      <c r="T13" s="632">
        <v>0</v>
      </c>
      <c r="U13" s="632">
        <v>0</v>
      </c>
      <c r="V13" s="632">
        <v>0</v>
      </c>
      <c r="W13" s="632">
        <v>0</v>
      </c>
      <c r="X13" s="632">
        <v>0</v>
      </c>
      <c r="Y13" s="632">
        <v>0</v>
      </c>
      <c r="Z13" s="632">
        <v>0</v>
      </c>
      <c r="AA13" s="632">
        <v>0</v>
      </c>
      <c r="AB13" s="632">
        <v>0</v>
      </c>
      <c r="AC13" s="634">
        <v>0</v>
      </c>
    </row>
    <row r="14" spans="1:29">
      <c r="A14" s="658"/>
      <c r="B14" s="665" t="s">
        <v>776</v>
      </c>
      <c r="C14" s="635">
        <v>1941</v>
      </c>
      <c r="D14" s="636">
        <v>12084</v>
      </c>
      <c r="E14" s="636">
        <v>36519</v>
      </c>
      <c r="F14" s="636">
        <v>10890</v>
      </c>
      <c r="G14" s="636">
        <v>0</v>
      </c>
      <c r="H14" s="636">
        <v>16239</v>
      </c>
      <c r="I14" s="641">
        <v>77673</v>
      </c>
      <c r="J14" s="635">
        <v>0</v>
      </c>
      <c r="K14" s="636">
        <v>24056</v>
      </c>
      <c r="L14" s="636">
        <v>16163</v>
      </c>
      <c r="M14" s="636">
        <v>92565</v>
      </c>
      <c r="N14" s="641">
        <v>132784</v>
      </c>
      <c r="O14" s="635">
        <v>0</v>
      </c>
      <c r="P14" s="641">
        <v>0</v>
      </c>
      <c r="Q14" s="635">
        <v>0</v>
      </c>
      <c r="R14" s="647">
        <v>0</v>
      </c>
      <c r="S14" s="641">
        <v>0</v>
      </c>
      <c r="T14" s="635">
        <v>0</v>
      </c>
      <c r="U14" s="635">
        <v>0</v>
      </c>
      <c r="V14" s="635">
        <v>0</v>
      </c>
      <c r="W14" s="635">
        <v>0</v>
      </c>
      <c r="X14" s="635">
        <v>0</v>
      </c>
      <c r="Y14" s="635">
        <v>0</v>
      </c>
      <c r="Z14" s="635">
        <v>0</v>
      </c>
      <c r="AA14" s="635">
        <v>0</v>
      </c>
      <c r="AB14" s="635">
        <v>0</v>
      </c>
      <c r="AC14" s="637">
        <v>0</v>
      </c>
    </row>
    <row r="15" spans="1:29">
      <c r="A15" s="658"/>
      <c r="B15" s="665" t="s">
        <v>777</v>
      </c>
      <c r="C15" s="635">
        <v>2.9241880519574434E-3</v>
      </c>
      <c r="D15" s="650">
        <v>6.8963942883884438E-2</v>
      </c>
      <c r="E15" s="636">
        <v>4.8962534322979236E-2</v>
      </c>
      <c r="F15" s="636">
        <v>4.2447204097383007E-2</v>
      </c>
      <c r="G15" s="650">
        <v>0</v>
      </c>
      <c r="H15" s="650">
        <v>7.3613207675465434E-2</v>
      </c>
      <c r="I15" s="641">
        <v>3.766867684607942E-2</v>
      </c>
      <c r="J15" s="635">
        <v>0</v>
      </c>
      <c r="K15" s="636">
        <v>0.15957969034004219</v>
      </c>
      <c r="L15" s="650">
        <v>8.5675817506215113E-2</v>
      </c>
      <c r="M15" s="650">
        <v>0.15709911848666189</v>
      </c>
      <c r="N15" s="651">
        <v>0.14299175221540081</v>
      </c>
      <c r="O15" s="635">
        <v>0</v>
      </c>
      <c r="P15" s="641">
        <v>0</v>
      </c>
      <c r="Q15" s="635">
        <v>0</v>
      </c>
      <c r="R15" s="647">
        <v>0</v>
      </c>
      <c r="S15" s="641">
        <v>0</v>
      </c>
      <c r="T15" s="635">
        <v>0</v>
      </c>
      <c r="U15" s="635">
        <v>0</v>
      </c>
      <c r="V15" s="635">
        <v>0</v>
      </c>
      <c r="W15" s="635">
        <v>0</v>
      </c>
      <c r="X15" s="635">
        <v>0</v>
      </c>
      <c r="Y15" s="635">
        <v>0</v>
      </c>
      <c r="Z15" s="635">
        <v>0</v>
      </c>
      <c r="AA15" s="635">
        <v>0</v>
      </c>
      <c r="AB15" s="635">
        <v>0</v>
      </c>
      <c r="AC15" s="637">
        <v>0</v>
      </c>
    </row>
    <row r="16" spans="1:29">
      <c r="A16" s="658"/>
      <c r="B16" s="665" t="s">
        <v>778</v>
      </c>
      <c r="C16" s="635">
        <v>654179</v>
      </c>
      <c r="D16" s="636">
        <v>165654</v>
      </c>
      <c r="E16" s="636">
        <v>719462</v>
      </c>
      <c r="F16" s="636">
        <v>243561</v>
      </c>
      <c r="G16" s="636">
        <v>0</v>
      </c>
      <c r="H16" s="636">
        <v>211095</v>
      </c>
      <c r="I16" s="641">
        <v>1993951</v>
      </c>
      <c r="J16" s="635">
        <v>0</v>
      </c>
      <c r="K16" s="636">
        <v>140961</v>
      </c>
      <c r="L16" s="636">
        <v>181816</v>
      </c>
      <c r="M16" s="636">
        <v>554708</v>
      </c>
      <c r="N16" s="641">
        <v>877485</v>
      </c>
      <c r="O16" s="635">
        <v>0</v>
      </c>
      <c r="P16" s="641">
        <v>0</v>
      </c>
      <c r="Q16" s="635">
        <v>0</v>
      </c>
      <c r="R16" s="647">
        <v>0</v>
      </c>
      <c r="S16" s="641">
        <v>0</v>
      </c>
      <c r="T16" s="635">
        <v>0</v>
      </c>
      <c r="U16" s="635">
        <v>0</v>
      </c>
      <c r="V16" s="635">
        <v>0</v>
      </c>
      <c r="W16" s="635">
        <v>0</v>
      </c>
      <c r="X16" s="635">
        <v>0</v>
      </c>
      <c r="Y16" s="635">
        <v>0</v>
      </c>
      <c r="Z16" s="635">
        <v>0</v>
      </c>
      <c r="AA16" s="635">
        <v>0</v>
      </c>
      <c r="AB16" s="635">
        <v>0</v>
      </c>
      <c r="AC16" s="637">
        <v>0</v>
      </c>
    </row>
    <row r="17" spans="1:29">
      <c r="A17" s="658"/>
      <c r="B17" s="665" t="s">
        <v>779</v>
      </c>
      <c r="C17" s="635">
        <v>719</v>
      </c>
      <c r="D17" s="636">
        <v>10489</v>
      </c>
      <c r="E17" s="636">
        <v>34385</v>
      </c>
      <c r="F17" s="636">
        <v>8031</v>
      </c>
      <c r="G17" s="636">
        <v>0</v>
      </c>
      <c r="H17" s="636">
        <v>16075</v>
      </c>
      <c r="I17" s="641">
        <v>69699</v>
      </c>
      <c r="J17" s="635">
        <v>0</v>
      </c>
      <c r="K17" s="636">
        <v>23845</v>
      </c>
      <c r="L17" s="636">
        <v>13026</v>
      </c>
      <c r="M17" s="636">
        <v>86808</v>
      </c>
      <c r="N17" s="641">
        <v>123679</v>
      </c>
      <c r="O17" s="635">
        <v>0</v>
      </c>
      <c r="P17" s="641">
        <v>0</v>
      </c>
      <c r="Q17" s="635">
        <v>0</v>
      </c>
      <c r="R17" s="647">
        <v>0</v>
      </c>
      <c r="S17" s="641">
        <v>0</v>
      </c>
      <c r="T17" s="635">
        <v>0</v>
      </c>
      <c r="U17" s="635">
        <v>0</v>
      </c>
      <c r="V17" s="635">
        <v>0</v>
      </c>
      <c r="W17" s="635">
        <v>0</v>
      </c>
      <c r="X17" s="635">
        <v>0</v>
      </c>
      <c r="Y17" s="635">
        <v>0</v>
      </c>
      <c r="Z17" s="635">
        <v>0</v>
      </c>
      <c r="AA17" s="635">
        <v>0</v>
      </c>
      <c r="AB17" s="635">
        <v>0</v>
      </c>
      <c r="AC17" s="637">
        <v>0</v>
      </c>
    </row>
    <row r="18" spans="1:29">
      <c r="A18" s="658"/>
      <c r="B18" s="665" t="s">
        <v>780</v>
      </c>
      <c r="C18" s="510">
        <v>1.0990875586039906E-3</v>
      </c>
      <c r="D18" s="650">
        <v>6.3318724570490301E-2</v>
      </c>
      <c r="E18" s="636">
        <v>4.7792656179200567E-2</v>
      </c>
      <c r="F18" s="636">
        <v>3.2973259265645975E-2</v>
      </c>
      <c r="G18" s="650">
        <v>0</v>
      </c>
      <c r="H18" s="650">
        <v>7.6150548331320025E-2</v>
      </c>
      <c r="I18" s="641">
        <v>3.495522206914814E-2</v>
      </c>
      <c r="J18" s="635">
        <v>0</v>
      </c>
      <c r="K18" s="636">
        <v>0.16916026418654806</v>
      </c>
      <c r="L18" s="650">
        <v>7.1643859726316719E-2</v>
      </c>
      <c r="M18" s="650">
        <v>0.15649314594345132</v>
      </c>
      <c r="N18" s="641">
        <v>0.14094713869752759</v>
      </c>
      <c r="O18" s="635">
        <v>0</v>
      </c>
      <c r="P18" s="641">
        <v>0</v>
      </c>
      <c r="Q18" s="635">
        <v>0</v>
      </c>
      <c r="R18" s="647">
        <v>0</v>
      </c>
      <c r="S18" s="641">
        <v>0</v>
      </c>
      <c r="T18" s="635">
        <v>0</v>
      </c>
      <c r="U18" s="635">
        <v>0</v>
      </c>
      <c r="V18" s="635">
        <v>0</v>
      </c>
      <c r="W18" s="635">
        <v>0</v>
      </c>
      <c r="X18" s="635">
        <v>0</v>
      </c>
      <c r="Y18" s="635">
        <v>0</v>
      </c>
      <c r="Z18" s="635">
        <v>0</v>
      </c>
      <c r="AA18" s="635">
        <v>0</v>
      </c>
      <c r="AB18" s="635">
        <v>0</v>
      </c>
      <c r="AC18" s="637">
        <v>0</v>
      </c>
    </row>
    <row r="19" spans="1:29">
      <c r="A19" s="658"/>
      <c r="B19" s="665" t="s">
        <v>781</v>
      </c>
      <c r="C19" s="635">
        <v>-1.8251004933534528E-3</v>
      </c>
      <c r="D19" s="650">
        <v>-5.6452183133941375E-3</v>
      </c>
      <c r="E19" s="636">
        <v>-1.1698781437786687E-3</v>
      </c>
      <c r="F19" s="636">
        <v>-9.4739448317370314E-3</v>
      </c>
      <c r="G19" s="650">
        <v>0</v>
      </c>
      <c r="H19" s="650">
        <v>2.5373406558545919E-3</v>
      </c>
      <c r="I19" s="641">
        <v>-2.7134547769312803E-3</v>
      </c>
      <c r="J19" s="635">
        <v>0</v>
      </c>
      <c r="K19" s="650">
        <v>9.5805738465058743E-3</v>
      </c>
      <c r="L19" s="650">
        <v>-1.4031957779898394E-2</v>
      </c>
      <c r="M19" s="650">
        <v>-6.0597254321057004E-4</v>
      </c>
      <c r="N19" s="641">
        <v>-2.0446135178732172E-3</v>
      </c>
      <c r="O19" s="635">
        <v>0</v>
      </c>
      <c r="P19" s="641">
        <v>0</v>
      </c>
      <c r="Q19" s="635">
        <v>0</v>
      </c>
      <c r="R19" s="647">
        <v>0</v>
      </c>
      <c r="S19" s="641">
        <v>0</v>
      </c>
      <c r="T19" s="635">
        <v>0</v>
      </c>
      <c r="U19" s="635">
        <v>0</v>
      </c>
      <c r="V19" s="635">
        <v>0</v>
      </c>
      <c r="W19" s="635">
        <v>0</v>
      </c>
      <c r="X19" s="635">
        <v>0</v>
      </c>
      <c r="Y19" s="635">
        <v>0</v>
      </c>
      <c r="Z19" s="635">
        <v>0</v>
      </c>
      <c r="AA19" s="635">
        <v>0</v>
      </c>
      <c r="AB19" s="635">
        <v>0</v>
      </c>
      <c r="AC19" s="637">
        <v>0</v>
      </c>
    </row>
    <row r="20" spans="1:29">
      <c r="A20" s="655" t="s">
        <v>431</v>
      </c>
      <c r="B20" s="655" t="s">
        <v>775</v>
      </c>
      <c r="C20" s="632">
        <v>0</v>
      </c>
      <c r="D20" s="633">
        <v>0</v>
      </c>
      <c r="E20" s="633">
        <v>0</v>
      </c>
      <c r="F20" s="633">
        <v>0</v>
      </c>
      <c r="G20" s="633">
        <v>0</v>
      </c>
      <c r="H20" s="633">
        <v>0</v>
      </c>
      <c r="I20" s="640">
        <v>0</v>
      </c>
      <c r="J20" s="632">
        <v>0</v>
      </c>
      <c r="K20" s="633">
        <v>0</v>
      </c>
      <c r="L20" s="633">
        <v>0</v>
      </c>
      <c r="M20" s="633">
        <v>0</v>
      </c>
      <c r="N20" s="640">
        <v>0</v>
      </c>
      <c r="O20" s="632">
        <v>0</v>
      </c>
      <c r="P20" s="640">
        <v>0</v>
      </c>
      <c r="Q20" s="632">
        <v>0</v>
      </c>
      <c r="R20" s="646">
        <v>0</v>
      </c>
      <c r="S20" s="640">
        <v>0</v>
      </c>
      <c r="T20" s="632">
        <v>0</v>
      </c>
      <c r="U20" s="632">
        <v>0</v>
      </c>
      <c r="V20" s="632">
        <v>0</v>
      </c>
      <c r="W20" s="632">
        <v>0</v>
      </c>
      <c r="X20" s="632">
        <v>0</v>
      </c>
      <c r="Y20" s="632">
        <v>0</v>
      </c>
      <c r="Z20" s="632">
        <v>0</v>
      </c>
      <c r="AA20" s="632">
        <v>0</v>
      </c>
      <c r="AB20" s="632">
        <v>0</v>
      </c>
      <c r="AC20" s="634">
        <v>0</v>
      </c>
    </row>
    <row r="21" spans="1:29">
      <c r="A21" s="658"/>
      <c r="B21" s="665" t="s">
        <v>776</v>
      </c>
      <c r="C21" s="635">
        <v>0</v>
      </c>
      <c r="D21" s="636">
        <v>0</v>
      </c>
      <c r="E21" s="636">
        <v>0</v>
      </c>
      <c r="F21" s="636">
        <v>0</v>
      </c>
      <c r="G21" s="636">
        <v>0</v>
      </c>
      <c r="H21" s="636">
        <v>0</v>
      </c>
      <c r="I21" s="641">
        <v>0</v>
      </c>
      <c r="J21" s="635">
        <v>0</v>
      </c>
      <c r="K21" s="636">
        <v>0</v>
      </c>
      <c r="L21" s="636">
        <v>0</v>
      </c>
      <c r="M21" s="636">
        <v>0</v>
      </c>
      <c r="N21" s="641">
        <v>0</v>
      </c>
      <c r="O21" s="635">
        <v>0</v>
      </c>
      <c r="P21" s="641">
        <v>0</v>
      </c>
      <c r="Q21" s="635">
        <v>0</v>
      </c>
      <c r="R21" s="647">
        <v>0</v>
      </c>
      <c r="S21" s="641">
        <v>0</v>
      </c>
      <c r="T21" s="635">
        <v>0</v>
      </c>
      <c r="U21" s="635">
        <v>0</v>
      </c>
      <c r="V21" s="635">
        <v>0</v>
      </c>
      <c r="W21" s="635">
        <v>0</v>
      </c>
      <c r="X21" s="635">
        <v>0</v>
      </c>
      <c r="Y21" s="635">
        <v>0</v>
      </c>
      <c r="Z21" s="635">
        <v>0</v>
      </c>
      <c r="AA21" s="635">
        <v>0</v>
      </c>
      <c r="AB21" s="635">
        <v>0</v>
      </c>
      <c r="AC21" s="637">
        <v>0</v>
      </c>
    </row>
    <row r="22" spans="1:29">
      <c r="A22" s="658"/>
      <c r="B22" s="665" t="s">
        <v>777</v>
      </c>
      <c r="C22" s="635">
        <v>0</v>
      </c>
      <c r="D22" s="636">
        <v>0</v>
      </c>
      <c r="E22" s="636">
        <v>0</v>
      </c>
      <c r="F22" s="636">
        <v>0</v>
      </c>
      <c r="G22" s="636">
        <v>0</v>
      </c>
      <c r="H22" s="636">
        <v>0</v>
      </c>
      <c r="I22" s="641">
        <v>0</v>
      </c>
      <c r="J22" s="635">
        <v>0</v>
      </c>
      <c r="K22" s="636">
        <v>0</v>
      </c>
      <c r="L22" s="636">
        <v>0</v>
      </c>
      <c r="M22" s="636">
        <v>0</v>
      </c>
      <c r="N22" s="641">
        <v>0</v>
      </c>
      <c r="O22" s="635">
        <v>0</v>
      </c>
      <c r="P22" s="641">
        <v>0</v>
      </c>
      <c r="Q22" s="635">
        <v>0</v>
      </c>
      <c r="R22" s="647">
        <v>0</v>
      </c>
      <c r="S22" s="641">
        <v>0</v>
      </c>
      <c r="T22" s="635">
        <v>0</v>
      </c>
      <c r="U22" s="635">
        <v>0</v>
      </c>
      <c r="V22" s="635">
        <v>0</v>
      </c>
      <c r="W22" s="635">
        <v>0</v>
      </c>
      <c r="X22" s="635">
        <v>0</v>
      </c>
      <c r="Y22" s="635">
        <v>0</v>
      </c>
      <c r="Z22" s="635">
        <v>0</v>
      </c>
      <c r="AA22" s="635">
        <v>0</v>
      </c>
      <c r="AB22" s="635">
        <v>0</v>
      </c>
      <c r="AC22" s="637">
        <v>0</v>
      </c>
    </row>
    <row r="23" spans="1:29">
      <c r="A23" s="658"/>
      <c r="B23" s="665" t="s">
        <v>778</v>
      </c>
      <c r="C23" s="635">
        <v>0</v>
      </c>
      <c r="D23" s="636">
        <v>0</v>
      </c>
      <c r="E23" s="636">
        <v>0</v>
      </c>
      <c r="F23" s="636">
        <v>0</v>
      </c>
      <c r="G23" s="636">
        <v>0</v>
      </c>
      <c r="H23" s="636">
        <v>0</v>
      </c>
      <c r="I23" s="641">
        <v>0</v>
      </c>
      <c r="J23" s="635">
        <v>0</v>
      </c>
      <c r="K23" s="636">
        <v>0</v>
      </c>
      <c r="L23" s="636">
        <v>0</v>
      </c>
      <c r="M23" s="636">
        <v>0</v>
      </c>
      <c r="N23" s="641">
        <v>0</v>
      </c>
      <c r="O23" s="635">
        <v>0</v>
      </c>
      <c r="P23" s="641">
        <v>0</v>
      </c>
      <c r="Q23" s="635">
        <v>0</v>
      </c>
      <c r="R23" s="647">
        <v>0</v>
      </c>
      <c r="S23" s="641">
        <v>0</v>
      </c>
      <c r="T23" s="635">
        <v>0</v>
      </c>
      <c r="U23" s="635">
        <v>0</v>
      </c>
      <c r="V23" s="635">
        <v>0</v>
      </c>
      <c r="W23" s="635">
        <v>0</v>
      </c>
      <c r="X23" s="635">
        <v>0</v>
      </c>
      <c r="Y23" s="635">
        <v>0</v>
      </c>
      <c r="Z23" s="635">
        <v>0</v>
      </c>
      <c r="AA23" s="635">
        <v>0</v>
      </c>
      <c r="AB23" s="635">
        <v>0</v>
      </c>
      <c r="AC23" s="637">
        <v>0</v>
      </c>
    </row>
    <row r="24" spans="1:29">
      <c r="A24" s="658"/>
      <c r="B24" s="665" t="s">
        <v>779</v>
      </c>
      <c r="C24" s="635">
        <v>0</v>
      </c>
      <c r="D24" s="636">
        <v>0</v>
      </c>
      <c r="E24" s="636">
        <v>0</v>
      </c>
      <c r="F24" s="636">
        <v>0</v>
      </c>
      <c r="G24" s="636">
        <v>0</v>
      </c>
      <c r="H24" s="636">
        <v>0</v>
      </c>
      <c r="I24" s="641">
        <v>0</v>
      </c>
      <c r="J24" s="635">
        <v>0</v>
      </c>
      <c r="K24" s="636">
        <v>0</v>
      </c>
      <c r="L24" s="636">
        <v>0</v>
      </c>
      <c r="M24" s="636">
        <v>0</v>
      </c>
      <c r="N24" s="641">
        <v>0</v>
      </c>
      <c r="O24" s="635">
        <v>0</v>
      </c>
      <c r="P24" s="641">
        <v>0</v>
      </c>
      <c r="Q24" s="635">
        <v>0</v>
      </c>
      <c r="R24" s="647">
        <v>0</v>
      </c>
      <c r="S24" s="641">
        <v>0</v>
      </c>
      <c r="T24" s="635">
        <v>0</v>
      </c>
      <c r="U24" s="635">
        <v>0</v>
      </c>
      <c r="V24" s="635">
        <v>0</v>
      </c>
      <c r="W24" s="635">
        <v>0</v>
      </c>
      <c r="X24" s="635">
        <v>0</v>
      </c>
      <c r="Y24" s="635">
        <v>0</v>
      </c>
      <c r="Z24" s="635">
        <v>0</v>
      </c>
      <c r="AA24" s="635">
        <v>0</v>
      </c>
      <c r="AB24" s="635">
        <v>0</v>
      </c>
      <c r="AC24" s="637">
        <v>0</v>
      </c>
    </row>
    <row r="25" spans="1:29">
      <c r="A25" s="658"/>
      <c r="B25" s="665" t="s">
        <v>780</v>
      </c>
      <c r="C25" s="635">
        <v>0</v>
      </c>
      <c r="D25" s="636">
        <v>0</v>
      </c>
      <c r="E25" s="636">
        <v>0</v>
      </c>
      <c r="F25" s="636">
        <v>0</v>
      </c>
      <c r="G25" s="636">
        <v>0</v>
      </c>
      <c r="H25" s="636">
        <v>0</v>
      </c>
      <c r="I25" s="641">
        <v>0</v>
      </c>
      <c r="J25" s="635">
        <v>0</v>
      </c>
      <c r="K25" s="636">
        <v>0</v>
      </c>
      <c r="L25" s="636">
        <v>0</v>
      </c>
      <c r="M25" s="636">
        <v>0</v>
      </c>
      <c r="N25" s="641">
        <v>0</v>
      </c>
      <c r="O25" s="635">
        <v>0</v>
      </c>
      <c r="P25" s="641">
        <v>0</v>
      </c>
      <c r="Q25" s="635">
        <v>0</v>
      </c>
      <c r="R25" s="647">
        <v>0</v>
      </c>
      <c r="S25" s="641">
        <v>0</v>
      </c>
      <c r="T25" s="635">
        <v>0</v>
      </c>
      <c r="U25" s="635">
        <v>0</v>
      </c>
      <c r="V25" s="635">
        <v>0</v>
      </c>
      <c r="W25" s="635">
        <v>0</v>
      </c>
      <c r="X25" s="635">
        <v>0</v>
      </c>
      <c r="Y25" s="635">
        <v>0</v>
      </c>
      <c r="Z25" s="635">
        <v>0</v>
      </c>
      <c r="AA25" s="635">
        <v>0</v>
      </c>
      <c r="AB25" s="635">
        <v>0</v>
      </c>
      <c r="AC25" s="637">
        <v>0</v>
      </c>
    </row>
    <row r="26" spans="1:29">
      <c r="A26" s="658"/>
      <c r="B26" s="665" t="s">
        <v>781</v>
      </c>
      <c r="C26" s="635">
        <v>0</v>
      </c>
      <c r="D26" s="636">
        <v>0</v>
      </c>
      <c r="E26" s="636">
        <v>0</v>
      </c>
      <c r="F26" s="636">
        <v>0</v>
      </c>
      <c r="G26" s="636">
        <v>0</v>
      </c>
      <c r="H26" s="636">
        <v>0</v>
      </c>
      <c r="I26" s="641">
        <v>0</v>
      </c>
      <c r="J26" s="635">
        <v>0</v>
      </c>
      <c r="K26" s="636">
        <v>0</v>
      </c>
      <c r="L26" s="636">
        <v>0</v>
      </c>
      <c r="M26" s="636">
        <v>0</v>
      </c>
      <c r="N26" s="641">
        <v>0</v>
      </c>
      <c r="O26" s="635">
        <v>0</v>
      </c>
      <c r="P26" s="641">
        <v>0</v>
      </c>
      <c r="Q26" s="635">
        <v>0</v>
      </c>
      <c r="R26" s="647">
        <v>0</v>
      </c>
      <c r="S26" s="641">
        <v>0</v>
      </c>
      <c r="T26" s="635">
        <v>0</v>
      </c>
      <c r="U26" s="635">
        <v>0</v>
      </c>
      <c r="V26" s="635">
        <v>0</v>
      </c>
      <c r="W26" s="635">
        <v>0</v>
      </c>
      <c r="X26" s="635">
        <v>0</v>
      </c>
      <c r="Y26" s="635">
        <v>0</v>
      </c>
      <c r="Z26" s="635">
        <v>0</v>
      </c>
      <c r="AA26" s="635">
        <v>0</v>
      </c>
      <c r="AB26" s="635">
        <v>0</v>
      </c>
      <c r="AC26" s="637">
        <v>0</v>
      </c>
    </row>
    <row r="27" spans="1:29">
      <c r="A27" s="655" t="s">
        <v>131</v>
      </c>
      <c r="B27" s="655" t="s">
        <v>775</v>
      </c>
      <c r="C27" s="632">
        <v>0</v>
      </c>
      <c r="D27" s="633">
        <v>0</v>
      </c>
      <c r="E27" s="633">
        <v>0</v>
      </c>
      <c r="F27" s="633">
        <v>0</v>
      </c>
      <c r="G27" s="633">
        <v>0</v>
      </c>
      <c r="H27" s="633">
        <v>0</v>
      </c>
      <c r="I27" s="640">
        <v>0</v>
      </c>
      <c r="J27" s="632">
        <v>21922505</v>
      </c>
      <c r="K27" s="633">
        <v>3158472</v>
      </c>
      <c r="L27" s="633">
        <v>0</v>
      </c>
      <c r="M27" s="633">
        <v>200975</v>
      </c>
      <c r="N27" s="640">
        <v>25281952</v>
      </c>
      <c r="O27" s="632">
        <v>0</v>
      </c>
      <c r="P27" s="640">
        <v>0</v>
      </c>
      <c r="Q27" s="632">
        <v>0</v>
      </c>
      <c r="R27" s="646">
        <v>0</v>
      </c>
      <c r="S27" s="640">
        <v>0</v>
      </c>
      <c r="T27" s="632">
        <v>0</v>
      </c>
      <c r="U27" s="632">
        <v>0</v>
      </c>
      <c r="V27" s="632">
        <v>0</v>
      </c>
      <c r="W27" s="632">
        <v>0</v>
      </c>
      <c r="X27" s="632">
        <v>0</v>
      </c>
      <c r="Y27" s="632">
        <v>0</v>
      </c>
      <c r="Z27" s="632">
        <v>0</v>
      </c>
      <c r="AA27" s="632">
        <v>0</v>
      </c>
      <c r="AB27" s="632">
        <v>0</v>
      </c>
      <c r="AC27" s="634">
        <v>0</v>
      </c>
    </row>
    <row r="28" spans="1:29">
      <c r="A28" s="658"/>
      <c r="B28" s="665" t="s">
        <v>776</v>
      </c>
      <c r="C28" s="635">
        <v>0</v>
      </c>
      <c r="D28" s="636">
        <v>0</v>
      </c>
      <c r="E28" s="636">
        <v>0</v>
      </c>
      <c r="F28" s="636">
        <v>0</v>
      </c>
      <c r="G28" s="636">
        <v>0</v>
      </c>
      <c r="H28" s="636">
        <v>0</v>
      </c>
      <c r="I28" s="641">
        <v>0</v>
      </c>
      <c r="J28" s="635">
        <v>1005571</v>
      </c>
      <c r="K28" s="636">
        <v>76908</v>
      </c>
      <c r="L28" s="636">
        <v>0</v>
      </c>
      <c r="M28" s="636">
        <v>14576</v>
      </c>
      <c r="N28" s="641">
        <v>1097055</v>
      </c>
      <c r="O28" s="635">
        <v>0</v>
      </c>
      <c r="P28" s="641">
        <v>0</v>
      </c>
      <c r="Q28" s="635">
        <v>0</v>
      </c>
      <c r="R28" s="647">
        <v>0</v>
      </c>
      <c r="S28" s="641">
        <v>0</v>
      </c>
      <c r="T28" s="635">
        <v>0</v>
      </c>
      <c r="U28" s="635">
        <v>0</v>
      </c>
      <c r="V28" s="635">
        <v>0</v>
      </c>
      <c r="W28" s="635">
        <v>0</v>
      </c>
      <c r="X28" s="635">
        <v>0</v>
      </c>
      <c r="Y28" s="635">
        <v>0</v>
      </c>
      <c r="Z28" s="635">
        <v>0</v>
      </c>
      <c r="AA28" s="635">
        <v>0</v>
      </c>
      <c r="AB28" s="635">
        <v>0</v>
      </c>
      <c r="AC28" s="637">
        <v>0</v>
      </c>
    </row>
    <row r="29" spans="1:29">
      <c r="A29" s="658"/>
      <c r="B29" s="665" t="s">
        <v>777</v>
      </c>
      <c r="C29" s="635">
        <v>0</v>
      </c>
      <c r="D29" s="636">
        <v>0</v>
      </c>
      <c r="E29" s="636">
        <v>0</v>
      </c>
      <c r="F29" s="636">
        <v>0</v>
      </c>
      <c r="G29" s="636">
        <v>0</v>
      </c>
      <c r="H29" s="636">
        <v>0</v>
      </c>
      <c r="I29" s="641">
        <v>0</v>
      </c>
      <c r="J29" s="635">
        <v>4.586934750385506E-2</v>
      </c>
      <c r="K29" s="636">
        <v>2.4349748865907312E-2</v>
      </c>
      <c r="L29" s="650">
        <v>0</v>
      </c>
      <c r="M29" s="636">
        <v>7.2526433636024387E-2</v>
      </c>
      <c r="N29" s="641">
        <v>4.3392812390435673E-2</v>
      </c>
      <c r="O29" s="635">
        <v>0</v>
      </c>
      <c r="P29" s="641">
        <v>0</v>
      </c>
      <c r="Q29" s="635">
        <v>0</v>
      </c>
      <c r="R29" s="647">
        <v>0</v>
      </c>
      <c r="S29" s="641">
        <v>0</v>
      </c>
      <c r="T29" s="635">
        <v>0</v>
      </c>
      <c r="U29" s="635">
        <v>0</v>
      </c>
      <c r="V29" s="635">
        <v>0</v>
      </c>
      <c r="W29" s="635">
        <v>0</v>
      </c>
      <c r="X29" s="635">
        <v>0</v>
      </c>
      <c r="Y29" s="635">
        <v>0</v>
      </c>
      <c r="Z29" s="635">
        <v>0</v>
      </c>
      <c r="AA29" s="635">
        <v>0</v>
      </c>
      <c r="AB29" s="635">
        <v>0</v>
      </c>
      <c r="AC29" s="637">
        <v>0</v>
      </c>
    </row>
    <row r="30" spans="1:29">
      <c r="A30" s="658"/>
      <c r="B30" s="665" t="s">
        <v>778</v>
      </c>
      <c r="C30" s="635">
        <v>0</v>
      </c>
      <c r="D30" s="636">
        <v>0</v>
      </c>
      <c r="E30" s="636">
        <v>0</v>
      </c>
      <c r="F30" s="636">
        <v>0</v>
      </c>
      <c r="G30" s="636">
        <v>0</v>
      </c>
      <c r="H30" s="636">
        <v>0</v>
      </c>
      <c r="I30" s="641">
        <v>0</v>
      </c>
      <c r="J30" s="635">
        <v>19298009</v>
      </c>
      <c r="K30" s="636">
        <v>2873562</v>
      </c>
      <c r="L30" s="636">
        <v>0</v>
      </c>
      <c r="M30" s="636">
        <v>185084</v>
      </c>
      <c r="N30" s="641">
        <v>22356655</v>
      </c>
      <c r="O30" s="635">
        <v>0</v>
      </c>
      <c r="P30" s="641">
        <v>0</v>
      </c>
      <c r="Q30" s="635">
        <v>0</v>
      </c>
      <c r="R30" s="647">
        <v>0</v>
      </c>
      <c r="S30" s="641">
        <v>0</v>
      </c>
      <c r="T30" s="635">
        <v>0</v>
      </c>
      <c r="U30" s="635">
        <v>0</v>
      </c>
      <c r="V30" s="635">
        <v>0</v>
      </c>
      <c r="W30" s="635">
        <v>0</v>
      </c>
      <c r="X30" s="635">
        <v>0</v>
      </c>
      <c r="Y30" s="635">
        <v>0</v>
      </c>
      <c r="Z30" s="635">
        <v>0</v>
      </c>
      <c r="AA30" s="635">
        <v>0</v>
      </c>
      <c r="AB30" s="635">
        <v>0</v>
      </c>
      <c r="AC30" s="637">
        <v>0</v>
      </c>
    </row>
    <row r="31" spans="1:29">
      <c r="A31" s="658"/>
      <c r="B31" s="665" t="s">
        <v>779</v>
      </c>
      <c r="C31" s="635">
        <v>0</v>
      </c>
      <c r="D31" s="636">
        <v>0</v>
      </c>
      <c r="E31" s="636">
        <v>0</v>
      </c>
      <c r="F31" s="636">
        <v>0</v>
      </c>
      <c r="G31" s="636">
        <v>0</v>
      </c>
      <c r="H31" s="636">
        <v>0</v>
      </c>
      <c r="I31" s="641">
        <v>0</v>
      </c>
      <c r="J31" s="635">
        <v>997636</v>
      </c>
      <c r="K31" s="636">
        <v>82655</v>
      </c>
      <c r="L31" s="636">
        <v>0</v>
      </c>
      <c r="M31" s="636">
        <v>10778</v>
      </c>
      <c r="N31" s="641">
        <v>1091069</v>
      </c>
      <c r="O31" s="635">
        <v>0</v>
      </c>
      <c r="P31" s="641">
        <v>0</v>
      </c>
      <c r="Q31" s="635">
        <v>0</v>
      </c>
      <c r="R31" s="647">
        <v>0</v>
      </c>
      <c r="S31" s="641">
        <v>0</v>
      </c>
      <c r="T31" s="635">
        <v>0</v>
      </c>
      <c r="U31" s="635">
        <v>0</v>
      </c>
      <c r="V31" s="635">
        <v>0</v>
      </c>
      <c r="W31" s="635">
        <v>0</v>
      </c>
      <c r="X31" s="635">
        <v>0</v>
      </c>
      <c r="Y31" s="635">
        <v>0</v>
      </c>
      <c r="Z31" s="635">
        <v>0</v>
      </c>
      <c r="AA31" s="635">
        <v>0</v>
      </c>
      <c r="AB31" s="635">
        <v>0</v>
      </c>
      <c r="AC31" s="637">
        <v>0</v>
      </c>
    </row>
    <row r="32" spans="1:29">
      <c r="A32" s="658"/>
      <c r="B32" s="665" t="s">
        <v>780</v>
      </c>
      <c r="C32" s="635">
        <v>0</v>
      </c>
      <c r="D32" s="636">
        <v>0</v>
      </c>
      <c r="E32" s="636">
        <v>0</v>
      </c>
      <c r="F32" s="636">
        <v>0</v>
      </c>
      <c r="G32" s="636">
        <v>0</v>
      </c>
      <c r="H32" s="636">
        <v>0</v>
      </c>
      <c r="I32" s="641">
        <v>0</v>
      </c>
      <c r="J32" s="635">
        <v>5.1696317480212597E-2</v>
      </c>
      <c r="K32" s="636">
        <v>2.876395219591573E-2</v>
      </c>
      <c r="L32" s="650">
        <v>0</v>
      </c>
      <c r="M32" s="636">
        <v>5.8233018521320047E-2</v>
      </c>
      <c r="N32" s="641">
        <v>4.8802873238416034E-2</v>
      </c>
      <c r="O32" s="635">
        <v>0</v>
      </c>
      <c r="P32" s="641">
        <v>0</v>
      </c>
      <c r="Q32" s="635">
        <v>0</v>
      </c>
      <c r="R32" s="647">
        <v>0</v>
      </c>
      <c r="S32" s="641">
        <v>0</v>
      </c>
      <c r="T32" s="635">
        <v>0</v>
      </c>
      <c r="U32" s="635">
        <v>0</v>
      </c>
      <c r="V32" s="635">
        <v>0</v>
      </c>
      <c r="W32" s="635">
        <v>0</v>
      </c>
      <c r="X32" s="635">
        <v>0</v>
      </c>
      <c r="Y32" s="635">
        <v>0</v>
      </c>
      <c r="Z32" s="635">
        <v>0</v>
      </c>
      <c r="AA32" s="635">
        <v>0</v>
      </c>
      <c r="AB32" s="635">
        <v>0</v>
      </c>
      <c r="AC32" s="637">
        <v>0</v>
      </c>
    </row>
    <row r="33" spans="1:29">
      <c r="A33" s="658"/>
      <c r="B33" s="665" t="s">
        <v>781</v>
      </c>
      <c r="C33" s="635">
        <v>0</v>
      </c>
      <c r="D33" s="636">
        <v>0</v>
      </c>
      <c r="E33" s="636">
        <v>0</v>
      </c>
      <c r="F33" s="636">
        <v>0</v>
      </c>
      <c r="G33" s="636">
        <v>0</v>
      </c>
      <c r="H33" s="636">
        <v>0</v>
      </c>
      <c r="I33" s="641">
        <v>0</v>
      </c>
      <c r="J33" s="635">
        <v>5.8269699763575378E-3</v>
      </c>
      <c r="K33" s="636">
        <v>4.4142033300084184E-3</v>
      </c>
      <c r="L33" s="650">
        <v>0</v>
      </c>
      <c r="M33" s="636">
        <v>-1.429341511470434E-2</v>
      </c>
      <c r="N33" s="641">
        <v>5.4100608479803608E-3</v>
      </c>
      <c r="O33" s="635">
        <v>0</v>
      </c>
      <c r="P33" s="641">
        <v>0</v>
      </c>
      <c r="Q33" s="635">
        <v>0</v>
      </c>
      <c r="R33" s="647">
        <v>0</v>
      </c>
      <c r="S33" s="641">
        <v>0</v>
      </c>
      <c r="T33" s="635">
        <v>0</v>
      </c>
      <c r="U33" s="635">
        <v>0</v>
      </c>
      <c r="V33" s="635">
        <v>0</v>
      </c>
      <c r="W33" s="635">
        <v>0</v>
      </c>
      <c r="X33" s="635">
        <v>0</v>
      </c>
      <c r="Y33" s="635">
        <v>0</v>
      </c>
      <c r="Z33" s="635">
        <v>0</v>
      </c>
      <c r="AA33" s="635">
        <v>0</v>
      </c>
      <c r="AB33" s="635">
        <v>0</v>
      </c>
      <c r="AC33" s="637">
        <v>0</v>
      </c>
    </row>
    <row r="34" spans="1:29" ht="13">
      <c r="A34" s="662" t="s">
        <v>158</v>
      </c>
      <c r="B34" s="655" t="s">
        <v>775</v>
      </c>
      <c r="C34" s="632">
        <v>2018446</v>
      </c>
      <c r="D34" s="633">
        <v>456127.53</v>
      </c>
      <c r="E34" s="633">
        <v>2065777</v>
      </c>
      <c r="F34" s="633">
        <v>1335860</v>
      </c>
      <c r="G34" s="633">
        <v>357570</v>
      </c>
      <c r="H34" s="633">
        <v>694773</v>
      </c>
      <c r="I34" s="640">
        <v>6928553.5300000003</v>
      </c>
      <c r="J34" s="632">
        <v>302780</v>
      </c>
      <c r="K34" s="633">
        <v>0</v>
      </c>
      <c r="L34" s="633">
        <v>0</v>
      </c>
      <c r="M34" s="633">
        <v>0</v>
      </c>
      <c r="N34" s="640">
        <v>302780</v>
      </c>
      <c r="O34" s="632">
        <v>0</v>
      </c>
      <c r="P34" s="640">
        <v>0</v>
      </c>
      <c r="Q34" s="632">
        <v>2038837</v>
      </c>
      <c r="R34" s="646">
        <v>0</v>
      </c>
      <c r="S34" s="640">
        <v>2038837</v>
      </c>
      <c r="T34" s="632">
        <v>0</v>
      </c>
      <c r="U34" s="632">
        <v>0</v>
      </c>
      <c r="V34" s="632">
        <v>0</v>
      </c>
      <c r="W34" s="632">
        <v>0</v>
      </c>
      <c r="X34" s="632">
        <v>0</v>
      </c>
      <c r="Y34" s="632">
        <v>0</v>
      </c>
      <c r="Z34" s="632">
        <v>0</v>
      </c>
      <c r="AA34" s="632">
        <v>0</v>
      </c>
      <c r="AB34" s="632">
        <v>0</v>
      </c>
      <c r="AC34" s="634">
        <v>0</v>
      </c>
    </row>
    <row r="35" spans="1:29" ht="13">
      <c r="A35" s="663"/>
      <c r="B35" s="665" t="s">
        <v>776</v>
      </c>
      <c r="C35" s="635">
        <v>27324.5</v>
      </c>
      <c r="D35" s="636">
        <v>4173</v>
      </c>
      <c r="E35" s="636">
        <v>36515</v>
      </c>
      <c r="F35" s="636">
        <v>56430</v>
      </c>
      <c r="G35" s="636">
        <v>10335</v>
      </c>
      <c r="H35" s="636">
        <v>38932</v>
      </c>
      <c r="I35" s="641">
        <v>173709.5</v>
      </c>
      <c r="J35" s="635">
        <v>20420</v>
      </c>
      <c r="K35" s="636">
        <v>0</v>
      </c>
      <c r="L35" s="636">
        <v>0</v>
      </c>
      <c r="M35" s="636">
        <v>0</v>
      </c>
      <c r="N35" s="641">
        <v>20420</v>
      </c>
      <c r="O35" s="635">
        <v>0</v>
      </c>
      <c r="P35" s="641">
        <v>0</v>
      </c>
      <c r="Q35" s="635">
        <v>348932</v>
      </c>
      <c r="R35" s="647">
        <v>0</v>
      </c>
      <c r="S35" s="641">
        <v>348932</v>
      </c>
      <c r="T35" s="635">
        <v>0</v>
      </c>
      <c r="U35" s="635">
        <v>0</v>
      </c>
      <c r="V35" s="635">
        <v>0</v>
      </c>
      <c r="W35" s="635">
        <v>0</v>
      </c>
      <c r="X35" s="635">
        <v>0</v>
      </c>
      <c r="Y35" s="635">
        <v>0</v>
      </c>
      <c r="Z35" s="635">
        <v>0</v>
      </c>
      <c r="AA35" s="635">
        <v>0</v>
      </c>
      <c r="AB35" s="635">
        <v>0</v>
      </c>
      <c r="AC35" s="637">
        <v>0</v>
      </c>
    </row>
    <row r="36" spans="1:29" ht="13">
      <c r="A36" s="663"/>
      <c r="B36" s="666" t="s">
        <v>777</v>
      </c>
      <c r="C36" s="635">
        <v>1.353739460951643E-2</v>
      </c>
      <c r="D36" s="636">
        <v>9.1487571469321301E-3</v>
      </c>
      <c r="E36" s="636">
        <v>1.7676157687882089E-2</v>
      </c>
      <c r="F36" s="99">
        <v>4.2242450556196007E-2</v>
      </c>
      <c r="G36" s="636">
        <v>2.8903431495930866E-2</v>
      </c>
      <c r="H36" s="636">
        <v>5.6035568451854062E-2</v>
      </c>
      <c r="I36" s="645">
        <v>2.5071538994084958E-2</v>
      </c>
      <c r="J36" s="635">
        <v>6.744170684985798E-2</v>
      </c>
      <c r="K36" s="636">
        <v>0</v>
      </c>
      <c r="L36" s="636">
        <v>0</v>
      </c>
      <c r="M36" s="636">
        <v>0</v>
      </c>
      <c r="N36" s="645">
        <v>6.744170684985798E-2</v>
      </c>
      <c r="O36" s="635">
        <v>0</v>
      </c>
      <c r="P36" s="645">
        <v>0</v>
      </c>
      <c r="Q36" s="510">
        <v>0.17114266613760687</v>
      </c>
      <c r="R36" s="647">
        <v>0</v>
      </c>
      <c r="S36" s="641">
        <v>0.17114266613760687</v>
      </c>
      <c r="T36" s="635">
        <v>0</v>
      </c>
      <c r="U36" s="635">
        <v>0</v>
      </c>
      <c r="V36" s="635">
        <v>0</v>
      </c>
      <c r="W36" s="635">
        <v>0</v>
      </c>
      <c r="X36" s="635">
        <v>0</v>
      </c>
      <c r="Y36" s="635">
        <v>0</v>
      </c>
      <c r="Z36" s="635">
        <v>0</v>
      </c>
      <c r="AA36" s="635">
        <v>0</v>
      </c>
      <c r="AB36" s="635">
        <v>0</v>
      </c>
      <c r="AC36" s="637">
        <v>0</v>
      </c>
    </row>
    <row r="37" spans="1:29" ht="13">
      <c r="A37" s="663"/>
      <c r="B37" s="665" t="s">
        <v>778</v>
      </c>
      <c r="C37" s="635">
        <v>2036165.5</v>
      </c>
      <c r="D37" s="636">
        <v>481969.97</v>
      </c>
      <c r="E37" s="636">
        <v>2138152</v>
      </c>
      <c r="F37" s="636">
        <v>1339602</v>
      </c>
      <c r="G37" s="636">
        <v>358198</v>
      </c>
      <c r="H37" s="636">
        <v>671934</v>
      </c>
      <c r="I37" s="641">
        <v>7026021.4699999997</v>
      </c>
      <c r="J37" s="635">
        <v>276933</v>
      </c>
      <c r="K37" s="636">
        <v>0</v>
      </c>
      <c r="L37" s="636">
        <v>0</v>
      </c>
      <c r="M37" s="636">
        <v>0</v>
      </c>
      <c r="N37" s="641">
        <v>276933</v>
      </c>
      <c r="O37" s="635">
        <v>0</v>
      </c>
      <c r="P37" s="641">
        <v>0</v>
      </c>
      <c r="Q37" s="635">
        <v>1956370.5</v>
      </c>
      <c r="R37" s="647">
        <v>0</v>
      </c>
      <c r="S37" s="641">
        <v>1956370.5</v>
      </c>
      <c r="T37" s="635">
        <v>0</v>
      </c>
      <c r="U37" s="635">
        <v>0</v>
      </c>
      <c r="V37" s="635">
        <v>0</v>
      </c>
      <c r="W37" s="635">
        <v>0</v>
      </c>
      <c r="X37" s="635">
        <v>0</v>
      </c>
      <c r="Y37" s="635">
        <v>0</v>
      </c>
      <c r="Z37" s="635">
        <v>0</v>
      </c>
      <c r="AA37" s="635">
        <v>0</v>
      </c>
      <c r="AB37" s="635">
        <v>0</v>
      </c>
      <c r="AC37" s="637">
        <v>0</v>
      </c>
    </row>
    <row r="38" spans="1:29" ht="13">
      <c r="A38" s="663"/>
      <c r="B38" s="665" t="s">
        <v>779</v>
      </c>
      <c r="C38" s="635">
        <v>29923.5</v>
      </c>
      <c r="D38" s="636">
        <v>4804</v>
      </c>
      <c r="E38" s="636">
        <v>41079</v>
      </c>
      <c r="F38" s="636">
        <v>54302</v>
      </c>
      <c r="G38" s="636">
        <v>9761</v>
      </c>
      <c r="H38" s="636">
        <v>34307</v>
      </c>
      <c r="I38" s="641">
        <v>174176.5</v>
      </c>
      <c r="J38" s="635">
        <v>17728</v>
      </c>
      <c r="K38" s="636">
        <v>0</v>
      </c>
      <c r="L38" s="636">
        <v>0</v>
      </c>
      <c r="M38" s="636">
        <v>0</v>
      </c>
      <c r="N38" s="641">
        <v>17728</v>
      </c>
      <c r="O38" s="635">
        <v>0</v>
      </c>
      <c r="P38" s="641">
        <v>0</v>
      </c>
      <c r="Q38" s="635">
        <v>319351.5</v>
      </c>
      <c r="R38" s="647">
        <v>0</v>
      </c>
      <c r="S38" s="641">
        <v>319351.5</v>
      </c>
      <c r="T38" s="635">
        <v>0</v>
      </c>
      <c r="U38" s="635">
        <v>0</v>
      </c>
      <c r="V38" s="635">
        <v>0</v>
      </c>
      <c r="W38" s="635">
        <v>0</v>
      </c>
      <c r="X38" s="635">
        <v>0</v>
      </c>
      <c r="Y38" s="635">
        <v>0</v>
      </c>
      <c r="Z38" s="635">
        <v>0</v>
      </c>
      <c r="AA38" s="635">
        <v>0</v>
      </c>
      <c r="AB38" s="635">
        <v>0</v>
      </c>
      <c r="AC38" s="637">
        <v>0</v>
      </c>
    </row>
    <row r="39" spans="1:29" ht="13">
      <c r="A39" s="663"/>
      <c r="B39" s="666" t="s">
        <v>780</v>
      </c>
      <c r="C39" s="635">
        <v>1.4696005801100157E-2</v>
      </c>
      <c r="D39" s="636">
        <v>9.9674259788426235E-3</v>
      </c>
      <c r="E39" s="636">
        <v>1.9212385274760633E-2</v>
      </c>
      <c r="F39" s="636">
        <v>4.0535920370378661E-2</v>
      </c>
      <c r="G39" s="636">
        <v>2.7250291738088989E-2</v>
      </c>
      <c r="H39" s="636">
        <v>5.1057097869731255E-2</v>
      </c>
      <c r="I39" s="645">
        <v>2.4790203210124834E-2</v>
      </c>
      <c r="J39" s="635">
        <v>6.4015483889605068E-2</v>
      </c>
      <c r="K39" s="636">
        <v>0</v>
      </c>
      <c r="L39" s="636">
        <v>0</v>
      </c>
      <c r="M39" s="636">
        <v>0</v>
      </c>
      <c r="N39" s="645">
        <v>6.4015483889605068E-2</v>
      </c>
      <c r="O39" s="635">
        <v>0</v>
      </c>
      <c r="P39" s="645">
        <v>0</v>
      </c>
      <c r="Q39" s="510">
        <v>0.16323671819831673</v>
      </c>
      <c r="R39" s="647">
        <v>0</v>
      </c>
      <c r="S39" s="641">
        <v>0.16323671819831673</v>
      </c>
      <c r="T39" s="635">
        <v>0</v>
      </c>
      <c r="U39" s="635">
        <v>0</v>
      </c>
      <c r="V39" s="635">
        <v>0</v>
      </c>
      <c r="W39" s="635">
        <v>0</v>
      </c>
      <c r="X39" s="635">
        <v>0</v>
      </c>
      <c r="Y39" s="635">
        <v>0</v>
      </c>
      <c r="Z39" s="635">
        <v>0</v>
      </c>
      <c r="AA39" s="635">
        <v>0</v>
      </c>
      <c r="AB39" s="635">
        <v>0</v>
      </c>
      <c r="AC39" s="637">
        <v>0</v>
      </c>
    </row>
    <row r="40" spans="1:29" ht="13">
      <c r="A40" s="663"/>
      <c r="B40" s="665" t="s">
        <v>781</v>
      </c>
      <c r="C40" s="635">
        <v>1.1586111915837267E-3</v>
      </c>
      <c r="D40" s="636">
        <v>8.1866883191049344E-4</v>
      </c>
      <c r="E40" s="636">
        <v>1.5362275868785434E-3</v>
      </c>
      <c r="F40" s="636">
        <v>-1.7065301858173454E-3</v>
      </c>
      <c r="G40" s="636">
        <v>-1.6531397578418774E-3</v>
      </c>
      <c r="H40" s="636">
        <v>-4.978470582122807E-3</v>
      </c>
      <c r="I40" s="645">
        <v>-2.8133578396012313E-4</v>
      </c>
      <c r="J40" s="651">
        <v>-3.4262229602529115E-3</v>
      </c>
      <c r="K40" s="650">
        <v>0</v>
      </c>
      <c r="L40" s="650">
        <v>0</v>
      </c>
      <c r="M40" s="636">
        <v>0</v>
      </c>
      <c r="N40" s="645">
        <v>-3.4262229602529115E-3</v>
      </c>
      <c r="O40" s="635">
        <v>0</v>
      </c>
      <c r="P40" s="645">
        <v>0</v>
      </c>
      <c r="Q40" s="512">
        <v>-7.9059479392901422E-3</v>
      </c>
      <c r="R40" s="647">
        <v>0</v>
      </c>
      <c r="S40" s="641">
        <v>-7.9059479392901422E-3</v>
      </c>
      <c r="T40" s="635">
        <v>0</v>
      </c>
      <c r="U40" s="635">
        <v>0</v>
      </c>
      <c r="V40" s="635">
        <v>0</v>
      </c>
      <c r="W40" s="635">
        <v>0</v>
      </c>
      <c r="X40" s="635">
        <v>0</v>
      </c>
      <c r="Y40" s="635">
        <v>0</v>
      </c>
      <c r="Z40" s="635">
        <v>0</v>
      </c>
      <c r="AA40" s="635">
        <v>0</v>
      </c>
      <c r="AB40" s="635">
        <v>0</v>
      </c>
      <c r="AC40" s="637">
        <v>0</v>
      </c>
    </row>
    <row r="41" spans="1:29">
      <c r="A41" s="655" t="s">
        <v>205</v>
      </c>
      <c r="B41" s="655" t="s">
        <v>775</v>
      </c>
      <c r="C41" s="632">
        <v>978844.5</v>
      </c>
      <c r="D41" s="633">
        <v>0</v>
      </c>
      <c r="E41" s="633">
        <v>1292741.5</v>
      </c>
      <c r="F41" s="633">
        <v>43758.5</v>
      </c>
      <c r="G41" s="633">
        <v>0</v>
      </c>
      <c r="H41" s="633">
        <v>0</v>
      </c>
      <c r="I41" s="640">
        <v>2315344.5</v>
      </c>
      <c r="J41" s="632">
        <v>0</v>
      </c>
      <c r="K41" s="633">
        <v>387529.7</v>
      </c>
      <c r="L41" s="633">
        <v>500059.30000000005</v>
      </c>
      <c r="M41" s="633">
        <v>287679.40000000002</v>
      </c>
      <c r="N41" s="640">
        <v>1175268.4000000001</v>
      </c>
      <c r="O41" s="632">
        <v>0</v>
      </c>
      <c r="P41" s="640">
        <v>0</v>
      </c>
      <c r="Q41" s="632">
        <v>154520.9</v>
      </c>
      <c r="R41" s="646">
        <v>0</v>
      </c>
      <c r="S41" s="640">
        <v>154520.9</v>
      </c>
      <c r="T41" s="632">
        <v>0</v>
      </c>
      <c r="U41" s="632">
        <v>0</v>
      </c>
      <c r="V41" s="632">
        <v>0</v>
      </c>
      <c r="W41" s="632">
        <v>0</v>
      </c>
      <c r="X41" s="632">
        <v>0</v>
      </c>
      <c r="Y41" s="632">
        <v>0</v>
      </c>
      <c r="Z41" s="632">
        <v>0</v>
      </c>
      <c r="AA41" s="632">
        <v>0</v>
      </c>
      <c r="AB41" s="632">
        <v>0</v>
      </c>
      <c r="AC41" s="634">
        <v>0</v>
      </c>
    </row>
    <row r="42" spans="1:29">
      <c r="A42" s="658"/>
      <c r="B42" s="665" t="s">
        <v>776</v>
      </c>
      <c r="C42" s="635">
        <v>5761</v>
      </c>
      <c r="D42" s="636">
        <v>0</v>
      </c>
      <c r="E42" s="636">
        <v>80659.5</v>
      </c>
      <c r="F42" s="636">
        <v>6775</v>
      </c>
      <c r="G42" s="636">
        <v>0</v>
      </c>
      <c r="H42" s="636">
        <v>0</v>
      </c>
      <c r="I42" s="641">
        <v>93195.5</v>
      </c>
      <c r="J42" s="635">
        <v>0</v>
      </c>
      <c r="K42" s="636">
        <v>39484.5</v>
      </c>
      <c r="L42" s="636">
        <v>61485.799999999988</v>
      </c>
      <c r="M42" s="636">
        <v>36740</v>
      </c>
      <c r="N42" s="641">
        <v>137710.30000000002</v>
      </c>
      <c r="O42" s="635">
        <v>0</v>
      </c>
      <c r="P42" s="641">
        <v>0</v>
      </c>
      <c r="Q42" s="635">
        <v>20280.5</v>
      </c>
      <c r="R42" s="647">
        <v>0</v>
      </c>
      <c r="S42" s="641">
        <v>20280.5</v>
      </c>
      <c r="T42" s="635">
        <v>0</v>
      </c>
      <c r="U42" s="635">
        <v>0</v>
      </c>
      <c r="V42" s="635">
        <v>0</v>
      </c>
      <c r="W42" s="635">
        <v>0</v>
      </c>
      <c r="X42" s="635">
        <v>0</v>
      </c>
      <c r="Y42" s="635">
        <v>0</v>
      </c>
      <c r="Z42" s="635">
        <v>0</v>
      </c>
      <c r="AA42" s="635">
        <v>0</v>
      </c>
      <c r="AB42" s="635">
        <v>0</v>
      </c>
      <c r="AC42" s="637">
        <v>0</v>
      </c>
    </row>
    <row r="43" spans="1:29">
      <c r="A43" s="658"/>
      <c r="B43" s="665" t="s">
        <v>777</v>
      </c>
      <c r="C43" s="635">
        <v>5.8855109264035295E-3</v>
      </c>
      <c r="D43" s="636">
        <v>0</v>
      </c>
      <c r="E43" s="636">
        <v>6.2394144537016874E-2</v>
      </c>
      <c r="F43" s="636">
        <v>0.15482706217077824</v>
      </c>
      <c r="G43" s="636">
        <v>0</v>
      </c>
      <c r="H43" s="636">
        <v>0</v>
      </c>
      <c r="I43" s="641">
        <v>4.0251245548988498E-2</v>
      </c>
      <c r="J43" s="635">
        <v>0</v>
      </c>
      <c r="K43" s="636">
        <v>0.10188767467370888</v>
      </c>
      <c r="L43" s="647">
        <v>0.12295701729774845</v>
      </c>
      <c r="M43" s="636">
        <v>0.12771161230174979</v>
      </c>
      <c r="N43" s="641">
        <v>0.11717348990239165</v>
      </c>
      <c r="O43" s="635">
        <v>0</v>
      </c>
      <c r="P43" s="641">
        <v>0</v>
      </c>
      <c r="Q43" s="635">
        <v>0.13124761763619033</v>
      </c>
      <c r="R43" s="647">
        <v>0</v>
      </c>
      <c r="S43" s="641">
        <v>0.13124761763619033</v>
      </c>
      <c r="T43" s="635">
        <v>0</v>
      </c>
      <c r="U43" s="635">
        <v>0</v>
      </c>
      <c r="V43" s="635">
        <v>0</v>
      </c>
      <c r="W43" s="635">
        <v>0</v>
      </c>
      <c r="X43" s="635">
        <v>0</v>
      </c>
      <c r="Y43" s="635">
        <v>0</v>
      </c>
      <c r="Z43" s="635">
        <v>0</v>
      </c>
      <c r="AA43" s="635">
        <v>0</v>
      </c>
      <c r="AB43" s="635">
        <v>0</v>
      </c>
      <c r="AC43" s="637">
        <v>0</v>
      </c>
    </row>
    <row r="44" spans="1:29">
      <c r="A44" s="658"/>
      <c r="B44" s="665" t="s">
        <v>778</v>
      </c>
      <c r="C44" s="635">
        <v>992846</v>
      </c>
      <c r="D44" s="636">
        <v>0</v>
      </c>
      <c r="E44" s="636">
        <v>1360395</v>
      </c>
      <c r="F44" s="636">
        <v>49613</v>
      </c>
      <c r="G44" s="636">
        <v>0</v>
      </c>
      <c r="H44" s="636">
        <v>0</v>
      </c>
      <c r="I44" s="641">
        <v>2402854</v>
      </c>
      <c r="J44" s="635">
        <v>0</v>
      </c>
      <c r="K44" s="636">
        <v>390784</v>
      </c>
      <c r="L44" s="636">
        <v>465867</v>
      </c>
      <c r="M44" s="636">
        <v>269679</v>
      </c>
      <c r="N44" s="641">
        <v>1126330</v>
      </c>
      <c r="O44" s="635">
        <v>0</v>
      </c>
      <c r="P44" s="641">
        <v>0</v>
      </c>
      <c r="Q44" s="635">
        <v>151221</v>
      </c>
      <c r="R44" s="647">
        <v>0</v>
      </c>
      <c r="S44" s="641">
        <v>151221</v>
      </c>
      <c r="T44" s="635">
        <v>0</v>
      </c>
      <c r="U44" s="635">
        <v>0</v>
      </c>
      <c r="V44" s="635">
        <v>0</v>
      </c>
      <c r="W44" s="635">
        <v>0</v>
      </c>
      <c r="X44" s="635">
        <v>0</v>
      </c>
      <c r="Y44" s="635">
        <v>0</v>
      </c>
      <c r="Z44" s="635">
        <v>0</v>
      </c>
      <c r="AA44" s="635">
        <v>0</v>
      </c>
      <c r="AB44" s="635">
        <v>0</v>
      </c>
      <c r="AC44" s="637">
        <v>0</v>
      </c>
    </row>
    <row r="45" spans="1:29">
      <c r="A45" s="658"/>
      <c r="B45" s="665" t="s">
        <v>779</v>
      </c>
      <c r="C45" s="635">
        <v>8417</v>
      </c>
      <c r="D45" s="636">
        <v>0</v>
      </c>
      <c r="E45" s="636">
        <v>77306</v>
      </c>
      <c r="F45" s="636">
        <v>6607</v>
      </c>
      <c r="G45" s="636">
        <v>0</v>
      </c>
      <c r="H45" s="636">
        <v>0</v>
      </c>
      <c r="I45" s="641">
        <v>92330</v>
      </c>
      <c r="J45" s="635">
        <v>0</v>
      </c>
      <c r="K45" s="636">
        <v>47564</v>
      </c>
      <c r="L45" s="636">
        <v>64154</v>
      </c>
      <c r="M45" s="636">
        <v>37265</v>
      </c>
      <c r="N45" s="641">
        <v>148983</v>
      </c>
      <c r="O45" s="635">
        <v>0</v>
      </c>
      <c r="P45" s="641">
        <v>0</v>
      </c>
      <c r="Q45" s="635">
        <v>24760</v>
      </c>
      <c r="R45" s="647">
        <v>0</v>
      </c>
      <c r="S45" s="641">
        <v>24760</v>
      </c>
      <c r="T45" s="635">
        <v>0</v>
      </c>
      <c r="U45" s="635">
        <v>0</v>
      </c>
      <c r="V45" s="635">
        <v>0</v>
      </c>
      <c r="W45" s="635">
        <v>0</v>
      </c>
      <c r="X45" s="635">
        <v>0</v>
      </c>
      <c r="Y45" s="635">
        <v>0</v>
      </c>
      <c r="Z45" s="635">
        <v>0</v>
      </c>
      <c r="AA45" s="635">
        <v>0</v>
      </c>
      <c r="AB45" s="635">
        <v>0</v>
      </c>
      <c r="AC45" s="637">
        <v>0</v>
      </c>
    </row>
    <row r="46" spans="1:29">
      <c r="A46" s="658"/>
      <c r="B46" s="665" t="s">
        <v>780</v>
      </c>
      <c r="C46" s="635">
        <v>8.4776491016733714E-3</v>
      </c>
      <c r="D46" s="636">
        <v>0</v>
      </c>
      <c r="E46" s="636">
        <v>5.6826142407168503E-2</v>
      </c>
      <c r="F46" s="636">
        <v>0.13317074153951586</v>
      </c>
      <c r="G46" s="636">
        <v>0</v>
      </c>
      <c r="H46" s="636">
        <v>0</v>
      </c>
      <c r="I46" s="641">
        <v>3.8425139438351227E-2</v>
      </c>
      <c r="J46" s="635">
        <v>0</v>
      </c>
      <c r="K46" s="636">
        <v>0.12171429741238127</v>
      </c>
      <c r="L46" s="647">
        <v>0.13770883106122564</v>
      </c>
      <c r="M46" s="647">
        <v>0.13818280251706658</v>
      </c>
      <c r="N46" s="641">
        <v>0.13227295730380972</v>
      </c>
      <c r="O46" s="635">
        <v>0</v>
      </c>
      <c r="P46" s="641">
        <v>0</v>
      </c>
      <c r="Q46" s="635">
        <v>0.16373387294092751</v>
      </c>
      <c r="R46" s="647">
        <v>0</v>
      </c>
      <c r="S46" s="641">
        <v>0.16373387294092751</v>
      </c>
      <c r="T46" s="635">
        <v>0</v>
      </c>
      <c r="U46" s="635">
        <v>0</v>
      </c>
      <c r="V46" s="635">
        <v>0</v>
      </c>
      <c r="W46" s="635">
        <v>0</v>
      </c>
      <c r="X46" s="635">
        <v>0</v>
      </c>
      <c r="Y46" s="635">
        <v>0</v>
      </c>
      <c r="Z46" s="635">
        <v>0</v>
      </c>
      <c r="AA46" s="635">
        <v>0</v>
      </c>
      <c r="AB46" s="635">
        <v>0</v>
      </c>
      <c r="AC46" s="637">
        <v>0</v>
      </c>
    </row>
    <row r="47" spans="1:29">
      <c r="A47" s="658"/>
      <c r="B47" s="665" t="s">
        <v>781</v>
      </c>
      <c r="C47" s="635">
        <v>2.592138175269842E-3</v>
      </c>
      <c r="D47" s="636">
        <v>0</v>
      </c>
      <c r="E47" s="636">
        <v>-5.5680021298483706E-3</v>
      </c>
      <c r="F47" s="636">
        <v>-2.1656320631262382E-2</v>
      </c>
      <c r="G47" s="636">
        <v>0</v>
      </c>
      <c r="H47" s="636">
        <v>0</v>
      </c>
      <c r="I47" s="641">
        <v>-1.8261061106372711E-3</v>
      </c>
      <c r="J47" s="635">
        <v>0</v>
      </c>
      <c r="K47" s="636">
        <v>1.9826622738672389E-2</v>
      </c>
      <c r="L47" s="650">
        <v>1.4751813763477187E-2</v>
      </c>
      <c r="M47" s="650">
        <v>1.0471190215316784E-2</v>
      </c>
      <c r="N47" s="641">
        <v>1.5099467401418071E-2</v>
      </c>
      <c r="O47" s="635">
        <v>0</v>
      </c>
      <c r="P47" s="641">
        <v>0</v>
      </c>
      <c r="Q47" s="651">
        <v>3.2486255304737172E-2</v>
      </c>
      <c r="R47" s="647">
        <v>0</v>
      </c>
      <c r="S47" s="641">
        <v>3.2486255304737172E-2</v>
      </c>
      <c r="T47" s="635">
        <v>0</v>
      </c>
      <c r="U47" s="635">
        <v>0</v>
      </c>
      <c r="V47" s="635">
        <v>0</v>
      </c>
      <c r="W47" s="635">
        <v>0</v>
      </c>
      <c r="X47" s="635">
        <v>0</v>
      </c>
      <c r="Y47" s="635">
        <v>0</v>
      </c>
      <c r="Z47" s="635">
        <v>0</v>
      </c>
      <c r="AA47" s="635">
        <v>0</v>
      </c>
      <c r="AB47" s="635">
        <v>0</v>
      </c>
      <c r="AC47" s="637">
        <v>0</v>
      </c>
    </row>
    <row r="48" spans="1:29">
      <c r="A48" s="655" t="s">
        <v>435</v>
      </c>
      <c r="B48" s="655" t="s">
        <v>775</v>
      </c>
      <c r="C48" s="632">
        <v>701522</v>
      </c>
      <c r="D48" s="633">
        <v>818878</v>
      </c>
      <c r="E48" s="633">
        <v>848338</v>
      </c>
      <c r="F48" s="633">
        <v>579768</v>
      </c>
      <c r="G48" s="633">
        <v>46277</v>
      </c>
      <c r="H48" s="633">
        <v>75010</v>
      </c>
      <c r="I48" s="640">
        <v>3069793</v>
      </c>
      <c r="J48" s="632">
        <v>0</v>
      </c>
      <c r="K48" s="633">
        <v>440310</v>
      </c>
      <c r="L48" s="633">
        <v>496928.5</v>
      </c>
      <c r="M48" s="633">
        <v>105360</v>
      </c>
      <c r="N48" s="640">
        <v>1042598.5</v>
      </c>
      <c r="O48" s="632">
        <v>0</v>
      </c>
      <c r="P48" s="640">
        <v>0</v>
      </c>
      <c r="Q48" s="632">
        <v>236716.5</v>
      </c>
      <c r="R48" s="646">
        <v>24618</v>
      </c>
      <c r="S48" s="640">
        <v>261334.5</v>
      </c>
      <c r="T48" s="632">
        <v>0</v>
      </c>
      <c r="U48" s="632">
        <v>0</v>
      </c>
      <c r="V48" s="632">
        <v>0</v>
      </c>
      <c r="W48" s="632">
        <v>0</v>
      </c>
      <c r="X48" s="632">
        <v>0</v>
      </c>
      <c r="Y48" s="632">
        <v>0</v>
      </c>
      <c r="Z48" s="632">
        <v>0</v>
      </c>
      <c r="AA48" s="632">
        <v>0</v>
      </c>
      <c r="AB48" s="632">
        <v>0</v>
      </c>
      <c r="AC48" s="634">
        <v>0</v>
      </c>
    </row>
    <row r="49" spans="1:29">
      <c r="A49" s="658"/>
      <c r="B49" s="665" t="s">
        <v>776</v>
      </c>
      <c r="C49" s="635">
        <v>13261</v>
      </c>
      <c r="D49" s="636">
        <v>30208</v>
      </c>
      <c r="E49" s="636">
        <v>47730</v>
      </c>
      <c r="F49" s="636">
        <v>22550</v>
      </c>
      <c r="G49" s="636">
        <v>1494</v>
      </c>
      <c r="H49" s="636">
        <v>5600</v>
      </c>
      <c r="I49" s="641">
        <v>120843</v>
      </c>
      <c r="J49" s="635">
        <v>0</v>
      </c>
      <c r="K49" s="636">
        <v>10602</v>
      </c>
      <c r="L49" s="636">
        <v>31534</v>
      </c>
      <c r="M49" s="636">
        <v>13814</v>
      </c>
      <c r="N49" s="641">
        <v>55950</v>
      </c>
      <c r="O49" s="635">
        <v>0</v>
      </c>
      <c r="P49" s="641">
        <v>0</v>
      </c>
      <c r="Q49" s="635">
        <v>23809</v>
      </c>
      <c r="R49" s="647">
        <v>1439</v>
      </c>
      <c r="S49" s="641">
        <v>25248</v>
      </c>
      <c r="T49" s="635">
        <v>0</v>
      </c>
      <c r="U49" s="635">
        <v>0</v>
      </c>
      <c r="V49" s="635">
        <v>0</v>
      </c>
      <c r="W49" s="635">
        <v>0</v>
      </c>
      <c r="X49" s="635">
        <v>0</v>
      </c>
      <c r="Y49" s="635">
        <v>0</v>
      </c>
      <c r="Z49" s="635">
        <v>0</v>
      </c>
      <c r="AA49" s="635">
        <v>0</v>
      </c>
      <c r="AB49" s="635">
        <v>0</v>
      </c>
      <c r="AC49" s="637">
        <v>0</v>
      </c>
    </row>
    <row r="50" spans="1:29">
      <c r="A50" s="658"/>
      <c r="B50" s="665" t="s">
        <v>777</v>
      </c>
      <c r="C50" s="635">
        <v>1.890318478964309E-2</v>
      </c>
      <c r="D50" s="636">
        <v>3.688950002320248E-2</v>
      </c>
      <c r="E50" s="636">
        <v>5.6262951795157119E-2</v>
      </c>
      <c r="F50" s="636">
        <v>3.8894868292144447E-2</v>
      </c>
      <c r="G50" s="636">
        <v>3.2283855911143765E-2</v>
      </c>
      <c r="H50" s="650">
        <v>7.4656712438341558E-2</v>
      </c>
      <c r="I50" s="641">
        <v>3.9365194982202381E-2</v>
      </c>
      <c r="J50" s="635">
        <v>0</v>
      </c>
      <c r="K50" s="636">
        <v>2.4078490154663758E-2</v>
      </c>
      <c r="L50" s="636">
        <v>6.3457821396840794E-2</v>
      </c>
      <c r="M50" s="650">
        <v>0.13111237661351557</v>
      </c>
      <c r="N50" s="641">
        <v>5.3663994337225691E-2</v>
      </c>
      <c r="O50" s="635">
        <v>0</v>
      </c>
      <c r="P50" s="641">
        <v>0</v>
      </c>
      <c r="Q50" s="635">
        <v>0.10058022993749907</v>
      </c>
      <c r="R50" s="647">
        <v>5.8453164351287674E-2</v>
      </c>
      <c r="S50" s="641">
        <v>9.661181359521992E-2</v>
      </c>
      <c r="T50" s="635">
        <v>0</v>
      </c>
      <c r="U50" s="635">
        <v>0</v>
      </c>
      <c r="V50" s="635">
        <v>0</v>
      </c>
      <c r="W50" s="635">
        <v>0</v>
      </c>
      <c r="X50" s="635">
        <v>0</v>
      </c>
      <c r="Y50" s="635">
        <v>0</v>
      </c>
      <c r="Z50" s="635">
        <v>0</v>
      </c>
      <c r="AA50" s="635">
        <v>0</v>
      </c>
      <c r="AB50" s="635">
        <v>0</v>
      </c>
      <c r="AC50" s="637">
        <v>0</v>
      </c>
    </row>
    <row r="51" spans="1:29">
      <c r="A51" s="658"/>
      <c r="B51" s="665" t="s">
        <v>778</v>
      </c>
      <c r="C51" s="635">
        <v>745363</v>
      </c>
      <c r="D51" s="636">
        <v>795412</v>
      </c>
      <c r="E51" s="636">
        <v>839448</v>
      </c>
      <c r="F51" s="636">
        <v>586975</v>
      </c>
      <c r="G51" s="636">
        <v>41596</v>
      </c>
      <c r="H51" s="636">
        <v>80535</v>
      </c>
      <c r="I51" s="641">
        <v>3089329</v>
      </c>
      <c r="J51" s="635">
        <v>0</v>
      </c>
      <c r="K51" s="636">
        <v>430515</v>
      </c>
      <c r="L51" s="636">
        <v>476165</v>
      </c>
      <c r="M51" s="636">
        <v>103171</v>
      </c>
      <c r="N51" s="641">
        <v>1009851</v>
      </c>
      <c r="O51" s="635">
        <v>0</v>
      </c>
      <c r="P51" s="641">
        <v>0</v>
      </c>
      <c r="Q51" s="635">
        <v>222545</v>
      </c>
      <c r="R51" s="647">
        <v>22823</v>
      </c>
      <c r="S51" s="641">
        <v>245368</v>
      </c>
      <c r="T51" s="635">
        <v>0</v>
      </c>
      <c r="U51" s="635">
        <v>0</v>
      </c>
      <c r="V51" s="635">
        <v>0</v>
      </c>
      <c r="W51" s="635">
        <v>0</v>
      </c>
      <c r="X51" s="635">
        <v>0</v>
      </c>
      <c r="Y51" s="635">
        <v>0</v>
      </c>
      <c r="Z51" s="635">
        <v>0</v>
      </c>
      <c r="AA51" s="635">
        <v>0</v>
      </c>
      <c r="AB51" s="635">
        <v>0</v>
      </c>
      <c r="AC51" s="637">
        <v>0</v>
      </c>
    </row>
    <row r="52" spans="1:29">
      <c r="A52" s="658"/>
      <c r="B52" s="665" t="s">
        <v>779</v>
      </c>
      <c r="C52" s="635">
        <v>18051</v>
      </c>
      <c r="D52" s="636">
        <v>29625</v>
      </c>
      <c r="E52" s="636">
        <v>48375</v>
      </c>
      <c r="F52" s="636">
        <v>26591</v>
      </c>
      <c r="G52" s="636">
        <v>2642</v>
      </c>
      <c r="H52" s="636">
        <v>5643</v>
      </c>
      <c r="I52" s="641">
        <v>130927</v>
      </c>
      <c r="J52" s="635">
        <v>0</v>
      </c>
      <c r="K52" s="636">
        <v>8455</v>
      </c>
      <c r="L52" s="636">
        <v>30270</v>
      </c>
      <c r="M52" s="636">
        <v>13253</v>
      </c>
      <c r="N52" s="641">
        <v>51978</v>
      </c>
      <c r="O52" s="635">
        <v>0</v>
      </c>
      <c r="P52" s="641">
        <v>0</v>
      </c>
      <c r="Q52" s="635">
        <v>18742</v>
      </c>
      <c r="R52" s="647">
        <v>1348</v>
      </c>
      <c r="S52" s="641">
        <v>20090</v>
      </c>
      <c r="T52" s="635">
        <v>0</v>
      </c>
      <c r="U52" s="635">
        <v>0</v>
      </c>
      <c r="V52" s="635">
        <v>0</v>
      </c>
      <c r="W52" s="635">
        <v>0</v>
      </c>
      <c r="X52" s="635">
        <v>0</v>
      </c>
      <c r="Y52" s="635">
        <v>0</v>
      </c>
      <c r="Z52" s="635">
        <v>0</v>
      </c>
      <c r="AA52" s="635">
        <v>0</v>
      </c>
      <c r="AB52" s="635">
        <v>0</v>
      </c>
      <c r="AC52" s="637">
        <v>0</v>
      </c>
    </row>
    <row r="53" spans="1:29">
      <c r="A53" s="658"/>
      <c r="B53" s="665" t="s">
        <v>780</v>
      </c>
      <c r="C53" s="635">
        <v>2.4217730152959027E-2</v>
      </c>
      <c r="D53" s="636">
        <v>3.7244849210220615E-2</v>
      </c>
      <c r="E53" s="636">
        <v>5.7627154987563253E-2</v>
      </c>
      <c r="F53" s="636">
        <v>4.5301759018697561E-2</v>
      </c>
      <c r="G53" s="636">
        <v>6.3515722665640928E-2</v>
      </c>
      <c r="H53" s="650">
        <v>7.006891413671075E-2</v>
      </c>
      <c r="I53" s="641">
        <v>4.2380400404100696E-2</v>
      </c>
      <c r="J53" s="635">
        <v>0</v>
      </c>
      <c r="K53" s="636">
        <v>1.9639269247296844E-2</v>
      </c>
      <c r="L53" s="636">
        <v>6.3570401016454378E-2</v>
      </c>
      <c r="M53" s="650">
        <v>0.12845663994727199</v>
      </c>
      <c r="N53" s="641">
        <v>5.1470959577204954E-2</v>
      </c>
      <c r="O53" s="635">
        <v>0</v>
      </c>
      <c r="P53" s="641">
        <v>0</v>
      </c>
      <c r="Q53" s="651">
        <v>8.4216675279157022E-2</v>
      </c>
      <c r="R53" s="647">
        <v>5.9063225693379483E-2</v>
      </c>
      <c r="S53" s="641">
        <v>8.18770173779792E-2</v>
      </c>
      <c r="T53" s="635">
        <v>0</v>
      </c>
      <c r="U53" s="635">
        <v>0</v>
      </c>
      <c r="V53" s="635">
        <v>0</v>
      </c>
      <c r="W53" s="635">
        <v>0</v>
      </c>
      <c r="X53" s="635">
        <v>0</v>
      </c>
      <c r="Y53" s="635">
        <v>0</v>
      </c>
      <c r="Z53" s="635">
        <v>0</v>
      </c>
      <c r="AA53" s="635">
        <v>0</v>
      </c>
      <c r="AB53" s="635">
        <v>0</v>
      </c>
      <c r="AC53" s="637">
        <v>0</v>
      </c>
    </row>
    <row r="54" spans="1:29">
      <c r="A54" s="658"/>
      <c r="B54" s="665" t="s">
        <v>781</v>
      </c>
      <c r="C54" s="635">
        <v>5.3145453633159367E-3</v>
      </c>
      <c r="D54" s="636">
        <v>3.5534918701813495E-4</v>
      </c>
      <c r="E54" s="650">
        <v>1.364203192406134E-3</v>
      </c>
      <c r="F54" s="647">
        <v>6.4068907265531147E-3</v>
      </c>
      <c r="G54" s="647">
        <v>3.1231866754497163E-2</v>
      </c>
      <c r="H54" s="650">
        <v>-4.5877983016308077E-3</v>
      </c>
      <c r="I54" s="641">
        <v>3.0152054218983149E-3</v>
      </c>
      <c r="J54" s="635">
        <v>0</v>
      </c>
      <c r="K54" s="636">
        <v>-4.4392209073669149E-3</v>
      </c>
      <c r="L54" s="650">
        <v>1.125796196135842E-4</v>
      </c>
      <c r="M54" s="650">
        <v>-2.65573666624358E-3</v>
      </c>
      <c r="N54" s="641">
        <v>-2.1930347600207373E-3</v>
      </c>
      <c r="O54" s="635">
        <v>0</v>
      </c>
      <c r="P54" s="641">
        <v>0</v>
      </c>
      <c r="Q54" s="651">
        <v>-1.636355465834205E-2</v>
      </c>
      <c r="R54" s="647">
        <v>6.1006134209180829E-4</v>
      </c>
      <c r="S54" s="641">
        <v>-1.473479621724072E-2</v>
      </c>
      <c r="T54" s="635">
        <v>0</v>
      </c>
      <c r="U54" s="635">
        <v>0</v>
      </c>
      <c r="V54" s="635">
        <v>0</v>
      </c>
      <c r="W54" s="635">
        <v>0</v>
      </c>
      <c r="X54" s="635">
        <v>0</v>
      </c>
      <c r="Y54" s="635">
        <v>0</v>
      </c>
      <c r="Z54" s="635">
        <v>0</v>
      </c>
      <c r="AA54" s="635">
        <v>0</v>
      </c>
      <c r="AB54" s="635">
        <v>0</v>
      </c>
      <c r="AC54" s="637">
        <v>0</v>
      </c>
    </row>
    <row r="55" spans="1:29">
      <c r="A55" s="655" t="s">
        <v>463</v>
      </c>
      <c r="B55" s="655" t="s">
        <v>775</v>
      </c>
      <c r="C55" s="632">
        <v>0</v>
      </c>
      <c r="D55" s="633">
        <v>0</v>
      </c>
      <c r="E55" s="633">
        <v>0</v>
      </c>
      <c r="F55" s="633">
        <v>0</v>
      </c>
      <c r="G55" s="633">
        <v>0</v>
      </c>
      <c r="H55" s="633">
        <v>0</v>
      </c>
      <c r="I55" s="640">
        <v>0</v>
      </c>
      <c r="J55" s="632">
        <v>0</v>
      </c>
      <c r="K55" s="633">
        <v>0</v>
      </c>
      <c r="L55" s="633">
        <v>0</v>
      </c>
      <c r="M55" s="633">
        <v>0</v>
      </c>
      <c r="N55" s="640">
        <v>0</v>
      </c>
      <c r="O55" s="632">
        <v>0</v>
      </c>
      <c r="P55" s="640">
        <v>0</v>
      </c>
      <c r="Q55" s="632">
        <v>0</v>
      </c>
      <c r="R55" s="646">
        <v>0</v>
      </c>
      <c r="S55" s="640">
        <v>0</v>
      </c>
      <c r="T55" s="632">
        <v>0</v>
      </c>
      <c r="U55" s="632">
        <v>0</v>
      </c>
      <c r="V55" s="632">
        <v>0</v>
      </c>
      <c r="W55" s="632">
        <v>0</v>
      </c>
      <c r="X55" s="632">
        <v>0</v>
      </c>
      <c r="Y55" s="632">
        <v>0</v>
      </c>
      <c r="Z55" s="632">
        <v>0</v>
      </c>
      <c r="AA55" s="632">
        <v>0</v>
      </c>
      <c r="AB55" s="632">
        <v>0</v>
      </c>
      <c r="AC55" s="634">
        <v>0</v>
      </c>
    </row>
    <row r="56" spans="1:29">
      <c r="A56" s="658"/>
      <c r="B56" s="665" t="s">
        <v>776</v>
      </c>
      <c r="C56" s="635">
        <v>0</v>
      </c>
      <c r="D56" s="636">
        <v>0</v>
      </c>
      <c r="E56" s="636">
        <v>0</v>
      </c>
      <c r="F56" s="636">
        <v>0</v>
      </c>
      <c r="G56" s="636">
        <v>0</v>
      </c>
      <c r="H56" s="636">
        <v>0</v>
      </c>
      <c r="I56" s="641">
        <v>0</v>
      </c>
      <c r="J56" s="635">
        <v>0</v>
      </c>
      <c r="K56" s="636">
        <v>0</v>
      </c>
      <c r="L56" s="636">
        <v>0</v>
      </c>
      <c r="M56" s="636">
        <v>0</v>
      </c>
      <c r="N56" s="641">
        <v>0</v>
      </c>
      <c r="O56" s="635">
        <v>0</v>
      </c>
      <c r="P56" s="641">
        <v>0</v>
      </c>
      <c r="Q56" s="635">
        <v>0</v>
      </c>
      <c r="R56" s="647">
        <v>0</v>
      </c>
      <c r="S56" s="641">
        <v>0</v>
      </c>
      <c r="T56" s="635">
        <v>0</v>
      </c>
      <c r="U56" s="635">
        <v>0</v>
      </c>
      <c r="V56" s="635">
        <v>0</v>
      </c>
      <c r="W56" s="635">
        <v>0</v>
      </c>
      <c r="X56" s="635">
        <v>0</v>
      </c>
      <c r="Y56" s="635">
        <v>0</v>
      </c>
      <c r="Z56" s="635">
        <v>0</v>
      </c>
      <c r="AA56" s="635">
        <v>0</v>
      </c>
      <c r="AB56" s="635">
        <v>0</v>
      </c>
      <c r="AC56" s="637">
        <v>0</v>
      </c>
    </row>
    <row r="57" spans="1:29">
      <c r="A57" s="658"/>
      <c r="B57" s="665" t="s">
        <v>777</v>
      </c>
      <c r="C57" s="635">
        <v>0</v>
      </c>
      <c r="D57" s="636">
        <v>0</v>
      </c>
      <c r="E57" s="636">
        <v>0</v>
      </c>
      <c r="F57" s="636">
        <v>0</v>
      </c>
      <c r="G57" s="636">
        <v>0</v>
      </c>
      <c r="H57" s="636">
        <v>0</v>
      </c>
      <c r="I57" s="641">
        <v>0</v>
      </c>
      <c r="J57" s="635">
        <v>0</v>
      </c>
      <c r="K57" s="636">
        <v>0</v>
      </c>
      <c r="L57" s="636">
        <v>0</v>
      </c>
      <c r="M57" s="636">
        <v>0</v>
      </c>
      <c r="N57" s="641">
        <v>0</v>
      </c>
      <c r="O57" s="635">
        <v>0</v>
      </c>
      <c r="P57" s="641">
        <v>0</v>
      </c>
      <c r="Q57" s="635">
        <v>0</v>
      </c>
      <c r="R57" s="647">
        <v>0</v>
      </c>
      <c r="S57" s="641">
        <v>0</v>
      </c>
      <c r="T57" s="635">
        <v>0</v>
      </c>
      <c r="U57" s="635">
        <v>0</v>
      </c>
      <c r="V57" s="635">
        <v>0</v>
      </c>
      <c r="W57" s="635">
        <v>0</v>
      </c>
      <c r="X57" s="635">
        <v>0</v>
      </c>
      <c r="Y57" s="635">
        <v>0</v>
      </c>
      <c r="Z57" s="635">
        <v>0</v>
      </c>
      <c r="AA57" s="635">
        <v>0</v>
      </c>
      <c r="AB57" s="635">
        <v>0</v>
      </c>
      <c r="AC57" s="637">
        <v>0</v>
      </c>
    </row>
    <row r="58" spans="1:29">
      <c r="A58" s="658"/>
      <c r="B58" s="665" t="s">
        <v>778</v>
      </c>
      <c r="C58" s="635">
        <v>0</v>
      </c>
      <c r="D58" s="636">
        <v>0</v>
      </c>
      <c r="E58" s="636">
        <v>0</v>
      </c>
      <c r="F58" s="636">
        <v>0</v>
      </c>
      <c r="G58" s="636">
        <v>0</v>
      </c>
      <c r="H58" s="636">
        <v>0</v>
      </c>
      <c r="I58" s="641">
        <v>0</v>
      </c>
      <c r="J58" s="635">
        <v>0</v>
      </c>
      <c r="K58" s="636">
        <v>0</v>
      </c>
      <c r="L58" s="636">
        <v>0</v>
      </c>
      <c r="M58" s="636">
        <v>0</v>
      </c>
      <c r="N58" s="641">
        <v>0</v>
      </c>
      <c r="O58" s="635">
        <v>0</v>
      </c>
      <c r="P58" s="641">
        <v>0</v>
      </c>
      <c r="Q58" s="635">
        <v>0</v>
      </c>
      <c r="R58" s="647">
        <v>0</v>
      </c>
      <c r="S58" s="641">
        <v>0</v>
      </c>
      <c r="T58" s="635">
        <v>0</v>
      </c>
      <c r="U58" s="635">
        <v>0</v>
      </c>
      <c r="V58" s="635">
        <v>0</v>
      </c>
      <c r="W58" s="635">
        <v>0</v>
      </c>
      <c r="X58" s="635">
        <v>0</v>
      </c>
      <c r="Y58" s="635">
        <v>0</v>
      </c>
      <c r="Z58" s="635">
        <v>0</v>
      </c>
      <c r="AA58" s="635">
        <v>0</v>
      </c>
      <c r="AB58" s="635">
        <v>0</v>
      </c>
      <c r="AC58" s="637">
        <v>0</v>
      </c>
    </row>
    <row r="59" spans="1:29">
      <c r="A59" s="658"/>
      <c r="B59" s="665" t="s">
        <v>779</v>
      </c>
      <c r="C59" s="635">
        <v>0</v>
      </c>
      <c r="D59" s="636">
        <v>0</v>
      </c>
      <c r="E59" s="636">
        <v>0</v>
      </c>
      <c r="F59" s="636">
        <v>0</v>
      </c>
      <c r="G59" s="636">
        <v>0</v>
      </c>
      <c r="H59" s="636">
        <v>0</v>
      </c>
      <c r="I59" s="641">
        <v>0</v>
      </c>
      <c r="J59" s="635">
        <v>0</v>
      </c>
      <c r="K59" s="636">
        <v>0</v>
      </c>
      <c r="L59" s="636">
        <v>0</v>
      </c>
      <c r="M59" s="636">
        <v>0</v>
      </c>
      <c r="N59" s="641">
        <v>0</v>
      </c>
      <c r="O59" s="635">
        <v>0</v>
      </c>
      <c r="P59" s="641">
        <v>0</v>
      </c>
      <c r="Q59" s="635">
        <v>0</v>
      </c>
      <c r="R59" s="647">
        <v>0</v>
      </c>
      <c r="S59" s="641">
        <v>0</v>
      </c>
      <c r="T59" s="635">
        <v>0</v>
      </c>
      <c r="U59" s="635">
        <v>0</v>
      </c>
      <c r="V59" s="635">
        <v>0</v>
      </c>
      <c r="W59" s="635">
        <v>0</v>
      </c>
      <c r="X59" s="635">
        <v>0</v>
      </c>
      <c r="Y59" s="635">
        <v>0</v>
      </c>
      <c r="Z59" s="635">
        <v>0</v>
      </c>
      <c r="AA59" s="635">
        <v>0</v>
      </c>
      <c r="AB59" s="635">
        <v>0</v>
      </c>
      <c r="AC59" s="637">
        <v>0</v>
      </c>
    </row>
    <row r="60" spans="1:29">
      <c r="A60" s="658"/>
      <c r="B60" s="665" t="s">
        <v>780</v>
      </c>
      <c r="C60" s="635">
        <v>0</v>
      </c>
      <c r="D60" s="636">
        <v>0</v>
      </c>
      <c r="E60" s="636">
        <v>0</v>
      </c>
      <c r="F60" s="636">
        <v>0</v>
      </c>
      <c r="G60" s="636">
        <v>0</v>
      </c>
      <c r="H60" s="636">
        <v>0</v>
      </c>
      <c r="I60" s="641">
        <v>0</v>
      </c>
      <c r="J60" s="635">
        <v>0</v>
      </c>
      <c r="K60" s="636">
        <v>0</v>
      </c>
      <c r="L60" s="636">
        <v>0</v>
      </c>
      <c r="M60" s="636">
        <v>0</v>
      </c>
      <c r="N60" s="641">
        <v>0</v>
      </c>
      <c r="O60" s="635">
        <v>0</v>
      </c>
      <c r="P60" s="641">
        <v>0</v>
      </c>
      <c r="Q60" s="635">
        <v>0</v>
      </c>
      <c r="R60" s="647">
        <v>0</v>
      </c>
      <c r="S60" s="641">
        <v>0</v>
      </c>
      <c r="T60" s="635">
        <v>0</v>
      </c>
      <c r="U60" s="635">
        <v>0</v>
      </c>
      <c r="V60" s="635">
        <v>0</v>
      </c>
      <c r="W60" s="635">
        <v>0</v>
      </c>
      <c r="X60" s="635">
        <v>0</v>
      </c>
      <c r="Y60" s="635">
        <v>0</v>
      </c>
      <c r="Z60" s="635">
        <v>0</v>
      </c>
      <c r="AA60" s="635">
        <v>0</v>
      </c>
      <c r="AB60" s="635">
        <v>0</v>
      </c>
      <c r="AC60" s="637">
        <v>0</v>
      </c>
    </row>
    <row r="61" spans="1:29">
      <c r="A61" s="658"/>
      <c r="B61" s="665" t="s">
        <v>781</v>
      </c>
      <c r="C61" s="635">
        <v>0</v>
      </c>
      <c r="D61" s="636">
        <v>0</v>
      </c>
      <c r="E61" s="636">
        <v>0</v>
      </c>
      <c r="F61" s="636">
        <v>0</v>
      </c>
      <c r="G61" s="636">
        <v>0</v>
      </c>
      <c r="H61" s="636">
        <v>0</v>
      </c>
      <c r="I61" s="641">
        <v>0</v>
      </c>
      <c r="J61" s="635">
        <v>0</v>
      </c>
      <c r="K61" s="636">
        <v>0</v>
      </c>
      <c r="L61" s="636">
        <v>0</v>
      </c>
      <c r="M61" s="636">
        <v>0</v>
      </c>
      <c r="N61" s="641">
        <v>0</v>
      </c>
      <c r="O61" s="635">
        <v>0</v>
      </c>
      <c r="P61" s="641">
        <v>0</v>
      </c>
      <c r="Q61" s="635">
        <v>0</v>
      </c>
      <c r="R61" s="647">
        <v>0</v>
      </c>
      <c r="S61" s="641">
        <v>0</v>
      </c>
      <c r="T61" s="635">
        <v>0</v>
      </c>
      <c r="U61" s="635">
        <v>0</v>
      </c>
      <c r="V61" s="635">
        <v>0</v>
      </c>
      <c r="W61" s="635">
        <v>0</v>
      </c>
      <c r="X61" s="635">
        <v>0</v>
      </c>
      <c r="Y61" s="635">
        <v>0</v>
      </c>
      <c r="Z61" s="635">
        <v>0</v>
      </c>
      <c r="AA61" s="635">
        <v>0</v>
      </c>
      <c r="AB61" s="635">
        <v>0</v>
      </c>
      <c r="AC61" s="637">
        <v>0</v>
      </c>
    </row>
    <row r="62" spans="1:29">
      <c r="A62" s="655" t="s">
        <v>230</v>
      </c>
      <c r="B62" s="655" t="s">
        <v>775</v>
      </c>
      <c r="C62" s="632">
        <v>0</v>
      </c>
      <c r="D62" s="633">
        <v>0</v>
      </c>
      <c r="E62" s="633">
        <v>0</v>
      </c>
      <c r="F62" s="633">
        <v>0</v>
      </c>
      <c r="G62" s="633">
        <v>0</v>
      </c>
      <c r="H62" s="633">
        <v>0</v>
      </c>
      <c r="I62" s="640">
        <v>0</v>
      </c>
      <c r="J62" s="632">
        <v>0</v>
      </c>
      <c r="K62" s="633">
        <v>0</v>
      </c>
      <c r="L62" s="633">
        <v>0</v>
      </c>
      <c r="M62" s="633">
        <v>0</v>
      </c>
      <c r="N62" s="640">
        <v>0</v>
      </c>
      <c r="O62" s="632">
        <v>0</v>
      </c>
      <c r="P62" s="640">
        <v>0</v>
      </c>
      <c r="Q62" s="632">
        <v>0</v>
      </c>
      <c r="R62" s="646">
        <v>0</v>
      </c>
      <c r="S62" s="640">
        <v>0</v>
      </c>
      <c r="T62" s="632">
        <v>0</v>
      </c>
      <c r="U62" s="632">
        <v>0</v>
      </c>
      <c r="V62" s="632">
        <v>0</v>
      </c>
      <c r="W62" s="632">
        <v>0</v>
      </c>
      <c r="X62" s="632">
        <v>0</v>
      </c>
      <c r="Y62" s="632">
        <v>0</v>
      </c>
      <c r="Z62" s="632">
        <v>0</v>
      </c>
      <c r="AA62" s="632">
        <v>0</v>
      </c>
      <c r="AB62" s="632">
        <v>0</v>
      </c>
      <c r="AC62" s="634">
        <v>0</v>
      </c>
    </row>
    <row r="63" spans="1:29">
      <c r="A63" s="658"/>
      <c r="B63" s="665" t="s">
        <v>776</v>
      </c>
      <c r="C63" s="635">
        <v>0</v>
      </c>
      <c r="D63" s="636">
        <v>0</v>
      </c>
      <c r="E63" s="636">
        <v>0</v>
      </c>
      <c r="F63" s="636">
        <v>0</v>
      </c>
      <c r="G63" s="636">
        <v>0</v>
      </c>
      <c r="H63" s="636">
        <v>0</v>
      </c>
      <c r="I63" s="641">
        <v>0</v>
      </c>
      <c r="J63" s="635">
        <v>0</v>
      </c>
      <c r="K63" s="636">
        <v>0</v>
      </c>
      <c r="L63" s="636">
        <v>0</v>
      </c>
      <c r="M63" s="636">
        <v>0</v>
      </c>
      <c r="N63" s="641">
        <v>0</v>
      </c>
      <c r="O63" s="635">
        <v>0</v>
      </c>
      <c r="P63" s="641">
        <v>0</v>
      </c>
      <c r="Q63" s="635">
        <v>0</v>
      </c>
      <c r="R63" s="647">
        <v>0</v>
      </c>
      <c r="S63" s="641">
        <v>0</v>
      </c>
      <c r="T63" s="635">
        <v>0</v>
      </c>
      <c r="U63" s="635">
        <v>0</v>
      </c>
      <c r="V63" s="635">
        <v>0</v>
      </c>
      <c r="W63" s="635">
        <v>0</v>
      </c>
      <c r="X63" s="635">
        <v>0</v>
      </c>
      <c r="Y63" s="635">
        <v>0</v>
      </c>
      <c r="Z63" s="635">
        <v>0</v>
      </c>
      <c r="AA63" s="635">
        <v>0</v>
      </c>
      <c r="AB63" s="635">
        <v>0</v>
      </c>
      <c r="AC63" s="637">
        <v>0</v>
      </c>
    </row>
    <row r="64" spans="1:29">
      <c r="A64" s="658"/>
      <c r="B64" s="665" t="s">
        <v>777</v>
      </c>
      <c r="C64" s="635">
        <v>0</v>
      </c>
      <c r="D64" s="636">
        <v>0</v>
      </c>
      <c r="E64" s="636">
        <v>0</v>
      </c>
      <c r="F64" s="636">
        <v>0</v>
      </c>
      <c r="G64" s="636">
        <v>0</v>
      </c>
      <c r="H64" s="636">
        <v>0</v>
      </c>
      <c r="I64" s="641">
        <v>0</v>
      </c>
      <c r="J64" s="635">
        <v>0</v>
      </c>
      <c r="K64" s="636">
        <v>0</v>
      </c>
      <c r="L64" s="636">
        <v>0</v>
      </c>
      <c r="M64" s="636">
        <v>0</v>
      </c>
      <c r="N64" s="641">
        <v>0</v>
      </c>
      <c r="O64" s="635">
        <v>0</v>
      </c>
      <c r="P64" s="641">
        <v>0</v>
      </c>
      <c r="Q64" s="635">
        <v>0</v>
      </c>
      <c r="R64" s="647">
        <v>0</v>
      </c>
      <c r="S64" s="641">
        <v>0</v>
      </c>
      <c r="T64" s="635">
        <v>0</v>
      </c>
      <c r="U64" s="635">
        <v>0</v>
      </c>
      <c r="V64" s="635">
        <v>0</v>
      </c>
      <c r="W64" s="635">
        <v>0</v>
      </c>
      <c r="X64" s="635">
        <v>0</v>
      </c>
      <c r="Y64" s="635">
        <v>0</v>
      </c>
      <c r="Z64" s="635">
        <v>0</v>
      </c>
      <c r="AA64" s="635">
        <v>0</v>
      </c>
      <c r="AB64" s="635">
        <v>0</v>
      </c>
      <c r="AC64" s="637">
        <v>0</v>
      </c>
    </row>
    <row r="65" spans="1:29">
      <c r="A65" s="658"/>
      <c r="B65" s="665" t="s">
        <v>778</v>
      </c>
      <c r="C65" s="635">
        <v>0</v>
      </c>
      <c r="D65" s="636">
        <v>0</v>
      </c>
      <c r="E65" s="636">
        <v>0</v>
      </c>
      <c r="F65" s="636">
        <v>0</v>
      </c>
      <c r="G65" s="636">
        <v>0</v>
      </c>
      <c r="H65" s="636">
        <v>0</v>
      </c>
      <c r="I65" s="641">
        <v>0</v>
      </c>
      <c r="J65" s="635">
        <v>0</v>
      </c>
      <c r="K65" s="636">
        <v>0</v>
      </c>
      <c r="L65" s="636">
        <v>0</v>
      </c>
      <c r="M65" s="636">
        <v>0</v>
      </c>
      <c r="N65" s="641">
        <v>0</v>
      </c>
      <c r="O65" s="635">
        <v>0</v>
      </c>
      <c r="P65" s="641">
        <v>0</v>
      </c>
      <c r="Q65" s="635">
        <v>0</v>
      </c>
      <c r="R65" s="647">
        <v>0</v>
      </c>
      <c r="S65" s="641">
        <v>0</v>
      </c>
      <c r="T65" s="635">
        <v>0</v>
      </c>
      <c r="U65" s="635">
        <v>0</v>
      </c>
      <c r="V65" s="635">
        <v>0</v>
      </c>
      <c r="W65" s="635">
        <v>0</v>
      </c>
      <c r="X65" s="635">
        <v>0</v>
      </c>
      <c r="Y65" s="635">
        <v>0</v>
      </c>
      <c r="Z65" s="635">
        <v>0</v>
      </c>
      <c r="AA65" s="635">
        <v>0</v>
      </c>
      <c r="AB65" s="635">
        <v>0</v>
      </c>
      <c r="AC65" s="637">
        <v>0</v>
      </c>
    </row>
    <row r="66" spans="1:29">
      <c r="A66" s="658"/>
      <c r="B66" s="665" t="s">
        <v>779</v>
      </c>
      <c r="C66" s="635">
        <v>0</v>
      </c>
      <c r="D66" s="636">
        <v>0</v>
      </c>
      <c r="E66" s="636">
        <v>0</v>
      </c>
      <c r="F66" s="636">
        <v>0</v>
      </c>
      <c r="G66" s="636">
        <v>0</v>
      </c>
      <c r="H66" s="636">
        <v>0</v>
      </c>
      <c r="I66" s="641">
        <v>0</v>
      </c>
      <c r="J66" s="635">
        <v>0</v>
      </c>
      <c r="K66" s="636">
        <v>0</v>
      </c>
      <c r="L66" s="636">
        <v>0</v>
      </c>
      <c r="M66" s="636">
        <v>0</v>
      </c>
      <c r="N66" s="641">
        <v>0</v>
      </c>
      <c r="O66" s="635">
        <v>0</v>
      </c>
      <c r="P66" s="641">
        <v>0</v>
      </c>
      <c r="Q66" s="635">
        <v>0</v>
      </c>
      <c r="R66" s="647">
        <v>0</v>
      </c>
      <c r="S66" s="641">
        <v>0</v>
      </c>
      <c r="T66" s="635">
        <v>0</v>
      </c>
      <c r="U66" s="635">
        <v>0</v>
      </c>
      <c r="V66" s="635">
        <v>0</v>
      </c>
      <c r="W66" s="635">
        <v>0</v>
      </c>
      <c r="X66" s="635">
        <v>0</v>
      </c>
      <c r="Y66" s="635">
        <v>0</v>
      </c>
      <c r="Z66" s="635">
        <v>0</v>
      </c>
      <c r="AA66" s="635">
        <v>0</v>
      </c>
      <c r="AB66" s="635">
        <v>0</v>
      </c>
      <c r="AC66" s="637">
        <v>0</v>
      </c>
    </row>
    <row r="67" spans="1:29">
      <c r="A67" s="658"/>
      <c r="B67" s="665" t="s">
        <v>780</v>
      </c>
      <c r="C67" s="635">
        <v>0</v>
      </c>
      <c r="D67" s="636">
        <v>0</v>
      </c>
      <c r="E67" s="636">
        <v>0</v>
      </c>
      <c r="F67" s="636">
        <v>0</v>
      </c>
      <c r="G67" s="636">
        <v>0</v>
      </c>
      <c r="H67" s="636">
        <v>0</v>
      </c>
      <c r="I67" s="641">
        <v>0</v>
      </c>
      <c r="J67" s="635">
        <v>0</v>
      </c>
      <c r="K67" s="636">
        <v>0</v>
      </c>
      <c r="L67" s="636">
        <v>0</v>
      </c>
      <c r="M67" s="636">
        <v>0</v>
      </c>
      <c r="N67" s="641">
        <v>0</v>
      </c>
      <c r="O67" s="635">
        <v>0</v>
      </c>
      <c r="P67" s="641">
        <v>0</v>
      </c>
      <c r="Q67" s="635">
        <v>0</v>
      </c>
      <c r="R67" s="647">
        <v>0</v>
      </c>
      <c r="S67" s="641">
        <v>0</v>
      </c>
      <c r="T67" s="635">
        <v>0</v>
      </c>
      <c r="U67" s="635">
        <v>0</v>
      </c>
      <c r="V67" s="635">
        <v>0</v>
      </c>
      <c r="W67" s="635">
        <v>0</v>
      </c>
      <c r="X67" s="635">
        <v>0</v>
      </c>
      <c r="Y67" s="635">
        <v>0</v>
      </c>
      <c r="Z67" s="635">
        <v>0</v>
      </c>
      <c r="AA67" s="635">
        <v>0</v>
      </c>
      <c r="AB67" s="635">
        <v>0</v>
      </c>
      <c r="AC67" s="637">
        <v>0</v>
      </c>
    </row>
    <row r="68" spans="1:29">
      <c r="A68" s="658"/>
      <c r="B68" s="665" t="s">
        <v>781</v>
      </c>
      <c r="C68" s="635">
        <v>0</v>
      </c>
      <c r="D68" s="636">
        <v>0</v>
      </c>
      <c r="E68" s="636">
        <v>0</v>
      </c>
      <c r="F68" s="636">
        <v>0</v>
      </c>
      <c r="G68" s="636">
        <v>0</v>
      </c>
      <c r="H68" s="636">
        <v>0</v>
      </c>
      <c r="I68" s="641">
        <v>0</v>
      </c>
      <c r="J68" s="635">
        <v>0</v>
      </c>
      <c r="K68" s="636">
        <v>0</v>
      </c>
      <c r="L68" s="636">
        <v>0</v>
      </c>
      <c r="M68" s="636">
        <v>0</v>
      </c>
      <c r="N68" s="641">
        <v>0</v>
      </c>
      <c r="O68" s="635">
        <v>0</v>
      </c>
      <c r="P68" s="641">
        <v>0</v>
      </c>
      <c r="Q68" s="635">
        <v>0</v>
      </c>
      <c r="R68" s="647">
        <v>0</v>
      </c>
      <c r="S68" s="641">
        <v>0</v>
      </c>
      <c r="T68" s="635">
        <v>0</v>
      </c>
      <c r="U68" s="635">
        <v>0</v>
      </c>
      <c r="V68" s="635">
        <v>0</v>
      </c>
      <c r="W68" s="635">
        <v>0</v>
      </c>
      <c r="X68" s="635">
        <v>0</v>
      </c>
      <c r="Y68" s="635">
        <v>0</v>
      </c>
      <c r="Z68" s="635">
        <v>0</v>
      </c>
      <c r="AA68" s="635">
        <v>0</v>
      </c>
      <c r="AB68" s="635">
        <v>0</v>
      </c>
      <c r="AC68" s="637">
        <v>0</v>
      </c>
    </row>
    <row r="69" spans="1:29">
      <c r="A69" s="655" t="s">
        <v>239</v>
      </c>
      <c r="B69" s="655" t="s">
        <v>775</v>
      </c>
      <c r="C69" s="632">
        <v>2418197</v>
      </c>
      <c r="D69" s="633">
        <v>641242</v>
      </c>
      <c r="E69" s="633">
        <v>1715562.5</v>
      </c>
      <c r="F69" s="633">
        <v>150115</v>
      </c>
      <c r="G69" s="633">
        <v>302850</v>
      </c>
      <c r="H69" s="633">
        <v>145335</v>
      </c>
      <c r="I69" s="640">
        <v>5373301.5</v>
      </c>
      <c r="J69" s="632">
        <v>0</v>
      </c>
      <c r="K69" s="633">
        <v>2101626.5</v>
      </c>
      <c r="L69" s="633">
        <v>1632672</v>
      </c>
      <c r="M69" s="633">
        <v>789083.5</v>
      </c>
      <c r="N69" s="640">
        <v>4523382</v>
      </c>
      <c r="O69" s="632">
        <v>0</v>
      </c>
      <c r="P69" s="640">
        <v>0</v>
      </c>
      <c r="Q69" s="632">
        <v>0</v>
      </c>
      <c r="R69" s="646">
        <v>0</v>
      </c>
      <c r="S69" s="640">
        <v>0</v>
      </c>
      <c r="T69" s="632">
        <v>27437</v>
      </c>
      <c r="U69" s="632">
        <v>27437</v>
      </c>
      <c r="V69" s="632">
        <v>0</v>
      </c>
      <c r="W69" s="632">
        <v>0</v>
      </c>
      <c r="X69" s="632">
        <v>0</v>
      </c>
      <c r="Y69" s="632">
        <v>0</v>
      </c>
      <c r="Z69" s="632">
        <v>0</v>
      </c>
      <c r="AA69" s="632">
        <v>0</v>
      </c>
      <c r="AB69" s="632">
        <v>0</v>
      </c>
      <c r="AC69" s="634">
        <v>0</v>
      </c>
    </row>
    <row r="70" spans="1:29">
      <c r="A70" s="658"/>
      <c r="B70" s="665" t="s">
        <v>776</v>
      </c>
      <c r="C70" s="635">
        <v>8248</v>
      </c>
      <c r="D70" s="636">
        <v>302</v>
      </c>
      <c r="E70" s="636">
        <v>9561</v>
      </c>
      <c r="F70" s="636">
        <v>7860</v>
      </c>
      <c r="G70" s="636">
        <v>0</v>
      </c>
      <c r="H70" s="636">
        <v>0</v>
      </c>
      <c r="I70" s="641">
        <v>25971</v>
      </c>
      <c r="J70" s="635">
        <v>0</v>
      </c>
      <c r="K70" s="636">
        <v>204541.5</v>
      </c>
      <c r="L70" s="636">
        <v>350400</v>
      </c>
      <c r="M70" s="636">
        <v>203058.5</v>
      </c>
      <c r="N70" s="641">
        <v>758000</v>
      </c>
      <c r="O70" s="635">
        <v>0</v>
      </c>
      <c r="P70" s="641">
        <v>0</v>
      </c>
      <c r="Q70" s="635">
        <v>0</v>
      </c>
      <c r="R70" s="647">
        <v>0</v>
      </c>
      <c r="S70" s="641">
        <v>0</v>
      </c>
      <c r="T70" s="635">
        <v>0</v>
      </c>
      <c r="U70" s="635">
        <v>0</v>
      </c>
      <c r="V70" s="635">
        <v>0</v>
      </c>
      <c r="W70" s="635">
        <v>0</v>
      </c>
      <c r="X70" s="635">
        <v>0</v>
      </c>
      <c r="Y70" s="635">
        <v>0</v>
      </c>
      <c r="Z70" s="635">
        <v>0</v>
      </c>
      <c r="AA70" s="635">
        <v>0</v>
      </c>
      <c r="AB70" s="635">
        <v>0</v>
      </c>
      <c r="AC70" s="637">
        <v>0</v>
      </c>
    </row>
    <row r="71" spans="1:29">
      <c r="A71" s="658"/>
      <c r="B71" s="665" t="s">
        <v>777</v>
      </c>
      <c r="C71" s="635">
        <v>3.4108056539645035E-3</v>
      </c>
      <c r="D71" s="636">
        <v>4.7096104122936426E-4</v>
      </c>
      <c r="E71" s="636">
        <v>5.5730992021567269E-3</v>
      </c>
      <c r="F71" s="636">
        <v>5.2359857442627319E-2</v>
      </c>
      <c r="G71" s="636">
        <v>0</v>
      </c>
      <c r="H71" s="636">
        <v>0</v>
      </c>
      <c r="I71" s="641">
        <v>4.8333412893358024E-3</v>
      </c>
      <c r="J71" s="635">
        <v>0</v>
      </c>
      <c r="K71" s="636">
        <v>9.7325333497650504E-2</v>
      </c>
      <c r="L71" s="650">
        <v>0.21461751043687893</v>
      </c>
      <c r="M71" s="650">
        <v>0.25733461667871649</v>
      </c>
      <c r="N71" s="641">
        <v>0.1675737313364204</v>
      </c>
      <c r="O71" s="635">
        <v>0</v>
      </c>
      <c r="P71" s="641">
        <v>0</v>
      </c>
      <c r="Q71" s="635">
        <v>0</v>
      </c>
      <c r="R71" s="647">
        <v>0</v>
      </c>
      <c r="S71" s="641">
        <v>0</v>
      </c>
      <c r="T71" s="635">
        <v>0</v>
      </c>
      <c r="U71" s="635">
        <v>0</v>
      </c>
      <c r="V71" s="635">
        <v>0</v>
      </c>
      <c r="W71" s="635">
        <v>0</v>
      </c>
      <c r="X71" s="635">
        <v>0</v>
      </c>
      <c r="Y71" s="635">
        <v>0</v>
      </c>
      <c r="Z71" s="635">
        <v>0</v>
      </c>
      <c r="AA71" s="635">
        <v>0</v>
      </c>
      <c r="AB71" s="635">
        <v>0</v>
      </c>
      <c r="AC71" s="637">
        <v>0</v>
      </c>
    </row>
    <row r="72" spans="1:29">
      <c r="A72" s="658"/>
      <c r="B72" s="665" t="s">
        <v>778</v>
      </c>
      <c r="C72" s="635">
        <v>2454605</v>
      </c>
      <c r="D72" s="636">
        <v>633192</v>
      </c>
      <c r="E72" s="636">
        <v>1733548</v>
      </c>
      <c r="F72" s="636">
        <v>150073</v>
      </c>
      <c r="G72" s="636">
        <v>307836</v>
      </c>
      <c r="H72" s="636">
        <v>146810</v>
      </c>
      <c r="I72" s="641">
        <v>5426064</v>
      </c>
      <c r="J72" s="635">
        <v>0</v>
      </c>
      <c r="K72" s="636">
        <v>2090712.5</v>
      </c>
      <c r="L72" s="636">
        <v>1639071.8</v>
      </c>
      <c r="M72" s="636">
        <v>782878.5</v>
      </c>
      <c r="N72" s="641">
        <v>4512662.8</v>
      </c>
      <c r="O72" s="635">
        <v>0</v>
      </c>
      <c r="P72" s="641">
        <v>0</v>
      </c>
      <c r="Q72" s="635">
        <v>0</v>
      </c>
      <c r="R72" s="647">
        <v>0</v>
      </c>
      <c r="S72" s="641">
        <v>0</v>
      </c>
      <c r="T72" s="635">
        <v>26718</v>
      </c>
      <c r="U72" s="635">
        <v>26718</v>
      </c>
      <c r="V72" s="635">
        <v>0</v>
      </c>
      <c r="W72" s="635">
        <v>0</v>
      </c>
      <c r="X72" s="635">
        <v>0</v>
      </c>
      <c r="Y72" s="635">
        <v>0</v>
      </c>
      <c r="Z72" s="635">
        <v>0</v>
      </c>
      <c r="AA72" s="635">
        <v>0</v>
      </c>
      <c r="AB72" s="635">
        <v>0</v>
      </c>
      <c r="AC72" s="637">
        <v>0</v>
      </c>
    </row>
    <row r="73" spans="1:29">
      <c r="A73" s="658"/>
      <c r="B73" s="665" t="s">
        <v>779</v>
      </c>
      <c r="C73" s="635">
        <v>8921</v>
      </c>
      <c r="D73" s="636">
        <v>762</v>
      </c>
      <c r="E73" s="636">
        <v>11752</v>
      </c>
      <c r="F73" s="636">
        <v>7856</v>
      </c>
      <c r="G73" s="636">
        <v>0</v>
      </c>
      <c r="H73" s="636">
        <v>9</v>
      </c>
      <c r="I73" s="641">
        <v>29300</v>
      </c>
      <c r="J73" s="635">
        <v>0</v>
      </c>
      <c r="K73" s="636">
        <v>239859</v>
      </c>
      <c r="L73" s="636">
        <v>376063.5</v>
      </c>
      <c r="M73" s="636">
        <v>231235</v>
      </c>
      <c r="N73" s="641">
        <v>847157.5</v>
      </c>
      <c r="O73" s="635">
        <v>0</v>
      </c>
      <c r="P73" s="641">
        <v>0</v>
      </c>
      <c r="Q73" s="635">
        <v>0</v>
      </c>
      <c r="R73" s="647">
        <v>0</v>
      </c>
      <c r="S73" s="641">
        <v>0</v>
      </c>
      <c r="T73" s="635">
        <v>0</v>
      </c>
      <c r="U73" s="635">
        <v>0</v>
      </c>
      <c r="V73" s="635">
        <v>0</v>
      </c>
      <c r="W73" s="635">
        <v>0</v>
      </c>
      <c r="X73" s="635">
        <v>0</v>
      </c>
      <c r="Y73" s="635">
        <v>0</v>
      </c>
      <c r="Z73" s="635">
        <v>0</v>
      </c>
      <c r="AA73" s="635">
        <v>0</v>
      </c>
      <c r="AB73" s="635">
        <v>0</v>
      </c>
      <c r="AC73" s="637">
        <v>0</v>
      </c>
    </row>
    <row r="74" spans="1:29">
      <c r="A74" s="658"/>
      <c r="B74" s="665" t="s">
        <v>780</v>
      </c>
      <c r="C74" s="510">
        <v>3.634393313791832E-3</v>
      </c>
      <c r="D74" s="636">
        <v>1.2034264488496381E-3</v>
      </c>
      <c r="E74" s="636">
        <v>6.7791604270548032E-3</v>
      </c>
      <c r="F74" s="636">
        <v>5.2347857376076973E-2</v>
      </c>
      <c r="G74" s="636">
        <v>0</v>
      </c>
      <c r="H74" s="636">
        <v>6.1303725904229961E-5</v>
      </c>
      <c r="I74" s="641">
        <v>5.3998625891622364E-3</v>
      </c>
      <c r="J74" s="635">
        <v>0</v>
      </c>
      <c r="K74" s="636">
        <v>0.11472596064738695</v>
      </c>
      <c r="L74" s="650">
        <v>0.22943686786631312</v>
      </c>
      <c r="M74" s="650">
        <v>0.29536511732024828</v>
      </c>
      <c r="N74" s="641">
        <v>0.18772896126872143</v>
      </c>
      <c r="O74" s="635">
        <v>0</v>
      </c>
      <c r="P74" s="641">
        <v>0</v>
      </c>
      <c r="Q74" s="635">
        <v>0</v>
      </c>
      <c r="R74" s="647">
        <v>0</v>
      </c>
      <c r="S74" s="641">
        <v>0</v>
      </c>
      <c r="T74" s="635">
        <v>0</v>
      </c>
      <c r="U74" s="635">
        <v>0</v>
      </c>
      <c r="V74" s="635">
        <v>0</v>
      </c>
      <c r="W74" s="635">
        <v>0</v>
      </c>
      <c r="X74" s="635">
        <v>0</v>
      </c>
      <c r="Y74" s="635">
        <v>0</v>
      </c>
      <c r="Z74" s="635">
        <v>0</v>
      </c>
      <c r="AA74" s="635">
        <v>0</v>
      </c>
      <c r="AB74" s="635">
        <v>0</v>
      </c>
      <c r="AC74" s="637">
        <v>0</v>
      </c>
    </row>
    <row r="75" spans="1:29">
      <c r="A75" s="658"/>
      <c r="B75" s="665" t="s">
        <v>781</v>
      </c>
      <c r="C75" s="635">
        <v>2.2358765982732854E-4</v>
      </c>
      <c r="D75" s="636">
        <v>7.3246540762027376E-4</v>
      </c>
      <c r="E75" s="636">
        <v>1.2060612248980763E-3</v>
      </c>
      <c r="F75" s="650">
        <v>-1.2000066550346689E-5</v>
      </c>
      <c r="G75" s="636">
        <v>0</v>
      </c>
      <c r="H75" s="636">
        <v>6.1303725904229961E-5</v>
      </c>
      <c r="I75" s="641">
        <v>5.6652129982643403E-4</v>
      </c>
      <c r="J75" s="635">
        <v>0</v>
      </c>
      <c r="K75" s="636">
        <v>1.7400627149736447E-2</v>
      </c>
      <c r="L75" s="650">
        <v>1.4819357429434188E-2</v>
      </c>
      <c r="M75" s="650">
        <v>3.8030500641531795E-2</v>
      </c>
      <c r="N75" s="641">
        <v>2.0155229932301039E-2</v>
      </c>
      <c r="O75" s="635">
        <v>0</v>
      </c>
      <c r="P75" s="641">
        <v>0</v>
      </c>
      <c r="Q75" s="635">
        <v>0</v>
      </c>
      <c r="R75" s="647">
        <v>0</v>
      </c>
      <c r="S75" s="641">
        <v>0</v>
      </c>
      <c r="T75" s="635">
        <v>0</v>
      </c>
      <c r="U75" s="635">
        <v>0</v>
      </c>
      <c r="V75" s="635">
        <v>0</v>
      </c>
      <c r="W75" s="635">
        <v>0</v>
      </c>
      <c r="X75" s="635">
        <v>0</v>
      </c>
      <c r="Y75" s="635">
        <v>0</v>
      </c>
      <c r="Z75" s="635">
        <v>0</v>
      </c>
      <c r="AA75" s="635">
        <v>0</v>
      </c>
      <c r="AB75" s="635">
        <v>0</v>
      </c>
      <c r="AC75" s="637">
        <v>0</v>
      </c>
    </row>
    <row r="76" spans="1:29">
      <c r="A76" s="655" t="s">
        <v>936</v>
      </c>
      <c r="B76" s="655" t="s">
        <v>775</v>
      </c>
      <c r="C76" s="632">
        <v>0</v>
      </c>
      <c r="D76" s="633">
        <v>0</v>
      </c>
      <c r="E76" s="633">
        <v>0</v>
      </c>
      <c r="F76" s="633">
        <v>0</v>
      </c>
      <c r="G76" s="633">
        <v>0</v>
      </c>
      <c r="H76" s="633">
        <v>0</v>
      </c>
      <c r="I76" s="640">
        <v>0</v>
      </c>
      <c r="J76" s="632">
        <v>0</v>
      </c>
      <c r="K76" s="633">
        <v>0</v>
      </c>
      <c r="L76" s="633">
        <v>0</v>
      </c>
      <c r="M76" s="633">
        <v>0</v>
      </c>
      <c r="N76" s="640">
        <v>0</v>
      </c>
      <c r="O76" s="632">
        <v>0</v>
      </c>
      <c r="P76" s="640">
        <v>0</v>
      </c>
      <c r="Q76" s="632">
        <v>0</v>
      </c>
      <c r="R76" s="646">
        <v>0</v>
      </c>
      <c r="S76" s="640">
        <v>0</v>
      </c>
      <c r="T76" s="632">
        <v>0</v>
      </c>
      <c r="U76" s="632">
        <v>0</v>
      </c>
      <c r="V76" s="632">
        <v>0</v>
      </c>
      <c r="W76" s="632">
        <v>0</v>
      </c>
      <c r="X76" s="632">
        <v>0</v>
      </c>
      <c r="Y76" s="632">
        <v>0</v>
      </c>
      <c r="Z76" s="632">
        <v>0</v>
      </c>
      <c r="AA76" s="632">
        <v>0</v>
      </c>
      <c r="AB76" s="632">
        <v>0</v>
      </c>
      <c r="AC76" s="634">
        <v>0</v>
      </c>
    </row>
    <row r="77" spans="1:29">
      <c r="A77" s="658"/>
      <c r="B77" s="665" t="s">
        <v>776</v>
      </c>
      <c r="C77" s="635">
        <v>0</v>
      </c>
      <c r="D77" s="636">
        <v>0</v>
      </c>
      <c r="E77" s="636">
        <v>0</v>
      </c>
      <c r="F77" s="636">
        <v>0</v>
      </c>
      <c r="G77" s="636">
        <v>0</v>
      </c>
      <c r="H77" s="636">
        <v>0</v>
      </c>
      <c r="I77" s="641">
        <v>0</v>
      </c>
      <c r="J77" s="635">
        <v>0</v>
      </c>
      <c r="K77" s="636">
        <v>0</v>
      </c>
      <c r="L77" s="636">
        <v>0</v>
      </c>
      <c r="M77" s="636">
        <v>0</v>
      </c>
      <c r="N77" s="641">
        <v>0</v>
      </c>
      <c r="O77" s="635">
        <v>0</v>
      </c>
      <c r="P77" s="641">
        <v>0</v>
      </c>
      <c r="Q77" s="635">
        <v>0</v>
      </c>
      <c r="R77" s="647">
        <v>0</v>
      </c>
      <c r="S77" s="641">
        <v>0</v>
      </c>
      <c r="T77" s="635">
        <v>0</v>
      </c>
      <c r="U77" s="635">
        <v>0</v>
      </c>
      <c r="V77" s="635">
        <v>0</v>
      </c>
      <c r="W77" s="635">
        <v>0</v>
      </c>
      <c r="X77" s="635">
        <v>0</v>
      </c>
      <c r="Y77" s="635">
        <v>0</v>
      </c>
      <c r="Z77" s="635">
        <v>0</v>
      </c>
      <c r="AA77" s="635">
        <v>0</v>
      </c>
      <c r="AB77" s="635">
        <v>0</v>
      </c>
      <c r="AC77" s="637">
        <v>0</v>
      </c>
    </row>
    <row r="78" spans="1:29">
      <c r="A78" s="658"/>
      <c r="B78" s="665" t="s">
        <v>777</v>
      </c>
      <c r="C78" s="635">
        <v>0</v>
      </c>
      <c r="D78" s="636">
        <v>0</v>
      </c>
      <c r="E78" s="636">
        <v>0</v>
      </c>
      <c r="F78" s="636">
        <v>0</v>
      </c>
      <c r="G78" s="636">
        <v>0</v>
      </c>
      <c r="H78" s="636">
        <v>0</v>
      </c>
      <c r="I78" s="641">
        <v>0</v>
      </c>
      <c r="J78" s="635">
        <v>0</v>
      </c>
      <c r="K78" s="636">
        <v>0</v>
      </c>
      <c r="L78" s="636">
        <v>0</v>
      </c>
      <c r="M78" s="650">
        <v>0</v>
      </c>
      <c r="N78" s="641">
        <v>0</v>
      </c>
      <c r="O78" s="635">
        <v>0</v>
      </c>
      <c r="P78" s="641">
        <v>0</v>
      </c>
      <c r="Q78" s="635">
        <v>0</v>
      </c>
      <c r="R78" s="647">
        <v>0</v>
      </c>
      <c r="S78" s="641">
        <v>0</v>
      </c>
      <c r="T78" s="635">
        <v>0</v>
      </c>
      <c r="U78" s="635">
        <v>0</v>
      </c>
      <c r="V78" s="635">
        <v>0</v>
      </c>
      <c r="W78" s="635">
        <v>0</v>
      </c>
      <c r="X78" s="635">
        <v>0</v>
      </c>
      <c r="Y78" s="635">
        <v>0</v>
      </c>
      <c r="Z78" s="635">
        <v>0</v>
      </c>
      <c r="AA78" s="635">
        <v>0</v>
      </c>
      <c r="AB78" s="635">
        <v>0</v>
      </c>
      <c r="AC78" s="637">
        <v>0</v>
      </c>
    </row>
    <row r="79" spans="1:29">
      <c r="A79" s="658"/>
      <c r="B79" s="665" t="s">
        <v>778</v>
      </c>
      <c r="C79" s="635">
        <v>0</v>
      </c>
      <c r="D79" s="636">
        <v>0</v>
      </c>
      <c r="E79" s="636">
        <v>0</v>
      </c>
      <c r="F79" s="636">
        <v>0</v>
      </c>
      <c r="G79" s="636">
        <v>0</v>
      </c>
      <c r="H79" s="636">
        <v>0</v>
      </c>
      <c r="I79" s="641">
        <v>0</v>
      </c>
      <c r="J79" s="635">
        <v>0</v>
      </c>
      <c r="K79" s="636">
        <v>0</v>
      </c>
      <c r="L79" s="636">
        <v>0</v>
      </c>
      <c r="M79" s="636">
        <v>0</v>
      </c>
      <c r="N79" s="641">
        <v>0</v>
      </c>
      <c r="O79" s="635">
        <v>0</v>
      </c>
      <c r="P79" s="641">
        <v>0</v>
      </c>
      <c r="Q79" s="635">
        <v>0</v>
      </c>
      <c r="R79" s="647">
        <v>0</v>
      </c>
      <c r="S79" s="641">
        <v>0</v>
      </c>
      <c r="T79" s="635">
        <v>0</v>
      </c>
      <c r="U79" s="635">
        <v>0</v>
      </c>
      <c r="V79" s="635">
        <v>0</v>
      </c>
      <c r="W79" s="635">
        <v>0</v>
      </c>
      <c r="X79" s="635">
        <v>0</v>
      </c>
      <c r="Y79" s="635">
        <v>0</v>
      </c>
      <c r="Z79" s="635">
        <v>0</v>
      </c>
      <c r="AA79" s="635">
        <v>0</v>
      </c>
      <c r="AB79" s="635">
        <v>0</v>
      </c>
      <c r="AC79" s="637">
        <v>0</v>
      </c>
    </row>
    <row r="80" spans="1:29">
      <c r="A80" s="658"/>
      <c r="B80" s="665" t="s">
        <v>779</v>
      </c>
      <c r="C80" s="635">
        <v>0</v>
      </c>
      <c r="D80" s="636">
        <v>0</v>
      </c>
      <c r="E80" s="636">
        <v>0</v>
      </c>
      <c r="F80" s="636">
        <v>0</v>
      </c>
      <c r="G80" s="636">
        <v>0</v>
      </c>
      <c r="H80" s="636">
        <v>0</v>
      </c>
      <c r="I80" s="641">
        <v>0</v>
      </c>
      <c r="J80" s="635">
        <v>0</v>
      </c>
      <c r="K80" s="636">
        <v>0</v>
      </c>
      <c r="L80" s="636">
        <v>0</v>
      </c>
      <c r="M80" s="636">
        <v>0</v>
      </c>
      <c r="N80" s="641">
        <v>0</v>
      </c>
      <c r="O80" s="635">
        <v>0</v>
      </c>
      <c r="P80" s="641">
        <v>0</v>
      </c>
      <c r="Q80" s="635">
        <v>0</v>
      </c>
      <c r="R80" s="647">
        <v>0</v>
      </c>
      <c r="S80" s="641">
        <v>0</v>
      </c>
      <c r="T80" s="635">
        <v>0</v>
      </c>
      <c r="U80" s="635">
        <v>0</v>
      </c>
      <c r="V80" s="635">
        <v>0</v>
      </c>
      <c r="W80" s="635">
        <v>0</v>
      </c>
      <c r="X80" s="635">
        <v>0</v>
      </c>
      <c r="Y80" s="635">
        <v>0</v>
      </c>
      <c r="Z80" s="635">
        <v>0</v>
      </c>
      <c r="AA80" s="635">
        <v>0</v>
      </c>
      <c r="AB80" s="635">
        <v>0</v>
      </c>
      <c r="AC80" s="637">
        <v>0</v>
      </c>
    </row>
    <row r="81" spans="1:29">
      <c r="A81" s="658"/>
      <c r="B81" s="665" t="s">
        <v>780</v>
      </c>
      <c r="C81" s="635">
        <v>0</v>
      </c>
      <c r="D81" s="636">
        <v>0</v>
      </c>
      <c r="E81" s="636">
        <v>0</v>
      </c>
      <c r="F81" s="636">
        <v>0</v>
      </c>
      <c r="G81" s="636">
        <v>0</v>
      </c>
      <c r="H81" s="636">
        <v>0</v>
      </c>
      <c r="I81" s="641">
        <v>0</v>
      </c>
      <c r="J81" s="635">
        <v>0</v>
      </c>
      <c r="K81" s="636">
        <v>0</v>
      </c>
      <c r="L81" s="636">
        <v>0</v>
      </c>
      <c r="M81" s="636">
        <v>0</v>
      </c>
      <c r="N81" s="641">
        <v>0</v>
      </c>
      <c r="O81" s="635">
        <v>0</v>
      </c>
      <c r="P81" s="641">
        <v>0</v>
      </c>
      <c r="Q81" s="635">
        <v>0</v>
      </c>
      <c r="R81" s="647">
        <v>0</v>
      </c>
      <c r="S81" s="641">
        <v>0</v>
      </c>
      <c r="T81" s="635">
        <v>0</v>
      </c>
      <c r="U81" s="635">
        <v>0</v>
      </c>
      <c r="V81" s="635">
        <v>0</v>
      </c>
      <c r="W81" s="635">
        <v>0</v>
      </c>
      <c r="X81" s="635">
        <v>0</v>
      </c>
      <c r="Y81" s="635">
        <v>0</v>
      </c>
      <c r="Z81" s="635">
        <v>0</v>
      </c>
      <c r="AA81" s="635">
        <v>0</v>
      </c>
      <c r="AB81" s="635">
        <v>0</v>
      </c>
      <c r="AC81" s="637">
        <v>0</v>
      </c>
    </row>
    <row r="82" spans="1:29">
      <c r="A82" s="658"/>
      <c r="B82" s="665" t="s">
        <v>781</v>
      </c>
      <c r="C82" s="635">
        <v>0</v>
      </c>
      <c r="D82" s="636">
        <v>0</v>
      </c>
      <c r="E82" s="636">
        <v>0</v>
      </c>
      <c r="F82" s="636">
        <v>0</v>
      </c>
      <c r="G82" s="636">
        <v>0</v>
      </c>
      <c r="H82" s="636">
        <v>0</v>
      </c>
      <c r="I82" s="641">
        <v>0</v>
      </c>
      <c r="J82" s="635">
        <v>0</v>
      </c>
      <c r="K82" s="636">
        <v>0</v>
      </c>
      <c r="L82" s="650">
        <v>0</v>
      </c>
      <c r="M82" s="650">
        <v>0</v>
      </c>
      <c r="N82" s="641">
        <v>0</v>
      </c>
      <c r="O82" s="635">
        <v>0</v>
      </c>
      <c r="P82" s="641">
        <v>0</v>
      </c>
      <c r="Q82" s="635">
        <v>0</v>
      </c>
      <c r="R82" s="647">
        <v>0</v>
      </c>
      <c r="S82" s="641">
        <v>0</v>
      </c>
      <c r="T82" s="635">
        <v>0</v>
      </c>
      <c r="U82" s="635">
        <v>0</v>
      </c>
      <c r="V82" s="635">
        <v>0</v>
      </c>
      <c r="W82" s="635">
        <v>0</v>
      </c>
      <c r="X82" s="635">
        <v>0</v>
      </c>
      <c r="Y82" s="635">
        <v>0</v>
      </c>
      <c r="Z82" s="635">
        <v>0</v>
      </c>
      <c r="AA82" s="635">
        <v>0</v>
      </c>
      <c r="AB82" s="635">
        <v>0</v>
      </c>
      <c r="AC82" s="637">
        <v>0</v>
      </c>
    </row>
    <row r="83" spans="1:29">
      <c r="A83" s="655" t="s">
        <v>491</v>
      </c>
      <c r="B83" s="655" t="s">
        <v>775</v>
      </c>
      <c r="C83" s="632">
        <v>1432247</v>
      </c>
      <c r="D83" s="633">
        <v>0</v>
      </c>
      <c r="E83" s="633">
        <v>523449</v>
      </c>
      <c r="F83" s="633">
        <v>291098</v>
      </c>
      <c r="G83" s="633">
        <v>83297</v>
      </c>
      <c r="H83" s="633">
        <v>389777.5</v>
      </c>
      <c r="I83" s="640">
        <v>2719868.5</v>
      </c>
      <c r="J83" s="632">
        <v>0</v>
      </c>
      <c r="K83" s="633">
        <v>837358</v>
      </c>
      <c r="L83" s="633">
        <v>597754</v>
      </c>
      <c r="M83" s="633">
        <v>293690</v>
      </c>
      <c r="N83" s="640">
        <v>1728802</v>
      </c>
      <c r="O83" s="632">
        <v>0</v>
      </c>
      <c r="P83" s="640">
        <v>0</v>
      </c>
      <c r="Q83" s="632">
        <v>0</v>
      </c>
      <c r="R83" s="646">
        <v>0</v>
      </c>
      <c r="S83" s="640">
        <v>0</v>
      </c>
      <c r="T83" s="632">
        <v>0</v>
      </c>
      <c r="U83" s="632">
        <v>0</v>
      </c>
      <c r="V83" s="632">
        <v>0</v>
      </c>
      <c r="W83" s="632">
        <v>0</v>
      </c>
      <c r="X83" s="632">
        <v>0</v>
      </c>
      <c r="Y83" s="632">
        <v>0</v>
      </c>
      <c r="Z83" s="632">
        <v>0</v>
      </c>
      <c r="AA83" s="632">
        <v>0</v>
      </c>
      <c r="AB83" s="632">
        <v>0</v>
      </c>
      <c r="AC83" s="634">
        <v>0</v>
      </c>
    </row>
    <row r="84" spans="1:29">
      <c r="A84" s="658"/>
      <c r="B84" s="665" t="s">
        <v>776</v>
      </c>
      <c r="C84" s="635">
        <v>262</v>
      </c>
      <c r="D84" s="636">
        <v>0</v>
      </c>
      <c r="E84" s="636">
        <v>2290</v>
      </c>
      <c r="F84" s="636">
        <v>2674</v>
      </c>
      <c r="G84" s="636">
        <v>3015</v>
      </c>
      <c r="H84" s="636">
        <v>8111</v>
      </c>
      <c r="I84" s="641">
        <v>16352</v>
      </c>
      <c r="J84" s="635">
        <v>0</v>
      </c>
      <c r="K84" s="636">
        <v>59277</v>
      </c>
      <c r="L84" s="636">
        <v>50250</v>
      </c>
      <c r="M84" s="636">
        <v>63081</v>
      </c>
      <c r="N84" s="641">
        <v>172608</v>
      </c>
      <c r="O84" s="635">
        <v>0</v>
      </c>
      <c r="P84" s="641">
        <v>0</v>
      </c>
      <c r="Q84" s="635">
        <v>0</v>
      </c>
      <c r="R84" s="647">
        <v>0</v>
      </c>
      <c r="S84" s="641">
        <v>0</v>
      </c>
      <c r="T84" s="635">
        <v>0</v>
      </c>
      <c r="U84" s="635">
        <v>0</v>
      </c>
      <c r="V84" s="635">
        <v>0</v>
      </c>
      <c r="W84" s="635">
        <v>0</v>
      </c>
      <c r="X84" s="635">
        <v>0</v>
      </c>
      <c r="Y84" s="635">
        <v>0</v>
      </c>
      <c r="Z84" s="635">
        <v>0</v>
      </c>
      <c r="AA84" s="635">
        <v>0</v>
      </c>
      <c r="AB84" s="635">
        <v>0</v>
      </c>
      <c r="AC84" s="637">
        <v>0</v>
      </c>
    </row>
    <row r="85" spans="1:29">
      <c r="A85" s="658"/>
      <c r="B85" s="665" t="s">
        <v>777</v>
      </c>
      <c r="C85" s="635">
        <v>1.829293410982882E-4</v>
      </c>
      <c r="D85" s="636">
        <v>0</v>
      </c>
      <c r="E85" s="636">
        <v>4.3748292574825815E-3</v>
      </c>
      <c r="F85" s="636">
        <v>9.1859098997588446E-3</v>
      </c>
      <c r="G85" s="650">
        <v>3.6195781360673251E-2</v>
      </c>
      <c r="H85" s="636">
        <v>2.0809307874364219E-2</v>
      </c>
      <c r="I85" s="641">
        <v>6.0120553622353429E-3</v>
      </c>
      <c r="J85" s="635">
        <v>0</v>
      </c>
      <c r="K85" s="636">
        <v>7.0790510152169084E-2</v>
      </c>
      <c r="L85" s="636">
        <v>8.4064682126761173E-2</v>
      </c>
      <c r="M85" s="636">
        <v>0.21478770131771596</v>
      </c>
      <c r="N85" s="641">
        <v>9.9842549927637747E-2</v>
      </c>
      <c r="O85" s="635">
        <v>0</v>
      </c>
      <c r="P85" s="641">
        <v>0</v>
      </c>
      <c r="Q85" s="635">
        <v>0</v>
      </c>
      <c r="R85" s="647">
        <v>0</v>
      </c>
      <c r="S85" s="641">
        <v>0</v>
      </c>
      <c r="T85" s="635">
        <v>0</v>
      </c>
      <c r="U85" s="635">
        <v>0</v>
      </c>
      <c r="V85" s="635">
        <v>0</v>
      </c>
      <c r="W85" s="635">
        <v>0</v>
      </c>
      <c r="X85" s="635">
        <v>0</v>
      </c>
      <c r="Y85" s="635">
        <v>0</v>
      </c>
      <c r="Z85" s="635">
        <v>0</v>
      </c>
      <c r="AA85" s="635">
        <v>0</v>
      </c>
      <c r="AB85" s="635">
        <v>0</v>
      </c>
      <c r="AC85" s="637">
        <v>0</v>
      </c>
    </row>
    <row r="86" spans="1:29">
      <c r="A86" s="658"/>
      <c r="B86" s="665" t="s">
        <v>778</v>
      </c>
      <c r="C86" s="635">
        <v>1466593</v>
      </c>
      <c r="D86" s="636">
        <v>0</v>
      </c>
      <c r="E86" s="636">
        <v>510901.5</v>
      </c>
      <c r="F86" s="636">
        <v>283759</v>
      </c>
      <c r="G86" s="636">
        <v>150496</v>
      </c>
      <c r="H86" s="636">
        <v>387620</v>
      </c>
      <c r="I86" s="641">
        <v>2799369.5</v>
      </c>
      <c r="J86" s="635">
        <v>0</v>
      </c>
      <c r="K86" s="636">
        <v>816309</v>
      </c>
      <c r="L86" s="636">
        <v>573968</v>
      </c>
      <c r="M86" s="636">
        <v>288830</v>
      </c>
      <c r="N86" s="641">
        <v>1679107</v>
      </c>
      <c r="O86" s="635">
        <v>0</v>
      </c>
      <c r="P86" s="641">
        <v>0</v>
      </c>
      <c r="Q86" s="635">
        <v>0</v>
      </c>
      <c r="R86" s="647">
        <v>0</v>
      </c>
      <c r="S86" s="641">
        <v>0</v>
      </c>
      <c r="T86" s="635">
        <v>0</v>
      </c>
      <c r="U86" s="635">
        <v>0</v>
      </c>
      <c r="V86" s="635">
        <v>0</v>
      </c>
      <c r="W86" s="635">
        <v>0</v>
      </c>
      <c r="X86" s="635">
        <v>0</v>
      </c>
      <c r="Y86" s="635">
        <v>0</v>
      </c>
      <c r="Z86" s="635">
        <v>0</v>
      </c>
      <c r="AA86" s="635">
        <v>0</v>
      </c>
      <c r="AB86" s="635">
        <v>0</v>
      </c>
      <c r="AC86" s="637">
        <v>0</v>
      </c>
    </row>
    <row r="87" spans="1:29">
      <c r="A87" s="658"/>
      <c r="B87" s="665" t="s">
        <v>779</v>
      </c>
      <c r="C87" s="635">
        <v>224</v>
      </c>
      <c r="D87" s="636">
        <v>0</v>
      </c>
      <c r="E87" s="636">
        <v>1890</v>
      </c>
      <c r="F87" s="636">
        <v>2560</v>
      </c>
      <c r="G87" s="636">
        <v>4952</v>
      </c>
      <c r="H87" s="636">
        <v>8463</v>
      </c>
      <c r="I87" s="641">
        <v>18089</v>
      </c>
      <c r="J87" s="635">
        <v>0</v>
      </c>
      <c r="K87" s="636">
        <v>71418</v>
      </c>
      <c r="L87" s="636">
        <v>56812</v>
      </c>
      <c r="M87" s="636">
        <v>69932</v>
      </c>
      <c r="N87" s="641">
        <v>198162</v>
      </c>
      <c r="O87" s="635">
        <v>0</v>
      </c>
      <c r="P87" s="641">
        <v>0</v>
      </c>
      <c r="Q87" s="635">
        <v>0</v>
      </c>
      <c r="R87" s="647">
        <v>0</v>
      </c>
      <c r="S87" s="641">
        <v>0</v>
      </c>
      <c r="T87" s="635">
        <v>0</v>
      </c>
      <c r="U87" s="635">
        <v>0</v>
      </c>
      <c r="V87" s="635">
        <v>0</v>
      </c>
      <c r="W87" s="635">
        <v>0</v>
      </c>
      <c r="X87" s="635">
        <v>0</v>
      </c>
      <c r="Y87" s="635">
        <v>0</v>
      </c>
      <c r="Z87" s="635">
        <v>0</v>
      </c>
      <c r="AA87" s="635">
        <v>0</v>
      </c>
      <c r="AB87" s="635">
        <v>0</v>
      </c>
      <c r="AC87" s="637">
        <v>0</v>
      </c>
    </row>
    <row r="88" spans="1:29">
      <c r="A88" s="658"/>
      <c r="B88" s="665" t="s">
        <v>780</v>
      </c>
      <c r="C88" s="635">
        <v>1.5273494418696938E-4</v>
      </c>
      <c r="D88" s="636">
        <v>0</v>
      </c>
      <c r="E88" s="636">
        <v>3.6993432197791553E-3</v>
      </c>
      <c r="F88" s="636">
        <v>9.0217402796034657E-3</v>
      </c>
      <c r="G88" s="650">
        <v>3.290452902402722E-2</v>
      </c>
      <c r="H88" s="636">
        <v>2.1833238738971156E-2</v>
      </c>
      <c r="I88" s="641">
        <v>6.4618122044981918E-3</v>
      </c>
      <c r="J88" s="635">
        <v>0</v>
      </c>
      <c r="K88" s="636">
        <v>8.7488928824746515E-2</v>
      </c>
      <c r="L88" s="636">
        <v>9.8981127867755689E-2</v>
      </c>
      <c r="M88" s="650">
        <v>0.2421216632621265</v>
      </c>
      <c r="N88" s="641">
        <v>0.11801630271328747</v>
      </c>
      <c r="O88" s="635">
        <v>0</v>
      </c>
      <c r="P88" s="641">
        <v>0</v>
      </c>
      <c r="Q88" s="635">
        <v>0</v>
      </c>
      <c r="R88" s="647">
        <v>0</v>
      </c>
      <c r="S88" s="641">
        <v>0</v>
      </c>
      <c r="T88" s="635">
        <v>0</v>
      </c>
      <c r="U88" s="635">
        <v>0</v>
      </c>
      <c r="V88" s="635">
        <v>0</v>
      </c>
      <c r="W88" s="635">
        <v>0</v>
      </c>
      <c r="X88" s="635">
        <v>0</v>
      </c>
      <c r="Y88" s="635">
        <v>0</v>
      </c>
      <c r="Z88" s="635">
        <v>0</v>
      </c>
      <c r="AA88" s="635">
        <v>0</v>
      </c>
      <c r="AB88" s="635">
        <v>0</v>
      </c>
      <c r="AC88" s="637">
        <v>0</v>
      </c>
    </row>
    <row r="89" spans="1:29">
      <c r="A89" s="658"/>
      <c r="B89" s="665" t="s">
        <v>781</v>
      </c>
      <c r="C89" s="635">
        <v>-3.0194396911318824E-5</v>
      </c>
      <c r="D89" s="636">
        <v>0</v>
      </c>
      <c r="E89" s="636">
        <v>-6.754860377034262E-4</v>
      </c>
      <c r="F89" s="636">
        <v>-1.6416962015537891E-4</v>
      </c>
      <c r="G89" s="636">
        <v>-3.291252336646032E-3</v>
      </c>
      <c r="H89" s="650">
        <v>1.0239308646069374E-3</v>
      </c>
      <c r="I89" s="641">
        <v>4.4975684226284882E-4</v>
      </c>
      <c r="J89" s="635">
        <v>0</v>
      </c>
      <c r="K89" s="636">
        <v>1.6698418672577431E-2</v>
      </c>
      <c r="L89" s="650">
        <v>1.4916445740994516E-2</v>
      </c>
      <c r="M89" s="650">
        <v>2.733396194441054E-2</v>
      </c>
      <c r="N89" s="641">
        <v>1.8173752785649727E-2</v>
      </c>
      <c r="O89" s="635">
        <v>0</v>
      </c>
      <c r="P89" s="641">
        <v>0</v>
      </c>
      <c r="Q89" s="635">
        <v>0</v>
      </c>
      <c r="R89" s="647">
        <v>0</v>
      </c>
      <c r="S89" s="641">
        <v>0</v>
      </c>
      <c r="T89" s="635">
        <v>0</v>
      </c>
      <c r="U89" s="635">
        <v>0</v>
      </c>
      <c r="V89" s="635">
        <v>0</v>
      </c>
      <c r="W89" s="635">
        <v>0</v>
      </c>
      <c r="X89" s="635">
        <v>0</v>
      </c>
      <c r="Y89" s="635">
        <v>0</v>
      </c>
      <c r="Z89" s="635">
        <v>0</v>
      </c>
      <c r="AA89" s="635">
        <v>0</v>
      </c>
      <c r="AB89" s="635">
        <v>0</v>
      </c>
      <c r="AC89" s="637">
        <v>0</v>
      </c>
    </row>
    <row r="90" spans="1:29">
      <c r="A90" s="655" t="s">
        <v>359</v>
      </c>
      <c r="B90" s="655" t="s">
        <v>775</v>
      </c>
      <c r="C90" s="632">
        <v>1067679</v>
      </c>
      <c r="D90" s="633">
        <v>980786</v>
      </c>
      <c r="E90" s="633">
        <v>779427</v>
      </c>
      <c r="F90" s="633">
        <v>163299</v>
      </c>
      <c r="G90" s="633">
        <v>0</v>
      </c>
      <c r="H90" s="633">
        <v>0</v>
      </c>
      <c r="I90" s="640">
        <v>2991191</v>
      </c>
      <c r="J90" s="632">
        <v>0</v>
      </c>
      <c r="K90" s="633">
        <v>908111</v>
      </c>
      <c r="L90" s="633">
        <v>797708</v>
      </c>
      <c r="M90" s="633">
        <v>53108</v>
      </c>
      <c r="N90" s="640">
        <v>1758927</v>
      </c>
      <c r="O90" s="632">
        <v>0</v>
      </c>
      <c r="P90" s="640">
        <v>0</v>
      </c>
      <c r="Q90" s="632">
        <v>0</v>
      </c>
      <c r="R90" s="646">
        <v>0</v>
      </c>
      <c r="S90" s="640">
        <v>0</v>
      </c>
      <c r="T90" s="632">
        <v>0</v>
      </c>
      <c r="U90" s="632">
        <v>0</v>
      </c>
      <c r="V90" s="632">
        <v>0</v>
      </c>
      <c r="W90" s="653">
        <v>0</v>
      </c>
      <c r="X90" s="632">
        <v>0</v>
      </c>
      <c r="Y90" s="653">
        <v>0</v>
      </c>
      <c r="Z90" s="632">
        <v>0</v>
      </c>
      <c r="AA90" s="653">
        <v>0</v>
      </c>
      <c r="AB90" s="632">
        <v>0</v>
      </c>
      <c r="AC90" s="634">
        <v>0</v>
      </c>
    </row>
    <row r="91" spans="1:29">
      <c r="A91" s="658"/>
      <c r="B91" s="665" t="s">
        <v>776</v>
      </c>
      <c r="C91" s="635">
        <v>12687</v>
      </c>
      <c r="D91" s="636">
        <v>15239</v>
      </c>
      <c r="E91" s="636">
        <v>10877</v>
      </c>
      <c r="F91" s="636">
        <v>10044</v>
      </c>
      <c r="G91" s="636">
        <v>0</v>
      </c>
      <c r="H91" s="636">
        <v>0</v>
      </c>
      <c r="I91" s="641">
        <v>48847</v>
      </c>
      <c r="J91" s="635">
        <v>0</v>
      </c>
      <c r="K91" s="636">
        <v>56496</v>
      </c>
      <c r="L91" s="636">
        <v>86782</v>
      </c>
      <c r="M91" s="636">
        <v>6012</v>
      </c>
      <c r="N91" s="641">
        <v>149290</v>
      </c>
      <c r="O91" s="635">
        <v>0</v>
      </c>
      <c r="P91" s="641">
        <v>0</v>
      </c>
      <c r="Q91" s="635">
        <v>0</v>
      </c>
      <c r="R91" s="647">
        <v>0</v>
      </c>
      <c r="S91" s="641">
        <v>0</v>
      </c>
      <c r="T91" s="635">
        <v>0</v>
      </c>
      <c r="U91" s="635">
        <v>0</v>
      </c>
      <c r="V91" s="635">
        <v>0</v>
      </c>
      <c r="W91" s="654">
        <v>0</v>
      </c>
      <c r="X91" s="635">
        <v>0</v>
      </c>
      <c r="Y91" s="654">
        <v>0</v>
      </c>
      <c r="Z91" s="635">
        <v>0</v>
      </c>
      <c r="AA91" s="654">
        <v>0</v>
      </c>
      <c r="AB91" s="635">
        <v>0</v>
      </c>
      <c r="AC91" s="637">
        <v>0</v>
      </c>
    </row>
    <row r="92" spans="1:29">
      <c r="A92" s="658"/>
      <c r="B92" s="665" t="s">
        <v>777</v>
      </c>
      <c r="C92" s="635">
        <v>1.1882784994366284E-2</v>
      </c>
      <c r="D92" s="636">
        <v>1.553753826013014E-2</v>
      </c>
      <c r="E92" s="636">
        <v>1.3955123443247411E-2</v>
      </c>
      <c r="F92" s="636">
        <v>6.1506806532801793E-2</v>
      </c>
      <c r="G92" s="636">
        <v>0</v>
      </c>
      <c r="H92" s="636">
        <v>0</v>
      </c>
      <c r="I92" s="641">
        <v>1.6330284492030098E-2</v>
      </c>
      <c r="J92" s="635">
        <v>0</v>
      </c>
      <c r="K92" s="636">
        <v>6.2212659025163222E-2</v>
      </c>
      <c r="L92" s="636">
        <v>0.10878918100357525</v>
      </c>
      <c r="M92" s="636">
        <v>0.1132032838743692</v>
      </c>
      <c r="N92" s="641">
        <v>8.4875608822878951E-2</v>
      </c>
      <c r="O92" s="635">
        <v>0</v>
      </c>
      <c r="P92" s="641">
        <v>0</v>
      </c>
      <c r="Q92" s="635">
        <v>0</v>
      </c>
      <c r="R92" s="647">
        <v>0</v>
      </c>
      <c r="S92" s="641">
        <v>0</v>
      </c>
      <c r="T92" s="635">
        <v>0</v>
      </c>
      <c r="U92" s="635">
        <v>0</v>
      </c>
      <c r="V92" s="635">
        <v>0</v>
      </c>
      <c r="W92" s="654">
        <v>0</v>
      </c>
      <c r="X92" s="635">
        <v>0</v>
      </c>
      <c r="Y92" s="654">
        <v>0</v>
      </c>
      <c r="Z92" s="635">
        <v>0</v>
      </c>
      <c r="AA92" s="654">
        <v>0</v>
      </c>
      <c r="AB92" s="635">
        <v>0</v>
      </c>
      <c r="AC92" s="637">
        <v>0</v>
      </c>
    </row>
    <row r="93" spans="1:29">
      <c r="A93" s="658"/>
      <c r="B93" s="665" t="s">
        <v>778</v>
      </c>
      <c r="C93" s="635">
        <v>1104659.5</v>
      </c>
      <c r="D93" s="636">
        <v>969964</v>
      </c>
      <c r="E93" s="636">
        <v>771745</v>
      </c>
      <c r="F93" s="636">
        <v>161529</v>
      </c>
      <c r="G93" s="636">
        <v>0</v>
      </c>
      <c r="H93" s="636">
        <v>0</v>
      </c>
      <c r="I93" s="641">
        <v>3007897.5</v>
      </c>
      <c r="J93" s="635">
        <v>0</v>
      </c>
      <c r="K93" s="636">
        <v>852295.5</v>
      </c>
      <c r="L93" s="636">
        <v>764588</v>
      </c>
      <c r="M93" s="636">
        <v>51539</v>
      </c>
      <c r="N93" s="641">
        <v>1668422.5</v>
      </c>
      <c r="O93" s="635">
        <v>0</v>
      </c>
      <c r="P93" s="641">
        <v>0</v>
      </c>
      <c r="Q93" s="635">
        <v>0</v>
      </c>
      <c r="R93" s="647">
        <v>0</v>
      </c>
      <c r="S93" s="641">
        <v>0</v>
      </c>
      <c r="T93" s="635">
        <v>0</v>
      </c>
      <c r="U93" s="635">
        <v>0</v>
      </c>
      <c r="V93" s="635">
        <v>0</v>
      </c>
      <c r="W93" s="654">
        <v>0</v>
      </c>
      <c r="X93" s="635">
        <v>0</v>
      </c>
      <c r="Y93" s="654">
        <v>0</v>
      </c>
      <c r="Z93" s="635">
        <v>0</v>
      </c>
      <c r="AA93" s="654">
        <v>0</v>
      </c>
      <c r="AB93" s="635">
        <v>0</v>
      </c>
      <c r="AC93" s="637">
        <v>0</v>
      </c>
    </row>
    <row r="94" spans="1:29">
      <c r="A94" s="658"/>
      <c r="B94" s="665" t="s">
        <v>779</v>
      </c>
      <c r="C94" s="635">
        <v>14303</v>
      </c>
      <c r="D94" s="636">
        <v>15039</v>
      </c>
      <c r="E94" s="636">
        <v>11793</v>
      </c>
      <c r="F94" s="636">
        <v>9560</v>
      </c>
      <c r="G94" s="636">
        <v>0</v>
      </c>
      <c r="H94" s="636">
        <v>0</v>
      </c>
      <c r="I94" s="641">
        <v>50695</v>
      </c>
      <c r="J94" s="635">
        <v>0</v>
      </c>
      <c r="K94" s="636">
        <v>56039.5</v>
      </c>
      <c r="L94" s="636">
        <v>85602</v>
      </c>
      <c r="M94" s="636">
        <v>5504</v>
      </c>
      <c r="N94" s="641">
        <v>147145.5</v>
      </c>
      <c r="O94" s="635">
        <v>0</v>
      </c>
      <c r="P94" s="641">
        <v>0</v>
      </c>
      <c r="Q94" s="635">
        <v>0</v>
      </c>
      <c r="R94" s="647">
        <v>0</v>
      </c>
      <c r="S94" s="641">
        <v>0</v>
      </c>
      <c r="T94" s="635">
        <v>0</v>
      </c>
      <c r="U94" s="635">
        <v>0</v>
      </c>
      <c r="V94" s="635">
        <v>0</v>
      </c>
      <c r="W94" s="654">
        <v>0</v>
      </c>
      <c r="X94" s="635">
        <v>0</v>
      </c>
      <c r="Y94" s="654">
        <v>0</v>
      </c>
      <c r="Z94" s="635">
        <v>0</v>
      </c>
      <c r="AA94" s="654">
        <v>0</v>
      </c>
      <c r="AB94" s="635">
        <v>0</v>
      </c>
      <c r="AC94" s="637">
        <v>0</v>
      </c>
    </row>
    <row r="95" spans="1:29">
      <c r="A95" s="658"/>
      <c r="B95" s="665" t="s">
        <v>780</v>
      </c>
      <c r="C95" s="651">
        <v>1.2947881224938545E-2</v>
      </c>
      <c r="D95" s="636">
        <v>1.5504699143473365E-2</v>
      </c>
      <c r="E95" s="636">
        <v>1.52809542011934E-2</v>
      </c>
      <c r="F95" s="636">
        <v>5.9184418896916342E-2</v>
      </c>
      <c r="G95" s="636">
        <v>0</v>
      </c>
      <c r="H95" s="636">
        <v>0</v>
      </c>
      <c r="I95" s="641">
        <v>1.6853965269760688E-2</v>
      </c>
      <c r="J95" s="635">
        <v>0</v>
      </c>
      <c r="K95" s="636">
        <v>6.5751256459760724E-2</v>
      </c>
      <c r="L95" s="647">
        <v>0.11195833573113886</v>
      </c>
      <c r="M95" s="636">
        <v>0.1067929141038825</v>
      </c>
      <c r="N95" s="641">
        <v>8.8194387213071032E-2</v>
      </c>
      <c r="O95" s="635">
        <v>0</v>
      </c>
      <c r="P95" s="641">
        <v>0</v>
      </c>
      <c r="Q95" s="635">
        <v>0</v>
      </c>
      <c r="R95" s="647">
        <v>0</v>
      </c>
      <c r="S95" s="641">
        <v>0</v>
      </c>
      <c r="T95" s="635">
        <v>0</v>
      </c>
      <c r="U95" s="635">
        <v>0</v>
      </c>
      <c r="V95" s="635">
        <v>0</v>
      </c>
      <c r="W95" s="654">
        <v>0</v>
      </c>
      <c r="X95" s="635">
        <v>0</v>
      </c>
      <c r="Y95" s="654">
        <v>0</v>
      </c>
      <c r="Z95" s="635">
        <v>0</v>
      </c>
      <c r="AA95" s="654">
        <v>0</v>
      </c>
      <c r="AB95" s="635">
        <v>0</v>
      </c>
      <c r="AC95" s="637">
        <v>0</v>
      </c>
    </row>
    <row r="96" spans="1:29">
      <c r="A96" s="658"/>
      <c r="B96" s="665" t="s">
        <v>781</v>
      </c>
      <c r="C96" s="651">
        <v>1.0650962305722607E-3</v>
      </c>
      <c r="D96" s="636">
        <v>-3.2839116656774303E-5</v>
      </c>
      <c r="E96" s="636">
        <v>1.325830757945989E-3</v>
      </c>
      <c r="F96" s="636">
        <v>-2.3223876358854506E-3</v>
      </c>
      <c r="G96" s="636">
        <v>0</v>
      </c>
      <c r="H96" s="636">
        <v>0</v>
      </c>
      <c r="I96" s="641">
        <v>5.2368077773059032E-4</v>
      </c>
      <c r="J96" s="635">
        <v>0</v>
      </c>
      <c r="K96" s="636">
        <v>3.5385974345975013E-3</v>
      </c>
      <c r="L96" s="650">
        <v>3.1691547275636139E-3</v>
      </c>
      <c r="M96" s="636">
        <v>-6.4103697704867013E-3</v>
      </c>
      <c r="N96" s="641">
        <v>3.3187783901920814E-3</v>
      </c>
      <c r="O96" s="635">
        <v>0</v>
      </c>
      <c r="P96" s="641">
        <v>0</v>
      </c>
      <c r="Q96" s="635">
        <v>0</v>
      </c>
      <c r="R96" s="647">
        <v>0</v>
      </c>
      <c r="S96" s="641">
        <v>0</v>
      </c>
      <c r="T96" s="635">
        <v>0</v>
      </c>
      <c r="U96" s="635">
        <v>0</v>
      </c>
      <c r="V96" s="635">
        <v>0</v>
      </c>
      <c r="W96" s="654">
        <v>0</v>
      </c>
      <c r="X96" s="635">
        <v>0</v>
      </c>
      <c r="Y96" s="654">
        <v>0</v>
      </c>
      <c r="Z96" s="635">
        <v>0</v>
      </c>
      <c r="AA96" s="654">
        <v>0</v>
      </c>
      <c r="AB96" s="635">
        <v>0</v>
      </c>
      <c r="AC96" s="637">
        <v>0</v>
      </c>
    </row>
    <row r="97" spans="1:29">
      <c r="A97" s="655" t="s">
        <v>523</v>
      </c>
      <c r="B97" s="655" t="s">
        <v>775</v>
      </c>
      <c r="C97" s="632">
        <v>7101501</v>
      </c>
      <c r="D97" s="633">
        <v>1632012</v>
      </c>
      <c r="E97" s="633">
        <v>4125100</v>
      </c>
      <c r="F97" s="633">
        <v>508781</v>
      </c>
      <c r="G97" s="633">
        <v>67806</v>
      </c>
      <c r="H97" s="633">
        <v>0</v>
      </c>
      <c r="I97" s="640">
        <v>13435200</v>
      </c>
      <c r="J97" s="632">
        <v>812229</v>
      </c>
      <c r="K97" s="633">
        <v>10288736</v>
      </c>
      <c r="L97" s="633">
        <v>2454848</v>
      </c>
      <c r="M97" s="633">
        <v>329304</v>
      </c>
      <c r="N97" s="640">
        <v>13885117</v>
      </c>
      <c r="O97" s="632">
        <v>2260080</v>
      </c>
      <c r="P97" s="640">
        <v>2260080</v>
      </c>
      <c r="Q97" s="632">
        <v>0</v>
      </c>
      <c r="R97" s="646">
        <v>0</v>
      </c>
      <c r="S97" s="640">
        <v>0</v>
      </c>
      <c r="T97" s="632">
        <v>0</v>
      </c>
      <c r="U97" s="632">
        <v>0</v>
      </c>
      <c r="V97" s="632">
        <v>1951373</v>
      </c>
      <c r="W97" s="632">
        <v>1951373</v>
      </c>
      <c r="X97" s="632">
        <v>201094</v>
      </c>
      <c r="Y97" s="632">
        <v>201094</v>
      </c>
      <c r="Z97" s="632">
        <v>107613</v>
      </c>
      <c r="AA97" s="632">
        <v>107613</v>
      </c>
      <c r="AB97" s="632">
        <v>0</v>
      </c>
      <c r="AC97" s="634">
        <v>0</v>
      </c>
    </row>
    <row r="98" spans="1:29">
      <c r="A98" s="658"/>
      <c r="B98" s="665" t="s">
        <v>776</v>
      </c>
      <c r="C98" s="635">
        <v>7536</v>
      </c>
      <c r="D98" s="636">
        <v>10870</v>
      </c>
      <c r="E98" s="636">
        <v>95998</v>
      </c>
      <c r="F98" s="636">
        <v>1461</v>
      </c>
      <c r="G98" s="636">
        <v>0</v>
      </c>
      <c r="H98" s="636">
        <v>0</v>
      </c>
      <c r="I98" s="641">
        <v>115865</v>
      </c>
      <c r="J98" s="635">
        <v>242137</v>
      </c>
      <c r="K98" s="636">
        <v>1521179</v>
      </c>
      <c r="L98" s="636">
        <v>472868</v>
      </c>
      <c r="M98" s="636">
        <v>63565</v>
      </c>
      <c r="N98" s="641">
        <v>2299749</v>
      </c>
      <c r="O98" s="635">
        <v>366895</v>
      </c>
      <c r="P98" s="641">
        <v>366895</v>
      </c>
      <c r="Q98" s="635">
        <v>0</v>
      </c>
      <c r="R98" s="647">
        <v>0</v>
      </c>
      <c r="S98" s="641">
        <v>0</v>
      </c>
      <c r="T98" s="635">
        <v>0</v>
      </c>
      <c r="U98" s="635">
        <v>0</v>
      </c>
      <c r="V98" s="635">
        <v>311996</v>
      </c>
      <c r="W98" s="635">
        <v>311996</v>
      </c>
      <c r="X98" s="635">
        <v>43599</v>
      </c>
      <c r="Y98" s="635">
        <v>43599</v>
      </c>
      <c r="Z98" s="635">
        <v>11300</v>
      </c>
      <c r="AA98" s="635">
        <v>11300</v>
      </c>
      <c r="AB98" s="635">
        <v>0</v>
      </c>
      <c r="AC98" s="637">
        <v>0</v>
      </c>
    </row>
    <row r="99" spans="1:29">
      <c r="A99" s="658"/>
      <c r="B99" s="665" t="s">
        <v>777</v>
      </c>
      <c r="C99" s="635">
        <v>1.0611841074161645E-3</v>
      </c>
      <c r="D99" s="636">
        <v>6.6604902414933225E-3</v>
      </c>
      <c r="E99" s="650">
        <v>2.3271678262345157E-2</v>
      </c>
      <c r="F99" s="636">
        <v>2.8715694965024243E-3</v>
      </c>
      <c r="G99" s="636">
        <v>0</v>
      </c>
      <c r="H99" s="636">
        <v>0</v>
      </c>
      <c r="I99" s="641">
        <v>8.6239877337144222E-3</v>
      </c>
      <c r="J99" s="651">
        <v>0.29811420178299469</v>
      </c>
      <c r="K99" s="636">
        <v>0.14784896803650127</v>
      </c>
      <c r="L99" s="636">
        <v>0.19262618296529968</v>
      </c>
      <c r="M99" s="636">
        <v>0.19302832640963974</v>
      </c>
      <c r="N99" s="641">
        <v>0.16562690829324664</v>
      </c>
      <c r="O99" s="635">
        <v>0.16233717390534849</v>
      </c>
      <c r="P99" s="641">
        <v>0.16233717390534849</v>
      </c>
      <c r="Q99" s="635">
        <v>0</v>
      </c>
      <c r="R99" s="647">
        <v>0</v>
      </c>
      <c r="S99" s="641">
        <v>0</v>
      </c>
      <c r="T99" s="635">
        <v>0</v>
      </c>
      <c r="U99" s="635">
        <v>0</v>
      </c>
      <c r="V99" s="635">
        <v>0.15988537301684505</v>
      </c>
      <c r="W99" s="635">
        <v>0.15988537301684505</v>
      </c>
      <c r="X99" s="635">
        <v>0.21680905447203797</v>
      </c>
      <c r="Y99" s="635">
        <v>0.21680905447203797</v>
      </c>
      <c r="Z99" s="635">
        <v>0.10500590077407004</v>
      </c>
      <c r="AA99" s="635">
        <v>0.10500590077407004</v>
      </c>
      <c r="AB99" s="635">
        <v>0</v>
      </c>
      <c r="AC99" s="637">
        <v>0</v>
      </c>
    </row>
    <row r="100" spans="1:29">
      <c r="A100" s="658"/>
      <c r="B100" s="665" t="s">
        <v>778</v>
      </c>
      <c r="C100" s="635">
        <v>7381823</v>
      </c>
      <c r="D100" s="636">
        <v>1631238</v>
      </c>
      <c r="E100" s="636">
        <v>4129716</v>
      </c>
      <c r="F100" s="636">
        <v>626989</v>
      </c>
      <c r="G100" s="636">
        <v>64897</v>
      </c>
      <c r="H100" s="636">
        <v>0</v>
      </c>
      <c r="I100" s="641">
        <v>13834663</v>
      </c>
      <c r="J100" s="635">
        <v>745813</v>
      </c>
      <c r="K100" s="636">
        <v>9513840</v>
      </c>
      <c r="L100" s="636">
        <v>2369322</v>
      </c>
      <c r="M100" s="636">
        <v>779499</v>
      </c>
      <c r="N100" s="641">
        <v>13408474</v>
      </c>
      <c r="O100" s="635">
        <v>2096776</v>
      </c>
      <c r="P100" s="641">
        <v>2096776</v>
      </c>
      <c r="Q100" s="635">
        <v>0</v>
      </c>
      <c r="R100" s="647">
        <v>0</v>
      </c>
      <c r="S100" s="641">
        <v>0</v>
      </c>
      <c r="T100" s="635">
        <v>0</v>
      </c>
      <c r="U100" s="635">
        <v>0</v>
      </c>
      <c r="V100" s="635">
        <v>1837716</v>
      </c>
      <c r="W100" s="635">
        <v>1837716</v>
      </c>
      <c r="X100" s="635">
        <v>155619</v>
      </c>
      <c r="Y100" s="635">
        <v>155619</v>
      </c>
      <c r="Z100" s="635">
        <v>103441</v>
      </c>
      <c r="AA100" s="635">
        <v>103441</v>
      </c>
      <c r="AB100" s="635">
        <v>0</v>
      </c>
      <c r="AC100" s="637">
        <v>0</v>
      </c>
    </row>
    <row r="101" spans="1:29">
      <c r="A101" s="658"/>
      <c r="B101" s="665" t="s">
        <v>779</v>
      </c>
      <c r="C101" s="635">
        <v>6307</v>
      </c>
      <c r="D101" s="636">
        <v>12311</v>
      </c>
      <c r="E101" s="636">
        <v>100398</v>
      </c>
      <c r="F101" s="636">
        <v>784</v>
      </c>
      <c r="G101" s="636">
        <v>0</v>
      </c>
      <c r="H101" s="636">
        <v>0</v>
      </c>
      <c r="I101" s="641">
        <v>119800</v>
      </c>
      <c r="J101" s="635">
        <v>240909</v>
      </c>
      <c r="K101" s="636">
        <v>1453623</v>
      </c>
      <c r="L101" s="636">
        <v>474017</v>
      </c>
      <c r="M101" s="636">
        <v>135508</v>
      </c>
      <c r="N101" s="641">
        <v>2304057</v>
      </c>
      <c r="O101" s="635">
        <v>330131</v>
      </c>
      <c r="P101" s="641">
        <v>330131</v>
      </c>
      <c r="Q101" s="635">
        <v>0</v>
      </c>
      <c r="R101" s="647">
        <v>0</v>
      </c>
      <c r="S101" s="641">
        <v>0</v>
      </c>
      <c r="T101" s="635">
        <v>0</v>
      </c>
      <c r="U101" s="635">
        <v>0</v>
      </c>
      <c r="V101" s="635">
        <v>287923</v>
      </c>
      <c r="W101" s="635">
        <v>287923</v>
      </c>
      <c r="X101" s="635">
        <v>29060</v>
      </c>
      <c r="Y101" s="635">
        <v>29060</v>
      </c>
      <c r="Z101" s="635">
        <v>13148</v>
      </c>
      <c r="AA101" s="635">
        <v>13148</v>
      </c>
      <c r="AB101" s="635">
        <v>0</v>
      </c>
      <c r="AC101" s="637">
        <v>0</v>
      </c>
    </row>
    <row r="102" spans="1:29">
      <c r="A102" s="658"/>
      <c r="B102" s="665" t="s">
        <v>780</v>
      </c>
      <c r="C102" s="510">
        <v>8.5439599405187584E-4</v>
      </c>
      <c r="D102" s="636">
        <v>7.5470286984486625E-3</v>
      </c>
      <c r="E102" s="650">
        <v>2.431111485632426E-2</v>
      </c>
      <c r="F102" s="636">
        <v>1.2504206612875186E-3</v>
      </c>
      <c r="G102" s="636">
        <v>0</v>
      </c>
      <c r="H102" s="636">
        <v>0</v>
      </c>
      <c r="I102" s="641">
        <v>8.6594086173259147E-3</v>
      </c>
      <c r="J102" s="651">
        <v>0.32301528667373725</v>
      </c>
      <c r="K102" s="636">
        <v>0.1527903559446028</v>
      </c>
      <c r="L102" s="636">
        <v>0.20006440661083635</v>
      </c>
      <c r="M102" s="636">
        <v>0.17383986380996</v>
      </c>
      <c r="N102" s="641">
        <v>0.17183588527672874</v>
      </c>
      <c r="O102" s="635">
        <v>0.15744695666108349</v>
      </c>
      <c r="P102" s="641">
        <v>0.15744695666108349</v>
      </c>
      <c r="Q102" s="635">
        <v>0</v>
      </c>
      <c r="R102" s="647">
        <v>0</v>
      </c>
      <c r="S102" s="641">
        <v>0</v>
      </c>
      <c r="T102" s="635">
        <v>0</v>
      </c>
      <c r="U102" s="635">
        <v>0</v>
      </c>
      <c r="V102" s="635">
        <v>0.15667437188335956</v>
      </c>
      <c r="W102" s="635">
        <v>0.15667437188335956</v>
      </c>
      <c r="X102" s="635">
        <v>0.18673812323687983</v>
      </c>
      <c r="Y102" s="635">
        <v>0.18673812323687983</v>
      </c>
      <c r="Z102" s="635">
        <v>0.12710627314121092</v>
      </c>
      <c r="AA102" s="635">
        <v>0.12710627314121092</v>
      </c>
      <c r="AB102" s="635">
        <v>0</v>
      </c>
      <c r="AC102" s="637">
        <v>0</v>
      </c>
    </row>
    <row r="103" spans="1:29">
      <c r="A103" s="658"/>
      <c r="B103" s="665" t="s">
        <v>781</v>
      </c>
      <c r="C103" s="635">
        <v>-2.0678811336428862E-4</v>
      </c>
      <c r="D103" s="636">
        <v>8.8653845695533997E-4</v>
      </c>
      <c r="E103" s="636">
        <v>1.0394365939791032E-3</v>
      </c>
      <c r="F103" s="636">
        <v>-1.6211488352149057E-3</v>
      </c>
      <c r="G103" s="636">
        <v>0</v>
      </c>
      <c r="H103" s="636">
        <v>0</v>
      </c>
      <c r="I103" s="641">
        <v>3.5420883611492551E-5</v>
      </c>
      <c r="J103" s="651">
        <v>2.4901084890742553E-2</v>
      </c>
      <c r="K103" s="636">
        <v>4.9413879081015299E-3</v>
      </c>
      <c r="L103" s="636">
        <v>7.4382236455366735E-3</v>
      </c>
      <c r="M103" s="650">
        <v>-1.918846259967974E-2</v>
      </c>
      <c r="N103" s="641">
        <v>6.2089769834821062E-3</v>
      </c>
      <c r="O103" s="651">
        <v>-4.8902172442649994E-3</v>
      </c>
      <c r="P103" s="641">
        <v>-4.8902172442649994E-3</v>
      </c>
      <c r="Q103" s="635">
        <v>0</v>
      </c>
      <c r="R103" s="647">
        <v>0</v>
      </c>
      <c r="S103" s="641">
        <v>0</v>
      </c>
      <c r="T103" s="635">
        <v>0</v>
      </c>
      <c r="U103" s="635">
        <v>0</v>
      </c>
      <c r="V103" s="635">
        <v>-3.2110011334854915E-3</v>
      </c>
      <c r="W103" s="635">
        <v>-3.2110011334854915E-3</v>
      </c>
      <c r="X103" s="635">
        <v>-3.0070931235158138E-2</v>
      </c>
      <c r="Y103" s="635">
        <v>-3.0070931235158138E-2</v>
      </c>
      <c r="Z103" s="635">
        <v>2.210037236714088E-2</v>
      </c>
      <c r="AA103" s="635">
        <v>2.210037236714088E-2</v>
      </c>
      <c r="AB103" s="635">
        <v>0</v>
      </c>
      <c r="AC103" s="637">
        <v>0</v>
      </c>
    </row>
    <row r="104" spans="1:29">
      <c r="A104" s="655" t="s">
        <v>621</v>
      </c>
      <c r="B104" s="655" t="s">
        <v>775</v>
      </c>
      <c r="C104" s="632">
        <v>3274644</v>
      </c>
      <c r="D104" s="633">
        <v>184143.5</v>
      </c>
      <c r="E104" s="633">
        <v>944378.7</v>
      </c>
      <c r="F104" s="633">
        <v>137498</v>
      </c>
      <c r="G104" s="633">
        <v>372672.2</v>
      </c>
      <c r="H104" s="633">
        <v>45830</v>
      </c>
      <c r="I104" s="640">
        <v>4959166.4000000004</v>
      </c>
      <c r="J104" s="632">
        <v>0</v>
      </c>
      <c r="K104" s="633">
        <v>1819949</v>
      </c>
      <c r="L104" s="633">
        <v>718044</v>
      </c>
      <c r="M104" s="633">
        <v>429842</v>
      </c>
      <c r="N104" s="640">
        <v>2967835</v>
      </c>
      <c r="O104" s="632">
        <v>2929956</v>
      </c>
      <c r="P104" s="640">
        <v>2929956</v>
      </c>
      <c r="Q104" s="632">
        <v>0</v>
      </c>
      <c r="R104" s="646">
        <v>0</v>
      </c>
      <c r="S104" s="640">
        <v>0</v>
      </c>
      <c r="T104" s="632">
        <v>0</v>
      </c>
      <c r="U104" s="632">
        <v>0</v>
      </c>
      <c r="V104" s="632">
        <v>1819949</v>
      </c>
      <c r="W104" s="632">
        <v>1819949</v>
      </c>
      <c r="X104" s="632">
        <v>718044</v>
      </c>
      <c r="Y104" s="632">
        <v>718044</v>
      </c>
      <c r="Z104" s="632">
        <v>429842</v>
      </c>
      <c r="AA104" s="632">
        <v>429842</v>
      </c>
      <c r="AB104" s="632">
        <v>0</v>
      </c>
      <c r="AC104" s="634">
        <v>0</v>
      </c>
    </row>
    <row r="105" spans="1:29">
      <c r="A105" s="658"/>
      <c r="B105" s="665" t="s">
        <v>776</v>
      </c>
      <c r="C105" s="635">
        <v>27065</v>
      </c>
      <c r="D105" s="636">
        <v>0</v>
      </c>
      <c r="E105" s="636">
        <v>4987</v>
      </c>
      <c r="F105" s="636">
        <v>114</v>
      </c>
      <c r="G105" s="636">
        <v>3802</v>
      </c>
      <c r="H105" s="636">
        <v>210</v>
      </c>
      <c r="I105" s="641">
        <v>36178</v>
      </c>
      <c r="J105" s="635">
        <v>0</v>
      </c>
      <c r="K105" s="636">
        <v>337929</v>
      </c>
      <c r="L105" s="636">
        <v>336554</v>
      </c>
      <c r="M105" s="636">
        <v>242637</v>
      </c>
      <c r="N105" s="641">
        <v>917120</v>
      </c>
      <c r="O105" s="635">
        <v>890041</v>
      </c>
      <c r="P105" s="641">
        <v>890041</v>
      </c>
      <c r="Q105" s="635">
        <v>0</v>
      </c>
      <c r="R105" s="647">
        <v>0</v>
      </c>
      <c r="S105" s="641">
        <v>0</v>
      </c>
      <c r="T105" s="635">
        <v>0</v>
      </c>
      <c r="U105" s="635">
        <v>0</v>
      </c>
      <c r="V105" s="635">
        <v>337929</v>
      </c>
      <c r="W105" s="635">
        <v>337929</v>
      </c>
      <c r="X105" s="635">
        <v>336554</v>
      </c>
      <c r="Y105" s="635">
        <v>336554</v>
      </c>
      <c r="Z105" s="635">
        <v>242637</v>
      </c>
      <c r="AA105" s="635">
        <v>242637</v>
      </c>
      <c r="AB105" s="635">
        <v>0</v>
      </c>
      <c r="AC105" s="637">
        <v>0</v>
      </c>
    </row>
    <row r="106" spans="1:29">
      <c r="A106" s="658"/>
      <c r="B106" s="665" t="s">
        <v>777</v>
      </c>
      <c r="C106" s="635">
        <v>8.2650205640674226E-3</v>
      </c>
      <c r="D106" s="636">
        <v>0</v>
      </c>
      <c r="E106" s="636">
        <v>5.2807205414522797E-3</v>
      </c>
      <c r="F106" s="636">
        <v>8.2910296877045488E-4</v>
      </c>
      <c r="G106" s="636">
        <v>1.0201995211877892E-2</v>
      </c>
      <c r="H106" s="636">
        <v>4.5821514291948503E-3</v>
      </c>
      <c r="I106" s="641">
        <v>7.2951776734089821E-3</v>
      </c>
      <c r="J106" s="635">
        <v>0</v>
      </c>
      <c r="K106" s="636">
        <v>0.18568047785954442</v>
      </c>
      <c r="L106" s="650">
        <v>0.46870943841881557</v>
      </c>
      <c r="M106" s="650">
        <v>0.56447950642329037</v>
      </c>
      <c r="N106" s="641">
        <v>0.30901987475718834</v>
      </c>
      <c r="O106" s="635">
        <v>0.30377282116181947</v>
      </c>
      <c r="P106" s="641">
        <v>0.30377282116181947</v>
      </c>
      <c r="Q106" s="635">
        <v>0</v>
      </c>
      <c r="R106" s="647">
        <v>0</v>
      </c>
      <c r="S106" s="641">
        <v>0</v>
      </c>
      <c r="T106" s="635">
        <v>0</v>
      </c>
      <c r="U106" s="635">
        <v>0</v>
      </c>
      <c r="V106" s="635">
        <v>0.18568047785954442</v>
      </c>
      <c r="W106" s="635">
        <v>0.18568047785954442</v>
      </c>
      <c r="X106" s="635">
        <v>0.46870943841881557</v>
      </c>
      <c r="Y106" s="635">
        <v>0.46870943841881557</v>
      </c>
      <c r="Z106" s="635">
        <v>0.56447950642329037</v>
      </c>
      <c r="AA106" s="635">
        <v>0.56447950642329037</v>
      </c>
      <c r="AB106" s="635">
        <v>0</v>
      </c>
      <c r="AC106" s="637">
        <v>0</v>
      </c>
    </row>
    <row r="107" spans="1:29">
      <c r="A107" s="658"/>
      <c r="B107" s="665" t="s">
        <v>778</v>
      </c>
      <c r="C107" s="635">
        <v>3317776</v>
      </c>
      <c r="D107" s="636">
        <v>182600.3</v>
      </c>
      <c r="E107" s="636">
        <v>922524</v>
      </c>
      <c r="F107" s="636">
        <v>136802</v>
      </c>
      <c r="G107" s="636">
        <v>364064</v>
      </c>
      <c r="H107" s="636">
        <v>45821</v>
      </c>
      <c r="I107" s="641">
        <v>4969587.3</v>
      </c>
      <c r="J107" s="635">
        <v>0</v>
      </c>
      <c r="K107" s="636">
        <v>1731760</v>
      </c>
      <c r="L107" s="636">
        <v>704936</v>
      </c>
      <c r="M107" s="636">
        <v>414128</v>
      </c>
      <c r="N107" s="641">
        <v>2850824</v>
      </c>
      <c r="O107" s="635">
        <v>2813976</v>
      </c>
      <c r="P107" s="641">
        <v>2813976</v>
      </c>
      <c r="Q107" s="635">
        <v>0</v>
      </c>
      <c r="R107" s="647">
        <v>0</v>
      </c>
      <c r="S107" s="641">
        <v>0</v>
      </c>
      <c r="T107" s="635">
        <v>0</v>
      </c>
      <c r="U107" s="635">
        <v>0</v>
      </c>
      <c r="V107" s="635">
        <v>1731760</v>
      </c>
      <c r="W107" s="635">
        <v>1731760</v>
      </c>
      <c r="X107" s="635">
        <v>704936</v>
      </c>
      <c r="Y107" s="635">
        <v>704936</v>
      </c>
      <c r="Z107" s="635">
        <v>414128</v>
      </c>
      <c r="AA107" s="635">
        <v>414128</v>
      </c>
      <c r="AB107" s="635">
        <v>0</v>
      </c>
      <c r="AC107" s="637">
        <v>0</v>
      </c>
    </row>
    <row r="108" spans="1:29">
      <c r="A108" s="658"/>
      <c r="B108" s="665" t="s">
        <v>779</v>
      </c>
      <c r="C108" s="635">
        <v>18374</v>
      </c>
      <c r="D108" s="636">
        <v>0</v>
      </c>
      <c r="E108" s="636">
        <v>2998</v>
      </c>
      <c r="F108" s="636">
        <v>106</v>
      </c>
      <c r="G108" s="636">
        <v>3944</v>
      </c>
      <c r="H108" s="636">
        <v>0</v>
      </c>
      <c r="I108" s="641">
        <v>25422</v>
      </c>
      <c r="J108" s="635">
        <v>0</v>
      </c>
      <c r="K108" s="636">
        <v>381149</v>
      </c>
      <c r="L108" s="636">
        <v>330066</v>
      </c>
      <c r="M108" s="636">
        <v>232437</v>
      </c>
      <c r="N108" s="641">
        <v>943652</v>
      </c>
      <c r="O108" s="635">
        <v>918047</v>
      </c>
      <c r="P108" s="641">
        <v>918047</v>
      </c>
      <c r="Q108" s="635">
        <v>0</v>
      </c>
      <c r="R108" s="647">
        <v>0</v>
      </c>
      <c r="S108" s="641">
        <v>0</v>
      </c>
      <c r="T108" s="635">
        <v>0</v>
      </c>
      <c r="U108" s="635">
        <v>0</v>
      </c>
      <c r="V108" s="635">
        <v>381149</v>
      </c>
      <c r="W108" s="635">
        <v>381149</v>
      </c>
      <c r="X108" s="635">
        <v>330066</v>
      </c>
      <c r="Y108" s="635">
        <v>330066</v>
      </c>
      <c r="Z108" s="635">
        <v>232437</v>
      </c>
      <c r="AA108" s="635">
        <v>232437</v>
      </c>
      <c r="AB108" s="635">
        <v>0</v>
      </c>
      <c r="AC108" s="637">
        <v>0</v>
      </c>
    </row>
    <row r="109" spans="1:29">
      <c r="A109" s="658"/>
      <c r="B109" s="665" t="s">
        <v>780</v>
      </c>
      <c r="C109" s="635">
        <v>5.5380471737694163E-3</v>
      </c>
      <c r="D109" s="636">
        <v>0</v>
      </c>
      <c r="E109" s="636">
        <v>3.2497799515242964E-3</v>
      </c>
      <c r="F109" s="511">
        <v>7.7484247306325933E-4</v>
      </c>
      <c r="G109" s="511">
        <v>1.0833260086138701E-2</v>
      </c>
      <c r="H109" s="511">
        <v>0</v>
      </c>
      <c r="I109" s="641">
        <v>5.1155153265946248E-3</v>
      </c>
      <c r="J109" s="635">
        <v>0</v>
      </c>
      <c r="K109" s="636">
        <v>0.22009343096041023</v>
      </c>
      <c r="L109" s="650">
        <v>0.46822122859380144</v>
      </c>
      <c r="M109" s="650">
        <v>0.56126849669667345</v>
      </c>
      <c r="N109" s="641">
        <v>0.33101026229609404</v>
      </c>
      <c r="O109" s="651">
        <v>0.32624549747403675</v>
      </c>
      <c r="P109" s="641">
        <v>0.32624549747403675</v>
      </c>
      <c r="Q109" s="635">
        <v>0</v>
      </c>
      <c r="R109" s="647">
        <v>0</v>
      </c>
      <c r="S109" s="641">
        <v>0</v>
      </c>
      <c r="T109" s="635">
        <v>0</v>
      </c>
      <c r="U109" s="635">
        <v>0</v>
      </c>
      <c r="V109" s="635">
        <v>0.22009343096041023</v>
      </c>
      <c r="W109" s="635">
        <v>0.22009343096041023</v>
      </c>
      <c r="X109" s="635">
        <v>0.46822122859380144</v>
      </c>
      <c r="Y109" s="635">
        <v>0.46822122859380144</v>
      </c>
      <c r="Z109" s="635">
        <v>0.56126849669667345</v>
      </c>
      <c r="AA109" s="635">
        <v>0.56126849669667345</v>
      </c>
      <c r="AB109" s="635">
        <v>0</v>
      </c>
      <c r="AC109" s="637">
        <v>0</v>
      </c>
    </row>
    <row r="110" spans="1:29">
      <c r="A110" s="658"/>
      <c r="B110" s="665" t="s">
        <v>781</v>
      </c>
      <c r="C110" s="635">
        <v>-2.7269733902980063E-3</v>
      </c>
      <c r="D110" s="636">
        <v>0</v>
      </c>
      <c r="E110" s="636">
        <v>-2.0309405899279834E-3</v>
      </c>
      <c r="F110" s="636">
        <v>-5.4260495707195546E-5</v>
      </c>
      <c r="G110" s="636">
        <v>6.3126487426080902E-4</v>
      </c>
      <c r="H110" s="636">
        <v>-4.5821514291948503E-3</v>
      </c>
      <c r="I110" s="641">
        <v>-2.1796623468143574E-3</v>
      </c>
      <c r="J110" s="635">
        <v>0</v>
      </c>
      <c r="K110" s="636">
        <v>3.4412953100865812E-2</v>
      </c>
      <c r="L110" s="650">
        <v>-4.8820982501412979E-4</v>
      </c>
      <c r="M110" s="650">
        <v>-3.2110097266169202E-3</v>
      </c>
      <c r="N110" s="641">
        <v>2.1990387538905698E-2</v>
      </c>
      <c r="O110" s="651">
        <v>2.2472676312217277E-2</v>
      </c>
      <c r="P110" s="641">
        <v>2.2472676312217277E-2</v>
      </c>
      <c r="Q110" s="635">
        <v>0</v>
      </c>
      <c r="R110" s="647">
        <v>0</v>
      </c>
      <c r="S110" s="641">
        <v>0</v>
      </c>
      <c r="T110" s="635">
        <v>0</v>
      </c>
      <c r="U110" s="635">
        <v>0</v>
      </c>
      <c r="V110" s="635">
        <v>3.4412953100865812E-2</v>
      </c>
      <c r="W110" s="635">
        <v>3.4412953100865812E-2</v>
      </c>
      <c r="X110" s="635">
        <v>-4.8820982501412979E-4</v>
      </c>
      <c r="Y110" s="635">
        <v>-4.8820982501412979E-4</v>
      </c>
      <c r="Z110" s="635">
        <v>-3.2110097266169202E-3</v>
      </c>
      <c r="AA110" s="635">
        <v>-3.2110097266169202E-3</v>
      </c>
      <c r="AB110" s="635">
        <v>0</v>
      </c>
      <c r="AC110" s="637">
        <v>0</v>
      </c>
    </row>
    <row r="111" spans="1:29">
      <c r="A111" s="655" t="s">
        <v>410</v>
      </c>
      <c r="B111" s="655" t="s">
        <v>775</v>
      </c>
      <c r="C111" s="632">
        <v>607615.5</v>
      </c>
      <c r="D111" s="633">
        <v>0</v>
      </c>
      <c r="E111" s="633">
        <v>244557</v>
      </c>
      <c r="F111" s="633">
        <v>0</v>
      </c>
      <c r="G111" s="633">
        <v>285335.5</v>
      </c>
      <c r="H111" s="633">
        <v>177708</v>
      </c>
      <c r="I111" s="640">
        <v>1315216</v>
      </c>
      <c r="J111" s="632">
        <v>86472</v>
      </c>
      <c r="K111" s="633">
        <v>0</v>
      </c>
      <c r="L111" s="633">
        <v>65354.7</v>
      </c>
      <c r="M111" s="633">
        <v>212954.6</v>
      </c>
      <c r="N111" s="640">
        <v>364781.3</v>
      </c>
      <c r="O111" s="632">
        <v>0</v>
      </c>
      <c r="P111" s="640">
        <v>0</v>
      </c>
      <c r="Q111" s="632">
        <v>0</v>
      </c>
      <c r="R111" s="646">
        <v>0</v>
      </c>
      <c r="S111" s="640">
        <v>0</v>
      </c>
      <c r="T111" s="632">
        <v>0</v>
      </c>
      <c r="U111" s="632">
        <v>0</v>
      </c>
      <c r="V111" s="632">
        <v>0</v>
      </c>
      <c r="W111" s="632">
        <v>0</v>
      </c>
      <c r="X111" s="632">
        <v>0</v>
      </c>
      <c r="Y111" s="632">
        <v>0</v>
      </c>
      <c r="Z111" s="632">
        <v>0</v>
      </c>
      <c r="AA111" s="632">
        <v>0</v>
      </c>
      <c r="AB111" s="632">
        <v>0</v>
      </c>
      <c r="AC111" s="634">
        <v>0</v>
      </c>
    </row>
    <row r="112" spans="1:29">
      <c r="A112" s="658"/>
      <c r="B112" s="665" t="s">
        <v>776</v>
      </c>
      <c r="C112" s="635">
        <v>5494</v>
      </c>
      <c r="D112" s="636">
        <v>0</v>
      </c>
      <c r="E112" s="636">
        <v>15505</v>
      </c>
      <c r="F112" s="636">
        <v>0</v>
      </c>
      <c r="G112" s="636">
        <v>4450</v>
      </c>
      <c r="H112" s="636">
        <v>26778</v>
      </c>
      <c r="I112" s="641">
        <v>52227</v>
      </c>
      <c r="J112" s="635">
        <v>10335</v>
      </c>
      <c r="K112" s="636">
        <v>0</v>
      </c>
      <c r="L112" s="636">
        <v>8314</v>
      </c>
      <c r="M112" s="636">
        <v>16752</v>
      </c>
      <c r="N112" s="641">
        <v>35401</v>
      </c>
      <c r="O112" s="635">
        <v>0</v>
      </c>
      <c r="P112" s="641">
        <v>0</v>
      </c>
      <c r="Q112" s="635">
        <v>0</v>
      </c>
      <c r="R112" s="647">
        <v>0</v>
      </c>
      <c r="S112" s="641">
        <v>0</v>
      </c>
      <c r="T112" s="635">
        <v>0</v>
      </c>
      <c r="U112" s="635">
        <v>0</v>
      </c>
      <c r="V112" s="635">
        <v>0</v>
      </c>
      <c r="W112" s="635">
        <v>0</v>
      </c>
      <c r="X112" s="635">
        <v>0</v>
      </c>
      <c r="Y112" s="635">
        <v>0</v>
      </c>
      <c r="Z112" s="635">
        <v>0</v>
      </c>
      <c r="AA112" s="635">
        <v>0</v>
      </c>
      <c r="AB112" s="635">
        <v>0</v>
      </c>
      <c r="AC112" s="637">
        <v>0</v>
      </c>
    </row>
    <row r="113" spans="1:29">
      <c r="A113" s="658"/>
      <c r="B113" s="665" t="s">
        <v>777</v>
      </c>
      <c r="C113" s="635">
        <v>9.0419023214516423E-3</v>
      </c>
      <c r="D113" s="636">
        <v>0</v>
      </c>
      <c r="E113" s="636">
        <v>6.340035247406535E-2</v>
      </c>
      <c r="F113" s="636">
        <v>0</v>
      </c>
      <c r="G113" s="511">
        <v>1.5595675967413798E-2</v>
      </c>
      <c r="H113" s="636">
        <v>0.15068539401715172</v>
      </c>
      <c r="I113" s="641">
        <v>3.97098271310568E-2</v>
      </c>
      <c r="J113" s="635">
        <v>0.11951845684152096</v>
      </c>
      <c r="K113" s="636">
        <v>0</v>
      </c>
      <c r="L113" s="636">
        <v>0.12721349803457135</v>
      </c>
      <c r="M113" s="636">
        <v>7.8664654344165377E-2</v>
      </c>
      <c r="N113" s="641">
        <v>9.7047189644863932E-2</v>
      </c>
      <c r="O113" s="635">
        <v>0</v>
      </c>
      <c r="P113" s="641">
        <v>0</v>
      </c>
      <c r="Q113" s="635">
        <v>0</v>
      </c>
      <c r="R113" s="647">
        <v>0</v>
      </c>
      <c r="S113" s="641">
        <v>0</v>
      </c>
      <c r="T113" s="635">
        <v>0</v>
      </c>
      <c r="U113" s="635">
        <v>0</v>
      </c>
      <c r="V113" s="635">
        <v>0</v>
      </c>
      <c r="W113" s="635">
        <v>0</v>
      </c>
      <c r="X113" s="635">
        <v>0</v>
      </c>
      <c r="Y113" s="635">
        <v>0</v>
      </c>
      <c r="Z113" s="635">
        <v>0</v>
      </c>
      <c r="AA113" s="635">
        <v>0</v>
      </c>
      <c r="AB113" s="635">
        <v>0</v>
      </c>
      <c r="AC113" s="637">
        <v>0</v>
      </c>
    </row>
    <row r="114" spans="1:29">
      <c r="A114" s="658"/>
      <c r="B114" s="665" t="s">
        <v>778</v>
      </c>
      <c r="C114" s="635">
        <v>596147</v>
      </c>
      <c r="D114" s="636">
        <v>0</v>
      </c>
      <c r="E114" s="636">
        <v>235956</v>
      </c>
      <c r="F114" s="636">
        <v>0</v>
      </c>
      <c r="G114" s="636">
        <v>273319</v>
      </c>
      <c r="H114" s="636">
        <v>172900</v>
      </c>
      <c r="I114" s="641">
        <v>1278322</v>
      </c>
      <c r="J114" s="635">
        <v>85741</v>
      </c>
      <c r="K114" s="636">
        <v>0</v>
      </c>
      <c r="L114" s="636">
        <v>50852.399999999994</v>
      </c>
      <c r="M114" s="636">
        <v>199350</v>
      </c>
      <c r="N114" s="641">
        <v>335943.4</v>
      </c>
      <c r="O114" s="635">
        <v>0</v>
      </c>
      <c r="P114" s="641">
        <v>0</v>
      </c>
      <c r="Q114" s="635">
        <v>0</v>
      </c>
      <c r="R114" s="647">
        <v>0</v>
      </c>
      <c r="S114" s="641">
        <v>0</v>
      </c>
      <c r="T114" s="635">
        <v>0</v>
      </c>
      <c r="U114" s="635">
        <v>0</v>
      </c>
      <c r="V114" s="635">
        <v>0</v>
      </c>
      <c r="W114" s="635">
        <v>0</v>
      </c>
      <c r="X114" s="635">
        <v>0</v>
      </c>
      <c r="Y114" s="635">
        <v>0</v>
      </c>
      <c r="Z114" s="635">
        <v>0</v>
      </c>
      <c r="AA114" s="635">
        <v>0</v>
      </c>
      <c r="AB114" s="635">
        <v>0</v>
      </c>
      <c r="AC114" s="637">
        <v>0</v>
      </c>
    </row>
    <row r="115" spans="1:29">
      <c r="A115" s="658"/>
      <c r="B115" s="665" t="s">
        <v>779</v>
      </c>
      <c r="C115" s="635">
        <v>6214</v>
      </c>
      <c r="D115" s="636">
        <v>0</v>
      </c>
      <c r="E115" s="636">
        <v>12750</v>
      </c>
      <c r="F115" s="636">
        <v>0</v>
      </c>
      <c r="G115" s="636">
        <v>5696</v>
      </c>
      <c r="H115" s="636">
        <v>25740</v>
      </c>
      <c r="I115" s="641">
        <v>50400</v>
      </c>
      <c r="J115" s="635">
        <v>11989</v>
      </c>
      <c r="K115" s="636">
        <v>0</v>
      </c>
      <c r="L115" s="636">
        <v>7811.1</v>
      </c>
      <c r="M115" s="636">
        <v>15315</v>
      </c>
      <c r="N115" s="641">
        <v>35115.1</v>
      </c>
      <c r="O115" s="635">
        <v>0</v>
      </c>
      <c r="P115" s="641">
        <v>0</v>
      </c>
      <c r="Q115" s="635">
        <v>0</v>
      </c>
      <c r="R115" s="647">
        <v>0</v>
      </c>
      <c r="S115" s="641">
        <v>0</v>
      </c>
      <c r="T115" s="635">
        <v>0</v>
      </c>
      <c r="U115" s="635">
        <v>0</v>
      </c>
      <c r="V115" s="635">
        <v>0</v>
      </c>
      <c r="W115" s="635">
        <v>0</v>
      </c>
      <c r="X115" s="635">
        <v>0</v>
      </c>
      <c r="Y115" s="635">
        <v>0</v>
      </c>
      <c r="Z115" s="635">
        <v>0</v>
      </c>
      <c r="AA115" s="635">
        <v>0</v>
      </c>
      <c r="AB115" s="635">
        <v>0</v>
      </c>
      <c r="AC115" s="637">
        <v>0</v>
      </c>
    </row>
    <row r="116" spans="1:29">
      <c r="A116" s="658"/>
      <c r="B116" s="665" t="s">
        <v>780</v>
      </c>
      <c r="C116" s="635">
        <v>1.0423603574286207E-2</v>
      </c>
      <c r="D116" s="636">
        <v>0</v>
      </c>
      <c r="E116" s="636">
        <v>5.4035498143721709E-2</v>
      </c>
      <c r="F116" s="636">
        <v>0</v>
      </c>
      <c r="G116" s="511">
        <v>2.0840117225659396E-2</v>
      </c>
      <c r="H116" s="636">
        <v>0.14887218045112782</v>
      </c>
      <c r="I116" s="641">
        <v>3.9426685921074657E-2</v>
      </c>
      <c r="J116" s="635">
        <v>0.13982808691291215</v>
      </c>
      <c r="K116" s="636">
        <v>0</v>
      </c>
      <c r="L116" s="636">
        <v>0.15360336975246008</v>
      </c>
      <c r="M116" s="636">
        <v>7.6824680210684726E-2</v>
      </c>
      <c r="N116" s="641">
        <v>0.10452683398453429</v>
      </c>
      <c r="O116" s="635">
        <v>0</v>
      </c>
      <c r="P116" s="641">
        <v>0</v>
      </c>
      <c r="Q116" s="635">
        <v>0</v>
      </c>
      <c r="R116" s="647">
        <v>0</v>
      </c>
      <c r="S116" s="641">
        <v>0</v>
      </c>
      <c r="T116" s="635">
        <v>0</v>
      </c>
      <c r="U116" s="635">
        <v>0</v>
      </c>
      <c r="V116" s="635">
        <v>0</v>
      </c>
      <c r="W116" s="635">
        <v>0</v>
      </c>
      <c r="X116" s="635">
        <v>0</v>
      </c>
      <c r="Y116" s="635">
        <v>0</v>
      </c>
      <c r="Z116" s="635">
        <v>0</v>
      </c>
      <c r="AA116" s="635">
        <v>0</v>
      </c>
      <c r="AB116" s="635">
        <v>0</v>
      </c>
      <c r="AC116" s="637">
        <v>0</v>
      </c>
    </row>
    <row r="117" spans="1:29">
      <c r="A117" s="658"/>
      <c r="B117" s="665" t="s">
        <v>781</v>
      </c>
      <c r="C117" s="635">
        <v>1.3817012528345649E-3</v>
      </c>
      <c r="D117" s="636">
        <v>0</v>
      </c>
      <c r="E117" s="636">
        <v>-9.3648543303436402E-3</v>
      </c>
      <c r="F117" s="636">
        <v>0</v>
      </c>
      <c r="G117" s="636">
        <v>5.2444412582455975E-3</v>
      </c>
      <c r="H117" s="636">
        <v>-1.8132135660239024E-3</v>
      </c>
      <c r="I117" s="641">
        <v>-2.8314120998214343E-4</v>
      </c>
      <c r="J117" s="635">
        <v>2.0309630071391194E-2</v>
      </c>
      <c r="K117" s="636">
        <v>0</v>
      </c>
      <c r="L117" s="636">
        <v>2.638987171788873E-2</v>
      </c>
      <c r="M117" s="636">
        <v>-1.8399741334806513E-3</v>
      </c>
      <c r="N117" s="641">
        <v>7.4796443396703549E-3</v>
      </c>
      <c r="O117" s="635">
        <v>0</v>
      </c>
      <c r="P117" s="641">
        <v>0</v>
      </c>
      <c r="Q117" s="635">
        <v>0</v>
      </c>
      <c r="R117" s="647">
        <v>0</v>
      </c>
      <c r="S117" s="641">
        <v>0</v>
      </c>
      <c r="T117" s="635">
        <v>0</v>
      </c>
      <c r="U117" s="635">
        <v>0</v>
      </c>
      <c r="V117" s="635">
        <v>0</v>
      </c>
      <c r="W117" s="635">
        <v>0</v>
      </c>
      <c r="X117" s="635">
        <v>0</v>
      </c>
      <c r="Y117" s="635">
        <v>0</v>
      </c>
      <c r="Z117" s="635">
        <v>0</v>
      </c>
      <c r="AA117" s="635">
        <v>0</v>
      </c>
      <c r="AB117" s="635">
        <v>0</v>
      </c>
      <c r="AC117" s="637">
        <v>0</v>
      </c>
    </row>
    <row r="118" spans="1:29" ht="13">
      <c r="A118" s="652" t="s">
        <v>782</v>
      </c>
      <c r="B118" s="664"/>
      <c r="C118" s="632">
        <v>22237911</v>
      </c>
      <c r="D118" s="633">
        <v>5353211.03</v>
      </c>
      <c r="E118" s="633">
        <v>14216397.699999999</v>
      </c>
      <c r="F118" s="633">
        <v>3642465.5</v>
      </c>
      <c r="G118" s="633">
        <v>1577742.7</v>
      </c>
      <c r="H118" s="633">
        <v>1813125.5</v>
      </c>
      <c r="I118" s="640">
        <v>48840853.43</v>
      </c>
      <c r="J118" s="632">
        <v>23123986</v>
      </c>
      <c r="K118" s="633">
        <v>20622869.199999999</v>
      </c>
      <c r="L118" s="633">
        <v>8286013.5</v>
      </c>
      <c r="M118" s="633">
        <v>3603524.5000000005</v>
      </c>
      <c r="N118" s="640">
        <v>55636393.199999996</v>
      </c>
      <c r="O118" s="632">
        <v>5190036</v>
      </c>
      <c r="P118" s="640">
        <v>5190036</v>
      </c>
      <c r="Q118" s="632">
        <v>2474411.4000000004</v>
      </c>
      <c r="R118" s="646">
        <v>69733</v>
      </c>
      <c r="S118" s="640">
        <v>2544144.4</v>
      </c>
      <c r="T118" s="632">
        <v>27437</v>
      </c>
      <c r="U118" s="632">
        <v>27437</v>
      </c>
      <c r="V118" s="632">
        <v>3771322</v>
      </c>
      <c r="W118" s="632">
        <v>3771322</v>
      </c>
      <c r="X118" s="632">
        <v>919138</v>
      </c>
      <c r="Y118" s="632">
        <v>919138</v>
      </c>
      <c r="Z118" s="632">
        <v>537455</v>
      </c>
      <c r="AA118" s="632">
        <v>537455</v>
      </c>
      <c r="AB118" s="632">
        <v>0</v>
      </c>
      <c r="AC118" s="634">
        <v>0</v>
      </c>
    </row>
    <row r="119" spans="1:29" ht="13">
      <c r="A119" s="652" t="s">
        <v>783</v>
      </c>
      <c r="B119" s="664"/>
      <c r="C119" s="632">
        <v>120921.5</v>
      </c>
      <c r="D119" s="633">
        <v>74941</v>
      </c>
      <c r="E119" s="633">
        <v>350204.5</v>
      </c>
      <c r="F119" s="633">
        <v>119062</v>
      </c>
      <c r="G119" s="633">
        <v>23303</v>
      </c>
      <c r="H119" s="633">
        <v>95870</v>
      </c>
      <c r="I119" s="640">
        <v>784302</v>
      </c>
      <c r="J119" s="632">
        <v>1278463</v>
      </c>
      <c r="K119" s="633">
        <v>2375689</v>
      </c>
      <c r="L119" s="633">
        <v>1465931.8</v>
      </c>
      <c r="M119" s="633">
        <v>788863.5</v>
      </c>
      <c r="N119" s="640">
        <v>5908947.2999999998</v>
      </c>
      <c r="O119" s="632">
        <v>1256936</v>
      </c>
      <c r="P119" s="640">
        <v>1256936</v>
      </c>
      <c r="Q119" s="632">
        <v>395014.5</v>
      </c>
      <c r="R119" s="646">
        <v>3726</v>
      </c>
      <c r="S119" s="640">
        <v>398740.5</v>
      </c>
      <c r="T119" s="632">
        <v>0</v>
      </c>
      <c r="U119" s="632">
        <v>0</v>
      </c>
      <c r="V119" s="632">
        <v>649925</v>
      </c>
      <c r="W119" s="632">
        <v>649925</v>
      </c>
      <c r="X119" s="632">
        <v>380153</v>
      </c>
      <c r="Y119" s="632">
        <v>380153</v>
      </c>
      <c r="Z119" s="632">
        <v>253937</v>
      </c>
      <c r="AA119" s="632">
        <v>253937</v>
      </c>
      <c r="AB119" s="632">
        <v>0</v>
      </c>
      <c r="AC119" s="634">
        <v>0</v>
      </c>
    </row>
    <row r="120" spans="1:29" ht="13">
      <c r="A120" s="652" t="s">
        <v>784</v>
      </c>
      <c r="B120" s="664"/>
      <c r="C120" s="111">
        <v>5.437628561423778E-3</v>
      </c>
      <c r="D120" s="507">
        <v>1.3999261299437321E-2</v>
      </c>
      <c r="E120" s="507">
        <v>2.4633842369224099E-2</v>
      </c>
      <c r="F120" s="507">
        <v>3.2687200469022973E-2</v>
      </c>
      <c r="G120" s="507">
        <v>1.4769835411059104E-2</v>
      </c>
      <c r="H120" s="507">
        <v>5.2875545570342485E-2</v>
      </c>
      <c r="I120" s="642">
        <v>1.6058318905587558E-2</v>
      </c>
      <c r="J120" s="111">
        <v>5.5287310760350747E-2</v>
      </c>
      <c r="K120" s="507">
        <v>0.11519682237038094</v>
      </c>
      <c r="L120" s="507">
        <v>0.17691641463050961</v>
      </c>
      <c r="M120" s="507">
        <v>0.21891442669530897</v>
      </c>
      <c r="N120" s="642">
        <v>0.10620651268242169</v>
      </c>
      <c r="O120" s="111">
        <v>0.2421825205066015</v>
      </c>
      <c r="P120" s="642">
        <v>0.2421825205066015</v>
      </c>
      <c r="Q120" s="111">
        <v>0.1596397834248581</v>
      </c>
      <c r="R120" s="648">
        <v>5.343237778383262E-2</v>
      </c>
      <c r="S120" s="642">
        <v>0.15672872184456196</v>
      </c>
      <c r="T120" s="111">
        <v>0</v>
      </c>
      <c r="U120" s="111">
        <v>0</v>
      </c>
      <c r="V120" s="111">
        <v>0.17233346821088202</v>
      </c>
      <c r="W120" s="111">
        <v>0.17233346821088202</v>
      </c>
      <c r="X120" s="111">
        <v>0.41359730530127142</v>
      </c>
      <c r="Y120" s="111">
        <v>0.41359730530127142</v>
      </c>
      <c r="Z120" s="111">
        <v>0.47248048673842463</v>
      </c>
      <c r="AA120" s="111">
        <v>0.47248048673842463</v>
      </c>
      <c r="AB120" s="111">
        <v>0</v>
      </c>
      <c r="AC120" s="112">
        <v>0</v>
      </c>
    </row>
    <row r="121" spans="1:29" ht="13">
      <c r="A121" s="652" t="s">
        <v>785</v>
      </c>
      <c r="B121" s="664"/>
      <c r="C121" s="632">
        <v>22699563</v>
      </c>
      <c r="D121" s="633">
        <v>5311765.2699999996</v>
      </c>
      <c r="E121" s="633">
        <v>14306877.5</v>
      </c>
      <c r="F121" s="633">
        <v>3752353</v>
      </c>
      <c r="G121" s="633">
        <v>1622664</v>
      </c>
      <c r="H121" s="633">
        <v>1781764</v>
      </c>
      <c r="I121" s="640">
        <v>49474986.769999996</v>
      </c>
      <c r="J121" s="632">
        <v>20406496</v>
      </c>
      <c r="K121" s="633">
        <v>19334675</v>
      </c>
      <c r="L121" s="633">
        <v>7981614.2000000002</v>
      </c>
      <c r="M121" s="633">
        <v>3919009.5</v>
      </c>
      <c r="N121" s="640">
        <v>51641794.699999996</v>
      </c>
      <c r="O121" s="632">
        <v>4910752</v>
      </c>
      <c r="P121" s="640">
        <v>4910752</v>
      </c>
      <c r="Q121" s="632">
        <v>2370872.5</v>
      </c>
      <c r="R121" s="646">
        <v>60001</v>
      </c>
      <c r="S121" s="640">
        <v>2430873.5</v>
      </c>
      <c r="T121" s="632">
        <v>39426</v>
      </c>
      <c r="U121" s="632">
        <v>39426</v>
      </c>
      <c r="V121" s="632">
        <v>3569476</v>
      </c>
      <c r="W121" s="632">
        <v>3569476</v>
      </c>
      <c r="X121" s="632">
        <v>860555</v>
      </c>
      <c r="Y121" s="632">
        <v>860555</v>
      </c>
      <c r="Z121" s="632">
        <v>517569</v>
      </c>
      <c r="AA121" s="632">
        <v>517569</v>
      </c>
      <c r="AB121" s="632">
        <v>0</v>
      </c>
      <c r="AC121" s="634">
        <v>0</v>
      </c>
    </row>
    <row r="122" spans="1:29" ht="13">
      <c r="A122" s="652" t="s">
        <v>786</v>
      </c>
      <c r="B122" s="664"/>
      <c r="C122" s="632">
        <v>125413.5</v>
      </c>
      <c r="D122" s="633">
        <v>74802</v>
      </c>
      <c r="E122" s="633">
        <v>355318</v>
      </c>
      <c r="F122" s="633">
        <v>116649</v>
      </c>
      <c r="G122" s="633">
        <v>27222</v>
      </c>
      <c r="H122" s="633">
        <v>90237</v>
      </c>
      <c r="I122" s="640">
        <v>789641.5</v>
      </c>
      <c r="J122" s="632">
        <v>1268262</v>
      </c>
      <c r="K122" s="633">
        <v>2410726.5</v>
      </c>
      <c r="L122" s="633">
        <v>1489111.6</v>
      </c>
      <c r="M122" s="633">
        <v>875348</v>
      </c>
      <c r="N122" s="640">
        <v>6043448.0999999996</v>
      </c>
      <c r="O122" s="632">
        <v>1248178</v>
      </c>
      <c r="P122" s="640">
        <v>1248178</v>
      </c>
      <c r="Q122" s="632">
        <v>364582.5</v>
      </c>
      <c r="R122" s="646">
        <v>3691</v>
      </c>
      <c r="S122" s="640">
        <v>368273.5</v>
      </c>
      <c r="T122" s="632">
        <v>36</v>
      </c>
      <c r="U122" s="632">
        <v>36</v>
      </c>
      <c r="V122" s="632">
        <v>669072</v>
      </c>
      <c r="W122" s="632">
        <v>669072</v>
      </c>
      <c r="X122" s="632">
        <v>359126</v>
      </c>
      <c r="Y122" s="632">
        <v>359126</v>
      </c>
      <c r="Z122" s="632">
        <v>245585</v>
      </c>
      <c r="AA122" s="632">
        <v>245585</v>
      </c>
      <c r="AB122" s="632">
        <v>0</v>
      </c>
      <c r="AC122" s="634">
        <v>0</v>
      </c>
    </row>
    <row r="123" spans="1:29" ht="13">
      <c r="A123" s="652" t="s">
        <v>787</v>
      </c>
      <c r="B123" s="664"/>
      <c r="C123" s="632">
        <v>5.5249301495363589E-3</v>
      </c>
      <c r="D123" s="633">
        <v>1.4082324085830699E-2</v>
      </c>
      <c r="E123" s="633">
        <v>2.4835468116645297E-2</v>
      </c>
      <c r="F123" s="507">
        <v>3.1086894010238376E-2</v>
      </c>
      <c r="G123" s="633">
        <v>1.6776116312434367E-2</v>
      </c>
      <c r="H123" s="633">
        <v>5.0644754299671559E-2</v>
      </c>
      <c r="I123" s="640">
        <v>1.5960418618622303E-2</v>
      </c>
      <c r="J123" s="632">
        <v>6.2149915399488477E-2</v>
      </c>
      <c r="K123" s="633">
        <v>0.12468409735358882</v>
      </c>
      <c r="L123" s="633">
        <v>0.18656772460888926</v>
      </c>
      <c r="M123" s="633">
        <v>0.22335949938370908</v>
      </c>
      <c r="N123" s="640">
        <v>0.11702629885556631</v>
      </c>
      <c r="O123" s="632">
        <v>0.25417247704628537</v>
      </c>
      <c r="P123" s="640">
        <v>0.25417247704628537</v>
      </c>
      <c r="Q123" s="632">
        <v>0.15377566697492168</v>
      </c>
      <c r="R123" s="646">
        <v>6.1515641405976568E-2</v>
      </c>
      <c r="S123" s="640">
        <v>0.15149842227495589</v>
      </c>
      <c r="T123" s="632">
        <v>9.1310302845837776E-4</v>
      </c>
      <c r="U123" s="632">
        <v>9.1310302845837776E-4</v>
      </c>
      <c r="V123" s="632">
        <v>0.18744263863939692</v>
      </c>
      <c r="W123" s="632">
        <v>0.18744263863939692</v>
      </c>
      <c r="X123" s="632">
        <v>0.41731905572566541</v>
      </c>
      <c r="Y123" s="632">
        <v>0.41731905572566541</v>
      </c>
      <c r="Z123" s="632">
        <v>0.47449712019073786</v>
      </c>
      <c r="AA123" s="632">
        <v>0.47449712019073786</v>
      </c>
      <c r="AB123" s="632">
        <v>0</v>
      </c>
      <c r="AC123" s="634">
        <v>0</v>
      </c>
    </row>
    <row r="124" spans="1:29" ht="13">
      <c r="A124" s="652" t="s">
        <v>788</v>
      </c>
      <c r="B124" s="664"/>
      <c r="C124" s="508">
        <v>8.7301588112580902E-5</v>
      </c>
      <c r="D124" s="509">
        <v>8.3062786393377566E-5</v>
      </c>
      <c r="E124" s="509">
        <v>2.0162574742119826E-4</v>
      </c>
      <c r="F124" s="509">
        <v>-1.6003064587845964E-3</v>
      </c>
      <c r="G124" s="509">
        <v>2.0062809013752635E-3</v>
      </c>
      <c r="H124" s="509">
        <v>-2.230791270670926E-3</v>
      </c>
      <c r="I124" s="643">
        <v>-9.7900286965255101E-5</v>
      </c>
      <c r="J124" s="639">
        <v>6.8626046391377302E-3</v>
      </c>
      <c r="K124" s="638">
        <v>9.4872749832078801E-3</v>
      </c>
      <c r="L124" s="638">
        <v>9.6513099783796519E-3</v>
      </c>
      <c r="M124" s="638">
        <v>4.4450726884001091E-3</v>
      </c>
      <c r="N124" s="643">
        <v>1.0819786173144622E-2</v>
      </c>
      <c r="O124" s="639">
        <v>1.1989956539683877E-2</v>
      </c>
      <c r="P124" s="660">
        <v>1.1989956539683877E-2</v>
      </c>
      <c r="Q124" s="639">
        <v>-5.864116449936424E-3</v>
      </c>
      <c r="R124" s="649">
        <v>8.0832636221439477E-3</v>
      </c>
      <c r="S124" s="643">
        <v>-5.2302995696060783E-3</v>
      </c>
      <c r="T124" s="639">
        <v>9.1310302845837776E-4</v>
      </c>
      <c r="U124" s="508">
        <v>9.1310302845837776E-4</v>
      </c>
      <c r="V124" s="639">
        <v>1.5109170428514895E-2</v>
      </c>
      <c r="W124" s="639">
        <v>1.5109170428514895E-2</v>
      </c>
      <c r="X124" s="639">
        <v>3.7217504243939881E-3</v>
      </c>
      <c r="Y124" s="639">
        <v>3.7217504243939881E-3</v>
      </c>
      <c r="Z124" s="639">
        <v>2.0166334523132323E-3</v>
      </c>
      <c r="AA124" s="639">
        <v>2.0166334523132323E-3</v>
      </c>
      <c r="AB124" s="639">
        <v>0</v>
      </c>
      <c r="AC124" s="644">
        <v>0</v>
      </c>
    </row>
    <row r="125" spans="1:29" ht="13">
      <c r="A125" s="115"/>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2"/>
  </sheetPr>
  <dimension ref="A1:BC629"/>
  <sheetViews>
    <sheetView zoomScale="70" zoomScaleNormal="70" workbookViewId="0">
      <pane xSplit="5" ySplit="7" topLeftCell="F608" activePane="bottomRight" state="frozenSplit"/>
      <selection activeCell="A2" sqref="A2 A2"/>
      <selection pane="topRight" activeCell="A2" sqref="A2"/>
      <selection pane="bottomLeft" activeCell="A2" sqref="A2"/>
      <selection pane="bottomRight" activeCell="P586" sqref="P586"/>
    </sheetView>
  </sheetViews>
  <sheetFormatPr defaultColWidth="13.44140625" defaultRowHeight="13"/>
  <cols>
    <col min="1" max="1" width="9.44140625" style="347" customWidth="1"/>
    <col min="2" max="2" width="72.109375" style="347" customWidth="1"/>
    <col min="3" max="3" width="34.109375" style="347" customWidth="1"/>
    <col min="4" max="4" width="16.6640625" style="2" customWidth="1"/>
    <col min="5" max="5" width="16.6640625" style="380" customWidth="1"/>
    <col min="6" max="6" width="15.77734375" style="343" customWidth="1"/>
    <col min="7" max="7" width="13.109375" style="344" customWidth="1"/>
    <col min="8" max="8" width="16.109375" style="345" customWidth="1"/>
    <col min="9" max="9" width="18.44140625" style="346" customWidth="1"/>
    <col min="10" max="10" width="18.77734375" style="345" customWidth="1"/>
    <col min="11" max="11" width="18.44140625" style="346" customWidth="1"/>
    <col min="12" max="12" width="18.44140625" style="345" customWidth="1"/>
    <col min="13" max="13" width="18.109375" style="346" customWidth="1"/>
    <col min="14" max="14" width="18.77734375" style="345" customWidth="1"/>
    <col min="15" max="15" width="18.77734375" style="346" customWidth="1"/>
    <col min="16" max="16" width="17.33203125" style="345" customWidth="1"/>
    <col min="17" max="17" width="16.109375" style="345" customWidth="1"/>
    <col min="18" max="18" width="19.6640625" style="346" customWidth="1"/>
    <col min="19" max="19" width="13.33203125" style="346" customWidth="1"/>
    <col min="20" max="20" width="17" style="346" customWidth="1"/>
    <col min="21" max="21" width="16.6640625" style="346" customWidth="1"/>
    <col min="22" max="22" width="20" style="345" customWidth="1"/>
    <col min="23" max="23" width="18.109375" style="345" customWidth="1"/>
    <col min="24" max="24" width="19.109375" style="345" customWidth="1"/>
    <col min="25" max="25" width="18.109375" style="346" customWidth="1"/>
    <col min="26" max="26" width="17" style="345" customWidth="1"/>
    <col min="27" max="27" width="17.6640625" style="346" customWidth="1"/>
    <col min="28" max="28" width="20" style="345" customWidth="1"/>
    <col min="29" max="29" width="18.44140625" style="346" customWidth="1"/>
    <col min="30" max="30" width="22.6640625" style="345" customWidth="1"/>
    <col min="31" max="31" width="27.109375" style="346" customWidth="1"/>
    <col min="32" max="32" width="18.77734375" style="345" customWidth="1"/>
    <col min="33" max="33" width="18" style="345" customWidth="1"/>
    <col min="34" max="34" width="19.44140625" style="346" customWidth="1"/>
    <col min="35" max="35" width="16.109375" style="346" customWidth="1"/>
    <col min="36" max="36" width="18.44140625" style="346" customWidth="1"/>
    <col min="37" max="37" width="18" style="346" customWidth="1"/>
    <col min="38" max="39" width="18.77734375" style="345" customWidth="1"/>
    <col min="40" max="40" width="16.109375" style="345" customWidth="1"/>
    <col min="41" max="41" width="16.109375" style="346" customWidth="1"/>
    <col min="42" max="42" width="16.109375" style="345" customWidth="1"/>
    <col min="43" max="43" width="16.109375" style="346" customWidth="1"/>
    <col min="44" max="44" width="16.109375" style="345" customWidth="1"/>
    <col min="45" max="45" width="16.109375" style="346" customWidth="1"/>
    <col min="46" max="46" width="16.109375" style="345" customWidth="1"/>
    <col min="47" max="47" width="16.109375" style="346" customWidth="1"/>
    <col min="48" max="48" width="18.44140625" style="345" customWidth="1"/>
    <col min="49" max="49" width="16.109375" style="345" customWidth="1"/>
    <col min="50" max="50" width="18.44140625" style="346" customWidth="1"/>
    <col min="51" max="53" width="16.109375" style="347" customWidth="1"/>
    <col min="54" max="16384" width="13.44140625" style="347"/>
  </cols>
  <sheetData>
    <row r="1" spans="1:53" hidden="1">
      <c r="A1" s="348"/>
      <c r="B1" s="348"/>
      <c r="C1" s="348"/>
      <c r="D1" s="349"/>
      <c r="E1" s="350"/>
      <c r="F1" s="351"/>
      <c r="G1" s="352"/>
      <c r="H1" s="353"/>
      <c r="I1" s="354"/>
      <c r="J1" s="353"/>
      <c r="K1" s="354"/>
      <c r="L1" s="353"/>
      <c r="M1" s="354"/>
      <c r="N1" s="353"/>
      <c r="O1" s="354"/>
      <c r="P1" s="355">
        <f>SUM(H1,J1,L1,N1)</f>
        <v>0</v>
      </c>
      <c r="Q1" s="356">
        <f>+P1/30</f>
        <v>0</v>
      </c>
      <c r="R1" s="357">
        <f>SUM(I1,K1,M1,O1)</f>
        <v>0</v>
      </c>
      <c r="S1" s="358">
        <f>+R1/30</f>
        <v>0</v>
      </c>
      <c r="T1" s="353"/>
      <c r="U1" s="354"/>
      <c r="V1" s="355">
        <f>IF(ISBLANK(T1),0,P1)</f>
        <v>0</v>
      </c>
      <c r="W1" s="359">
        <f>IF(ISBLANK(U1),0,R1)</f>
        <v>0</v>
      </c>
      <c r="X1" s="360"/>
      <c r="Y1" s="354"/>
      <c r="Z1" s="353"/>
      <c r="AA1" s="354"/>
      <c r="AB1" s="353"/>
      <c r="AC1" s="354"/>
      <c r="AD1" s="353"/>
      <c r="AE1" s="354"/>
      <c r="AF1" s="355">
        <f>SUM(X1,Z1,AB1,AD1)</f>
        <v>0</v>
      </c>
      <c r="AG1" s="356">
        <f>+AF1/900</f>
        <v>0</v>
      </c>
      <c r="AH1" s="357">
        <f>SUM(Y1,AA1,AC1,AE1)</f>
        <v>0</v>
      </c>
      <c r="AI1" s="357">
        <f>+AH1/900</f>
        <v>0</v>
      </c>
      <c r="AJ1" s="353"/>
      <c r="AK1" s="354"/>
      <c r="AL1" s="355">
        <f>IF(ISBLANK(AJ1),0,AF1)</f>
        <v>0</v>
      </c>
      <c r="AM1" s="358">
        <f>IF(ISBLANK(AK1),0,AH1)</f>
        <v>0</v>
      </c>
      <c r="AN1" s="353"/>
      <c r="AO1" s="353"/>
      <c r="AP1" s="353"/>
      <c r="AQ1" s="353"/>
      <c r="AR1" s="353"/>
      <c r="AS1" s="353"/>
      <c r="AT1" s="353"/>
      <c r="AU1" s="353"/>
      <c r="AV1" s="355">
        <f>SUM(AN1,AP1,AR1,AT1)</f>
        <v>0</v>
      </c>
      <c r="AW1" s="361">
        <f>+AV1/24</f>
        <v>0</v>
      </c>
      <c r="AX1" s="357">
        <f>SUM(AO1,AQ1,AS1,AU1)</f>
        <v>0</v>
      </c>
      <c r="AY1" s="362">
        <f>+AX1/24</f>
        <v>0</v>
      </c>
      <c r="AZ1" s="363">
        <f>SUM(Q1,AG1,AW1)</f>
        <v>0</v>
      </c>
      <c r="BA1" s="357">
        <f>SUM(S1,AI1,AY1)</f>
        <v>0</v>
      </c>
    </row>
    <row r="2" spans="1:53" s="365" customFormat="1" ht="18.75" customHeight="1" thickBot="1">
      <c r="A2" s="364" t="s">
        <v>0</v>
      </c>
      <c r="B2" s="364"/>
      <c r="C2" s="364"/>
      <c r="D2" s="364"/>
      <c r="E2" s="364"/>
    </row>
    <row r="3" spans="1:53" s="380" customFormat="1" ht="23.25" customHeight="1" thickTop="1">
      <c r="A3" s="366" t="s">
        <v>803</v>
      </c>
      <c r="B3" s="367"/>
      <c r="C3" s="367"/>
      <c r="D3" s="367"/>
      <c r="E3" s="367"/>
      <c r="F3" s="368"/>
      <c r="G3" s="369"/>
      <c r="H3" s="370" t="s">
        <v>1</v>
      </c>
      <c r="I3" s="371"/>
      <c r="J3" s="372"/>
      <c r="K3" s="373"/>
      <c r="L3" s="372"/>
      <c r="M3" s="373"/>
      <c r="N3" s="372"/>
      <c r="O3" s="373"/>
      <c r="P3" s="371" t="s">
        <v>2</v>
      </c>
      <c r="Q3" s="371"/>
      <c r="R3" s="371"/>
      <c r="S3" s="371"/>
      <c r="T3" s="374"/>
      <c r="U3" s="375"/>
      <c r="V3" s="371" t="s">
        <v>2</v>
      </c>
      <c r="W3" s="376"/>
      <c r="X3" s="377" t="s">
        <v>3</v>
      </c>
      <c r="Y3" s="371"/>
      <c r="Z3" s="372"/>
      <c r="AA3" s="373"/>
      <c r="AB3" s="372"/>
      <c r="AC3" s="373"/>
      <c r="AD3" s="372"/>
      <c r="AE3" s="373"/>
      <c r="AF3" s="371" t="s">
        <v>2</v>
      </c>
      <c r="AG3" s="371"/>
      <c r="AH3" s="371"/>
      <c r="AI3" s="371"/>
      <c r="AJ3" s="374"/>
      <c r="AK3" s="375"/>
      <c r="AL3" s="371" t="s">
        <v>2</v>
      </c>
      <c r="AM3" s="376"/>
      <c r="AN3" s="377" t="s">
        <v>4</v>
      </c>
      <c r="AO3" s="371"/>
      <c r="AP3" s="372"/>
      <c r="AQ3" s="373"/>
      <c r="AR3" s="372"/>
      <c r="AS3" s="373"/>
      <c r="AT3" s="372"/>
      <c r="AU3" s="373"/>
      <c r="AV3" s="378" t="s">
        <v>2</v>
      </c>
      <c r="AW3" s="371"/>
      <c r="AX3" s="379"/>
      <c r="AY3" s="371"/>
      <c r="AZ3" s="617" t="s">
        <v>5</v>
      </c>
      <c r="BA3" s="618"/>
    </row>
    <row r="4" spans="1:53" s="380" customFormat="1" ht="82.5" customHeight="1" thickBot="1">
      <c r="A4" s="381" t="s">
        <v>6</v>
      </c>
      <c r="B4" s="382"/>
      <c r="C4" s="382"/>
      <c r="D4" s="382"/>
      <c r="E4" s="382"/>
      <c r="F4" s="383" t="s">
        <v>7</v>
      </c>
      <c r="G4" s="384"/>
      <c r="H4" s="383" t="s">
        <v>8</v>
      </c>
      <c r="I4" s="384"/>
      <c r="J4" s="383" t="s">
        <v>9</v>
      </c>
      <c r="K4" s="384"/>
      <c r="L4" s="383" t="s">
        <v>10</v>
      </c>
      <c r="M4" s="384"/>
      <c r="N4" s="383" t="s">
        <v>11</v>
      </c>
      <c r="O4" s="384"/>
      <c r="P4" s="385" t="s">
        <v>12</v>
      </c>
      <c r="Q4" s="385" t="s">
        <v>13</v>
      </c>
      <c r="R4" s="386" t="s">
        <v>12</v>
      </c>
      <c r="S4" s="387" t="s">
        <v>13</v>
      </c>
      <c r="T4" s="383" t="s">
        <v>14</v>
      </c>
      <c r="U4" s="388"/>
      <c r="V4" s="383" t="s">
        <v>15</v>
      </c>
      <c r="W4" s="388"/>
      <c r="X4" s="383" t="s">
        <v>8</v>
      </c>
      <c r="Y4" s="384"/>
      <c r="Z4" s="383" t="s">
        <v>9</v>
      </c>
      <c r="AA4" s="384"/>
      <c r="AB4" s="383" t="s">
        <v>10</v>
      </c>
      <c r="AC4" s="384"/>
      <c r="AD4" s="383" t="s">
        <v>11</v>
      </c>
      <c r="AE4" s="384"/>
      <c r="AF4" s="385" t="s">
        <v>12</v>
      </c>
      <c r="AG4" s="385" t="s">
        <v>13</v>
      </c>
      <c r="AH4" s="386" t="s">
        <v>12</v>
      </c>
      <c r="AI4" s="387" t="s">
        <v>13</v>
      </c>
      <c r="AJ4" s="383" t="s">
        <v>14</v>
      </c>
      <c r="AK4" s="388"/>
      <c r="AL4" s="383" t="s">
        <v>15</v>
      </c>
      <c r="AM4" s="388"/>
      <c r="AN4" s="383" t="s">
        <v>8</v>
      </c>
      <c r="AO4" s="384"/>
      <c r="AP4" s="383" t="s">
        <v>9</v>
      </c>
      <c r="AQ4" s="384"/>
      <c r="AR4" s="383" t="s">
        <v>10</v>
      </c>
      <c r="AS4" s="384"/>
      <c r="AT4" s="383" t="s">
        <v>11</v>
      </c>
      <c r="AU4" s="384"/>
      <c r="AV4" s="385" t="s">
        <v>12</v>
      </c>
      <c r="AW4" s="385" t="s">
        <v>13</v>
      </c>
      <c r="AX4" s="386" t="s">
        <v>12</v>
      </c>
      <c r="AY4" s="386" t="s">
        <v>13</v>
      </c>
      <c r="AZ4" s="389" t="s">
        <v>16</v>
      </c>
      <c r="BA4" s="390"/>
    </row>
    <row r="5" spans="1:53" s="2" customFormat="1" ht="25.5" customHeight="1" thickTop="1" thickBot="1">
      <c r="A5" s="398" t="s">
        <v>17</v>
      </c>
      <c r="B5" s="399" t="s">
        <v>18</v>
      </c>
      <c r="C5" s="399" t="s">
        <v>19</v>
      </c>
      <c r="D5" s="398" t="s">
        <v>20</v>
      </c>
      <c r="E5" s="400" t="s">
        <v>21</v>
      </c>
      <c r="F5" s="485">
        <v>2019</v>
      </c>
      <c r="G5" s="486">
        <v>2020</v>
      </c>
      <c r="H5" s="485">
        <v>2019</v>
      </c>
      <c r="I5" s="486">
        <v>2020</v>
      </c>
      <c r="J5" s="485">
        <v>2019</v>
      </c>
      <c r="K5" s="486">
        <v>2020</v>
      </c>
      <c r="L5" s="485">
        <v>2019</v>
      </c>
      <c r="M5" s="486">
        <v>2020</v>
      </c>
      <c r="N5" s="485">
        <v>2019</v>
      </c>
      <c r="O5" s="486">
        <v>2020</v>
      </c>
      <c r="P5" s="487">
        <v>2019</v>
      </c>
      <c r="Q5" s="488">
        <v>2019</v>
      </c>
      <c r="R5" s="489">
        <v>2020</v>
      </c>
      <c r="S5" s="490">
        <v>2020</v>
      </c>
      <c r="T5" s="485">
        <v>2019</v>
      </c>
      <c r="U5" s="486">
        <v>2020</v>
      </c>
      <c r="V5" s="487">
        <v>2019</v>
      </c>
      <c r="W5" s="491">
        <v>2020</v>
      </c>
      <c r="X5" s="485">
        <v>2019</v>
      </c>
      <c r="Y5" s="486">
        <v>2020</v>
      </c>
      <c r="Z5" s="485">
        <v>2019</v>
      </c>
      <c r="AA5" s="486">
        <v>2020</v>
      </c>
      <c r="AB5" s="485">
        <v>2019</v>
      </c>
      <c r="AC5" s="486">
        <v>2020</v>
      </c>
      <c r="AD5" s="485">
        <v>2019</v>
      </c>
      <c r="AE5" s="486">
        <v>2020</v>
      </c>
      <c r="AF5" s="487">
        <v>2019</v>
      </c>
      <c r="AG5" s="488">
        <v>2019</v>
      </c>
      <c r="AH5" s="489">
        <v>2020</v>
      </c>
      <c r="AI5" s="489">
        <v>2020</v>
      </c>
      <c r="AJ5" s="485">
        <v>2019</v>
      </c>
      <c r="AK5" s="486">
        <v>2020</v>
      </c>
      <c r="AL5" s="488">
        <v>2019</v>
      </c>
      <c r="AM5" s="490">
        <v>2020</v>
      </c>
      <c r="AN5" s="485">
        <v>2019</v>
      </c>
      <c r="AO5" s="486">
        <v>2020</v>
      </c>
      <c r="AP5" s="485">
        <v>2019</v>
      </c>
      <c r="AQ5" s="486">
        <v>2020</v>
      </c>
      <c r="AR5" s="485">
        <v>2019</v>
      </c>
      <c r="AS5" s="486">
        <v>2020</v>
      </c>
      <c r="AT5" s="485">
        <v>2019</v>
      </c>
      <c r="AU5" s="486">
        <v>2020</v>
      </c>
      <c r="AV5" s="487">
        <v>2019</v>
      </c>
      <c r="AW5" s="487">
        <v>2019</v>
      </c>
      <c r="AX5" s="489">
        <v>2020</v>
      </c>
      <c r="AY5" s="492">
        <v>2020</v>
      </c>
      <c r="AZ5" s="493">
        <v>2019</v>
      </c>
      <c r="BA5" s="489">
        <v>2020</v>
      </c>
    </row>
    <row r="6" spans="1:53" s="397" customFormat="1" ht="35.15" hidden="1" customHeight="1" thickTop="1">
      <c r="A6" s="391" t="s">
        <v>17</v>
      </c>
      <c r="B6" s="391" t="s">
        <v>18</v>
      </c>
      <c r="C6" s="391" t="s">
        <v>22</v>
      </c>
      <c r="D6" s="392" t="s">
        <v>23</v>
      </c>
      <c r="E6" s="393" t="s">
        <v>21</v>
      </c>
      <c r="F6" s="394" t="s">
        <v>24</v>
      </c>
      <c r="G6" s="394" t="s">
        <v>25</v>
      </c>
      <c r="H6" s="394" t="s">
        <v>26</v>
      </c>
      <c r="I6" s="394" t="s">
        <v>27</v>
      </c>
      <c r="J6" s="394" t="s">
        <v>28</v>
      </c>
      <c r="K6" s="394" t="s">
        <v>29</v>
      </c>
      <c r="L6" s="394" t="s">
        <v>30</v>
      </c>
      <c r="M6" s="394" t="s">
        <v>31</v>
      </c>
      <c r="N6" s="394" t="s">
        <v>32</v>
      </c>
      <c r="O6" s="394" t="s">
        <v>33</v>
      </c>
      <c r="P6" s="394" t="s">
        <v>34</v>
      </c>
      <c r="Q6" s="394" t="s">
        <v>35</v>
      </c>
      <c r="R6" s="394" t="s">
        <v>36</v>
      </c>
      <c r="S6" s="394" t="s">
        <v>37</v>
      </c>
      <c r="T6" s="394" t="s">
        <v>38</v>
      </c>
      <c r="U6" s="394" t="s">
        <v>39</v>
      </c>
      <c r="V6" s="394" t="s">
        <v>40</v>
      </c>
      <c r="W6" s="394" t="s">
        <v>41</v>
      </c>
      <c r="X6" s="394" t="s">
        <v>42</v>
      </c>
      <c r="Y6" s="394" t="s">
        <v>43</v>
      </c>
      <c r="Z6" s="394" t="s">
        <v>44</v>
      </c>
      <c r="AA6" s="394" t="s">
        <v>45</v>
      </c>
      <c r="AB6" s="394" t="s">
        <v>46</v>
      </c>
      <c r="AC6" s="394" t="s">
        <v>47</v>
      </c>
      <c r="AD6" s="394" t="s">
        <v>48</v>
      </c>
      <c r="AE6" s="394" t="s">
        <v>49</v>
      </c>
      <c r="AF6" s="391" t="s">
        <v>50</v>
      </c>
      <c r="AG6" s="391" t="s">
        <v>51</v>
      </c>
      <c r="AH6" s="394" t="s">
        <v>52</v>
      </c>
      <c r="AI6" s="394" t="s">
        <v>53</v>
      </c>
      <c r="AJ6" s="394" t="s">
        <v>54</v>
      </c>
      <c r="AK6" s="394" t="s">
        <v>55</v>
      </c>
      <c r="AL6" s="394" t="s">
        <v>56</v>
      </c>
      <c r="AM6" s="394" t="s">
        <v>57</v>
      </c>
      <c r="AN6" s="394" t="s">
        <v>58</v>
      </c>
      <c r="AO6" s="394" t="s">
        <v>59</v>
      </c>
      <c r="AP6" s="394" t="s">
        <v>60</v>
      </c>
      <c r="AQ6" s="395" t="s">
        <v>61</v>
      </c>
      <c r="AR6" s="394" t="s">
        <v>62</v>
      </c>
      <c r="AS6" s="395" t="s">
        <v>63</v>
      </c>
      <c r="AT6" s="394" t="s">
        <v>64</v>
      </c>
      <c r="AU6" s="395" t="s">
        <v>65</v>
      </c>
      <c r="AV6" s="394" t="s">
        <v>66</v>
      </c>
      <c r="AW6" s="394" t="s">
        <v>67</v>
      </c>
      <c r="AX6" s="394" t="s">
        <v>68</v>
      </c>
      <c r="AY6" s="394" t="s">
        <v>69</v>
      </c>
      <c r="AZ6" s="396" t="s">
        <v>70</v>
      </c>
      <c r="BA6" s="393" t="s">
        <v>71</v>
      </c>
    </row>
    <row r="7" spans="1:53" s="365" customFormat="1" ht="13.9" customHeight="1" thickTop="1">
      <c r="A7" s="404" t="s">
        <v>72</v>
      </c>
      <c r="B7" s="403" t="s">
        <v>73</v>
      </c>
      <c r="C7" s="401"/>
      <c r="D7" s="404">
        <v>100858</v>
      </c>
      <c r="E7" s="404">
        <v>1</v>
      </c>
      <c r="F7" s="592"/>
      <c r="G7" s="519"/>
      <c r="H7" s="592"/>
      <c r="I7" s="519"/>
      <c r="J7" s="592">
        <v>323849</v>
      </c>
      <c r="K7" s="519">
        <v>325844</v>
      </c>
      <c r="L7" s="592">
        <v>60899</v>
      </c>
      <c r="M7" s="519">
        <v>65889</v>
      </c>
      <c r="N7" s="592">
        <v>349196</v>
      </c>
      <c r="O7" s="519">
        <v>347470</v>
      </c>
      <c r="P7" s="595">
        <f t="shared" ref="P7:P43" si="0">SUM(H7,J7,L7,N7)</f>
        <v>733944</v>
      </c>
      <c r="Q7" s="595">
        <f t="shared" ref="Q7:Q43" si="1">+P7/30</f>
        <v>24464.799999999999</v>
      </c>
      <c r="R7" s="596">
        <f t="shared" ref="R7:R43" si="2">SUM(I7,K7,M7,O7)</f>
        <v>739203</v>
      </c>
      <c r="S7" s="596">
        <f t="shared" ref="S7:S43" si="3">+R7/30</f>
        <v>24640.1</v>
      </c>
      <c r="T7" s="592">
        <v>1584</v>
      </c>
      <c r="U7" s="519">
        <v>2390</v>
      </c>
      <c r="V7" s="595">
        <f t="shared" ref="V7:V43" si="4">IF(ISBLANK(T7),0,P7)</f>
        <v>733944</v>
      </c>
      <c r="W7" s="596">
        <f t="shared" ref="W7:W43" si="5">IF(ISBLANK(U7),0,R7)</f>
        <v>739203</v>
      </c>
      <c r="X7" s="592"/>
      <c r="Y7" s="519"/>
      <c r="Z7" s="592"/>
      <c r="AA7" s="519"/>
      <c r="AB7" s="592"/>
      <c r="AC7" s="519"/>
      <c r="AD7" s="592"/>
      <c r="AE7" s="519"/>
      <c r="AF7" s="595">
        <f t="shared" ref="AF7:AF43" si="6">SUM(X7,Z7,AB7,AD7)</f>
        <v>0</v>
      </c>
      <c r="AG7" s="595">
        <f t="shared" ref="AG7:AG43" si="7">+AF7/900</f>
        <v>0</v>
      </c>
      <c r="AH7" s="596">
        <f t="shared" ref="AH7:AH43" si="8">SUM(Y7,AA7,AC7,AE7)</f>
        <v>0</v>
      </c>
      <c r="AI7" s="596">
        <f t="shared" ref="AI7:AI43" si="9">+AH7/900</f>
        <v>0</v>
      </c>
      <c r="AJ7" s="592"/>
      <c r="AK7" s="519"/>
      <c r="AL7" s="595">
        <f t="shared" ref="AL7:AL43" si="10">IF(ISBLANK(AJ7),0,AF7)</f>
        <v>0</v>
      </c>
      <c r="AM7" s="596">
        <f t="shared" ref="AM7:AM43" si="11">IF(ISBLANK(AK7),0,AH7)</f>
        <v>0</v>
      </c>
      <c r="AN7" s="592"/>
      <c r="AO7" s="519"/>
      <c r="AP7" s="592">
        <v>41979</v>
      </c>
      <c r="AQ7" s="519">
        <v>41647</v>
      </c>
      <c r="AR7" s="592">
        <v>21839</v>
      </c>
      <c r="AS7" s="519">
        <v>23689</v>
      </c>
      <c r="AT7" s="592">
        <v>45709</v>
      </c>
      <c r="AU7" s="519">
        <v>48026</v>
      </c>
      <c r="AV7" s="595">
        <f t="shared" ref="AV7:AV43" si="12">SUM(AN7,AP7,AR7,AT7)</f>
        <v>109527</v>
      </c>
      <c r="AW7" s="595">
        <f t="shared" ref="AW7:AW43" si="13">+AV7/24</f>
        <v>4563.625</v>
      </c>
      <c r="AX7" s="596">
        <f t="shared" ref="AX7:AX43" si="14">SUM(AO7,AQ7,AS7,AU7)</f>
        <v>113362</v>
      </c>
      <c r="AY7" s="596">
        <f t="shared" ref="AY7:AY43" si="15">+AX7/24</f>
        <v>4723.416666666667</v>
      </c>
      <c r="AZ7" s="595">
        <f t="shared" ref="AZ7:AZ43" si="16">SUM(Q7,AG7,AW7)</f>
        <v>29028.424999999999</v>
      </c>
      <c r="BA7" s="596">
        <f t="shared" ref="BA7:BA43" si="17">SUM(S7,AI7,AY7)</f>
        <v>29363.516666666666</v>
      </c>
    </row>
    <row r="8" spans="1:53" s="1" customFormat="1">
      <c r="A8" s="404" t="s">
        <v>72</v>
      </c>
      <c r="B8" s="403" t="s">
        <v>75</v>
      </c>
      <c r="C8" s="401"/>
      <c r="D8" s="404">
        <v>100751</v>
      </c>
      <c r="E8" s="404">
        <v>1</v>
      </c>
      <c r="F8" s="592"/>
      <c r="G8" s="519"/>
      <c r="H8" s="592"/>
      <c r="I8" s="519"/>
      <c r="J8" s="592">
        <v>413606</v>
      </c>
      <c r="K8" s="519">
        <v>403673</v>
      </c>
      <c r="L8" s="592">
        <v>65592</v>
      </c>
      <c r="M8" s="519">
        <v>64637</v>
      </c>
      <c r="N8" s="592">
        <v>441293</v>
      </c>
      <c r="O8" s="519">
        <v>420300</v>
      </c>
      <c r="P8" s="595">
        <f t="shared" ref="P8:P71" si="18">SUM(H8,J8,L8,N8)</f>
        <v>920491</v>
      </c>
      <c r="Q8" s="595">
        <f t="shared" ref="Q8:Q71" si="19">+P8/30</f>
        <v>30683.033333333333</v>
      </c>
      <c r="R8" s="596">
        <f t="shared" ref="R8:R71" si="20">SUM(I8,K8,M8,O8)</f>
        <v>888610</v>
      </c>
      <c r="S8" s="596">
        <f t="shared" ref="S8:S71" si="21">+R8/30</f>
        <v>29620.333333333332</v>
      </c>
      <c r="T8" s="592">
        <v>7528</v>
      </c>
      <c r="U8" s="519">
        <v>10710</v>
      </c>
      <c r="V8" s="595">
        <f t="shared" ref="V8:V71" si="22">IF(ISBLANK(T8),0,P8)</f>
        <v>920491</v>
      </c>
      <c r="W8" s="596">
        <f t="shared" ref="W8:W71" si="23">IF(ISBLANK(U8),0,R8)</f>
        <v>888610</v>
      </c>
      <c r="X8" s="592"/>
      <c r="Y8" s="519"/>
      <c r="Z8" s="592"/>
      <c r="AA8" s="519"/>
      <c r="AB8" s="592"/>
      <c r="AC8" s="519"/>
      <c r="AD8" s="592"/>
      <c r="AE8" s="519"/>
      <c r="AF8" s="595">
        <f t="shared" ref="AF8:AF71" si="24">SUM(X8,Z8,AB8,AD8)</f>
        <v>0</v>
      </c>
      <c r="AG8" s="595">
        <f t="shared" ref="AG8:AG71" si="25">+AF8/900</f>
        <v>0</v>
      </c>
      <c r="AH8" s="596">
        <f t="shared" ref="AH8:AH71" si="26">SUM(Y8,AA8,AC8,AE8)</f>
        <v>0</v>
      </c>
      <c r="AI8" s="596">
        <f t="shared" ref="AI8:AI71" si="27">+AH8/900</f>
        <v>0</v>
      </c>
      <c r="AJ8" s="592"/>
      <c r="AK8" s="519"/>
      <c r="AL8" s="595">
        <f t="shared" ref="AL8:AL71" si="28">IF(ISBLANK(AJ8),0,AF8)</f>
        <v>0</v>
      </c>
      <c r="AM8" s="596">
        <f t="shared" ref="AM8:AM71" si="29">IF(ISBLANK(AK8),0,AH8)</f>
        <v>0</v>
      </c>
      <c r="AN8" s="592"/>
      <c r="AO8" s="519"/>
      <c r="AP8" s="592">
        <v>44652</v>
      </c>
      <c r="AQ8" s="519">
        <v>43912</v>
      </c>
      <c r="AR8" s="592">
        <v>10963</v>
      </c>
      <c r="AS8" s="519">
        <v>10634</v>
      </c>
      <c r="AT8" s="592">
        <v>44079</v>
      </c>
      <c r="AU8" s="519">
        <v>49937</v>
      </c>
      <c r="AV8" s="595">
        <f t="shared" ref="AV8:AV71" si="30">SUM(AN8,AP8,AR8,AT8)</f>
        <v>99694</v>
      </c>
      <c r="AW8" s="595">
        <f t="shared" ref="AW8:AW71" si="31">+AV8/24</f>
        <v>4153.916666666667</v>
      </c>
      <c r="AX8" s="596">
        <f t="shared" ref="AX8:AX71" si="32">SUM(AO8,AQ8,AS8,AU8)</f>
        <v>104483</v>
      </c>
      <c r="AY8" s="596">
        <f t="shared" ref="AY8:AY71" si="33">+AX8/24</f>
        <v>4353.458333333333</v>
      </c>
      <c r="AZ8" s="595">
        <f t="shared" ref="AZ8:AZ71" si="34">SUM(Q8,AG8,AW8)</f>
        <v>34836.949999999997</v>
      </c>
      <c r="BA8" s="596">
        <f t="shared" ref="BA8:BA71" si="35">SUM(S8,AI8,AY8)</f>
        <v>33973.791666666664</v>
      </c>
    </row>
    <row r="9" spans="1:53" s="1" customFormat="1">
      <c r="A9" s="404" t="s">
        <v>72</v>
      </c>
      <c r="B9" s="403" t="s">
        <v>76</v>
      </c>
      <c r="C9" s="410"/>
      <c r="D9" s="404">
        <v>100663</v>
      </c>
      <c r="E9" s="404">
        <v>1</v>
      </c>
      <c r="F9" s="592"/>
      <c r="G9" s="519"/>
      <c r="H9" s="592"/>
      <c r="I9" s="519"/>
      <c r="J9" s="592">
        <v>134602</v>
      </c>
      <c r="K9" s="519">
        <v>135897</v>
      </c>
      <c r="L9" s="592">
        <v>34186</v>
      </c>
      <c r="M9" s="519">
        <v>35410</v>
      </c>
      <c r="N9" s="592">
        <v>150218</v>
      </c>
      <c r="O9" s="519">
        <v>150286</v>
      </c>
      <c r="P9" s="595">
        <f t="shared" si="18"/>
        <v>319006</v>
      </c>
      <c r="Q9" s="595">
        <f t="shared" si="19"/>
        <v>10633.533333333333</v>
      </c>
      <c r="R9" s="596">
        <f t="shared" si="20"/>
        <v>321593</v>
      </c>
      <c r="S9" s="596">
        <f t="shared" si="21"/>
        <v>10719.766666666666</v>
      </c>
      <c r="T9" s="592">
        <v>2230</v>
      </c>
      <c r="U9" s="519">
        <v>860</v>
      </c>
      <c r="V9" s="595">
        <f t="shared" si="22"/>
        <v>319006</v>
      </c>
      <c r="W9" s="596">
        <f t="shared" si="23"/>
        <v>321593</v>
      </c>
      <c r="X9" s="592"/>
      <c r="Y9" s="519"/>
      <c r="Z9" s="592"/>
      <c r="AA9" s="519"/>
      <c r="AB9" s="592"/>
      <c r="AC9" s="519"/>
      <c r="AD9" s="592"/>
      <c r="AE9" s="519"/>
      <c r="AF9" s="595">
        <f t="shared" si="24"/>
        <v>0</v>
      </c>
      <c r="AG9" s="595">
        <f t="shared" si="25"/>
        <v>0</v>
      </c>
      <c r="AH9" s="596">
        <f t="shared" si="26"/>
        <v>0</v>
      </c>
      <c r="AI9" s="596">
        <f t="shared" si="27"/>
        <v>0</v>
      </c>
      <c r="AJ9" s="592"/>
      <c r="AK9" s="519"/>
      <c r="AL9" s="595">
        <f t="shared" si="28"/>
        <v>0</v>
      </c>
      <c r="AM9" s="596">
        <f t="shared" si="29"/>
        <v>0</v>
      </c>
      <c r="AN9" s="592"/>
      <c r="AO9" s="519"/>
      <c r="AP9" s="592">
        <v>20948</v>
      </c>
      <c r="AQ9" s="519">
        <v>20306</v>
      </c>
      <c r="AR9" s="592">
        <v>14069</v>
      </c>
      <c r="AS9" s="519">
        <v>13336</v>
      </c>
      <c r="AT9" s="592">
        <v>21528</v>
      </c>
      <c r="AU9" s="519">
        <v>22282</v>
      </c>
      <c r="AV9" s="595">
        <f t="shared" si="30"/>
        <v>56545</v>
      </c>
      <c r="AW9" s="595">
        <f t="shared" si="31"/>
        <v>2356.0416666666665</v>
      </c>
      <c r="AX9" s="596">
        <f t="shared" si="32"/>
        <v>55924</v>
      </c>
      <c r="AY9" s="596">
        <f t="shared" si="33"/>
        <v>2330.1666666666665</v>
      </c>
      <c r="AZ9" s="595">
        <f t="shared" si="34"/>
        <v>12989.574999999999</v>
      </c>
      <c r="BA9" s="596">
        <f t="shared" si="35"/>
        <v>13049.933333333332</v>
      </c>
    </row>
    <row r="10" spans="1:53" s="1" customFormat="1">
      <c r="A10" s="404" t="s">
        <v>72</v>
      </c>
      <c r="B10" s="403" t="s">
        <v>77</v>
      </c>
      <c r="C10" s="401" t="s">
        <v>830</v>
      </c>
      <c r="D10" s="404">
        <v>100706</v>
      </c>
      <c r="E10" s="404">
        <v>2</v>
      </c>
      <c r="F10" s="592"/>
      <c r="G10" s="519"/>
      <c r="H10" s="592"/>
      <c r="I10" s="519"/>
      <c r="J10" s="592">
        <v>94761</v>
      </c>
      <c r="K10" s="519">
        <v>97398</v>
      </c>
      <c r="L10" s="592">
        <v>15562</v>
      </c>
      <c r="M10" s="519">
        <v>15771</v>
      </c>
      <c r="N10" s="592">
        <v>106168</v>
      </c>
      <c r="O10" s="519">
        <v>107385</v>
      </c>
      <c r="P10" s="595">
        <f t="shared" si="18"/>
        <v>216491</v>
      </c>
      <c r="Q10" s="595">
        <f t="shared" si="19"/>
        <v>7216.3666666666668</v>
      </c>
      <c r="R10" s="596">
        <f t="shared" si="20"/>
        <v>220554</v>
      </c>
      <c r="S10" s="596">
        <f t="shared" si="21"/>
        <v>7351.8</v>
      </c>
      <c r="T10" s="592">
        <v>1631</v>
      </c>
      <c r="U10" s="519">
        <v>1580</v>
      </c>
      <c r="V10" s="595">
        <f t="shared" si="22"/>
        <v>216491</v>
      </c>
      <c r="W10" s="596">
        <f t="shared" si="23"/>
        <v>220554</v>
      </c>
      <c r="X10" s="592"/>
      <c r="Y10" s="519"/>
      <c r="Z10" s="592"/>
      <c r="AA10" s="519"/>
      <c r="AB10" s="592"/>
      <c r="AC10" s="519"/>
      <c r="AD10" s="592"/>
      <c r="AE10" s="519"/>
      <c r="AF10" s="595">
        <f t="shared" si="24"/>
        <v>0</v>
      </c>
      <c r="AG10" s="595">
        <f t="shared" si="25"/>
        <v>0</v>
      </c>
      <c r="AH10" s="596">
        <f t="shared" si="26"/>
        <v>0</v>
      </c>
      <c r="AI10" s="596">
        <f t="shared" si="27"/>
        <v>0</v>
      </c>
      <c r="AJ10" s="592"/>
      <c r="AK10" s="519"/>
      <c r="AL10" s="595">
        <f t="shared" si="28"/>
        <v>0</v>
      </c>
      <c r="AM10" s="596">
        <f t="shared" si="29"/>
        <v>0</v>
      </c>
      <c r="AN10" s="592"/>
      <c r="AO10" s="519"/>
      <c r="AP10" s="592">
        <v>12417</v>
      </c>
      <c r="AQ10" s="519">
        <v>11634</v>
      </c>
      <c r="AR10" s="592">
        <v>6042</v>
      </c>
      <c r="AS10" s="519">
        <v>5767</v>
      </c>
      <c r="AT10" s="592">
        <v>12801</v>
      </c>
      <c r="AU10" s="519">
        <v>12755</v>
      </c>
      <c r="AV10" s="595">
        <f t="shared" si="30"/>
        <v>31260</v>
      </c>
      <c r="AW10" s="595">
        <f t="shared" si="31"/>
        <v>1302.5</v>
      </c>
      <c r="AX10" s="596">
        <f t="shared" si="32"/>
        <v>30156</v>
      </c>
      <c r="AY10" s="596">
        <f t="shared" si="33"/>
        <v>1256.5</v>
      </c>
      <c r="AZ10" s="595">
        <f t="shared" si="34"/>
        <v>8518.8666666666668</v>
      </c>
      <c r="BA10" s="596">
        <f t="shared" si="35"/>
        <v>8608.2999999999993</v>
      </c>
    </row>
    <row r="11" spans="1:53" s="1" customFormat="1">
      <c r="A11" s="404" t="s">
        <v>72</v>
      </c>
      <c r="B11" s="403" t="s">
        <v>81</v>
      </c>
      <c r="C11" s="410"/>
      <c r="D11" s="404">
        <v>102094</v>
      </c>
      <c r="E11" s="404">
        <v>2</v>
      </c>
      <c r="F11" s="592"/>
      <c r="G11" s="519"/>
      <c r="H11" s="592"/>
      <c r="I11" s="519"/>
      <c r="J11" s="592">
        <v>111754</v>
      </c>
      <c r="K11" s="519">
        <v>102831</v>
      </c>
      <c r="L11" s="592">
        <v>21011</v>
      </c>
      <c r="M11" s="519">
        <v>20267</v>
      </c>
      <c r="N11" s="592">
        <v>115544</v>
      </c>
      <c r="O11" s="519">
        <v>108083</v>
      </c>
      <c r="P11" s="595">
        <f t="shared" si="18"/>
        <v>248309</v>
      </c>
      <c r="Q11" s="595">
        <f t="shared" si="19"/>
        <v>8276.9666666666672</v>
      </c>
      <c r="R11" s="596">
        <f t="shared" si="20"/>
        <v>231181</v>
      </c>
      <c r="S11" s="596">
        <f t="shared" si="21"/>
        <v>7706.0333333333338</v>
      </c>
      <c r="T11" s="592">
        <v>434</v>
      </c>
      <c r="U11" s="519">
        <v>192</v>
      </c>
      <c r="V11" s="595">
        <f t="shared" si="22"/>
        <v>248309</v>
      </c>
      <c r="W11" s="596">
        <f t="shared" si="23"/>
        <v>231181</v>
      </c>
      <c r="X11" s="592"/>
      <c r="Y11" s="519"/>
      <c r="Z11" s="592"/>
      <c r="AA11" s="519"/>
      <c r="AB11" s="592"/>
      <c r="AC11" s="519"/>
      <c r="AD11" s="592"/>
      <c r="AE11" s="519"/>
      <c r="AF11" s="595">
        <f t="shared" si="24"/>
        <v>0</v>
      </c>
      <c r="AG11" s="595">
        <f t="shared" si="25"/>
        <v>0</v>
      </c>
      <c r="AH11" s="596">
        <f t="shared" si="26"/>
        <v>0</v>
      </c>
      <c r="AI11" s="596">
        <f t="shared" si="27"/>
        <v>0</v>
      </c>
      <c r="AJ11" s="592"/>
      <c r="AK11" s="519"/>
      <c r="AL11" s="595">
        <f t="shared" si="28"/>
        <v>0</v>
      </c>
      <c r="AM11" s="596">
        <f t="shared" si="29"/>
        <v>0</v>
      </c>
      <c r="AN11" s="592"/>
      <c r="AO11" s="519"/>
      <c r="AP11" s="592">
        <v>6374</v>
      </c>
      <c r="AQ11" s="519">
        <v>7132</v>
      </c>
      <c r="AR11" s="592">
        <v>3855</v>
      </c>
      <c r="AS11" s="519">
        <v>4594</v>
      </c>
      <c r="AT11" s="592">
        <v>7125</v>
      </c>
      <c r="AU11" s="519">
        <v>8238</v>
      </c>
      <c r="AV11" s="595">
        <f t="shared" si="30"/>
        <v>17354</v>
      </c>
      <c r="AW11" s="595">
        <f t="shared" si="31"/>
        <v>723.08333333333337</v>
      </c>
      <c r="AX11" s="596">
        <f t="shared" si="32"/>
        <v>19964</v>
      </c>
      <c r="AY11" s="596">
        <f t="shared" si="33"/>
        <v>831.83333333333337</v>
      </c>
      <c r="AZ11" s="595">
        <f t="shared" si="34"/>
        <v>9000.0500000000011</v>
      </c>
      <c r="BA11" s="596">
        <f t="shared" si="35"/>
        <v>8537.8666666666668</v>
      </c>
    </row>
    <row r="12" spans="1:53" s="1" customFormat="1">
      <c r="A12" s="404" t="s">
        <v>72</v>
      </c>
      <c r="B12" s="403" t="s">
        <v>78</v>
      </c>
      <c r="C12" s="401"/>
      <c r="D12" s="404">
        <v>100654</v>
      </c>
      <c r="E12" s="404">
        <v>3</v>
      </c>
      <c r="F12" s="592"/>
      <c r="G12" s="519"/>
      <c r="H12" s="592"/>
      <c r="I12" s="519"/>
      <c r="J12" s="592">
        <v>68607</v>
      </c>
      <c r="K12" s="519">
        <v>70410</v>
      </c>
      <c r="L12" s="592">
        <v>7195</v>
      </c>
      <c r="M12" s="519">
        <v>9207</v>
      </c>
      <c r="N12" s="592">
        <v>88642</v>
      </c>
      <c r="O12" s="519">
        <v>70545</v>
      </c>
      <c r="P12" s="595">
        <f t="shared" si="18"/>
        <v>164444</v>
      </c>
      <c r="Q12" s="595">
        <f t="shared" si="19"/>
        <v>5481.4666666666662</v>
      </c>
      <c r="R12" s="596">
        <f t="shared" si="20"/>
        <v>150162</v>
      </c>
      <c r="S12" s="596">
        <f t="shared" si="21"/>
        <v>5005.3999999999996</v>
      </c>
      <c r="T12" s="592">
        <v>0</v>
      </c>
      <c r="U12" s="519">
        <v>0</v>
      </c>
      <c r="V12" s="595">
        <f t="shared" si="22"/>
        <v>164444</v>
      </c>
      <c r="W12" s="596">
        <f t="shared" si="23"/>
        <v>150162</v>
      </c>
      <c r="X12" s="592"/>
      <c r="Y12" s="519"/>
      <c r="Z12" s="592"/>
      <c r="AA12" s="519"/>
      <c r="AB12" s="592"/>
      <c r="AC12" s="519"/>
      <c r="AD12" s="592"/>
      <c r="AE12" s="519"/>
      <c r="AF12" s="595">
        <f t="shared" si="24"/>
        <v>0</v>
      </c>
      <c r="AG12" s="595">
        <f t="shared" si="25"/>
        <v>0</v>
      </c>
      <c r="AH12" s="596">
        <f t="shared" si="26"/>
        <v>0</v>
      </c>
      <c r="AI12" s="596">
        <f t="shared" si="27"/>
        <v>0</v>
      </c>
      <c r="AJ12" s="592"/>
      <c r="AK12" s="519"/>
      <c r="AL12" s="595">
        <f t="shared" si="28"/>
        <v>0</v>
      </c>
      <c r="AM12" s="596">
        <f t="shared" si="29"/>
        <v>0</v>
      </c>
      <c r="AN12" s="592"/>
      <c r="AO12" s="519"/>
      <c r="AP12" s="592">
        <v>7667</v>
      </c>
      <c r="AQ12" s="519">
        <v>7355</v>
      </c>
      <c r="AR12" s="592">
        <v>3176</v>
      </c>
      <c r="AS12" s="519">
        <v>3298</v>
      </c>
      <c r="AT12" s="592">
        <v>8546</v>
      </c>
      <c r="AU12" s="519">
        <v>7273</v>
      </c>
      <c r="AV12" s="595">
        <f t="shared" si="30"/>
        <v>19389</v>
      </c>
      <c r="AW12" s="595">
        <f t="shared" si="31"/>
        <v>807.875</v>
      </c>
      <c r="AX12" s="596">
        <f t="shared" si="32"/>
        <v>17926</v>
      </c>
      <c r="AY12" s="596">
        <f t="shared" si="33"/>
        <v>746.91666666666663</v>
      </c>
      <c r="AZ12" s="595">
        <f t="shared" si="34"/>
        <v>6289.3416666666662</v>
      </c>
      <c r="BA12" s="596">
        <f t="shared" si="35"/>
        <v>5752.3166666666666</v>
      </c>
    </row>
    <row r="13" spans="1:53" s="1" customFormat="1">
      <c r="A13" s="404" t="s">
        <v>72</v>
      </c>
      <c r="B13" s="403" t="s">
        <v>79</v>
      </c>
      <c r="C13" s="401"/>
      <c r="D13" s="404">
        <v>101480</v>
      </c>
      <c r="E13" s="404">
        <v>3</v>
      </c>
      <c r="F13" s="592"/>
      <c r="G13" s="519"/>
      <c r="H13" s="592"/>
      <c r="I13" s="519"/>
      <c r="J13" s="592">
        <v>80815</v>
      </c>
      <c r="K13" s="519">
        <v>86049</v>
      </c>
      <c r="L13" s="592">
        <v>21281</v>
      </c>
      <c r="M13" s="519">
        <v>23153</v>
      </c>
      <c r="N13" s="592">
        <v>96239</v>
      </c>
      <c r="O13" s="519">
        <v>96075</v>
      </c>
      <c r="P13" s="595">
        <f t="shared" si="18"/>
        <v>198335</v>
      </c>
      <c r="Q13" s="595">
        <f t="shared" si="19"/>
        <v>6611.166666666667</v>
      </c>
      <c r="R13" s="596">
        <f t="shared" si="20"/>
        <v>205277</v>
      </c>
      <c r="S13" s="596">
        <f t="shared" si="21"/>
        <v>6842.5666666666666</v>
      </c>
      <c r="T13" s="592">
        <v>5627</v>
      </c>
      <c r="U13" s="519">
        <v>5773</v>
      </c>
      <c r="V13" s="595">
        <f t="shared" si="22"/>
        <v>198335</v>
      </c>
      <c r="W13" s="596">
        <f t="shared" si="23"/>
        <v>205277</v>
      </c>
      <c r="X13" s="592"/>
      <c r="Y13" s="519"/>
      <c r="Z13" s="592"/>
      <c r="AA13" s="519"/>
      <c r="AB13" s="592"/>
      <c r="AC13" s="519"/>
      <c r="AD13" s="592"/>
      <c r="AE13" s="519"/>
      <c r="AF13" s="595">
        <f t="shared" si="24"/>
        <v>0</v>
      </c>
      <c r="AG13" s="595">
        <f t="shared" si="25"/>
        <v>0</v>
      </c>
      <c r="AH13" s="596">
        <f t="shared" si="26"/>
        <v>0</v>
      </c>
      <c r="AI13" s="596">
        <f t="shared" si="27"/>
        <v>0</v>
      </c>
      <c r="AJ13" s="592"/>
      <c r="AK13" s="519"/>
      <c r="AL13" s="595">
        <f t="shared" si="28"/>
        <v>0</v>
      </c>
      <c r="AM13" s="596">
        <f t="shared" si="29"/>
        <v>0</v>
      </c>
      <c r="AN13" s="592"/>
      <c r="AO13" s="519"/>
      <c r="AP13" s="592">
        <v>6990</v>
      </c>
      <c r="AQ13" s="519">
        <v>8101</v>
      </c>
      <c r="AR13" s="592">
        <v>4955</v>
      </c>
      <c r="AS13" s="519">
        <v>6573</v>
      </c>
      <c r="AT13" s="592">
        <v>8263</v>
      </c>
      <c r="AU13" s="519">
        <v>10195</v>
      </c>
      <c r="AV13" s="595">
        <f t="shared" si="30"/>
        <v>20208</v>
      </c>
      <c r="AW13" s="595">
        <f t="shared" si="31"/>
        <v>842</v>
      </c>
      <c r="AX13" s="596">
        <f t="shared" si="32"/>
        <v>24869</v>
      </c>
      <c r="AY13" s="596">
        <f t="shared" si="33"/>
        <v>1036.2083333333333</v>
      </c>
      <c r="AZ13" s="595">
        <f t="shared" si="34"/>
        <v>7453.166666666667</v>
      </c>
      <c r="BA13" s="596">
        <f t="shared" si="35"/>
        <v>7878.7749999999996</v>
      </c>
    </row>
    <row r="14" spans="1:53" s="1" customFormat="1">
      <c r="A14" s="404" t="s">
        <v>72</v>
      </c>
      <c r="B14" s="403" t="s">
        <v>80</v>
      </c>
      <c r="C14" s="401"/>
      <c r="D14" s="404">
        <v>102368</v>
      </c>
      <c r="E14" s="404">
        <v>3</v>
      </c>
      <c r="F14" s="592"/>
      <c r="G14" s="519"/>
      <c r="H14" s="592"/>
      <c r="I14" s="519"/>
      <c r="J14" s="592">
        <v>119446</v>
      </c>
      <c r="K14" s="519">
        <v>137450</v>
      </c>
      <c r="L14" s="592">
        <v>21272</v>
      </c>
      <c r="M14" s="519">
        <v>34074</v>
      </c>
      <c r="N14" s="592">
        <v>147936</v>
      </c>
      <c r="O14" s="519">
        <v>142473</v>
      </c>
      <c r="P14" s="595">
        <f t="shared" si="18"/>
        <v>288654</v>
      </c>
      <c r="Q14" s="595">
        <f t="shared" si="19"/>
        <v>9621.7999999999993</v>
      </c>
      <c r="R14" s="596">
        <f t="shared" si="20"/>
        <v>313997</v>
      </c>
      <c r="S14" s="596">
        <f t="shared" si="21"/>
        <v>10466.566666666668</v>
      </c>
      <c r="T14" s="592">
        <v>2308</v>
      </c>
      <c r="U14" s="519">
        <v>3165</v>
      </c>
      <c r="V14" s="595">
        <f t="shared" si="22"/>
        <v>288654</v>
      </c>
      <c r="W14" s="596">
        <f t="shared" si="23"/>
        <v>313997</v>
      </c>
      <c r="X14" s="592"/>
      <c r="Y14" s="519"/>
      <c r="Z14" s="592"/>
      <c r="AA14" s="519"/>
      <c r="AB14" s="592"/>
      <c r="AC14" s="519"/>
      <c r="AD14" s="592"/>
      <c r="AE14" s="519"/>
      <c r="AF14" s="595">
        <f t="shared" si="24"/>
        <v>0</v>
      </c>
      <c r="AG14" s="595">
        <f t="shared" si="25"/>
        <v>0</v>
      </c>
      <c r="AH14" s="596">
        <f t="shared" si="26"/>
        <v>0</v>
      </c>
      <c r="AI14" s="596">
        <f t="shared" si="27"/>
        <v>0</v>
      </c>
      <c r="AJ14" s="592"/>
      <c r="AK14" s="519"/>
      <c r="AL14" s="595">
        <f t="shared" si="28"/>
        <v>0</v>
      </c>
      <c r="AM14" s="596">
        <f t="shared" si="29"/>
        <v>0</v>
      </c>
      <c r="AN14" s="592"/>
      <c r="AO14" s="519"/>
      <c r="AP14" s="592">
        <v>12883</v>
      </c>
      <c r="AQ14" s="519">
        <v>21018</v>
      </c>
      <c r="AR14" s="592">
        <v>4957</v>
      </c>
      <c r="AS14" s="519">
        <v>9620</v>
      </c>
      <c r="AT14" s="592">
        <v>19971</v>
      </c>
      <c r="AU14" s="519">
        <v>22767</v>
      </c>
      <c r="AV14" s="595">
        <f t="shared" si="30"/>
        <v>37811</v>
      </c>
      <c r="AW14" s="595">
        <f t="shared" si="31"/>
        <v>1575.4583333333333</v>
      </c>
      <c r="AX14" s="596">
        <f t="shared" si="32"/>
        <v>53405</v>
      </c>
      <c r="AY14" s="596">
        <f t="shared" si="33"/>
        <v>2225.2083333333335</v>
      </c>
      <c r="AZ14" s="595">
        <f t="shared" si="34"/>
        <v>11197.258333333333</v>
      </c>
      <c r="BA14" s="596">
        <f t="shared" si="35"/>
        <v>12691.775000000001</v>
      </c>
    </row>
    <row r="15" spans="1:53" s="1" customFormat="1">
      <c r="A15" s="404" t="s">
        <v>72</v>
      </c>
      <c r="B15" s="403" t="s">
        <v>84</v>
      </c>
      <c r="C15" s="410"/>
      <c r="D15" s="404">
        <v>101879</v>
      </c>
      <c r="E15" s="404">
        <v>3</v>
      </c>
      <c r="F15" s="592"/>
      <c r="G15" s="519"/>
      <c r="H15" s="592"/>
      <c r="I15" s="519"/>
      <c r="J15" s="592">
        <v>71601</v>
      </c>
      <c r="K15" s="519">
        <v>71063</v>
      </c>
      <c r="L15" s="592">
        <v>12740</v>
      </c>
      <c r="M15" s="519">
        <v>15048</v>
      </c>
      <c r="N15" s="592">
        <v>77767</v>
      </c>
      <c r="O15" s="519">
        <v>74693</v>
      </c>
      <c r="P15" s="595">
        <f t="shared" si="18"/>
        <v>162108</v>
      </c>
      <c r="Q15" s="595">
        <f t="shared" si="19"/>
        <v>5403.6</v>
      </c>
      <c r="R15" s="596">
        <f t="shared" si="20"/>
        <v>160804</v>
      </c>
      <c r="S15" s="596">
        <f t="shared" si="21"/>
        <v>5360.1333333333332</v>
      </c>
      <c r="T15" s="592">
        <v>1291</v>
      </c>
      <c r="U15" s="519">
        <v>3173</v>
      </c>
      <c r="V15" s="595">
        <f t="shared" si="22"/>
        <v>162108</v>
      </c>
      <c r="W15" s="596">
        <f t="shared" si="23"/>
        <v>160804</v>
      </c>
      <c r="X15" s="592"/>
      <c r="Y15" s="519"/>
      <c r="Z15" s="592"/>
      <c r="AA15" s="519"/>
      <c r="AB15" s="592"/>
      <c r="AC15" s="519"/>
      <c r="AD15" s="592"/>
      <c r="AE15" s="519"/>
      <c r="AF15" s="595">
        <f t="shared" si="24"/>
        <v>0</v>
      </c>
      <c r="AG15" s="595">
        <f t="shared" si="25"/>
        <v>0</v>
      </c>
      <c r="AH15" s="596">
        <f t="shared" si="26"/>
        <v>0</v>
      </c>
      <c r="AI15" s="596">
        <f t="shared" si="27"/>
        <v>0</v>
      </c>
      <c r="AJ15" s="592"/>
      <c r="AK15" s="519"/>
      <c r="AL15" s="595">
        <f t="shared" si="28"/>
        <v>0</v>
      </c>
      <c r="AM15" s="596">
        <f t="shared" si="29"/>
        <v>0</v>
      </c>
      <c r="AN15" s="592"/>
      <c r="AO15" s="519"/>
      <c r="AP15" s="592">
        <v>8714</v>
      </c>
      <c r="AQ15" s="519">
        <v>9996</v>
      </c>
      <c r="AR15" s="592">
        <v>4550</v>
      </c>
      <c r="AS15" s="519">
        <v>6260</v>
      </c>
      <c r="AT15" s="592">
        <v>9780</v>
      </c>
      <c r="AU15" s="519">
        <v>14088</v>
      </c>
      <c r="AV15" s="595">
        <f t="shared" si="30"/>
        <v>23044</v>
      </c>
      <c r="AW15" s="595">
        <f t="shared" si="31"/>
        <v>960.16666666666663</v>
      </c>
      <c r="AX15" s="596">
        <f t="shared" si="32"/>
        <v>30344</v>
      </c>
      <c r="AY15" s="596">
        <f t="shared" si="33"/>
        <v>1264.3333333333333</v>
      </c>
      <c r="AZ15" s="595">
        <f t="shared" si="34"/>
        <v>6363.7666666666673</v>
      </c>
      <c r="BA15" s="596">
        <f t="shared" si="35"/>
        <v>6624.4666666666662</v>
      </c>
    </row>
    <row r="16" spans="1:53" s="1" customFormat="1">
      <c r="A16" s="404" t="s">
        <v>72</v>
      </c>
      <c r="B16" s="403" t="s">
        <v>82</v>
      </c>
      <c r="C16" s="401"/>
      <c r="D16" s="404">
        <v>100724</v>
      </c>
      <c r="E16" s="404">
        <v>4</v>
      </c>
      <c r="F16" s="592"/>
      <c r="G16" s="519"/>
      <c r="H16" s="592"/>
      <c r="I16" s="519"/>
      <c r="J16" s="592">
        <v>49742</v>
      </c>
      <c r="K16" s="519">
        <v>48938</v>
      </c>
      <c r="L16" s="592">
        <v>7390</v>
      </c>
      <c r="M16" s="519">
        <v>6893</v>
      </c>
      <c r="N16" s="592">
        <v>55146</v>
      </c>
      <c r="O16" s="519">
        <v>53655</v>
      </c>
      <c r="P16" s="595">
        <f t="shared" si="18"/>
        <v>112278</v>
      </c>
      <c r="Q16" s="595">
        <f t="shared" si="19"/>
        <v>3742.6</v>
      </c>
      <c r="R16" s="596">
        <f t="shared" si="20"/>
        <v>109486</v>
      </c>
      <c r="S16" s="596">
        <f t="shared" si="21"/>
        <v>3649.5333333333333</v>
      </c>
      <c r="T16" s="592">
        <v>21</v>
      </c>
      <c r="U16" s="519">
        <v>42</v>
      </c>
      <c r="V16" s="595">
        <f t="shared" si="22"/>
        <v>112278</v>
      </c>
      <c r="W16" s="596">
        <f t="shared" si="23"/>
        <v>109486</v>
      </c>
      <c r="X16" s="592"/>
      <c r="Y16" s="519"/>
      <c r="Z16" s="592"/>
      <c r="AA16" s="519"/>
      <c r="AB16" s="592"/>
      <c r="AC16" s="519"/>
      <c r="AD16" s="592"/>
      <c r="AE16" s="519"/>
      <c r="AF16" s="595">
        <f t="shared" si="24"/>
        <v>0</v>
      </c>
      <c r="AG16" s="595">
        <f t="shared" si="25"/>
        <v>0</v>
      </c>
      <c r="AH16" s="596">
        <f t="shared" si="26"/>
        <v>0</v>
      </c>
      <c r="AI16" s="596">
        <f t="shared" si="27"/>
        <v>0</v>
      </c>
      <c r="AJ16" s="592"/>
      <c r="AK16" s="519"/>
      <c r="AL16" s="595">
        <f t="shared" si="28"/>
        <v>0</v>
      </c>
      <c r="AM16" s="596">
        <f t="shared" si="29"/>
        <v>0</v>
      </c>
      <c r="AN16" s="592"/>
      <c r="AO16" s="519"/>
      <c r="AP16" s="592">
        <v>4751</v>
      </c>
      <c r="AQ16" s="519">
        <v>4687</v>
      </c>
      <c r="AR16" s="592">
        <v>2031</v>
      </c>
      <c r="AS16" s="519">
        <v>1923</v>
      </c>
      <c r="AT16" s="592">
        <v>5253</v>
      </c>
      <c r="AU16" s="519">
        <v>5474</v>
      </c>
      <c r="AV16" s="595">
        <f t="shared" si="30"/>
        <v>12035</v>
      </c>
      <c r="AW16" s="595">
        <f t="shared" si="31"/>
        <v>501.45833333333331</v>
      </c>
      <c r="AX16" s="596">
        <f t="shared" si="32"/>
        <v>12084</v>
      </c>
      <c r="AY16" s="596">
        <f t="shared" si="33"/>
        <v>503.5</v>
      </c>
      <c r="AZ16" s="595">
        <f t="shared" si="34"/>
        <v>4244.0583333333334</v>
      </c>
      <c r="BA16" s="596">
        <f t="shared" si="35"/>
        <v>4153.0333333333328</v>
      </c>
    </row>
    <row r="17" spans="1:53" s="1" customFormat="1">
      <c r="A17" s="404" t="s">
        <v>72</v>
      </c>
      <c r="B17" s="403" t="s">
        <v>83</v>
      </c>
      <c r="C17" s="536" t="s">
        <v>910</v>
      </c>
      <c r="D17" s="404">
        <v>100830</v>
      </c>
      <c r="E17" s="537">
        <v>3</v>
      </c>
      <c r="F17" s="592"/>
      <c r="G17" s="519"/>
      <c r="H17" s="592"/>
      <c r="I17" s="519"/>
      <c r="J17" s="592">
        <v>50061</v>
      </c>
      <c r="K17" s="519">
        <v>48898</v>
      </c>
      <c r="L17" s="592">
        <v>12963</v>
      </c>
      <c r="M17" s="519">
        <v>13471</v>
      </c>
      <c r="N17" s="592">
        <v>54646</v>
      </c>
      <c r="O17" s="519">
        <v>52421</v>
      </c>
      <c r="P17" s="595">
        <f t="shared" si="18"/>
        <v>117670</v>
      </c>
      <c r="Q17" s="595">
        <f t="shared" si="19"/>
        <v>3922.3333333333335</v>
      </c>
      <c r="R17" s="596">
        <f t="shared" si="20"/>
        <v>114790</v>
      </c>
      <c r="S17" s="596">
        <f t="shared" si="21"/>
        <v>3826.3333333333335</v>
      </c>
      <c r="T17" s="592">
        <v>337</v>
      </c>
      <c r="U17" s="519">
        <v>481</v>
      </c>
      <c r="V17" s="595">
        <f t="shared" si="22"/>
        <v>117670</v>
      </c>
      <c r="W17" s="596">
        <f t="shared" si="23"/>
        <v>114790</v>
      </c>
      <c r="X17" s="592"/>
      <c r="Y17" s="519"/>
      <c r="Z17" s="592"/>
      <c r="AA17" s="519"/>
      <c r="AB17" s="592"/>
      <c r="AC17" s="519"/>
      <c r="AD17" s="592"/>
      <c r="AE17" s="519"/>
      <c r="AF17" s="595">
        <f t="shared" si="24"/>
        <v>0</v>
      </c>
      <c r="AG17" s="595">
        <f t="shared" si="25"/>
        <v>0</v>
      </c>
      <c r="AH17" s="596">
        <f t="shared" si="26"/>
        <v>0</v>
      </c>
      <c r="AI17" s="596">
        <f t="shared" si="27"/>
        <v>0</v>
      </c>
      <c r="AJ17" s="592"/>
      <c r="AK17" s="519"/>
      <c r="AL17" s="595">
        <f t="shared" si="28"/>
        <v>0</v>
      </c>
      <c r="AM17" s="596">
        <f t="shared" si="29"/>
        <v>0</v>
      </c>
      <c r="AN17" s="592"/>
      <c r="AO17" s="519"/>
      <c r="AP17" s="592">
        <v>3982</v>
      </c>
      <c r="AQ17" s="519">
        <v>4719</v>
      </c>
      <c r="AR17" s="592">
        <v>2353</v>
      </c>
      <c r="AS17" s="519">
        <v>2983</v>
      </c>
      <c r="AT17" s="592">
        <v>4661</v>
      </c>
      <c r="AU17" s="519">
        <v>5994</v>
      </c>
      <c r="AV17" s="595">
        <f t="shared" si="30"/>
        <v>10996</v>
      </c>
      <c r="AW17" s="595">
        <f t="shared" si="31"/>
        <v>458.16666666666669</v>
      </c>
      <c r="AX17" s="596">
        <f t="shared" si="32"/>
        <v>13696</v>
      </c>
      <c r="AY17" s="596">
        <f t="shared" si="33"/>
        <v>570.66666666666663</v>
      </c>
      <c r="AZ17" s="595">
        <f t="shared" si="34"/>
        <v>4380.5</v>
      </c>
      <c r="BA17" s="596">
        <f t="shared" si="35"/>
        <v>4397</v>
      </c>
    </row>
    <row r="18" spans="1:53" s="1" customFormat="1">
      <c r="A18" s="404" t="s">
        <v>72</v>
      </c>
      <c r="B18" s="403" t="s">
        <v>85</v>
      </c>
      <c r="C18" s="401"/>
      <c r="D18" s="404">
        <v>101709</v>
      </c>
      <c r="E18" s="404">
        <v>5</v>
      </c>
      <c r="F18" s="592"/>
      <c r="G18" s="519"/>
      <c r="H18" s="592"/>
      <c r="I18" s="519"/>
      <c r="J18" s="592">
        <v>27607</v>
      </c>
      <c r="K18" s="519">
        <v>27689</v>
      </c>
      <c r="L18" s="592">
        <v>3882</v>
      </c>
      <c r="M18" s="519">
        <v>4145</v>
      </c>
      <c r="N18" s="592">
        <v>30446</v>
      </c>
      <c r="O18" s="519">
        <v>30424</v>
      </c>
      <c r="P18" s="595">
        <f t="shared" si="18"/>
        <v>61935</v>
      </c>
      <c r="Q18" s="595">
        <f t="shared" si="19"/>
        <v>2064.5</v>
      </c>
      <c r="R18" s="596">
        <f t="shared" si="20"/>
        <v>62258</v>
      </c>
      <c r="S18" s="596">
        <f t="shared" si="21"/>
        <v>2075.2666666666669</v>
      </c>
      <c r="T18" s="592">
        <v>207</v>
      </c>
      <c r="U18" s="519">
        <v>227</v>
      </c>
      <c r="V18" s="595">
        <f t="shared" si="22"/>
        <v>61935</v>
      </c>
      <c r="W18" s="596">
        <f t="shared" si="23"/>
        <v>62258</v>
      </c>
      <c r="X18" s="592"/>
      <c r="Y18" s="519"/>
      <c r="Z18" s="592"/>
      <c r="AA18" s="519"/>
      <c r="AB18" s="592"/>
      <c r="AC18" s="519"/>
      <c r="AD18" s="592"/>
      <c r="AE18" s="519"/>
      <c r="AF18" s="595">
        <f t="shared" si="24"/>
        <v>0</v>
      </c>
      <c r="AG18" s="595">
        <f t="shared" si="25"/>
        <v>0</v>
      </c>
      <c r="AH18" s="596">
        <f t="shared" si="26"/>
        <v>0</v>
      </c>
      <c r="AI18" s="596">
        <f t="shared" si="27"/>
        <v>0</v>
      </c>
      <c r="AJ18" s="592"/>
      <c r="AK18" s="519"/>
      <c r="AL18" s="595">
        <f t="shared" si="28"/>
        <v>0</v>
      </c>
      <c r="AM18" s="596">
        <f t="shared" si="29"/>
        <v>0</v>
      </c>
      <c r="AN18" s="592"/>
      <c r="AO18" s="519"/>
      <c r="AP18" s="592">
        <v>2332</v>
      </c>
      <c r="AQ18" s="519">
        <v>2230</v>
      </c>
      <c r="AR18" s="592">
        <v>1293</v>
      </c>
      <c r="AS18" s="519">
        <v>1704</v>
      </c>
      <c r="AT18" s="592">
        <v>2341</v>
      </c>
      <c r="AU18" s="519">
        <v>2725</v>
      </c>
      <c r="AV18" s="595">
        <f t="shared" si="30"/>
        <v>5966</v>
      </c>
      <c r="AW18" s="595">
        <f t="shared" si="31"/>
        <v>248.58333333333334</v>
      </c>
      <c r="AX18" s="596">
        <f t="shared" si="32"/>
        <v>6659</v>
      </c>
      <c r="AY18" s="596">
        <f t="shared" si="33"/>
        <v>277.45833333333331</v>
      </c>
      <c r="AZ18" s="595">
        <f t="shared" si="34"/>
        <v>2313.0833333333335</v>
      </c>
      <c r="BA18" s="596">
        <f t="shared" si="35"/>
        <v>2352.7250000000004</v>
      </c>
    </row>
    <row r="19" spans="1:53" s="1" customFormat="1">
      <c r="A19" s="404" t="s">
        <v>72</v>
      </c>
      <c r="B19" s="403" t="s">
        <v>86</v>
      </c>
      <c r="C19" s="536" t="s">
        <v>911</v>
      </c>
      <c r="D19" s="404">
        <v>101587</v>
      </c>
      <c r="E19" s="537">
        <v>4</v>
      </c>
      <c r="F19" s="592"/>
      <c r="G19" s="519"/>
      <c r="H19" s="592"/>
      <c r="I19" s="519"/>
      <c r="J19" s="592">
        <v>27203</v>
      </c>
      <c r="K19" s="519">
        <v>27483</v>
      </c>
      <c r="L19" s="592">
        <v>6972</v>
      </c>
      <c r="M19" s="519">
        <v>7822</v>
      </c>
      <c r="N19" s="592">
        <v>29281</v>
      </c>
      <c r="O19" s="519">
        <v>28659</v>
      </c>
      <c r="P19" s="595">
        <f t="shared" si="18"/>
        <v>63456</v>
      </c>
      <c r="Q19" s="595">
        <f t="shared" si="19"/>
        <v>2115.1999999999998</v>
      </c>
      <c r="R19" s="596">
        <f t="shared" si="20"/>
        <v>63964</v>
      </c>
      <c r="S19" s="596">
        <f t="shared" si="21"/>
        <v>2132.1333333333332</v>
      </c>
      <c r="T19" s="592">
        <v>243</v>
      </c>
      <c r="U19" s="519">
        <v>210</v>
      </c>
      <c r="V19" s="595">
        <f t="shared" si="22"/>
        <v>63456</v>
      </c>
      <c r="W19" s="596">
        <f t="shared" si="23"/>
        <v>63964</v>
      </c>
      <c r="X19" s="592"/>
      <c r="Y19" s="519"/>
      <c r="Z19" s="592"/>
      <c r="AA19" s="519"/>
      <c r="AB19" s="592"/>
      <c r="AC19" s="519"/>
      <c r="AD19" s="592"/>
      <c r="AE19" s="519"/>
      <c r="AF19" s="595">
        <f t="shared" si="24"/>
        <v>0</v>
      </c>
      <c r="AG19" s="595">
        <f t="shared" si="25"/>
        <v>0</v>
      </c>
      <c r="AH19" s="596">
        <f t="shared" si="26"/>
        <v>0</v>
      </c>
      <c r="AI19" s="596">
        <f t="shared" si="27"/>
        <v>0</v>
      </c>
      <c r="AJ19" s="592"/>
      <c r="AK19" s="519"/>
      <c r="AL19" s="595">
        <f t="shared" si="28"/>
        <v>0</v>
      </c>
      <c r="AM19" s="596">
        <f t="shared" si="29"/>
        <v>0</v>
      </c>
      <c r="AN19" s="592"/>
      <c r="AO19" s="519"/>
      <c r="AP19" s="592">
        <v>21213</v>
      </c>
      <c r="AQ19" s="519">
        <v>22255</v>
      </c>
      <c r="AR19" s="592">
        <v>21781</v>
      </c>
      <c r="AS19" s="519">
        <v>23271</v>
      </c>
      <c r="AT19" s="592">
        <v>22176</v>
      </c>
      <c r="AU19" s="519">
        <v>22603</v>
      </c>
      <c r="AV19" s="595">
        <f t="shared" si="30"/>
        <v>65170</v>
      </c>
      <c r="AW19" s="595">
        <f t="shared" si="31"/>
        <v>2715.4166666666665</v>
      </c>
      <c r="AX19" s="596">
        <f t="shared" si="32"/>
        <v>68129</v>
      </c>
      <c r="AY19" s="596">
        <f t="shared" si="33"/>
        <v>2838.7083333333335</v>
      </c>
      <c r="AZ19" s="595">
        <f t="shared" si="34"/>
        <v>4830.6166666666668</v>
      </c>
      <c r="BA19" s="596">
        <f t="shared" si="35"/>
        <v>4970.8416666666672</v>
      </c>
    </row>
    <row r="20" spans="1:53" s="1" customFormat="1">
      <c r="A20" s="404" t="s">
        <v>72</v>
      </c>
      <c r="B20" s="403" t="s">
        <v>87</v>
      </c>
      <c r="C20" s="538" t="s">
        <v>917</v>
      </c>
      <c r="D20" s="404">
        <v>100812</v>
      </c>
      <c r="E20" s="404">
        <v>6</v>
      </c>
      <c r="F20" s="592"/>
      <c r="G20" s="519"/>
      <c r="H20" s="592"/>
      <c r="I20" s="519"/>
      <c r="J20" s="592">
        <v>25034</v>
      </c>
      <c r="K20" s="519">
        <v>25274</v>
      </c>
      <c r="L20" s="592">
        <v>12332</v>
      </c>
      <c r="M20" s="519">
        <v>13215</v>
      </c>
      <c r="N20" s="592">
        <v>26727</v>
      </c>
      <c r="O20" s="519">
        <v>26560</v>
      </c>
      <c r="P20" s="595">
        <f t="shared" si="18"/>
        <v>64093</v>
      </c>
      <c r="Q20" s="595">
        <f t="shared" si="19"/>
        <v>2136.4333333333334</v>
      </c>
      <c r="R20" s="596">
        <f t="shared" si="20"/>
        <v>65049</v>
      </c>
      <c r="S20" s="596">
        <f t="shared" si="21"/>
        <v>2168.3000000000002</v>
      </c>
      <c r="T20" s="592">
        <v>0</v>
      </c>
      <c r="U20" s="519">
        <v>0</v>
      </c>
      <c r="V20" s="595">
        <f t="shared" si="22"/>
        <v>64093</v>
      </c>
      <c r="W20" s="596">
        <f t="shared" si="23"/>
        <v>65049</v>
      </c>
      <c r="X20" s="592"/>
      <c r="Y20" s="519"/>
      <c r="Z20" s="592"/>
      <c r="AA20" s="519"/>
      <c r="AB20" s="592"/>
      <c r="AC20" s="519"/>
      <c r="AD20" s="592"/>
      <c r="AE20" s="519"/>
      <c r="AF20" s="595">
        <f t="shared" si="24"/>
        <v>0</v>
      </c>
      <c r="AG20" s="595">
        <f t="shared" si="25"/>
        <v>0</v>
      </c>
      <c r="AH20" s="596">
        <f t="shared" si="26"/>
        <v>0</v>
      </c>
      <c r="AI20" s="596">
        <f t="shared" si="27"/>
        <v>0</v>
      </c>
      <c r="AJ20" s="592"/>
      <c r="AK20" s="519"/>
      <c r="AL20" s="595">
        <f t="shared" si="28"/>
        <v>0</v>
      </c>
      <c r="AM20" s="596">
        <f t="shared" si="29"/>
        <v>0</v>
      </c>
      <c r="AN20" s="592"/>
      <c r="AO20" s="519"/>
      <c r="AP20" s="592">
        <v>897</v>
      </c>
      <c r="AQ20" s="519">
        <v>1095</v>
      </c>
      <c r="AR20" s="592">
        <v>447</v>
      </c>
      <c r="AS20" s="519">
        <v>693</v>
      </c>
      <c r="AT20" s="592">
        <v>1071</v>
      </c>
      <c r="AU20" s="519">
        <v>1194</v>
      </c>
      <c r="AV20" s="595">
        <f t="shared" si="30"/>
        <v>2415</v>
      </c>
      <c r="AW20" s="595">
        <f t="shared" si="31"/>
        <v>100.625</v>
      </c>
      <c r="AX20" s="596">
        <f t="shared" si="32"/>
        <v>2982</v>
      </c>
      <c r="AY20" s="596">
        <f t="shared" si="33"/>
        <v>124.25</v>
      </c>
      <c r="AZ20" s="595">
        <f t="shared" si="34"/>
        <v>2237.0583333333334</v>
      </c>
      <c r="BA20" s="596">
        <f t="shared" si="35"/>
        <v>2292.5500000000002</v>
      </c>
    </row>
    <row r="21" spans="1:53" s="1" customFormat="1">
      <c r="A21" s="404" t="s">
        <v>72</v>
      </c>
      <c r="B21" s="403" t="s">
        <v>88</v>
      </c>
      <c r="C21" s="401"/>
      <c r="D21" s="404">
        <v>101505</v>
      </c>
      <c r="E21" s="404">
        <v>8</v>
      </c>
      <c r="F21" s="592"/>
      <c r="G21" s="519"/>
      <c r="H21" s="592"/>
      <c r="I21" s="519"/>
      <c r="J21" s="592">
        <v>64020</v>
      </c>
      <c r="K21" s="519">
        <v>61389</v>
      </c>
      <c r="L21" s="592">
        <v>32543</v>
      </c>
      <c r="M21" s="519">
        <v>31490</v>
      </c>
      <c r="N21" s="592">
        <v>69773</v>
      </c>
      <c r="O21" s="519">
        <v>68416</v>
      </c>
      <c r="P21" s="595">
        <f t="shared" si="18"/>
        <v>166336</v>
      </c>
      <c r="Q21" s="595">
        <f t="shared" si="19"/>
        <v>5544.5333333333338</v>
      </c>
      <c r="R21" s="596">
        <f t="shared" si="20"/>
        <v>161295</v>
      </c>
      <c r="S21" s="596">
        <f t="shared" si="21"/>
        <v>5376.5</v>
      </c>
      <c r="T21" s="592">
        <v>15108</v>
      </c>
      <c r="U21" s="519">
        <v>15806</v>
      </c>
      <c r="V21" s="595">
        <f t="shared" si="22"/>
        <v>166336</v>
      </c>
      <c r="W21" s="596">
        <f t="shared" si="23"/>
        <v>161295</v>
      </c>
      <c r="X21" s="592"/>
      <c r="Y21" s="519"/>
      <c r="Z21" s="592"/>
      <c r="AA21" s="519"/>
      <c r="AB21" s="592"/>
      <c r="AC21" s="519"/>
      <c r="AD21" s="592"/>
      <c r="AE21" s="519"/>
      <c r="AF21" s="595">
        <f t="shared" si="24"/>
        <v>0</v>
      </c>
      <c r="AG21" s="595">
        <f t="shared" si="25"/>
        <v>0</v>
      </c>
      <c r="AH21" s="596">
        <f t="shared" si="26"/>
        <v>0</v>
      </c>
      <c r="AI21" s="596">
        <f t="shared" si="27"/>
        <v>0</v>
      </c>
      <c r="AJ21" s="592"/>
      <c r="AK21" s="519"/>
      <c r="AL21" s="595">
        <f t="shared" si="28"/>
        <v>0</v>
      </c>
      <c r="AM21" s="596">
        <f t="shared" si="29"/>
        <v>0</v>
      </c>
      <c r="AN21" s="592"/>
      <c r="AO21" s="519"/>
      <c r="AP21" s="592"/>
      <c r="AQ21" s="519"/>
      <c r="AR21" s="592"/>
      <c r="AS21" s="519"/>
      <c r="AT21" s="592"/>
      <c r="AU21" s="519"/>
      <c r="AV21" s="595">
        <f t="shared" si="30"/>
        <v>0</v>
      </c>
      <c r="AW21" s="595">
        <f t="shared" si="31"/>
        <v>0</v>
      </c>
      <c r="AX21" s="596">
        <f t="shared" si="32"/>
        <v>0</v>
      </c>
      <c r="AY21" s="596">
        <f t="shared" si="33"/>
        <v>0</v>
      </c>
      <c r="AZ21" s="595">
        <f t="shared" si="34"/>
        <v>5544.5333333333338</v>
      </c>
      <c r="BA21" s="596">
        <f t="shared" si="35"/>
        <v>5376.5</v>
      </c>
    </row>
    <row r="22" spans="1:53" s="1" customFormat="1">
      <c r="A22" s="404" t="s">
        <v>72</v>
      </c>
      <c r="B22" s="403" t="s">
        <v>804</v>
      </c>
      <c r="C22" s="401"/>
      <c r="D22" s="404">
        <v>101514</v>
      </c>
      <c r="E22" s="404">
        <v>8</v>
      </c>
      <c r="F22" s="592"/>
      <c r="G22" s="519"/>
      <c r="H22" s="592"/>
      <c r="I22" s="519"/>
      <c r="J22" s="592">
        <v>77456</v>
      </c>
      <c r="K22" s="519">
        <v>74336</v>
      </c>
      <c r="L22" s="592">
        <v>36047</v>
      </c>
      <c r="M22" s="519">
        <v>32281</v>
      </c>
      <c r="N22" s="592">
        <v>81361</v>
      </c>
      <c r="O22" s="519">
        <v>70317</v>
      </c>
      <c r="P22" s="595">
        <f t="shared" si="18"/>
        <v>194864</v>
      </c>
      <c r="Q22" s="595">
        <f t="shared" si="19"/>
        <v>6495.4666666666662</v>
      </c>
      <c r="R22" s="596">
        <f t="shared" si="20"/>
        <v>176934</v>
      </c>
      <c r="S22" s="596">
        <f t="shared" si="21"/>
        <v>5897.8</v>
      </c>
      <c r="T22" s="592">
        <v>12880</v>
      </c>
      <c r="U22" s="519">
        <v>13453</v>
      </c>
      <c r="V22" s="595">
        <f t="shared" si="22"/>
        <v>194864</v>
      </c>
      <c r="W22" s="596">
        <f t="shared" si="23"/>
        <v>176934</v>
      </c>
      <c r="X22" s="592"/>
      <c r="Y22" s="519"/>
      <c r="Z22" s="592"/>
      <c r="AA22" s="519"/>
      <c r="AB22" s="592"/>
      <c r="AC22" s="519"/>
      <c r="AD22" s="592"/>
      <c r="AE22" s="519"/>
      <c r="AF22" s="595">
        <f t="shared" si="24"/>
        <v>0</v>
      </c>
      <c r="AG22" s="595">
        <f t="shared" si="25"/>
        <v>0</v>
      </c>
      <c r="AH22" s="596">
        <f t="shared" si="26"/>
        <v>0</v>
      </c>
      <c r="AI22" s="596">
        <f t="shared" si="27"/>
        <v>0</v>
      </c>
      <c r="AJ22" s="592"/>
      <c r="AK22" s="519"/>
      <c r="AL22" s="595">
        <f t="shared" si="28"/>
        <v>0</v>
      </c>
      <c r="AM22" s="596">
        <f t="shared" si="29"/>
        <v>0</v>
      </c>
      <c r="AN22" s="592"/>
      <c r="AO22" s="519"/>
      <c r="AP22" s="592"/>
      <c r="AQ22" s="519"/>
      <c r="AR22" s="592"/>
      <c r="AS22" s="519"/>
      <c r="AT22" s="592"/>
      <c r="AU22" s="519"/>
      <c r="AV22" s="595">
        <f t="shared" si="30"/>
        <v>0</v>
      </c>
      <c r="AW22" s="595">
        <f t="shared" si="31"/>
        <v>0</v>
      </c>
      <c r="AX22" s="596">
        <f t="shared" si="32"/>
        <v>0</v>
      </c>
      <c r="AY22" s="596">
        <f t="shared" si="33"/>
        <v>0</v>
      </c>
      <c r="AZ22" s="595">
        <f t="shared" si="34"/>
        <v>6495.4666666666662</v>
      </c>
      <c r="BA22" s="596">
        <f t="shared" si="35"/>
        <v>5897.8</v>
      </c>
    </row>
    <row r="23" spans="1:53" s="1" customFormat="1">
      <c r="A23" s="404" t="s">
        <v>72</v>
      </c>
      <c r="B23" s="403" t="s">
        <v>89</v>
      </c>
      <c r="C23" s="401"/>
      <c r="D23" s="404">
        <v>102429</v>
      </c>
      <c r="E23" s="404">
        <v>9</v>
      </c>
      <c r="F23" s="592"/>
      <c r="G23" s="519"/>
      <c r="H23" s="592"/>
      <c r="I23" s="519"/>
      <c r="J23" s="592">
        <v>29948</v>
      </c>
      <c r="K23" s="519">
        <v>29956</v>
      </c>
      <c r="L23" s="592">
        <v>17113</v>
      </c>
      <c r="M23" s="519">
        <v>13763</v>
      </c>
      <c r="N23" s="592">
        <v>33374</v>
      </c>
      <c r="O23" s="519">
        <v>27028</v>
      </c>
      <c r="P23" s="595">
        <f t="shared" si="18"/>
        <v>80435</v>
      </c>
      <c r="Q23" s="595">
        <f t="shared" si="19"/>
        <v>2681.1666666666665</v>
      </c>
      <c r="R23" s="596">
        <f t="shared" si="20"/>
        <v>70747</v>
      </c>
      <c r="S23" s="596">
        <f t="shared" si="21"/>
        <v>2358.2333333333331</v>
      </c>
      <c r="T23" s="592">
        <v>9813</v>
      </c>
      <c r="U23" s="519">
        <v>10490</v>
      </c>
      <c r="V23" s="595">
        <f t="shared" si="22"/>
        <v>80435</v>
      </c>
      <c r="W23" s="596">
        <f t="shared" si="23"/>
        <v>70747</v>
      </c>
      <c r="X23" s="592"/>
      <c r="Y23" s="519"/>
      <c r="Z23" s="592"/>
      <c r="AA23" s="519"/>
      <c r="AB23" s="592"/>
      <c r="AC23" s="519"/>
      <c r="AD23" s="592"/>
      <c r="AE23" s="519"/>
      <c r="AF23" s="595">
        <f t="shared" si="24"/>
        <v>0</v>
      </c>
      <c r="AG23" s="595">
        <f t="shared" si="25"/>
        <v>0</v>
      </c>
      <c r="AH23" s="596">
        <f t="shared" si="26"/>
        <v>0</v>
      </c>
      <c r="AI23" s="596">
        <f t="shared" si="27"/>
        <v>0</v>
      </c>
      <c r="AJ23" s="592"/>
      <c r="AK23" s="519"/>
      <c r="AL23" s="595">
        <f t="shared" si="28"/>
        <v>0</v>
      </c>
      <c r="AM23" s="596">
        <f t="shared" si="29"/>
        <v>0</v>
      </c>
      <c r="AN23" s="592"/>
      <c r="AO23" s="519"/>
      <c r="AP23" s="592"/>
      <c r="AQ23" s="519"/>
      <c r="AR23" s="592"/>
      <c r="AS23" s="519"/>
      <c r="AT23" s="592"/>
      <c r="AU23" s="519"/>
      <c r="AV23" s="595">
        <f t="shared" si="30"/>
        <v>0</v>
      </c>
      <c r="AW23" s="595">
        <f t="shared" si="31"/>
        <v>0</v>
      </c>
      <c r="AX23" s="596">
        <f t="shared" si="32"/>
        <v>0</v>
      </c>
      <c r="AY23" s="596">
        <f t="shared" si="33"/>
        <v>0</v>
      </c>
      <c r="AZ23" s="595">
        <f t="shared" si="34"/>
        <v>2681.1666666666665</v>
      </c>
      <c r="BA23" s="596">
        <f t="shared" si="35"/>
        <v>2358.2333333333331</v>
      </c>
    </row>
    <row r="24" spans="1:53" s="1" customFormat="1">
      <c r="A24" s="404" t="s">
        <v>72</v>
      </c>
      <c r="B24" s="403" t="s">
        <v>90</v>
      </c>
      <c r="C24" s="538" t="s">
        <v>918</v>
      </c>
      <c r="D24" s="404">
        <v>102030</v>
      </c>
      <c r="E24" s="404">
        <v>9</v>
      </c>
      <c r="F24" s="592"/>
      <c r="G24" s="519"/>
      <c r="H24" s="592"/>
      <c r="I24" s="519"/>
      <c r="J24" s="592">
        <v>26212</v>
      </c>
      <c r="K24" s="519">
        <v>25972</v>
      </c>
      <c r="L24" s="592">
        <v>11356</v>
      </c>
      <c r="M24" s="519">
        <v>10290</v>
      </c>
      <c r="N24" s="592">
        <v>27590</v>
      </c>
      <c r="O24" s="519">
        <v>18700</v>
      </c>
      <c r="P24" s="595">
        <f t="shared" si="18"/>
        <v>65158</v>
      </c>
      <c r="Q24" s="595">
        <f t="shared" si="19"/>
        <v>2171.9333333333334</v>
      </c>
      <c r="R24" s="596">
        <f t="shared" si="20"/>
        <v>54962</v>
      </c>
      <c r="S24" s="596">
        <f t="shared" si="21"/>
        <v>1832.0666666666666</v>
      </c>
      <c r="T24" s="592">
        <v>3584</v>
      </c>
      <c r="U24" s="519">
        <v>4101</v>
      </c>
      <c r="V24" s="595">
        <f t="shared" si="22"/>
        <v>65158</v>
      </c>
      <c r="W24" s="596">
        <f t="shared" si="23"/>
        <v>54962</v>
      </c>
      <c r="X24" s="592"/>
      <c r="Y24" s="519"/>
      <c r="Z24" s="592"/>
      <c r="AA24" s="519"/>
      <c r="AB24" s="592"/>
      <c r="AC24" s="519"/>
      <c r="AD24" s="592"/>
      <c r="AE24" s="519"/>
      <c r="AF24" s="595">
        <f t="shared" si="24"/>
        <v>0</v>
      </c>
      <c r="AG24" s="595">
        <f t="shared" si="25"/>
        <v>0</v>
      </c>
      <c r="AH24" s="596">
        <f t="shared" si="26"/>
        <v>0</v>
      </c>
      <c r="AI24" s="596">
        <f t="shared" si="27"/>
        <v>0</v>
      </c>
      <c r="AJ24" s="592"/>
      <c r="AK24" s="519"/>
      <c r="AL24" s="595">
        <f t="shared" si="28"/>
        <v>0</v>
      </c>
      <c r="AM24" s="596">
        <f t="shared" si="29"/>
        <v>0</v>
      </c>
      <c r="AN24" s="592"/>
      <c r="AO24" s="519"/>
      <c r="AP24" s="592"/>
      <c r="AQ24" s="519"/>
      <c r="AR24" s="592"/>
      <c r="AS24" s="519"/>
      <c r="AT24" s="592"/>
      <c r="AU24" s="519"/>
      <c r="AV24" s="595">
        <f t="shared" si="30"/>
        <v>0</v>
      </c>
      <c r="AW24" s="595">
        <f t="shared" si="31"/>
        <v>0</v>
      </c>
      <c r="AX24" s="596">
        <f t="shared" si="32"/>
        <v>0</v>
      </c>
      <c r="AY24" s="596">
        <f t="shared" si="33"/>
        <v>0</v>
      </c>
      <c r="AZ24" s="595">
        <f t="shared" si="34"/>
        <v>2171.9333333333334</v>
      </c>
      <c r="BA24" s="596">
        <f t="shared" si="35"/>
        <v>1832.0666666666666</v>
      </c>
    </row>
    <row r="25" spans="1:53" s="1" customFormat="1">
      <c r="A25" s="404" t="s">
        <v>72</v>
      </c>
      <c r="B25" s="403" t="s">
        <v>832</v>
      </c>
      <c r="C25" s="536" t="s">
        <v>912</v>
      </c>
      <c r="D25" s="404">
        <v>101161</v>
      </c>
      <c r="E25" s="537">
        <v>8</v>
      </c>
      <c r="F25" s="592"/>
      <c r="G25" s="519"/>
      <c r="H25" s="592"/>
      <c r="I25" s="519"/>
      <c r="J25" s="592">
        <v>65242</v>
      </c>
      <c r="K25" s="519">
        <v>65377</v>
      </c>
      <c r="L25" s="592">
        <v>29445</v>
      </c>
      <c r="M25" s="519">
        <v>27248</v>
      </c>
      <c r="N25" s="592">
        <v>74144</v>
      </c>
      <c r="O25" s="519">
        <v>63082</v>
      </c>
      <c r="P25" s="595">
        <f t="shared" si="18"/>
        <v>168831</v>
      </c>
      <c r="Q25" s="595">
        <f t="shared" si="19"/>
        <v>5627.7</v>
      </c>
      <c r="R25" s="596">
        <f t="shared" si="20"/>
        <v>155707</v>
      </c>
      <c r="S25" s="596">
        <f t="shared" si="21"/>
        <v>5190.2333333333336</v>
      </c>
      <c r="T25" s="592">
        <v>17228</v>
      </c>
      <c r="U25" s="519">
        <v>16860</v>
      </c>
      <c r="V25" s="595">
        <f t="shared" si="22"/>
        <v>168831</v>
      </c>
      <c r="W25" s="596">
        <f t="shared" si="23"/>
        <v>155707</v>
      </c>
      <c r="X25" s="592"/>
      <c r="Y25" s="519"/>
      <c r="Z25" s="592"/>
      <c r="AA25" s="519"/>
      <c r="AB25" s="592"/>
      <c r="AC25" s="519"/>
      <c r="AD25" s="592"/>
      <c r="AE25" s="519"/>
      <c r="AF25" s="595">
        <f t="shared" si="24"/>
        <v>0</v>
      </c>
      <c r="AG25" s="595">
        <f t="shared" si="25"/>
        <v>0</v>
      </c>
      <c r="AH25" s="596">
        <f t="shared" si="26"/>
        <v>0</v>
      </c>
      <c r="AI25" s="596">
        <f t="shared" si="27"/>
        <v>0</v>
      </c>
      <c r="AJ25" s="592"/>
      <c r="AK25" s="519"/>
      <c r="AL25" s="595">
        <f t="shared" si="28"/>
        <v>0</v>
      </c>
      <c r="AM25" s="596">
        <f t="shared" si="29"/>
        <v>0</v>
      </c>
      <c r="AN25" s="592"/>
      <c r="AO25" s="519"/>
      <c r="AP25" s="592"/>
      <c r="AQ25" s="519"/>
      <c r="AR25" s="592"/>
      <c r="AS25" s="519"/>
      <c r="AT25" s="592"/>
      <c r="AU25" s="519"/>
      <c r="AV25" s="595">
        <f t="shared" si="30"/>
        <v>0</v>
      </c>
      <c r="AW25" s="595">
        <f t="shared" si="31"/>
        <v>0</v>
      </c>
      <c r="AX25" s="596">
        <f t="shared" si="32"/>
        <v>0</v>
      </c>
      <c r="AY25" s="596">
        <f t="shared" si="33"/>
        <v>0</v>
      </c>
      <c r="AZ25" s="595">
        <f t="shared" si="34"/>
        <v>5627.7</v>
      </c>
      <c r="BA25" s="596">
        <f t="shared" si="35"/>
        <v>5190.2333333333336</v>
      </c>
    </row>
    <row r="26" spans="1:53" s="1" customFormat="1">
      <c r="A26" s="404" t="s">
        <v>72</v>
      </c>
      <c r="B26" s="403" t="s">
        <v>91</v>
      </c>
      <c r="C26" s="401"/>
      <c r="D26" s="404">
        <v>101240</v>
      </c>
      <c r="E26" s="404">
        <v>9</v>
      </c>
      <c r="F26" s="592"/>
      <c r="G26" s="519"/>
      <c r="H26" s="592"/>
      <c r="I26" s="519"/>
      <c r="J26" s="592">
        <v>41847</v>
      </c>
      <c r="K26" s="519">
        <v>39353</v>
      </c>
      <c r="L26" s="592">
        <v>21713</v>
      </c>
      <c r="M26" s="519">
        <v>18276</v>
      </c>
      <c r="N26" s="592">
        <v>45523</v>
      </c>
      <c r="O26" s="519">
        <v>39506</v>
      </c>
      <c r="P26" s="595">
        <f t="shared" si="18"/>
        <v>109083</v>
      </c>
      <c r="Q26" s="595">
        <f t="shared" si="19"/>
        <v>3636.1</v>
      </c>
      <c r="R26" s="596">
        <f t="shared" si="20"/>
        <v>97135</v>
      </c>
      <c r="S26" s="596">
        <f t="shared" si="21"/>
        <v>3237.8333333333335</v>
      </c>
      <c r="T26" s="592">
        <v>5709</v>
      </c>
      <c r="U26" s="519">
        <v>4934</v>
      </c>
      <c r="V26" s="595">
        <f t="shared" si="22"/>
        <v>109083</v>
      </c>
      <c r="W26" s="596">
        <f t="shared" si="23"/>
        <v>97135</v>
      </c>
      <c r="X26" s="592"/>
      <c r="Y26" s="519"/>
      <c r="Z26" s="592"/>
      <c r="AA26" s="519"/>
      <c r="AB26" s="592"/>
      <c r="AC26" s="519"/>
      <c r="AD26" s="592"/>
      <c r="AE26" s="519"/>
      <c r="AF26" s="595">
        <f t="shared" si="24"/>
        <v>0</v>
      </c>
      <c r="AG26" s="595">
        <f t="shared" si="25"/>
        <v>0</v>
      </c>
      <c r="AH26" s="596">
        <f t="shared" si="26"/>
        <v>0</v>
      </c>
      <c r="AI26" s="596">
        <f t="shared" si="27"/>
        <v>0</v>
      </c>
      <c r="AJ26" s="592"/>
      <c r="AK26" s="519"/>
      <c r="AL26" s="595">
        <f t="shared" si="28"/>
        <v>0</v>
      </c>
      <c r="AM26" s="596">
        <f t="shared" si="29"/>
        <v>0</v>
      </c>
      <c r="AN26" s="592"/>
      <c r="AO26" s="519"/>
      <c r="AP26" s="592"/>
      <c r="AQ26" s="519"/>
      <c r="AR26" s="592"/>
      <c r="AS26" s="519"/>
      <c r="AT26" s="592"/>
      <c r="AU26" s="519"/>
      <c r="AV26" s="595">
        <f t="shared" si="30"/>
        <v>0</v>
      </c>
      <c r="AW26" s="595">
        <f t="shared" si="31"/>
        <v>0</v>
      </c>
      <c r="AX26" s="596">
        <f t="shared" si="32"/>
        <v>0</v>
      </c>
      <c r="AY26" s="596">
        <f t="shared" si="33"/>
        <v>0</v>
      </c>
      <c r="AZ26" s="595">
        <f t="shared" si="34"/>
        <v>3636.1</v>
      </c>
      <c r="BA26" s="596">
        <f t="shared" si="35"/>
        <v>3237.8333333333335</v>
      </c>
    </row>
    <row r="27" spans="1:53" s="1" customFormat="1">
      <c r="A27" s="404" t="s">
        <v>72</v>
      </c>
      <c r="B27" s="403" t="s">
        <v>805</v>
      </c>
      <c r="C27" s="401"/>
      <c r="D27" s="404">
        <v>101286</v>
      </c>
      <c r="E27" s="404">
        <v>9</v>
      </c>
      <c r="F27" s="592"/>
      <c r="G27" s="519"/>
      <c r="H27" s="592"/>
      <c r="I27" s="519"/>
      <c r="J27" s="592">
        <v>37419</v>
      </c>
      <c r="K27" s="519">
        <v>36713</v>
      </c>
      <c r="L27" s="592">
        <v>18911</v>
      </c>
      <c r="M27" s="519">
        <v>17248</v>
      </c>
      <c r="N27" s="592">
        <v>40500</v>
      </c>
      <c r="O27" s="519">
        <v>32178</v>
      </c>
      <c r="P27" s="595">
        <f t="shared" si="18"/>
        <v>96830</v>
      </c>
      <c r="Q27" s="595">
        <f t="shared" si="19"/>
        <v>3227.6666666666665</v>
      </c>
      <c r="R27" s="596">
        <f t="shared" si="20"/>
        <v>86139</v>
      </c>
      <c r="S27" s="596">
        <f t="shared" si="21"/>
        <v>2871.3</v>
      </c>
      <c r="T27" s="592">
        <v>7135</v>
      </c>
      <c r="U27" s="519">
        <v>6515</v>
      </c>
      <c r="V27" s="595">
        <f t="shared" si="22"/>
        <v>96830</v>
      </c>
      <c r="W27" s="596">
        <f t="shared" si="23"/>
        <v>86139</v>
      </c>
      <c r="X27" s="592"/>
      <c r="Y27" s="519"/>
      <c r="Z27" s="592"/>
      <c r="AA27" s="519"/>
      <c r="AB27" s="592"/>
      <c r="AC27" s="519"/>
      <c r="AD27" s="592"/>
      <c r="AE27" s="519"/>
      <c r="AF27" s="595">
        <f t="shared" si="24"/>
        <v>0</v>
      </c>
      <c r="AG27" s="595">
        <f t="shared" si="25"/>
        <v>0</v>
      </c>
      <c r="AH27" s="596">
        <f t="shared" si="26"/>
        <v>0</v>
      </c>
      <c r="AI27" s="596">
        <f t="shared" si="27"/>
        <v>0</v>
      </c>
      <c r="AJ27" s="592"/>
      <c r="AK27" s="519"/>
      <c r="AL27" s="595">
        <f t="shared" si="28"/>
        <v>0</v>
      </c>
      <c r="AM27" s="596">
        <f t="shared" si="29"/>
        <v>0</v>
      </c>
      <c r="AN27" s="592"/>
      <c r="AO27" s="519"/>
      <c r="AP27" s="592"/>
      <c r="AQ27" s="519"/>
      <c r="AR27" s="592"/>
      <c r="AS27" s="519"/>
      <c r="AT27" s="592"/>
      <c r="AU27" s="519"/>
      <c r="AV27" s="595">
        <f t="shared" si="30"/>
        <v>0</v>
      </c>
      <c r="AW27" s="595">
        <f t="shared" si="31"/>
        <v>0</v>
      </c>
      <c r="AX27" s="596">
        <f t="shared" si="32"/>
        <v>0</v>
      </c>
      <c r="AY27" s="596">
        <f t="shared" si="33"/>
        <v>0</v>
      </c>
      <c r="AZ27" s="595">
        <f t="shared" si="34"/>
        <v>3227.6666666666665</v>
      </c>
      <c r="BA27" s="596">
        <f t="shared" si="35"/>
        <v>2871.3</v>
      </c>
    </row>
    <row r="28" spans="1:53" s="1" customFormat="1">
      <c r="A28" s="404" t="s">
        <v>72</v>
      </c>
      <c r="B28" s="403" t="s">
        <v>806</v>
      </c>
      <c r="C28" s="410"/>
      <c r="D28" s="404">
        <v>101295</v>
      </c>
      <c r="E28" s="404">
        <v>9</v>
      </c>
      <c r="F28" s="592"/>
      <c r="G28" s="519"/>
      <c r="H28" s="592"/>
      <c r="I28" s="519"/>
      <c r="J28" s="592">
        <v>49387</v>
      </c>
      <c r="K28" s="519">
        <v>48052</v>
      </c>
      <c r="L28" s="592">
        <v>22665</v>
      </c>
      <c r="M28" s="519">
        <v>21257</v>
      </c>
      <c r="N28" s="592">
        <v>52910</v>
      </c>
      <c r="O28" s="519">
        <v>49925</v>
      </c>
      <c r="P28" s="595">
        <f t="shared" si="18"/>
        <v>124962</v>
      </c>
      <c r="Q28" s="595">
        <f t="shared" si="19"/>
        <v>4165.3999999999996</v>
      </c>
      <c r="R28" s="596">
        <f t="shared" si="20"/>
        <v>119234</v>
      </c>
      <c r="S28" s="596">
        <f t="shared" si="21"/>
        <v>3974.4666666666667</v>
      </c>
      <c r="T28" s="592">
        <v>7814</v>
      </c>
      <c r="U28" s="519">
        <v>8105</v>
      </c>
      <c r="V28" s="595">
        <f t="shared" si="22"/>
        <v>124962</v>
      </c>
      <c r="W28" s="596">
        <f t="shared" si="23"/>
        <v>119234</v>
      </c>
      <c r="X28" s="592"/>
      <c r="Y28" s="519"/>
      <c r="Z28" s="592"/>
      <c r="AA28" s="519"/>
      <c r="AB28" s="592"/>
      <c r="AC28" s="519"/>
      <c r="AD28" s="592"/>
      <c r="AE28" s="519"/>
      <c r="AF28" s="595">
        <f t="shared" si="24"/>
        <v>0</v>
      </c>
      <c r="AG28" s="595">
        <f t="shared" si="25"/>
        <v>0</v>
      </c>
      <c r="AH28" s="596">
        <f t="shared" si="26"/>
        <v>0</v>
      </c>
      <c r="AI28" s="596">
        <f t="shared" si="27"/>
        <v>0</v>
      </c>
      <c r="AJ28" s="592"/>
      <c r="AK28" s="519"/>
      <c r="AL28" s="595">
        <f t="shared" si="28"/>
        <v>0</v>
      </c>
      <c r="AM28" s="596">
        <f t="shared" si="29"/>
        <v>0</v>
      </c>
      <c r="AN28" s="592"/>
      <c r="AO28" s="519"/>
      <c r="AP28" s="592"/>
      <c r="AQ28" s="519"/>
      <c r="AR28" s="592"/>
      <c r="AS28" s="519"/>
      <c r="AT28" s="592"/>
      <c r="AU28" s="519"/>
      <c r="AV28" s="595">
        <f t="shared" si="30"/>
        <v>0</v>
      </c>
      <c r="AW28" s="595">
        <f t="shared" si="31"/>
        <v>0</v>
      </c>
      <c r="AX28" s="596">
        <f t="shared" si="32"/>
        <v>0</v>
      </c>
      <c r="AY28" s="596">
        <f t="shared" si="33"/>
        <v>0</v>
      </c>
      <c r="AZ28" s="595">
        <f t="shared" si="34"/>
        <v>4165.3999999999996</v>
      </c>
      <c r="BA28" s="596">
        <f t="shared" si="35"/>
        <v>3974.4666666666667</v>
      </c>
    </row>
    <row r="29" spans="1:53" s="1" customFormat="1">
      <c r="A29" s="404" t="s">
        <v>72</v>
      </c>
      <c r="B29" s="403" t="s">
        <v>92</v>
      </c>
      <c r="C29" s="401"/>
      <c r="D29" s="404">
        <v>101569</v>
      </c>
      <c r="E29" s="404">
        <v>9</v>
      </c>
      <c r="F29" s="592"/>
      <c r="G29" s="519"/>
      <c r="H29" s="592"/>
      <c r="I29" s="519"/>
      <c r="J29" s="592">
        <v>29490</v>
      </c>
      <c r="K29" s="519">
        <v>29269</v>
      </c>
      <c r="L29" s="592">
        <v>12649</v>
      </c>
      <c r="M29" s="519">
        <v>11700</v>
      </c>
      <c r="N29" s="592">
        <v>34177</v>
      </c>
      <c r="O29" s="519">
        <v>27548</v>
      </c>
      <c r="P29" s="595">
        <f t="shared" si="18"/>
        <v>76316</v>
      </c>
      <c r="Q29" s="595">
        <f t="shared" si="19"/>
        <v>2543.8666666666668</v>
      </c>
      <c r="R29" s="596">
        <f t="shared" si="20"/>
        <v>68517</v>
      </c>
      <c r="S29" s="596">
        <f t="shared" si="21"/>
        <v>2283.9</v>
      </c>
      <c r="T29" s="592">
        <v>2322</v>
      </c>
      <c r="U29" s="519">
        <v>1965</v>
      </c>
      <c r="V29" s="595">
        <f t="shared" si="22"/>
        <v>76316</v>
      </c>
      <c r="W29" s="596">
        <f t="shared" si="23"/>
        <v>68517</v>
      </c>
      <c r="X29" s="592"/>
      <c r="Y29" s="519"/>
      <c r="Z29" s="592"/>
      <c r="AA29" s="519"/>
      <c r="AB29" s="592"/>
      <c r="AC29" s="519"/>
      <c r="AD29" s="592"/>
      <c r="AE29" s="519"/>
      <c r="AF29" s="595">
        <f t="shared" si="24"/>
        <v>0</v>
      </c>
      <c r="AG29" s="595">
        <f t="shared" si="25"/>
        <v>0</v>
      </c>
      <c r="AH29" s="596">
        <f t="shared" si="26"/>
        <v>0</v>
      </c>
      <c r="AI29" s="596">
        <f t="shared" si="27"/>
        <v>0</v>
      </c>
      <c r="AJ29" s="592"/>
      <c r="AK29" s="519"/>
      <c r="AL29" s="595">
        <f t="shared" si="28"/>
        <v>0</v>
      </c>
      <c r="AM29" s="596">
        <f t="shared" si="29"/>
        <v>0</v>
      </c>
      <c r="AN29" s="592"/>
      <c r="AO29" s="519"/>
      <c r="AP29" s="592"/>
      <c r="AQ29" s="519"/>
      <c r="AR29" s="592"/>
      <c r="AS29" s="519"/>
      <c r="AT29" s="592"/>
      <c r="AU29" s="519"/>
      <c r="AV29" s="595">
        <f t="shared" si="30"/>
        <v>0</v>
      </c>
      <c r="AW29" s="595">
        <f t="shared" si="31"/>
        <v>0</v>
      </c>
      <c r="AX29" s="596">
        <f t="shared" si="32"/>
        <v>0</v>
      </c>
      <c r="AY29" s="596">
        <f t="shared" si="33"/>
        <v>0</v>
      </c>
      <c r="AZ29" s="595">
        <f t="shared" si="34"/>
        <v>2543.8666666666668</v>
      </c>
      <c r="BA29" s="596">
        <f t="shared" si="35"/>
        <v>2283.9</v>
      </c>
    </row>
    <row r="30" spans="1:53" s="1" customFormat="1">
      <c r="A30" s="404" t="s">
        <v>72</v>
      </c>
      <c r="B30" s="403" t="s">
        <v>93</v>
      </c>
      <c r="C30" s="401"/>
      <c r="D30" s="404">
        <v>101736</v>
      </c>
      <c r="E30" s="404">
        <v>9</v>
      </c>
      <c r="F30" s="592"/>
      <c r="G30" s="519"/>
      <c r="H30" s="592"/>
      <c r="I30" s="519"/>
      <c r="J30" s="592">
        <v>25950</v>
      </c>
      <c r="K30" s="519">
        <v>25281</v>
      </c>
      <c r="L30" s="592">
        <v>10366</v>
      </c>
      <c r="M30" s="519">
        <v>9757</v>
      </c>
      <c r="N30" s="592">
        <v>30047</v>
      </c>
      <c r="O30" s="519">
        <v>27289</v>
      </c>
      <c r="P30" s="595">
        <f t="shared" si="18"/>
        <v>66363</v>
      </c>
      <c r="Q30" s="595">
        <f t="shared" si="19"/>
        <v>2212.1</v>
      </c>
      <c r="R30" s="596">
        <f t="shared" si="20"/>
        <v>62327</v>
      </c>
      <c r="S30" s="596">
        <f t="shared" si="21"/>
        <v>2077.5666666666666</v>
      </c>
      <c r="T30" s="592">
        <v>8135</v>
      </c>
      <c r="U30" s="519">
        <v>8025</v>
      </c>
      <c r="V30" s="595">
        <f t="shared" si="22"/>
        <v>66363</v>
      </c>
      <c r="W30" s="596">
        <f t="shared" si="23"/>
        <v>62327</v>
      </c>
      <c r="X30" s="592"/>
      <c r="Y30" s="519"/>
      <c r="Z30" s="592"/>
      <c r="AA30" s="519"/>
      <c r="AB30" s="592"/>
      <c r="AC30" s="519"/>
      <c r="AD30" s="592"/>
      <c r="AE30" s="519"/>
      <c r="AF30" s="595">
        <f t="shared" si="24"/>
        <v>0</v>
      </c>
      <c r="AG30" s="595">
        <f t="shared" si="25"/>
        <v>0</v>
      </c>
      <c r="AH30" s="596">
        <f t="shared" si="26"/>
        <v>0</v>
      </c>
      <c r="AI30" s="596">
        <f t="shared" si="27"/>
        <v>0</v>
      </c>
      <c r="AJ30" s="592"/>
      <c r="AK30" s="519"/>
      <c r="AL30" s="595">
        <f t="shared" si="28"/>
        <v>0</v>
      </c>
      <c r="AM30" s="596">
        <f t="shared" si="29"/>
        <v>0</v>
      </c>
      <c r="AN30" s="592"/>
      <c r="AO30" s="519"/>
      <c r="AP30" s="592"/>
      <c r="AQ30" s="519"/>
      <c r="AR30" s="592"/>
      <c r="AS30" s="519"/>
      <c r="AT30" s="592"/>
      <c r="AU30" s="519"/>
      <c r="AV30" s="595">
        <f t="shared" si="30"/>
        <v>0</v>
      </c>
      <c r="AW30" s="595">
        <f t="shared" si="31"/>
        <v>0</v>
      </c>
      <c r="AX30" s="596">
        <f t="shared" si="32"/>
        <v>0</v>
      </c>
      <c r="AY30" s="596">
        <f t="shared" si="33"/>
        <v>0</v>
      </c>
      <c r="AZ30" s="595">
        <f t="shared" si="34"/>
        <v>2212.1</v>
      </c>
      <c r="BA30" s="596">
        <f t="shared" si="35"/>
        <v>2077.5666666666666</v>
      </c>
    </row>
    <row r="31" spans="1:53" s="1" customFormat="1">
      <c r="A31" s="404" t="s">
        <v>72</v>
      </c>
      <c r="B31" s="403" t="s">
        <v>94</v>
      </c>
      <c r="C31" s="401"/>
      <c r="D31" s="404">
        <v>102067</v>
      </c>
      <c r="E31" s="404">
        <v>9</v>
      </c>
      <c r="F31" s="592"/>
      <c r="G31" s="519"/>
      <c r="H31" s="592"/>
      <c r="I31" s="519"/>
      <c r="J31" s="592">
        <v>38313</v>
      </c>
      <c r="K31" s="519">
        <v>37193</v>
      </c>
      <c r="L31" s="592">
        <v>21306</v>
      </c>
      <c r="M31" s="519">
        <v>18816</v>
      </c>
      <c r="N31" s="592">
        <v>42594</v>
      </c>
      <c r="O31" s="519">
        <v>35893</v>
      </c>
      <c r="P31" s="595">
        <f t="shared" si="18"/>
        <v>102213</v>
      </c>
      <c r="Q31" s="595">
        <f t="shared" si="19"/>
        <v>3407.1</v>
      </c>
      <c r="R31" s="596">
        <f t="shared" si="20"/>
        <v>91902</v>
      </c>
      <c r="S31" s="596">
        <f t="shared" si="21"/>
        <v>3063.4</v>
      </c>
      <c r="T31" s="592">
        <v>3271</v>
      </c>
      <c r="U31" s="519">
        <v>3449</v>
      </c>
      <c r="V31" s="595">
        <f t="shared" si="22"/>
        <v>102213</v>
      </c>
      <c r="W31" s="596">
        <f t="shared" si="23"/>
        <v>91902</v>
      </c>
      <c r="X31" s="592"/>
      <c r="Y31" s="519"/>
      <c r="Z31" s="592"/>
      <c r="AA31" s="519"/>
      <c r="AB31" s="592"/>
      <c r="AC31" s="519"/>
      <c r="AD31" s="592"/>
      <c r="AE31" s="519"/>
      <c r="AF31" s="595">
        <f t="shared" si="24"/>
        <v>0</v>
      </c>
      <c r="AG31" s="595">
        <f t="shared" si="25"/>
        <v>0</v>
      </c>
      <c r="AH31" s="596">
        <f t="shared" si="26"/>
        <v>0</v>
      </c>
      <c r="AI31" s="596">
        <f t="shared" si="27"/>
        <v>0</v>
      </c>
      <c r="AJ31" s="592"/>
      <c r="AK31" s="519"/>
      <c r="AL31" s="595">
        <f t="shared" si="28"/>
        <v>0</v>
      </c>
      <c r="AM31" s="596">
        <f t="shared" si="29"/>
        <v>0</v>
      </c>
      <c r="AN31" s="592"/>
      <c r="AO31" s="519"/>
      <c r="AP31" s="592"/>
      <c r="AQ31" s="519"/>
      <c r="AR31" s="592"/>
      <c r="AS31" s="519"/>
      <c r="AT31" s="592"/>
      <c r="AU31" s="519"/>
      <c r="AV31" s="595">
        <f t="shared" si="30"/>
        <v>0</v>
      </c>
      <c r="AW31" s="595">
        <f t="shared" si="31"/>
        <v>0</v>
      </c>
      <c r="AX31" s="596">
        <f t="shared" si="32"/>
        <v>0</v>
      </c>
      <c r="AY31" s="596">
        <f t="shared" si="33"/>
        <v>0</v>
      </c>
      <c r="AZ31" s="595">
        <f t="shared" si="34"/>
        <v>3407.1</v>
      </c>
      <c r="BA31" s="596">
        <f t="shared" si="35"/>
        <v>3063.4</v>
      </c>
    </row>
    <row r="32" spans="1:53" s="1" customFormat="1">
      <c r="A32" s="404" t="s">
        <v>72</v>
      </c>
      <c r="B32" s="403" t="s">
        <v>95</v>
      </c>
      <c r="C32" s="401"/>
      <c r="D32" s="404">
        <v>251260</v>
      </c>
      <c r="E32" s="404">
        <v>9</v>
      </c>
      <c r="F32" s="592"/>
      <c r="G32" s="519"/>
      <c r="H32" s="592"/>
      <c r="I32" s="519"/>
      <c r="J32" s="592">
        <v>43553</v>
      </c>
      <c r="K32" s="519">
        <v>44046</v>
      </c>
      <c r="L32" s="592">
        <v>20132</v>
      </c>
      <c r="M32" s="519">
        <v>18475</v>
      </c>
      <c r="N32" s="592">
        <v>48947</v>
      </c>
      <c r="O32" s="519">
        <v>41544</v>
      </c>
      <c r="P32" s="595">
        <f t="shared" si="18"/>
        <v>112632</v>
      </c>
      <c r="Q32" s="595">
        <f t="shared" si="19"/>
        <v>3754.4</v>
      </c>
      <c r="R32" s="596">
        <f t="shared" si="20"/>
        <v>104065</v>
      </c>
      <c r="S32" s="596">
        <f t="shared" si="21"/>
        <v>3468.8333333333335</v>
      </c>
      <c r="T32" s="592">
        <v>3798</v>
      </c>
      <c r="U32" s="519">
        <v>3706</v>
      </c>
      <c r="V32" s="595">
        <f t="shared" si="22"/>
        <v>112632</v>
      </c>
      <c r="W32" s="596">
        <f t="shared" si="23"/>
        <v>104065</v>
      </c>
      <c r="X32" s="592"/>
      <c r="Y32" s="519"/>
      <c r="Z32" s="592"/>
      <c r="AA32" s="519"/>
      <c r="AB32" s="592"/>
      <c r="AC32" s="519"/>
      <c r="AD32" s="592"/>
      <c r="AE32" s="519"/>
      <c r="AF32" s="595">
        <f t="shared" si="24"/>
        <v>0</v>
      </c>
      <c r="AG32" s="595">
        <f t="shared" si="25"/>
        <v>0</v>
      </c>
      <c r="AH32" s="596">
        <f t="shared" si="26"/>
        <v>0</v>
      </c>
      <c r="AI32" s="596">
        <f t="shared" si="27"/>
        <v>0</v>
      </c>
      <c r="AJ32" s="592"/>
      <c r="AK32" s="519"/>
      <c r="AL32" s="595">
        <f t="shared" si="28"/>
        <v>0</v>
      </c>
      <c r="AM32" s="596">
        <f t="shared" si="29"/>
        <v>0</v>
      </c>
      <c r="AN32" s="592"/>
      <c r="AO32" s="519"/>
      <c r="AP32" s="592"/>
      <c r="AQ32" s="519"/>
      <c r="AR32" s="592"/>
      <c r="AS32" s="519"/>
      <c r="AT32" s="592"/>
      <c r="AU32" s="519"/>
      <c r="AV32" s="595">
        <f t="shared" si="30"/>
        <v>0</v>
      </c>
      <c r="AW32" s="595">
        <f t="shared" si="31"/>
        <v>0</v>
      </c>
      <c r="AX32" s="596">
        <f t="shared" si="32"/>
        <v>0</v>
      </c>
      <c r="AY32" s="596">
        <f t="shared" si="33"/>
        <v>0</v>
      </c>
      <c r="AZ32" s="595">
        <f t="shared" si="34"/>
        <v>3754.4</v>
      </c>
      <c r="BA32" s="596">
        <f t="shared" si="35"/>
        <v>3468.8333333333335</v>
      </c>
    </row>
    <row r="33" spans="1:53" s="1" customFormat="1">
      <c r="A33" s="404" t="s">
        <v>72</v>
      </c>
      <c r="B33" s="403" t="s">
        <v>96</v>
      </c>
      <c r="C33" s="401"/>
      <c r="D33" s="404">
        <v>100760</v>
      </c>
      <c r="E33" s="404">
        <v>10</v>
      </c>
      <c r="F33" s="592"/>
      <c r="G33" s="519"/>
      <c r="H33" s="592"/>
      <c r="I33" s="519"/>
      <c r="J33" s="592">
        <v>13646</v>
      </c>
      <c r="K33" s="519">
        <v>13211</v>
      </c>
      <c r="L33" s="592">
        <v>4986</v>
      </c>
      <c r="M33" s="519">
        <v>5444</v>
      </c>
      <c r="N33" s="592">
        <v>16077</v>
      </c>
      <c r="O33" s="519">
        <v>13361</v>
      </c>
      <c r="P33" s="595">
        <f t="shared" si="18"/>
        <v>34709</v>
      </c>
      <c r="Q33" s="595">
        <f t="shared" si="19"/>
        <v>1156.9666666666667</v>
      </c>
      <c r="R33" s="596">
        <f t="shared" si="20"/>
        <v>32016</v>
      </c>
      <c r="S33" s="596">
        <f t="shared" si="21"/>
        <v>1067.2</v>
      </c>
      <c r="T33" s="592">
        <v>4651</v>
      </c>
      <c r="U33" s="519">
        <v>4544</v>
      </c>
      <c r="V33" s="595">
        <f t="shared" si="22"/>
        <v>34709</v>
      </c>
      <c r="W33" s="596">
        <f t="shared" si="23"/>
        <v>32016</v>
      </c>
      <c r="X33" s="592"/>
      <c r="Y33" s="519"/>
      <c r="Z33" s="592"/>
      <c r="AA33" s="519"/>
      <c r="AB33" s="592"/>
      <c r="AC33" s="519"/>
      <c r="AD33" s="592"/>
      <c r="AE33" s="519"/>
      <c r="AF33" s="595">
        <f t="shared" si="24"/>
        <v>0</v>
      </c>
      <c r="AG33" s="595">
        <f t="shared" si="25"/>
        <v>0</v>
      </c>
      <c r="AH33" s="596">
        <f t="shared" si="26"/>
        <v>0</v>
      </c>
      <c r="AI33" s="596">
        <f t="shared" si="27"/>
        <v>0</v>
      </c>
      <c r="AJ33" s="592"/>
      <c r="AK33" s="519"/>
      <c r="AL33" s="595">
        <f t="shared" si="28"/>
        <v>0</v>
      </c>
      <c r="AM33" s="596">
        <f t="shared" si="29"/>
        <v>0</v>
      </c>
      <c r="AN33" s="592"/>
      <c r="AO33" s="519"/>
      <c r="AP33" s="592"/>
      <c r="AQ33" s="519"/>
      <c r="AR33" s="592"/>
      <c r="AS33" s="519"/>
      <c r="AT33" s="592"/>
      <c r="AU33" s="519"/>
      <c r="AV33" s="595">
        <f t="shared" si="30"/>
        <v>0</v>
      </c>
      <c r="AW33" s="595">
        <f t="shared" si="31"/>
        <v>0</v>
      </c>
      <c r="AX33" s="596">
        <f t="shared" si="32"/>
        <v>0</v>
      </c>
      <c r="AY33" s="596">
        <f t="shared" si="33"/>
        <v>0</v>
      </c>
      <c r="AZ33" s="595">
        <f t="shared" si="34"/>
        <v>1156.9666666666667</v>
      </c>
      <c r="BA33" s="596">
        <f t="shared" si="35"/>
        <v>1067.2</v>
      </c>
    </row>
    <row r="34" spans="1:53" s="1" customFormat="1">
      <c r="A34" s="404" t="s">
        <v>72</v>
      </c>
      <c r="B34" s="403" t="s">
        <v>807</v>
      </c>
      <c r="C34" s="401"/>
      <c r="D34" s="404">
        <v>101028</v>
      </c>
      <c r="E34" s="404">
        <v>10</v>
      </c>
      <c r="F34" s="592"/>
      <c r="G34" s="519"/>
      <c r="H34" s="592"/>
      <c r="I34" s="519"/>
      <c r="J34" s="592">
        <v>15474</v>
      </c>
      <c r="K34" s="519">
        <v>14450</v>
      </c>
      <c r="L34" s="592">
        <v>7335</v>
      </c>
      <c r="M34" s="519">
        <v>6811</v>
      </c>
      <c r="N34" s="592">
        <v>16229</v>
      </c>
      <c r="O34" s="519">
        <v>13396</v>
      </c>
      <c r="P34" s="595">
        <f t="shared" si="18"/>
        <v>39038</v>
      </c>
      <c r="Q34" s="595">
        <f t="shared" si="19"/>
        <v>1301.2666666666667</v>
      </c>
      <c r="R34" s="596">
        <f t="shared" si="20"/>
        <v>34657</v>
      </c>
      <c r="S34" s="596">
        <f t="shared" si="21"/>
        <v>1155.2333333333333</v>
      </c>
      <c r="T34" s="592">
        <v>2094</v>
      </c>
      <c r="U34" s="519">
        <v>2055</v>
      </c>
      <c r="V34" s="595">
        <f t="shared" si="22"/>
        <v>39038</v>
      </c>
      <c r="W34" s="596">
        <f t="shared" si="23"/>
        <v>34657</v>
      </c>
      <c r="X34" s="592"/>
      <c r="Y34" s="519"/>
      <c r="Z34" s="592"/>
      <c r="AA34" s="519"/>
      <c r="AB34" s="592"/>
      <c r="AC34" s="519"/>
      <c r="AD34" s="592"/>
      <c r="AE34" s="519"/>
      <c r="AF34" s="595">
        <f t="shared" si="24"/>
        <v>0</v>
      </c>
      <c r="AG34" s="595">
        <f t="shared" si="25"/>
        <v>0</v>
      </c>
      <c r="AH34" s="596">
        <f t="shared" si="26"/>
        <v>0</v>
      </c>
      <c r="AI34" s="596">
        <f t="shared" si="27"/>
        <v>0</v>
      </c>
      <c r="AJ34" s="592"/>
      <c r="AK34" s="519"/>
      <c r="AL34" s="595">
        <f t="shared" si="28"/>
        <v>0</v>
      </c>
      <c r="AM34" s="596">
        <f t="shared" si="29"/>
        <v>0</v>
      </c>
      <c r="AN34" s="592"/>
      <c r="AO34" s="519"/>
      <c r="AP34" s="592"/>
      <c r="AQ34" s="519"/>
      <c r="AR34" s="592"/>
      <c r="AS34" s="519"/>
      <c r="AT34" s="592"/>
      <c r="AU34" s="519"/>
      <c r="AV34" s="595">
        <f t="shared" si="30"/>
        <v>0</v>
      </c>
      <c r="AW34" s="595">
        <f t="shared" si="31"/>
        <v>0</v>
      </c>
      <c r="AX34" s="596">
        <f t="shared" si="32"/>
        <v>0</v>
      </c>
      <c r="AY34" s="596">
        <f t="shared" si="33"/>
        <v>0</v>
      </c>
      <c r="AZ34" s="595">
        <f t="shared" si="34"/>
        <v>1301.2666666666667</v>
      </c>
      <c r="BA34" s="596">
        <f t="shared" si="35"/>
        <v>1155.2333333333333</v>
      </c>
    </row>
    <row r="35" spans="1:53" s="1" customFormat="1">
      <c r="A35" s="404" t="s">
        <v>72</v>
      </c>
      <c r="B35" s="403" t="s">
        <v>808</v>
      </c>
      <c r="C35" s="410"/>
      <c r="D35" s="404">
        <v>101143</v>
      </c>
      <c r="E35" s="404">
        <v>10</v>
      </c>
      <c r="F35" s="592"/>
      <c r="G35" s="519"/>
      <c r="H35" s="592"/>
      <c r="I35" s="519"/>
      <c r="J35" s="592">
        <v>16053</v>
      </c>
      <c r="K35" s="519">
        <v>17358</v>
      </c>
      <c r="L35" s="592">
        <v>6648</v>
      </c>
      <c r="M35" s="519">
        <v>5322</v>
      </c>
      <c r="N35" s="592">
        <v>18814</v>
      </c>
      <c r="O35" s="519">
        <v>18355</v>
      </c>
      <c r="P35" s="595">
        <f t="shared" si="18"/>
        <v>41515</v>
      </c>
      <c r="Q35" s="595">
        <f t="shared" si="19"/>
        <v>1383.8333333333333</v>
      </c>
      <c r="R35" s="596">
        <f t="shared" si="20"/>
        <v>41035</v>
      </c>
      <c r="S35" s="596">
        <f t="shared" si="21"/>
        <v>1367.8333333333333</v>
      </c>
      <c r="T35" s="592">
        <v>5421</v>
      </c>
      <c r="U35" s="519">
        <v>5762</v>
      </c>
      <c r="V35" s="595">
        <f t="shared" si="22"/>
        <v>41515</v>
      </c>
      <c r="W35" s="596">
        <f t="shared" si="23"/>
        <v>41035</v>
      </c>
      <c r="X35" s="592"/>
      <c r="Y35" s="519"/>
      <c r="Z35" s="592"/>
      <c r="AA35" s="519"/>
      <c r="AB35" s="592"/>
      <c r="AC35" s="519"/>
      <c r="AD35" s="592"/>
      <c r="AE35" s="519"/>
      <c r="AF35" s="595">
        <f t="shared" si="24"/>
        <v>0</v>
      </c>
      <c r="AG35" s="595">
        <f t="shared" si="25"/>
        <v>0</v>
      </c>
      <c r="AH35" s="596">
        <f t="shared" si="26"/>
        <v>0</v>
      </c>
      <c r="AI35" s="596">
        <f t="shared" si="27"/>
        <v>0</v>
      </c>
      <c r="AJ35" s="592"/>
      <c r="AK35" s="519"/>
      <c r="AL35" s="595">
        <f t="shared" si="28"/>
        <v>0</v>
      </c>
      <c r="AM35" s="596">
        <f t="shared" si="29"/>
        <v>0</v>
      </c>
      <c r="AN35" s="592"/>
      <c r="AO35" s="519"/>
      <c r="AP35" s="592"/>
      <c r="AQ35" s="519"/>
      <c r="AR35" s="592"/>
      <c r="AS35" s="519"/>
      <c r="AT35" s="592"/>
      <c r="AU35" s="519"/>
      <c r="AV35" s="595">
        <f t="shared" si="30"/>
        <v>0</v>
      </c>
      <c r="AW35" s="595">
        <f t="shared" si="31"/>
        <v>0</v>
      </c>
      <c r="AX35" s="596">
        <f t="shared" si="32"/>
        <v>0</v>
      </c>
      <c r="AY35" s="596">
        <f t="shared" si="33"/>
        <v>0</v>
      </c>
      <c r="AZ35" s="595">
        <f t="shared" si="34"/>
        <v>1383.8333333333333</v>
      </c>
      <c r="BA35" s="596">
        <f t="shared" si="35"/>
        <v>1367.8333333333333</v>
      </c>
    </row>
    <row r="36" spans="1:53" s="1" customFormat="1">
      <c r="A36" s="404" t="s">
        <v>72</v>
      </c>
      <c r="B36" s="403" t="s">
        <v>97</v>
      </c>
      <c r="C36" s="401"/>
      <c r="D36" s="404">
        <v>101301</v>
      </c>
      <c r="E36" s="404">
        <v>10</v>
      </c>
      <c r="F36" s="592"/>
      <c r="G36" s="519"/>
      <c r="H36" s="592"/>
      <c r="I36" s="519"/>
      <c r="J36" s="592">
        <v>13356</v>
      </c>
      <c r="K36" s="519">
        <v>11845</v>
      </c>
      <c r="L36" s="592">
        <v>9188</v>
      </c>
      <c r="M36" s="519">
        <v>8195</v>
      </c>
      <c r="N36" s="592">
        <v>14072</v>
      </c>
      <c r="O36" s="519">
        <v>11469</v>
      </c>
      <c r="P36" s="595">
        <f t="shared" si="18"/>
        <v>36616</v>
      </c>
      <c r="Q36" s="595">
        <f t="shared" si="19"/>
        <v>1220.5333333333333</v>
      </c>
      <c r="R36" s="596">
        <f t="shared" si="20"/>
        <v>31509</v>
      </c>
      <c r="S36" s="596">
        <f t="shared" si="21"/>
        <v>1050.3</v>
      </c>
      <c r="T36" s="592">
        <v>5360</v>
      </c>
      <c r="U36" s="519">
        <v>5483</v>
      </c>
      <c r="V36" s="595">
        <f t="shared" si="22"/>
        <v>36616</v>
      </c>
      <c r="W36" s="596">
        <f t="shared" si="23"/>
        <v>31509</v>
      </c>
      <c r="X36" s="592"/>
      <c r="Y36" s="519"/>
      <c r="Z36" s="592"/>
      <c r="AA36" s="519"/>
      <c r="AB36" s="592"/>
      <c r="AC36" s="519"/>
      <c r="AD36" s="592"/>
      <c r="AE36" s="519"/>
      <c r="AF36" s="595">
        <f t="shared" si="24"/>
        <v>0</v>
      </c>
      <c r="AG36" s="595">
        <f t="shared" si="25"/>
        <v>0</v>
      </c>
      <c r="AH36" s="596">
        <f t="shared" si="26"/>
        <v>0</v>
      </c>
      <c r="AI36" s="596">
        <f t="shared" si="27"/>
        <v>0</v>
      </c>
      <c r="AJ36" s="592"/>
      <c r="AK36" s="519"/>
      <c r="AL36" s="595">
        <f t="shared" si="28"/>
        <v>0</v>
      </c>
      <c r="AM36" s="596">
        <f t="shared" si="29"/>
        <v>0</v>
      </c>
      <c r="AN36" s="592"/>
      <c r="AO36" s="519"/>
      <c r="AP36" s="592"/>
      <c r="AQ36" s="519"/>
      <c r="AR36" s="592"/>
      <c r="AS36" s="519"/>
      <c r="AT36" s="592"/>
      <c r="AU36" s="519"/>
      <c r="AV36" s="595">
        <f t="shared" si="30"/>
        <v>0</v>
      </c>
      <c r="AW36" s="595">
        <f t="shared" si="31"/>
        <v>0</v>
      </c>
      <c r="AX36" s="596">
        <f t="shared" si="32"/>
        <v>0</v>
      </c>
      <c r="AY36" s="596">
        <f t="shared" si="33"/>
        <v>0</v>
      </c>
      <c r="AZ36" s="595">
        <f t="shared" si="34"/>
        <v>1220.5333333333333</v>
      </c>
      <c r="BA36" s="596">
        <f t="shared" si="35"/>
        <v>1050.3</v>
      </c>
    </row>
    <row r="37" spans="1:53" s="1" customFormat="1">
      <c r="A37" s="404" t="s">
        <v>72</v>
      </c>
      <c r="B37" s="403" t="s">
        <v>98</v>
      </c>
      <c r="C37" s="401"/>
      <c r="D37" s="404">
        <v>101602</v>
      </c>
      <c r="E37" s="404">
        <v>10</v>
      </c>
      <c r="F37" s="592"/>
      <c r="G37" s="519"/>
      <c r="H37" s="592"/>
      <c r="I37" s="519"/>
      <c r="J37" s="592">
        <v>14183</v>
      </c>
      <c r="K37" s="519">
        <v>14673</v>
      </c>
      <c r="L37" s="592">
        <v>7765</v>
      </c>
      <c r="M37" s="519">
        <v>7669</v>
      </c>
      <c r="N37" s="592">
        <v>16847</v>
      </c>
      <c r="O37" s="519">
        <v>15511</v>
      </c>
      <c r="P37" s="595">
        <f t="shared" si="18"/>
        <v>38795</v>
      </c>
      <c r="Q37" s="595">
        <f t="shared" si="19"/>
        <v>1293.1666666666667</v>
      </c>
      <c r="R37" s="596">
        <f t="shared" si="20"/>
        <v>37853</v>
      </c>
      <c r="S37" s="596">
        <f t="shared" si="21"/>
        <v>1261.7666666666667</v>
      </c>
      <c r="T37" s="592">
        <v>4880</v>
      </c>
      <c r="U37" s="519">
        <v>5460</v>
      </c>
      <c r="V37" s="595">
        <f t="shared" si="22"/>
        <v>38795</v>
      </c>
      <c r="W37" s="596">
        <f t="shared" si="23"/>
        <v>37853</v>
      </c>
      <c r="X37" s="592"/>
      <c r="Y37" s="519"/>
      <c r="Z37" s="592"/>
      <c r="AA37" s="519"/>
      <c r="AB37" s="592"/>
      <c r="AC37" s="519"/>
      <c r="AD37" s="592"/>
      <c r="AE37" s="519"/>
      <c r="AF37" s="595">
        <f t="shared" si="24"/>
        <v>0</v>
      </c>
      <c r="AG37" s="595">
        <f t="shared" si="25"/>
        <v>0</v>
      </c>
      <c r="AH37" s="596">
        <f t="shared" si="26"/>
        <v>0</v>
      </c>
      <c r="AI37" s="596">
        <f t="shared" si="27"/>
        <v>0</v>
      </c>
      <c r="AJ37" s="592"/>
      <c r="AK37" s="519"/>
      <c r="AL37" s="595">
        <f t="shared" si="28"/>
        <v>0</v>
      </c>
      <c r="AM37" s="596">
        <f t="shared" si="29"/>
        <v>0</v>
      </c>
      <c r="AN37" s="592"/>
      <c r="AO37" s="519"/>
      <c r="AP37" s="592"/>
      <c r="AQ37" s="519"/>
      <c r="AR37" s="592"/>
      <c r="AS37" s="519"/>
      <c r="AT37" s="592"/>
      <c r="AU37" s="519"/>
      <c r="AV37" s="595">
        <f t="shared" si="30"/>
        <v>0</v>
      </c>
      <c r="AW37" s="595">
        <f t="shared" si="31"/>
        <v>0</v>
      </c>
      <c r="AX37" s="596">
        <f t="shared" si="32"/>
        <v>0</v>
      </c>
      <c r="AY37" s="596">
        <f t="shared" si="33"/>
        <v>0</v>
      </c>
      <c r="AZ37" s="595">
        <f t="shared" si="34"/>
        <v>1293.1666666666667</v>
      </c>
      <c r="BA37" s="596">
        <f t="shared" si="35"/>
        <v>1261.7666666666667</v>
      </c>
    </row>
    <row r="38" spans="1:53" s="1" customFormat="1">
      <c r="A38" s="404" t="s">
        <v>72</v>
      </c>
      <c r="B38" s="403" t="s">
        <v>809</v>
      </c>
      <c r="C38" s="401" t="s">
        <v>833</v>
      </c>
      <c r="D38" s="404">
        <v>101897</v>
      </c>
      <c r="E38" s="404">
        <v>10</v>
      </c>
      <c r="F38" s="592"/>
      <c r="G38" s="519"/>
      <c r="H38" s="592"/>
      <c r="I38" s="519"/>
      <c r="J38" s="592">
        <v>23208</v>
      </c>
      <c r="K38" s="519">
        <v>23104</v>
      </c>
      <c r="L38" s="592">
        <v>11392</v>
      </c>
      <c r="M38" s="519">
        <v>10798</v>
      </c>
      <c r="N38" s="592">
        <v>26864</v>
      </c>
      <c r="O38" s="519">
        <v>22589</v>
      </c>
      <c r="P38" s="595">
        <f t="shared" si="18"/>
        <v>61464</v>
      </c>
      <c r="Q38" s="595">
        <f t="shared" si="19"/>
        <v>2048.8000000000002</v>
      </c>
      <c r="R38" s="596">
        <f t="shared" si="20"/>
        <v>56491</v>
      </c>
      <c r="S38" s="596">
        <f t="shared" si="21"/>
        <v>1883.0333333333333</v>
      </c>
      <c r="T38" s="592">
        <v>11057</v>
      </c>
      <c r="U38" s="519">
        <v>11087</v>
      </c>
      <c r="V38" s="595">
        <f t="shared" si="22"/>
        <v>61464</v>
      </c>
      <c r="W38" s="596">
        <f t="shared" si="23"/>
        <v>56491</v>
      </c>
      <c r="X38" s="592"/>
      <c r="Y38" s="519"/>
      <c r="Z38" s="592"/>
      <c r="AA38" s="519"/>
      <c r="AB38" s="592"/>
      <c r="AC38" s="519"/>
      <c r="AD38" s="592"/>
      <c r="AE38" s="519"/>
      <c r="AF38" s="595">
        <f t="shared" si="24"/>
        <v>0</v>
      </c>
      <c r="AG38" s="595">
        <f t="shared" si="25"/>
        <v>0</v>
      </c>
      <c r="AH38" s="596">
        <f t="shared" si="26"/>
        <v>0</v>
      </c>
      <c r="AI38" s="596">
        <f t="shared" si="27"/>
        <v>0</v>
      </c>
      <c r="AJ38" s="592"/>
      <c r="AK38" s="519"/>
      <c r="AL38" s="595">
        <f t="shared" si="28"/>
        <v>0</v>
      </c>
      <c r="AM38" s="596">
        <f t="shared" si="29"/>
        <v>0</v>
      </c>
      <c r="AN38" s="592"/>
      <c r="AO38" s="519"/>
      <c r="AP38" s="592"/>
      <c r="AQ38" s="519"/>
      <c r="AR38" s="592"/>
      <c r="AS38" s="519"/>
      <c r="AT38" s="592"/>
      <c r="AU38" s="519"/>
      <c r="AV38" s="595">
        <f t="shared" si="30"/>
        <v>0</v>
      </c>
      <c r="AW38" s="595">
        <f t="shared" si="31"/>
        <v>0</v>
      </c>
      <c r="AX38" s="596">
        <f t="shared" si="32"/>
        <v>0</v>
      </c>
      <c r="AY38" s="596">
        <f t="shared" si="33"/>
        <v>0</v>
      </c>
      <c r="AZ38" s="595">
        <f t="shared" si="34"/>
        <v>2048.8000000000002</v>
      </c>
      <c r="BA38" s="596">
        <f t="shared" si="35"/>
        <v>1883.0333333333333</v>
      </c>
    </row>
    <row r="39" spans="1:53" s="1" customFormat="1">
      <c r="A39" s="404" t="s">
        <v>72</v>
      </c>
      <c r="B39" s="403" t="s">
        <v>99</v>
      </c>
      <c r="C39" s="401" t="s">
        <v>833</v>
      </c>
      <c r="D39" s="404">
        <v>102076</v>
      </c>
      <c r="E39" s="404">
        <v>10</v>
      </c>
      <c r="F39" s="592"/>
      <c r="G39" s="519"/>
      <c r="H39" s="592"/>
      <c r="I39" s="519"/>
      <c r="J39" s="592">
        <v>22540</v>
      </c>
      <c r="K39" s="519">
        <v>22380</v>
      </c>
      <c r="L39" s="592">
        <v>13492</v>
      </c>
      <c r="M39" s="519">
        <v>13328</v>
      </c>
      <c r="N39" s="592">
        <v>24145</v>
      </c>
      <c r="O39" s="519">
        <v>20874</v>
      </c>
      <c r="P39" s="595">
        <f t="shared" si="18"/>
        <v>60177</v>
      </c>
      <c r="Q39" s="595">
        <f t="shared" si="19"/>
        <v>2005.9</v>
      </c>
      <c r="R39" s="596">
        <f t="shared" si="20"/>
        <v>56582</v>
      </c>
      <c r="S39" s="596">
        <f t="shared" si="21"/>
        <v>1886.0666666666666</v>
      </c>
      <c r="T39" s="592">
        <v>2600</v>
      </c>
      <c r="U39" s="519">
        <v>2922</v>
      </c>
      <c r="V39" s="595">
        <f t="shared" si="22"/>
        <v>60177</v>
      </c>
      <c r="W39" s="596">
        <f t="shared" si="23"/>
        <v>56582</v>
      </c>
      <c r="X39" s="592"/>
      <c r="Y39" s="519"/>
      <c r="Z39" s="592"/>
      <c r="AA39" s="519"/>
      <c r="AB39" s="592"/>
      <c r="AC39" s="519"/>
      <c r="AD39" s="592"/>
      <c r="AE39" s="519"/>
      <c r="AF39" s="595">
        <f t="shared" si="24"/>
        <v>0</v>
      </c>
      <c r="AG39" s="595">
        <f t="shared" si="25"/>
        <v>0</v>
      </c>
      <c r="AH39" s="596">
        <f t="shared" si="26"/>
        <v>0</v>
      </c>
      <c r="AI39" s="596">
        <f t="shared" si="27"/>
        <v>0</v>
      </c>
      <c r="AJ39" s="592"/>
      <c r="AK39" s="519"/>
      <c r="AL39" s="595">
        <f t="shared" si="28"/>
        <v>0</v>
      </c>
      <c r="AM39" s="596">
        <f t="shared" si="29"/>
        <v>0</v>
      </c>
      <c r="AN39" s="592"/>
      <c r="AO39" s="519"/>
      <c r="AP39" s="592"/>
      <c r="AQ39" s="519"/>
      <c r="AR39" s="592"/>
      <c r="AS39" s="519"/>
      <c r="AT39" s="592"/>
      <c r="AU39" s="519"/>
      <c r="AV39" s="595">
        <f t="shared" si="30"/>
        <v>0</v>
      </c>
      <c r="AW39" s="595">
        <f t="shared" si="31"/>
        <v>0</v>
      </c>
      <c r="AX39" s="596">
        <f t="shared" si="32"/>
        <v>0</v>
      </c>
      <c r="AY39" s="596">
        <f t="shared" si="33"/>
        <v>0</v>
      </c>
      <c r="AZ39" s="595">
        <f t="shared" si="34"/>
        <v>2005.9</v>
      </c>
      <c r="BA39" s="596">
        <f t="shared" si="35"/>
        <v>1886.0666666666666</v>
      </c>
    </row>
    <row r="40" spans="1:53" s="1" customFormat="1">
      <c r="A40" s="404" t="s">
        <v>72</v>
      </c>
      <c r="B40" s="403" t="s">
        <v>810</v>
      </c>
      <c r="C40" s="401"/>
      <c r="D40" s="404">
        <v>102313</v>
      </c>
      <c r="E40" s="404">
        <v>12</v>
      </c>
      <c r="F40" s="592"/>
      <c r="G40" s="519"/>
      <c r="H40" s="592"/>
      <c r="I40" s="519"/>
      <c r="J40" s="592">
        <v>16722</v>
      </c>
      <c r="K40" s="519">
        <v>18054</v>
      </c>
      <c r="L40" s="592">
        <v>8588</v>
      </c>
      <c r="M40" s="519">
        <v>8555</v>
      </c>
      <c r="N40" s="592">
        <v>19027</v>
      </c>
      <c r="O40" s="519">
        <v>14127</v>
      </c>
      <c r="P40" s="595">
        <f t="shared" si="18"/>
        <v>44337</v>
      </c>
      <c r="Q40" s="595">
        <f t="shared" si="19"/>
        <v>1477.9</v>
      </c>
      <c r="R40" s="596">
        <f t="shared" si="20"/>
        <v>40736</v>
      </c>
      <c r="S40" s="596">
        <f t="shared" si="21"/>
        <v>1357.8666666666666</v>
      </c>
      <c r="T40" s="592">
        <v>1993</v>
      </c>
      <c r="U40" s="519">
        <v>1729</v>
      </c>
      <c r="V40" s="595">
        <f t="shared" si="22"/>
        <v>44337</v>
      </c>
      <c r="W40" s="596">
        <f t="shared" si="23"/>
        <v>40736</v>
      </c>
      <c r="X40" s="592"/>
      <c r="Y40" s="519"/>
      <c r="Z40" s="592"/>
      <c r="AA40" s="519"/>
      <c r="AB40" s="592"/>
      <c r="AC40" s="519"/>
      <c r="AD40" s="592"/>
      <c r="AE40" s="519"/>
      <c r="AF40" s="595">
        <f t="shared" si="24"/>
        <v>0</v>
      </c>
      <c r="AG40" s="595">
        <f t="shared" si="25"/>
        <v>0</v>
      </c>
      <c r="AH40" s="596">
        <f t="shared" si="26"/>
        <v>0</v>
      </c>
      <c r="AI40" s="596">
        <f t="shared" si="27"/>
        <v>0</v>
      </c>
      <c r="AJ40" s="592"/>
      <c r="AK40" s="519"/>
      <c r="AL40" s="595">
        <f t="shared" si="28"/>
        <v>0</v>
      </c>
      <c r="AM40" s="596">
        <f t="shared" si="29"/>
        <v>0</v>
      </c>
      <c r="AN40" s="592"/>
      <c r="AO40" s="519"/>
      <c r="AP40" s="592"/>
      <c r="AQ40" s="519"/>
      <c r="AR40" s="592"/>
      <c r="AS40" s="519"/>
      <c r="AT40" s="592"/>
      <c r="AU40" s="519"/>
      <c r="AV40" s="595">
        <f t="shared" si="30"/>
        <v>0</v>
      </c>
      <c r="AW40" s="595">
        <f t="shared" si="31"/>
        <v>0</v>
      </c>
      <c r="AX40" s="596">
        <f t="shared" si="32"/>
        <v>0</v>
      </c>
      <c r="AY40" s="596">
        <f t="shared" si="33"/>
        <v>0</v>
      </c>
      <c r="AZ40" s="595">
        <f t="shared" si="34"/>
        <v>1477.9</v>
      </c>
      <c r="BA40" s="596">
        <f t="shared" si="35"/>
        <v>1357.8666666666666</v>
      </c>
    </row>
    <row r="41" spans="1:53" s="1" customFormat="1">
      <c r="A41" s="404" t="s">
        <v>72</v>
      </c>
      <c r="B41" s="403" t="s">
        <v>811</v>
      </c>
      <c r="C41" s="401"/>
      <c r="D41" s="404">
        <v>101462</v>
      </c>
      <c r="E41" s="404">
        <v>13</v>
      </c>
      <c r="F41" s="592"/>
      <c r="G41" s="519"/>
      <c r="H41" s="592"/>
      <c r="I41" s="519"/>
      <c r="J41" s="592">
        <v>6332</v>
      </c>
      <c r="K41" s="519">
        <v>6859</v>
      </c>
      <c r="L41" s="592">
        <v>2997</v>
      </c>
      <c r="M41" s="519">
        <v>3123</v>
      </c>
      <c r="N41" s="592">
        <v>6673</v>
      </c>
      <c r="O41" s="519">
        <v>6501</v>
      </c>
      <c r="P41" s="595">
        <f t="shared" si="18"/>
        <v>16002</v>
      </c>
      <c r="Q41" s="595">
        <f t="shared" si="19"/>
        <v>533.4</v>
      </c>
      <c r="R41" s="596">
        <f t="shared" si="20"/>
        <v>16483</v>
      </c>
      <c r="S41" s="596">
        <f t="shared" si="21"/>
        <v>549.43333333333328</v>
      </c>
      <c r="T41" s="592">
        <v>1060</v>
      </c>
      <c r="U41" s="519">
        <v>1602</v>
      </c>
      <c r="V41" s="595">
        <f t="shared" si="22"/>
        <v>16002</v>
      </c>
      <c r="W41" s="596">
        <f t="shared" si="23"/>
        <v>16483</v>
      </c>
      <c r="X41" s="592"/>
      <c r="Y41" s="519"/>
      <c r="Z41" s="592"/>
      <c r="AA41" s="519"/>
      <c r="AB41" s="592"/>
      <c r="AC41" s="519"/>
      <c r="AD41" s="592"/>
      <c r="AE41" s="519"/>
      <c r="AF41" s="595">
        <f t="shared" si="24"/>
        <v>0</v>
      </c>
      <c r="AG41" s="595">
        <f t="shared" si="25"/>
        <v>0</v>
      </c>
      <c r="AH41" s="596">
        <f t="shared" si="26"/>
        <v>0</v>
      </c>
      <c r="AI41" s="596">
        <f t="shared" si="27"/>
        <v>0</v>
      </c>
      <c r="AJ41" s="592"/>
      <c r="AK41" s="519"/>
      <c r="AL41" s="595">
        <f t="shared" si="28"/>
        <v>0</v>
      </c>
      <c r="AM41" s="596">
        <f t="shared" si="29"/>
        <v>0</v>
      </c>
      <c r="AN41" s="592"/>
      <c r="AO41" s="519"/>
      <c r="AP41" s="592"/>
      <c r="AQ41" s="519"/>
      <c r="AR41" s="592"/>
      <c r="AS41" s="519"/>
      <c r="AT41" s="592"/>
      <c r="AU41" s="519"/>
      <c r="AV41" s="595">
        <f t="shared" si="30"/>
        <v>0</v>
      </c>
      <c r="AW41" s="595">
        <f t="shared" si="31"/>
        <v>0</v>
      </c>
      <c r="AX41" s="596">
        <f t="shared" si="32"/>
        <v>0</v>
      </c>
      <c r="AY41" s="596">
        <f t="shared" si="33"/>
        <v>0</v>
      </c>
      <c r="AZ41" s="595">
        <f t="shared" si="34"/>
        <v>533.4</v>
      </c>
      <c r="BA41" s="596">
        <f t="shared" si="35"/>
        <v>549.43333333333328</v>
      </c>
    </row>
    <row r="42" spans="1:53" s="1" customFormat="1">
      <c r="A42" s="404" t="s">
        <v>72</v>
      </c>
      <c r="B42" s="403" t="s">
        <v>100</v>
      </c>
      <c r="C42" s="401"/>
      <c r="D42" s="404">
        <v>101471</v>
      </c>
      <c r="E42" s="404">
        <v>13</v>
      </c>
      <c r="F42" s="592"/>
      <c r="G42" s="519"/>
      <c r="H42" s="592"/>
      <c r="I42" s="519"/>
      <c r="J42" s="592">
        <v>6409</v>
      </c>
      <c r="K42" s="519">
        <v>6571</v>
      </c>
      <c r="L42" s="592">
        <v>5608</v>
      </c>
      <c r="M42" s="519">
        <v>0</v>
      </c>
      <c r="N42" s="592">
        <v>6336</v>
      </c>
      <c r="O42" s="519">
        <v>4727</v>
      </c>
      <c r="P42" s="595">
        <f t="shared" si="18"/>
        <v>18353</v>
      </c>
      <c r="Q42" s="595">
        <f t="shared" si="19"/>
        <v>611.76666666666665</v>
      </c>
      <c r="R42" s="596">
        <f t="shared" si="20"/>
        <v>11298</v>
      </c>
      <c r="S42" s="596">
        <f t="shared" si="21"/>
        <v>376.6</v>
      </c>
      <c r="T42" s="592">
        <v>0</v>
      </c>
      <c r="U42" s="519">
        <v>0</v>
      </c>
      <c r="V42" s="595">
        <f t="shared" si="22"/>
        <v>18353</v>
      </c>
      <c r="W42" s="596">
        <f t="shared" si="23"/>
        <v>11298</v>
      </c>
      <c r="X42" s="592"/>
      <c r="Y42" s="519"/>
      <c r="Z42" s="592"/>
      <c r="AA42" s="519"/>
      <c r="AB42" s="592"/>
      <c r="AC42" s="519"/>
      <c r="AD42" s="592"/>
      <c r="AE42" s="519"/>
      <c r="AF42" s="595">
        <f t="shared" si="24"/>
        <v>0</v>
      </c>
      <c r="AG42" s="595">
        <f t="shared" si="25"/>
        <v>0</v>
      </c>
      <c r="AH42" s="596">
        <f t="shared" si="26"/>
        <v>0</v>
      </c>
      <c r="AI42" s="596">
        <f t="shared" si="27"/>
        <v>0</v>
      </c>
      <c r="AJ42" s="592"/>
      <c r="AK42" s="519"/>
      <c r="AL42" s="595">
        <f t="shared" si="28"/>
        <v>0</v>
      </c>
      <c r="AM42" s="596">
        <f t="shared" si="29"/>
        <v>0</v>
      </c>
      <c r="AN42" s="592"/>
      <c r="AO42" s="519"/>
      <c r="AP42" s="592"/>
      <c r="AQ42" s="519"/>
      <c r="AR42" s="592"/>
      <c r="AS42" s="519"/>
      <c r="AT42" s="592"/>
      <c r="AU42" s="519"/>
      <c r="AV42" s="595">
        <f t="shared" si="30"/>
        <v>0</v>
      </c>
      <c r="AW42" s="595">
        <f t="shared" si="31"/>
        <v>0</v>
      </c>
      <c r="AX42" s="596">
        <f t="shared" si="32"/>
        <v>0</v>
      </c>
      <c r="AY42" s="596">
        <f t="shared" si="33"/>
        <v>0</v>
      </c>
      <c r="AZ42" s="595">
        <f t="shared" si="34"/>
        <v>611.76666666666665</v>
      </c>
      <c r="BA42" s="596">
        <f t="shared" si="35"/>
        <v>376.6</v>
      </c>
    </row>
    <row r="43" spans="1:53" s="1" customFormat="1">
      <c r="A43" s="404" t="s">
        <v>72</v>
      </c>
      <c r="B43" s="403" t="s">
        <v>101</v>
      </c>
      <c r="C43" s="401"/>
      <c r="D43" s="404">
        <v>101994</v>
      </c>
      <c r="E43" s="404">
        <v>13</v>
      </c>
      <c r="F43" s="592"/>
      <c r="G43" s="519"/>
      <c r="H43" s="592"/>
      <c r="I43" s="519"/>
      <c r="J43" s="592">
        <v>3900</v>
      </c>
      <c r="K43" s="519">
        <v>3895</v>
      </c>
      <c r="L43" s="592">
        <v>2531</v>
      </c>
      <c r="M43" s="519">
        <v>2751</v>
      </c>
      <c r="N43" s="592">
        <v>4329</v>
      </c>
      <c r="O43" s="519">
        <v>2751</v>
      </c>
      <c r="P43" s="595">
        <f t="shared" si="18"/>
        <v>10760</v>
      </c>
      <c r="Q43" s="595">
        <f t="shared" si="19"/>
        <v>358.66666666666669</v>
      </c>
      <c r="R43" s="596">
        <f t="shared" si="20"/>
        <v>9397</v>
      </c>
      <c r="S43" s="596">
        <f t="shared" si="21"/>
        <v>313.23333333333335</v>
      </c>
      <c r="T43" s="592">
        <v>1227</v>
      </c>
      <c r="U43" s="519">
        <v>741</v>
      </c>
      <c r="V43" s="595">
        <f t="shared" si="22"/>
        <v>10760</v>
      </c>
      <c r="W43" s="596">
        <f t="shared" si="23"/>
        <v>9397</v>
      </c>
      <c r="X43" s="592"/>
      <c r="Y43" s="519"/>
      <c r="Z43" s="592"/>
      <c r="AA43" s="519"/>
      <c r="AB43" s="592"/>
      <c r="AC43" s="519"/>
      <c r="AD43" s="592"/>
      <c r="AE43" s="519"/>
      <c r="AF43" s="595">
        <f t="shared" si="24"/>
        <v>0</v>
      </c>
      <c r="AG43" s="595">
        <f t="shared" si="25"/>
        <v>0</v>
      </c>
      <c r="AH43" s="596">
        <f t="shared" si="26"/>
        <v>0</v>
      </c>
      <c r="AI43" s="596">
        <f t="shared" si="27"/>
        <v>0</v>
      </c>
      <c r="AJ43" s="592"/>
      <c r="AK43" s="519"/>
      <c r="AL43" s="595">
        <f t="shared" si="28"/>
        <v>0</v>
      </c>
      <c r="AM43" s="596">
        <f t="shared" si="29"/>
        <v>0</v>
      </c>
      <c r="AN43" s="592"/>
      <c r="AO43" s="519"/>
      <c r="AP43" s="592"/>
      <c r="AQ43" s="519"/>
      <c r="AR43" s="592"/>
      <c r="AS43" s="519"/>
      <c r="AT43" s="592"/>
      <c r="AU43" s="519"/>
      <c r="AV43" s="595">
        <f t="shared" si="30"/>
        <v>0</v>
      </c>
      <c r="AW43" s="595">
        <f t="shared" si="31"/>
        <v>0</v>
      </c>
      <c r="AX43" s="596">
        <f t="shared" si="32"/>
        <v>0</v>
      </c>
      <c r="AY43" s="596">
        <f t="shared" si="33"/>
        <v>0</v>
      </c>
      <c r="AZ43" s="595">
        <f t="shared" si="34"/>
        <v>358.66666666666669</v>
      </c>
      <c r="BA43" s="596">
        <f t="shared" si="35"/>
        <v>313.23333333333335</v>
      </c>
    </row>
    <row r="44" spans="1:53" s="1" customFormat="1">
      <c r="A44" s="404" t="s">
        <v>72</v>
      </c>
      <c r="B44" s="403" t="s">
        <v>855</v>
      </c>
      <c r="C44" s="401"/>
      <c r="D44" s="404">
        <v>101648</v>
      </c>
      <c r="E44" s="404">
        <v>15</v>
      </c>
      <c r="F44" s="592"/>
      <c r="G44" s="519"/>
      <c r="H44" s="592"/>
      <c r="I44" s="519"/>
      <c r="J44" s="592">
        <v>6061</v>
      </c>
      <c r="K44" s="519">
        <v>6231</v>
      </c>
      <c r="L44" s="592">
        <v>0</v>
      </c>
      <c r="M44" s="519">
        <v>0</v>
      </c>
      <c r="N44" s="592">
        <v>6793</v>
      </c>
      <c r="O44" s="519">
        <v>6477</v>
      </c>
      <c r="P44" s="595">
        <f t="shared" si="18"/>
        <v>12854</v>
      </c>
      <c r="Q44" s="595">
        <f t="shared" si="19"/>
        <v>428.46666666666664</v>
      </c>
      <c r="R44" s="596">
        <f t="shared" si="20"/>
        <v>12708</v>
      </c>
      <c r="S44" s="596">
        <f t="shared" si="21"/>
        <v>423.6</v>
      </c>
      <c r="T44" s="592"/>
      <c r="U44" s="519">
        <v>36</v>
      </c>
      <c r="V44" s="595">
        <f t="shared" si="22"/>
        <v>0</v>
      </c>
      <c r="W44" s="596">
        <f t="shared" si="23"/>
        <v>12708</v>
      </c>
      <c r="X44" s="592"/>
      <c r="Y44" s="519"/>
      <c r="Z44" s="592"/>
      <c r="AA44" s="519"/>
      <c r="AB44" s="592"/>
      <c r="AC44" s="519"/>
      <c r="AD44" s="592"/>
      <c r="AE44" s="519"/>
      <c r="AF44" s="595">
        <f t="shared" si="24"/>
        <v>0</v>
      </c>
      <c r="AG44" s="595">
        <f t="shared" si="25"/>
        <v>0</v>
      </c>
      <c r="AH44" s="596">
        <f t="shared" si="26"/>
        <v>0</v>
      </c>
      <c r="AI44" s="596">
        <f t="shared" si="27"/>
        <v>0</v>
      </c>
      <c r="AJ44" s="592"/>
      <c r="AK44" s="519"/>
      <c r="AL44" s="595">
        <f t="shared" si="28"/>
        <v>0</v>
      </c>
      <c r="AM44" s="596">
        <f t="shared" si="29"/>
        <v>0</v>
      </c>
      <c r="AN44" s="592"/>
      <c r="AO44" s="519"/>
      <c r="AP44" s="592"/>
      <c r="AQ44" s="519"/>
      <c r="AR44" s="592"/>
      <c r="AS44" s="519"/>
      <c r="AT44" s="592"/>
      <c r="AU44" s="519"/>
      <c r="AV44" s="595">
        <f t="shared" si="30"/>
        <v>0</v>
      </c>
      <c r="AW44" s="595">
        <f t="shared" si="31"/>
        <v>0</v>
      </c>
      <c r="AX44" s="596">
        <f t="shared" si="32"/>
        <v>0</v>
      </c>
      <c r="AY44" s="596">
        <f t="shared" si="33"/>
        <v>0</v>
      </c>
      <c r="AZ44" s="595">
        <f t="shared" si="34"/>
        <v>428.46666666666664</v>
      </c>
      <c r="BA44" s="596">
        <f t="shared" si="35"/>
        <v>423.6</v>
      </c>
    </row>
    <row r="45" spans="1:53" s="365" customFormat="1" ht="13.5" customHeight="1">
      <c r="A45" s="411" t="s">
        <v>102</v>
      </c>
      <c r="B45" s="412" t="s">
        <v>105</v>
      </c>
      <c r="C45" s="413"/>
      <c r="D45" s="414">
        <v>106458</v>
      </c>
      <c r="E45" s="414">
        <v>3</v>
      </c>
      <c r="F45" s="592" t="s">
        <v>74</v>
      </c>
      <c r="G45" s="519" t="s">
        <v>74</v>
      </c>
      <c r="H45" s="592"/>
      <c r="I45" s="519"/>
      <c r="J45" s="592">
        <v>112143</v>
      </c>
      <c r="K45" s="519">
        <v>108209</v>
      </c>
      <c r="L45" s="592">
        <v>19137</v>
      </c>
      <c r="M45" s="519">
        <v>18938</v>
      </c>
      <c r="N45" s="592">
        <v>117994</v>
      </c>
      <c r="O45" s="519">
        <v>111422</v>
      </c>
      <c r="P45" s="595">
        <f t="shared" si="18"/>
        <v>249274</v>
      </c>
      <c r="Q45" s="595">
        <f t="shared" si="19"/>
        <v>8309.1333333333332</v>
      </c>
      <c r="R45" s="596">
        <f t="shared" si="20"/>
        <v>238569</v>
      </c>
      <c r="S45" s="596">
        <f t="shared" si="21"/>
        <v>7952.3</v>
      </c>
      <c r="T45" s="592">
        <v>7449</v>
      </c>
      <c r="U45" s="519">
        <v>7532</v>
      </c>
      <c r="V45" s="595">
        <f t="shared" si="22"/>
        <v>249274</v>
      </c>
      <c r="W45" s="596">
        <f t="shared" si="23"/>
        <v>238569</v>
      </c>
      <c r="X45" s="592"/>
      <c r="Y45" s="519"/>
      <c r="Z45" s="592"/>
      <c r="AA45" s="519"/>
      <c r="AB45" s="592"/>
      <c r="AC45" s="519"/>
      <c r="AD45" s="592"/>
      <c r="AE45" s="519"/>
      <c r="AF45" s="595">
        <f t="shared" si="24"/>
        <v>0</v>
      </c>
      <c r="AG45" s="595">
        <f t="shared" si="25"/>
        <v>0</v>
      </c>
      <c r="AH45" s="596">
        <f t="shared" si="26"/>
        <v>0</v>
      </c>
      <c r="AI45" s="596">
        <f t="shared" si="27"/>
        <v>0</v>
      </c>
      <c r="AJ45" s="592"/>
      <c r="AK45" s="519"/>
      <c r="AL45" s="595">
        <f t="shared" si="28"/>
        <v>0</v>
      </c>
      <c r="AM45" s="596">
        <f t="shared" si="29"/>
        <v>0</v>
      </c>
      <c r="AN45" s="592"/>
      <c r="AO45" s="519"/>
      <c r="AP45" s="592">
        <v>36882</v>
      </c>
      <c r="AQ45" s="519">
        <v>37357</v>
      </c>
      <c r="AR45" s="592">
        <v>29940</v>
      </c>
      <c r="AS45" s="519">
        <v>34123</v>
      </c>
      <c r="AT45" s="592">
        <v>36131</v>
      </c>
      <c r="AU45" s="519">
        <v>37255</v>
      </c>
      <c r="AV45" s="595">
        <f t="shared" si="30"/>
        <v>102953</v>
      </c>
      <c r="AW45" s="595">
        <f t="shared" si="31"/>
        <v>4289.708333333333</v>
      </c>
      <c r="AX45" s="596">
        <f t="shared" si="32"/>
        <v>108735</v>
      </c>
      <c r="AY45" s="596">
        <f t="shared" si="33"/>
        <v>4530.625</v>
      </c>
      <c r="AZ45" s="595">
        <f t="shared" si="34"/>
        <v>12598.841666666667</v>
      </c>
      <c r="BA45" s="596">
        <f t="shared" si="35"/>
        <v>12482.924999999999</v>
      </c>
    </row>
    <row r="46" spans="1:53" s="1" customFormat="1">
      <c r="A46" s="411" t="s">
        <v>102</v>
      </c>
      <c r="B46" s="412" t="s">
        <v>106</v>
      </c>
      <c r="C46" s="415"/>
      <c r="D46" s="414">
        <v>106467</v>
      </c>
      <c r="E46" s="414">
        <v>3</v>
      </c>
      <c r="F46" s="592" t="s">
        <v>74</v>
      </c>
      <c r="G46" s="519" t="s">
        <v>74</v>
      </c>
      <c r="H46" s="592"/>
      <c r="I46" s="519"/>
      <c r="J46" s="592">
        <v>106847</v>
      </c>
      <c r="K46" s="519">
        <v>107736</v>
      </c>
      <c r="L46" s="592">
        <v>13392</v>
      </c>
      <c r="M46" s="519">
        <v>12040</v>
      </c>
      <c r="N46" s="592">
        <v>120865</v>
      </c>
      <c r="O46" s="519">
        <v>113783</v>
      </c>
      <c r="P46" s="595">
        <f t="shared" si="18"/>
        <v>241104</v>
      </c>
      <c r="Q46" s="595">
        <f t="shared" si="19"/>
        <v>8036.8</v>
      </c>
      <c r="R46" s="596">
        <f t="shared" si="20"/>
        <v>233559</v>
      </c>
      <c r="S46" s="596">
        <f t="shared" si="21"/>
        <v>7785.3</v>
      </c>
      <c r="T46" s="592">
        <v>24854</v>
      </c>
      <c r="U46" s="519">
        <v>24047</v>
      </c>
      <c r="V46" s="595">
        <f t="shared" si="22"/>
        <v>241104</v>
      </c>
      <c r="W46" s="596">
        <f t="shared" si="23"/>
        <v>233559</v>
      </c>
      <c r="X46" s="592"/>
      <c r="Y46" s="519"/>
      <c r="Z46" s="592"/>
      <c r="AA46" s="519"/>
      <c r="AB46" s="592"/>
      <c r="AC46" s="519"/>
      <c r="AD46" s="592"/>
      <c r="AE46" s="519"/>
      <c r="AF46" s="595">
        <f t="shared" si="24"/>
        <v>0</v>
      </c>
      <c r="AG46" s="595">
        <f t="shared" si="25"/>
        <v>0</v>
      </c>
      <c r="AH46" s="596">
        <f t="shared" si="26"/>
        <v>0</v>
      </c>
      <c r="AI46" s="596">
        <f t="shared" si="27"/>
        <v>0</v>
      </c>
      <c r="AJ46" s="592"/>
      <c r="AK46" s="519"/>
      <c r="AL46" s="595">
        <f t="shared" si="28"/>
        <v>0</v>
      </c>
      <c r="AM46" s="596">
        <f t="shared" si="29"/>
        <v>0</v>
      </c>
      <c r="AN46" s="592"/>
      <c r="AO46" s="519"/>
      <c r="AP46" s="592">
        <v>5319</v>
      </c>
      <c r="AQ46" s="519">
        <v>4451</v>
      </c>
      <c r="AR46" s="592">
        <v>3032</v>
      </c>
      <c r="AS46" s="519">
        <v>2552</v>
      </c>
      <c r="AT46" s="592">
        <v>4799</v>
      </c>
      <c r="AU46" s="519">
        <v>4252</v>
      </c>
      <c r="AV46" s="595">
        <f t="shared" si="30"/>
        <v>13150</v>
      </c>
      <c r="AW46" s="595">
        <f t="shared" si="31"/>
        <v>547.91666666666663</v>
      </c>
      <c r="AX46" s="596">
        <f t="shared" si="32"/>
        <v>11255</v>
      </c>
      <c r="AY46" s="596">
        <f t="shared" si="33"/>
        <v>468.95833333333331</v>
      </c>
      <c r="AZ46" s="595">
        <f t="shared" si="34"/>
        <v>8584.7166666666672</v>
      </c>
      <c r="BA46" s="596">
        <f t="shared" si="35"/>
        <v>8254.2583333333332</v>
      </c>
    </row>
    <row r="47" spans="1:53" s="1" customFormat="1">
      <c r="A47" s="411" t="s">
        <v>102</v>
      </c>
      <c r="B47" s="412" t="s">
        <v>108</v>
      </c>
      <c r="C47" s="413"/>
      <c r="D47" s="414">
        <v>107071</v>
      </c>
      <c r="E47" s="414">
        <v>4</v>
      </c>
      <c r="F47" s="592" t="s">
        <v>74</v>
      </c>
      <c r="G47" s="519" t="s">
        <v>74</v>
      </c>
      <c r="H47" s="592"/>
      <c r="I47" s="519"/>
      <c r="J47" s="592">
        <v>40753</v>
      </c>
      <c r="K47" s="519">
        <v>40041</v>
      </c>
      <c r="L47" s="592">
        <v>5372</v>
      </c>
      <c r="M47" s="519">
        <v>5049</v>
      </c>
      <c r="N47" s="592">
        <v>46097</v>
      </c>
      <c r="O47" s="519">
        <v>37756</v>
      </c>
      <c r="P47" s="595">
        <f t="shared" si="18"/>
        <v>92222</v>
      </c>
      <c r="Q47" s="595">
        <f t="shared" si="19"/>
        <v>3074.0666666666666</v>
      </c>
      <c r="R47" s="596">
        <f t="shared" si="20"/>
        <v>82846</v>
      </c>
      <c r="S47" s="596">
        <f t="shared" si="21"/>
        <v>2761.5333333333333</v>
      </c>
      <c r="T47" s="592">
        <v>4692</v>
      </c>
      <c r="U47" s="519">
        <v>2441</v>
      </c>
      <c r="V47" s="595">
        <f t="shared" si="22"/>
        <v>92222</v>
      </c>
      <c r="W47" s="596">
        <f t="shared" si="23"/>
        <v>82846</v>
      </c>
      <c r="X47" s="592"/>
      <c r="Y47" s="519"/>
      <c r="Z47" s="592"/>
      <c r="AA47" s="519"/>
      <c r="AB47" s="592"/>
      <c r="AC47" s="519"/>
      <c r="AD47" s="592"/>
      <c r="AE47" s="519"/>
      <c r="AF47" s="595">
        <f t="shared" si="24"/>
        <v>0</v>
      </c>
      <c r="AG47" s="595">
        <f t="shared" si="25"/>
        <v>0</v>
      </c>
      <c r="AH47" s="596">
        <f t="shared" si="26"/>
        <v>0</v>
      </c>
      <c r="AI47" s="596">
        <f t="shared" si="27"/>
        <v>0</v>
      </c>
      <c r="AJ47" s="592"/>
      <c r="AK47" s="519"/>
      <c r="AL47" s="595">
        <f t="shared" si="28"/>
        <v>0</v>
      </c>
      <c r="AM47" s="596">
        <f t="shared" si="29"/>
        <v>0</v>
      </c>
      <c r="AN47" s="592"/>
      <c r="AO47" s="519"/>
      <c r="AP47" s="592">
        <v>3418</v>
      </c>
      <c r="AQ47" s="519">
        <v>3610</v>
      </c>
      <c r="AR47" s="592">
        <v>2265</v>
      </c>
      <c r="AS47" s="519">
        <v>2190</v>
      </c>
      <c r="AT47" s="592">
        <v>3785</v>
      </c>
      <c r="AU47" s="519">
        <v>3564</v>
      </c>
      <c r="AV47" s="595">
        <f t="shared" si="30"/>
        <v>9468</v>
      </c>
      <c r="AW47" s="595">
        <f t="shared" si="31"/>
        <v>394.5</v>
      </c>
      <c r="AX47" s="596">
        <f t="shared" si="32"/>
        <v>9364</v>
      </c>
      <c r="AY47" s="596">
        <f t="shared" si="33"/>
        <v>390.16666666666669</v>
      </c>
      <c r="AZ47" s="595">
        <f t="shared" si="34"/>
        <v>3468.5666666666666</v>
      </c>
      <c r="BA47" s="596">
        <f t="shared" si="35"/>
        <v>3151.7</v>
      </c>
    </row>
    <row r="48" spans="1:53" s="1" customFormat="1">
      <c r="A48" s="411" t="s">
        <v>102</v>
      </c>
      <c r="B48" s="412" t="s">
        <v>109</v>
      </c>
      <c r="C48" s="415"/>
      <c r="D48" s="414">
        <v>107983</v>
      </c>
      <c r="E48" s="414">
        <v>4</v>
      </c>
      <c r="F48" s="592" t="s">
        <v>74</v>
      </c>
      <c r="G48" s="519" t="s">
        <v>74</v>
      </c>
      <c r="H48" s="592"/>
      <c r="I48" s="519"/>
      <c r="J48" s="592">
        <v>43743</v>
      </c>
      <c r="K48" s="519">
        <v>44179</v>
      </c>
      <c r="L48" s="592">
        <v>5102</v>
      </c>
      <c r="M48" s="519">
        <v>4756</v>
      </c>
      <c r="N48" s="592">
        <v>49644</v>
      </c>
      <c r="O48" s="519">
        <v>49184</v>
      </c>
      <c r="P48" s="595">
        <f t="shared" si="18"/>
        <v>98489</v>
      </c>
      <c r="Q48" s="595">
        <f t="shared" si="19"/>
        <v>3282.9666666666667</v>
      </c>
      <c r="R48" s="596">
        <f t="shared" si="20"/>
        <v>98119</v>
      </c>
      <c r="S48" s="596">
        <f t="shared" si="21"/>
        <v>3270.6333333333332</v>
      </c>
      <c r="T48" s="592">
        <v>2871</v>
      </c>
      <c r="U48" s="519">
        <v>2775</v>
      </c>
      <c r="V48" s="595">
        <f t="shared" si="22"/>
        <v>98489</v>
      </c>
      <c r="W48" s="596">
        <f t="shared" si="23"/>
        <v>98119</v>
      </c>
      <c r="X48" s="592"/>
      <c r="Y48" s="519"/>
      <c r="Z48" s="592"/>
      <c r="AA48" s="519"/>
      <c r="AB48" s="592"/>
      <c r="AC48" s="519"/>
      <c r="AD48" s="592"/>
      <c r="AE48" s="519"/>
      <c r="AF48" s="595">
        <f t="shared" si="24"/>
        <v>0</v>
      </c>
      <c r="AG48" s="595">
        <f t="shared" si="25"/>
        <v>0</v>
      </c>
      <c r="AH48" s="596">
        <f t="shared" si="26"/>
        <v>0</v>
      </c>
      <c r="AI48" s="596">
        <f t="shared" si="27"/>
        <v>0</v>
      </c>
      <c r="AJ48" s="592"/>
      <c r="AK48" s="519"/>
      <c r="AL48" s="595">
        <f t="shared" si="28"/>
        <v>0</v>
      </c>
      <c r="AM48" s="596">
        <f t="shared" si="29"/>
        <v>0</v>
      </c>
      <c r="AN48" s="592"/>
      <c r="AO48" s="519"/>
      <c r="AP48" s="592">
        <v>5266</v>
      </c>
      <c r="AQ48" s="519">
        <v>5157</v>
      </c>
      <c r="AR48" s="592">
        <v>4377</v>
      </c>
      <c r="AS48" s="519">
        <v>5163</v>
      </c>
      <c r="AT48" s="592">
        <v>4872</v>
      </c>
      <c r="AU48" s="519">
        <v>5529</v>
      </c>
      <c r="AV48" s="595">
        <f t="shared" si="30"/>
        <v>14515</v>
      </c>
      <c r="AW48" s="595">
        <f t="shared" si="31"/>
        <v>604.79166666666663</v>
      </c>
      <c r="AX48" s="596">
        <f t="shared" si="32"/>
        <v>15849</v>
      </c>
      <c r="AY48" s="596">
        <f t="shared" si="33"/>
        <v>660.375</v>
      </c>
      <c r="AZ48" s="595">
        <f t="shared" si="34"/>
        <v>3887.7583333333332</v>
      </c>
      <c r="BA48" s="596">
        <f t="shared" si="35"/>
        <v>3931.0083333333332</v>
      </c>
    </row>
    <row r="49" spans="1:53" s="1" customFormat="1">
      <c r="A49" s="411" t="s">
        <v>102</v>
      </c>
      <c r="B49" s="412" t="s">
        <v>103</v>
      </c>
      <c r="C49" s="413"/>
      <c r="D49" s="414">
        <v>106397</v>
      </c>
      <c r="E49" s="414">
        <v>1</v>
      </c>
      <c r="F49" s="592" t="s">
        <v>74</v>
      </c>
      <c r="G49" s="519" t="s">
        <v>74</v>
      </c>
      <c r="H49" s="592"/>
      <c r="I49" s="519"/>
      <c r="J49" s="592">
        <v>300858</v>
      </c>
      <c r="K49" s="519">
        <v>295335</v>
      </c>
      <c r="L49" s="592">
        <v>42576</v>
      </c>
      <c r="M49" s="519">
        <v>42213</v>
      </c>
      <c r="N49" s="592">
        <v>320340</v>
      </c>
      <c r="O49" s="519">
        <v>316631</v>
      </c>
      <c r="P49" s="595">
        <f t="shared" si="18"/>
        <v>663774</v>
      </c>
      <c r="Q49" s="595">
        <f t="shared" si="19"/>
        <v>22125.8</v>
      </c>
      <c r="R49" s="596">
        <f t="shared" si="20"/>
        <v>654179</v>
      </c>
      <c r="S49" s="596">
        <f t="shared" si="21"/>
        <v>21805.966666666667</v>
      </c>
      <c r="T49" s="592">
        <v>1941</v>
      </c>
      <c r="U49" s="519">
        <v>719</v>
      </c>
      <c r="V49" s="595">
        <f t="shared" si="22"/>
        <v>663774</v>
      </c>
      <c r="W49" s="596">
        <f t="shared" si="23"/>
        <v>654179</v>
      </c>
      <c r="X49" s="592"/>
      <c r="Y49" s="519"/>
      <c r="Z49" s="592"/>
      <c r="AA49" s="519"/>
      <c r="AB49" s="592"/>
      <c r="AC49" s="519"/>
      <c r="AD49" s="592"/>
      <c r="AE49" s="519"/>
      <c r="AF49" s="595">
        <f t="shared" si="24"/>
        <v>0</v>
      </c>
      <c r="AG49" s="595">
        <f t="shared" si="25"/>
        <v>0</v>
      </c>
      <c r="AH49" s="596">
        <f t="shared" si="26"/>
        <v>0</v>
      </c>
      <c r="AI49" s="596">
        <f t="shared" si="27"/>
        <v>0</v>
      </c>
      <c r="AJ49" s="592"/>
      <c r="AK49" s="519"/>
      <c r="AL49" s="595">
        <f t="shared" si="28"/>
        <v>0</v>
      </c>
      <c r="AM49" s="596">
        <f t="shared" si="29"/>
        <v>0</v>
      </c>
      <c r="AN49" s="592"/>
      <c r="AO49" s="519"/>
      <c r="AP49" s="592">
        <v>31509</v>
      </c>
      <c r="AQ49" s="519">
        <v>32805</v>
      </c>
      <c r="AR49" s="592">
        <v>12147</v>
      </c>
      <c r="AS49" s="519">
        <v>12599</v>
      </c>
      <c r="AT49" s="592">
        <v>33907</v>
      </c>
      <c r="AU49" s="519">
        <v>36732</v>
      </c>
      <c r="AV49" s="595">
        <f t="shared" si="30"/>
        <v>77563</v>
      </c>
      <c r="AW49" s="595">
        <f t="shared" si="31"/>
        <v>3231.7916666666665</v>
      </c>
      <c r="AX49" s="596">
        <f t="shared" si="32"/>
        <v>82136</v>
      </c>
      <c r="AY49" s="596">
        <f t="shared" si="33"/>
        <v>3422.3333333333335</v>
      </c>
      <c r="AZ49" s="595">
        <f t="shared" si="34"/>
        <v>25357.591666666667</v>
      </c>
      <c r="BA49" s="596">
        <f t="shared" si="35"/>
        <v>25228.3</v>
      </c>
    </row>
    <row r="50" spans="1:53" s="1" customFormat="1">
      <c r="A50" s="411" t="s">
        <v>102</v>
      </c>
      <c r="B50" s="412" t="s">
        <v>111</v>
      </c>
      <c r="C50" s="413"/>
      <c r="D50" s="414">
        <v>108092</v>
      </c>
      <c r="E50" s="414">
        <v>6</v>
      </c>
      <c r="F50" s="592" t="s">
        <v>74</v>
      </c>
      <c r="G50" s="519" t="s">
        <v>74</v>
      </c>
      <c r="H50" s="592"/>
      <c r="I50" s="519"/>
      <c r="J50" s="592">
        <v>70041</v>
      </c>
      <c r="K50" s="519">
        <v>66632</v>
      </c>
      <c r="L50" s="592">
        <v>7308</v>
      </c>
      <c r="M50" s="519">
        <v>6996</v>
      </c>
      <c r="N50" s="592">
        <v>74530</v>
      </c>
      <c r="O50" s="519">
        <v>70368</v>
      </c>
      <c r="P50" s="595">
        <f t="shared" si="18"/>
        <v>151879</v>
      </c>
      <c r="Q50" s="595">
        <f t="shared" si="19"/>
        <v>5062.6333333333332</v>
      </c>
      <c r="R50" s="596">
        <f t="shared" si="20"/>
        <v>143996</v>
      </c>
      <c r="S50" s="596">
        <f t="shared" si="21"/>
        <v>4799.8666666666668</v>
      </c>
      <c r="T50" s="592">
        <v>16239</v>
      </c>
      <c r="U50" s="519">
        <v>15823</v>
      </c>
      <c r="V50" s="595">
        <f t="shared" si="22"/>
        <v>151879</v>
      </c>
      <c r="W50" s="596">
        <f t="shared" si="23"/>
        <v>143996</v>
      </c>
      <c r="X50" s="592"/>
      <c r="Y50" s="519"/>
      <c r="Z50" s="592"/>
      <c r="AA50" s="519"/>
      <c r="AB50" s="592"/>
      <c r="AC50" s="519"/>
      <c r="AD50" s="592"/>
      <c r="AE50" s="519"/>
      <c r="AF50" s="595">
        <f t="shared" si="24"/>
        <v>0</v>
      </c>
      <c r="AG50" s="595">
        <f t="shared" si="25"/>
        <v>0</v>
      </c>
      <c r="AH50" s="596">
        <f t="shared" si="26"/>
        <v>0</v>
      </c>
      <c r="AI50" s="596">
        <f t="shared" si="27"/>
        <v>0</v>
      </c>
      <c r="AJ50" s="592"/>
      <c r="AK50" s="519"/>
      <c r="AL50" s="595">
        <f t="shared" si="28"/>
        <v>0</v>
      </c>
      <c r="AM50" s="596">
        <f t="shared" si="29"/>
        <v>0</v>
      </c>
      <c r="AN50" s="592"/>
      <c r="AO50" s="519"/>
      <c r="AP50" s="592">
        <v>196</v>
      </c>
      <c r="AQ50" s="519">
        <v>228</v>
      </c>
      <c r="AR50" s="592">
        <v>96</v>
      </c>
      <c r="AS50" s="519">
        <v>147</v>
      </c>
      <c r="AT50" s="592">
        <v>207</v>
      </c>
      <c r="AU50" s="519">
        <v>372</v>
      </c>
      <c r="AV50" s="595">
        <f t="shared" si="30"/>
        <v>499</v>
      </c>
      <c r="AW50" s="595">
        <f t="shared" si="31"/>
        <v>20.791666666666668</v>
      </c>
      <c r="AX50" s="596">
        <f t="shared" si="32"/>
        <v>747</v>
      </c>
      <c r="AY50" s="596">
        <f t="shared" si="33"/>
        <v>31.125</v>
      </c>
      <c r="AZ50" s="595">
        <f t="shared" si="34"/>
        <v>5083.4250000000002</v>
      </c>
      <c r="BA50" s="596">
        <f t="shared" si="35"/>
        <v>4830.9916666666668</v>
      </c>
    </row>
    <row r="51" spans="1:53" s="1" customFormat="1">
      <c r="A51" s="411" t="s">
        <v>102</v>
      </c>
      <c r="B51" s="412" t="s">
        <v>104</v>
      </c>
      <c r="C51" s="413"/>
      <c r="D51" s="414">
        <v>106245</v>
      </c>
      <c r="E51" s="414">
        <v>2</v>
      </c>
      <c r="F51" s="592" t="s">
        <v>74</v>
      </c>
      <c r="G51" s="519" t="s">
        <v>74</v>
      </c>
      <c r="H51" s="592"/>
      <c r="I51" s="519"/>
      <c r="J51" s="592">
        <v>77296</v>
      </c>
      <c r="K51" s="519">
        <v>73382</v>
      </c>
      <c r="L51" s="592">
        <v>17476</v>
      </c>
      <c r="M51" s="519">
        <v>16609</v>
      </c>
      <c r="N51" s="592">
        <v>80450</v>
      </c>
      <c r="O51" s="519">
        <v>75663</v>
      </c>
      <c r="P51" s="595">
        <f t="shared" si="18"/>
        <v>175222</v>
      </c>
      <c r="Q51" s="595">
        <f t="shared" si="19"/>
        <v>5840.7333333333336</v>
      </c>
      <c r="R51" s="596">
        <f t="shared" si="20"/>
        <v>165654</v>
      </c>
      <c r="S51" s="596">
        <f t="shared" si="21"/>
        <v>5521.8</v>
      </c>
      <c r="T51" s="592">
        <v>12084</v>
      </c>
      <c r="U51" s="519">
        <v>10489</v>
      </c>
      <c r="V51" s="595">
        <f t="shared" si="22"/>
        <v>175222</v>
      </c>
      <c r="W51" s="596">
        <f t="shared" si="23"/>
        <v>165654</v>
      </c>
      <c r="X51" s="592"/>
      <c r="Y51" s="519"/>
      <c r="Z51" s="592"/>
      <c r="AA51" s="519"/>
      <c r="AB51" s="592"/>
      <c r="AC51" s="519"/>
      <c r="AD51" s="592"/>
      <c r="AE51" s="519"/>
      <c r="AF51" s="595">
        <f t="shared" si="24"/>
        <v>0</v>
      </c>
      <c r="AG51" s="595">
        <f t="shared" si="25"/>
        <v>0</v>
      </c>
      <c r="AH51" s="596">
        <f t="shared" si="26"/>
        <v>0</v>
      </c>
      <c r="AI51" s="596">
        <f t="shared" si="27"/>
        <v>0</v>
      </c>
      <c r="AJ51" s="592"/>
      <c r="AK51" s="519"/>
      <c r="AL51" s="595">
        <f t="shared" si="28"/>
        <v>0</v>
      </c>
      <c r="AM51" s="596">
        <f t="shared" si="29"/>
        <v>0</v>
      </c>
      <c r="AN51" s="592"/>
      <c r="AO51" s="519"/>
      <c r="AP51" s="592">
        <v>18227</v>
      </c>
      <c r="AQ51" s="519">
        <v>16395</v>
      </c>
      <c r="AR51" s="592">
        <v>4053</v>
      </c>
      <c r="AS51" s="519">
        <v>2892</v>
      </c>
      <c r="AT51" s="592">
        <v>16968</v>
      </c>
      <c r="AU51" s="519">
        <v>16999</v>
      </c>
      <c r="AV51" s="595">
        <f t="shared" si="30"/>
        <v>39248</v>
      </c>
      <c r="AW51" s="595">
        <f t="shared" si="31"/>
        <v>1635.3333333333333</v>
      </c>
      <c r="AX51" s="596">
        <f t="shared" si="32"/>
        <v>36286</v>
      </c>
      <c r="AY51" s="596">
        <f t="shared" si="33"/>
        <v>1511.9166666666667</v>
      </c>
      <c r="AZ51" s="595">
        <f t="shared" si="34"/>
        <v>7476.0666666666666</v>
      </c>
      <c r="BA51" s="596">
        <f t="shared" si="35"/>
        <v>7033.7166666666672</v>
      </c>
    </row>
    <row r="52" spans="1:53" s="1" customFormat="1">
      <c r="A52" s="411" t="s">
        <v>102</v>
      </c>
      <c r="B52" s="412" t="s">
        <v>110</v>
      </c>
      <c r="C52" s="413"/>
      <c r="D52" s="414">
        <v>106485</v>
      </c>
      <c r="E52" s="414">
        <v>4</v>
      </c>
      <c r="F52" s="592" t="s">
        <v>74</v>
      </c>
      <c r="G52" s="519" t="s">
        <v>74</v>
      </c>
      <c r="H52" s="592"/>
      <c r="I52" s="519"/>
      <c r="J52" s="592">
        <v>29830</v>
      </c>
      <c r="K52" s="519">
        <v>27736</v>
      </c>
      <c r="L52" s="592">
        <v>4878</v>
      </c>
      <c r="M52" s="519">
        <v>5540</v>
      </c>
      <c r="N52" s="592">
        <v>31135</v>
      </c>
      <c r="O52" s="519">
        <v>29320</v>
      </c>
      <c r="P52" s="595">
        <f t="shared" si="18"/>
        <v>65843</v>
      </c>
      <c r="Q52" s="595">
        <f t="shared" si="19"/>
        <v>2194.7666666666669</v>
      </c>
      <c r="R52" s="596">
        <f t="shared" si="20"/>
        <v>62596</v>
      </c>
      <c r="S52" s="596">
        <f t="shared" si="21"/>
        <v>2086.5333333333333</v>
      </c>
      <c r="T52" s="592">
        <v>3327</v>
      </c>
      <c r="U52" s="519">
        <v>2815</v>
      </c>
      <c r="V52" s="595">
        <f t="shared" si="22"/>
        <v>65843</v>
      </c>
      <c r="W52" s="596">
        <f t="shared" si="23"/>
        <v>62596</v>
      </c>
      <c r="X52" s="592"/>
      <c r="Y52" s="519"/>
      <c r="Z52" s="592"/>
      <c r="AA52" s="519"/>
      <c r="AB52" s="592"/>
      <c r="AC52" s="519"/>
      <c r="AD52" s="592"/>
      <c r="AE52" s="519"/>
      <c r="AF52" s="595">
        <f t="shared" si="24"/>
        <v>0</v>
      </c>
      <c r="AG52" s="595">
        <f t="shared" si="25"/>
        <v>0</v>
      </c>
      <c r="AH52" s="596">
        <f t="shared" si="26"/>
        <v>0</v>
      </c>
      <c r="AI52" s="596">
        <f t="shared" si="27"/>
        <v>0</v>
      </c>
      <c r="AJ52" s="592"/>
      <c r="AK52" s="519"/>
      <c r="AL52" s="595">
        <f t="shared" si="28"/>
        <v>0</v>
      </c>
      <c r="AM52" s="596">
        <f t="shared" si="29"/>
        <v>0</v>
      </c>
      <c r="AN52" s="592"/>
      <c r="AO52" s="519"/>
      <c r="AP52" s="592">
        <v>1934</v>
      </c>
      <c r="AQ52" s="519">
        <v>2204</v>
      </c>
      <c r="AR52" s="592">
        <v>2764</v>
      </c>
      <c r="AS52" s="519">
        <v>2555</v>
      </c>
      <c r="AT52" s="592">
        <v>2107</v>
      </c>
      <c r="AU52" s="519">
        <v>1902</v>
      </c>
      <c r="AV52" s="595">
        <f t="shared" si="30"/>
        <v>6805</v>
      </c>
      <c r="AW52" s="595">
        <f t="shared" si="31"/>
        <v>283.54166666666669</v>
      </c>
      <c r="AX52" s="596">
        <f t="shared" si="32"/>
        <v>6661</v>
      </c>
      <c r="AY52" s="596">
        <f t="shared" si="33"/>
        <v>277.54166666666669</v>
      </c>
      <c r="AZ52" s="595">
        <f t="shared" si="34"/>
        <v>2478.3083333333334</v>
      </c>
      <c r="BA52" s="596">
        <f t="shared" si="35"/>
        <v>2364.0749999999998</v>
      </c>
    </row>
    <row r="53" spans="1:53" s="1" customFormat="1">
      <c r="A53" s="411" t="s">
        <v>102</v>
      </c>
      <c r="B53" s="412" t="s">
        <v>112</v>
      </c>
      <c r="C53" s="539" t="s">
        <v>919</v>
      </c>
      <c r="D53" s="414">
        <v>106412</v>
      </c>
      <c r="E53" s="414">
        <v>6</v>
      </c>
      <c r="F53" s="592" t="s">
        <v>74</v>
      </c>
      <c r="G53" s="519" t="s">
        <v>74</v>
      </c>
      <c r="H53" s="592"/>
      <c r="I53" s="519"/>
      <c r="J53" s="592">
        <v>31385</v>
      </c>
      <c r="K53" s="519">
        <v>29442</v>
      </c>
      <c r="L53" s="592">
        <v>3718</v>
      </c>
      <c r="M53" s="519">
        <v>3107</v>
      </c>
      <c r="N53" s="592">
        <v>33617</v>
      </c>
      <c r="O53" s="519">
        <v>34550</v>
      </c>
      <c r="P53" s="595">
        <f t="shared" si="18"/>
        <v>68720</v>
      </c>
      <c r="Q53" s="595">
        <f t="shared" si="19"/>
        <v>2290.6666666666665</v>
      </c>
      <c r="R53" s="596">
        <f t="shared" si="20"/>
        <v>67099</v>
      </c>
      <c r="S53" s="596">
        <f t="shared" si="21"/>
        <v>2236.6333333333332</v>
      </c>
      <c r="T53" s="592">
        <v>0</v>
      </c>
      <c r="U53" s="519">
        <v>252</v>
      </c>
      <c r="V53" s="595">
        <f t="shared" si="22"/>
        <v>68720</v>
      </c>
      <c r="W53" s="596">
        <f t="shared" si="23"/>
        <v>67099</v>
      </c>
      <c r="X53" s="592"/>
      <c r="Y53" s="519"/>
      <c r="Z53" s="592"/>
      <c r="AA53" s="519"/>
      <c r="AB53" s="592"/>
      <c r="AC53" s="519"/>
      <c r="AD53" s="592"/>
      <c r="AE53" s="519"/>
      <c r="AF53" s="595">
        <f t="shared" si="24"/>
        <v>0</v>
      </c>
      <c r="AG53" s="595">
        <f t="shared" si="25"/>
        <v>0</v>
      </c>
      <c r="AH53" s="596">
        <f t="shared" si="26"/>
        <v>0</v>
      </c>
      <c r="AI53" s="596">
        <f t="shared" si="27"/>
        <v>0</v>
      </c>
      <c r="AJ53" s="592"/>
      <c r="AK53" s="519"/>
      <c r="AL53" s="595">
        <f t="shared" si="28"/>
        <v>0</v>
      </c>
      <c r="AM53" s="596">
        <f t="shared" si="29"/>
        <v>0</v>
      </c>
      <c r="AN53" s="592"/>
      <c r="AO53" s="519"/>
      <c r="AP53" s="592">
        <v>677</v>
      </c>
      <c r="AQ53" s="519">
        <v>803</v>
      </c>
      <c r="AR53" s="592">
        <v>305</v>
      </c>
      <c r="AS53" s="519">
        <v>272</v>
      </c>
      <c r="AT53" s="592">
        <v>845</v>
      </c>
      <c r="AU53" s="519">
        <v>1185</v>
      </c>
      <c r="AV53" s="595">
        <f t="shared" si="30"/>
        <v>1827</v>
      </c>
      <c r="AW53" s="595">
        <f t="shared" si="31"/>
        <v>76.125</v>
      </c>
      <c r="AX53" s="596">
        <f t="shared" si="32"/>
        <v>2260</v>
      </c>
      <c r="AY53" s="596">
        <f t="shared" si="33"/>
        <v>94.166666666666671</v>
      </c>
      <c r="AZ53" s="595">
        <f t="shared" si="34"/>
        <v>2366.7916666666665</v>
      </c>
      <c r="BA53" s="596">
        <f t="shared" si="35"/>
        <v>2330.7999999999997</v>
      </c>
    </row>
    <row r="54" spans="1:53" s="1" customFormat="1">
      <c r="A54" s="411" t="s">
        <v>102</v>
      </c>
      <c r="B54" s="412" t="s">
        <v>107</v>
      </c>
      <c r="C54" s="413"/>
      <c r="D54" s="414">
        <v>106704</v>
      </c>
      <c r="E54" s="414">
        <v>3</v>
      </c>
      <c r="F54" s="592" t="s">
        <v>74</v>
      </c>
      <c r="G54" s="519" t="s">
        <v>74</v>
      </c>
      <c r="H54" s="592"/>
      <c r="I54" s="519"/>
      <c r="J54" s="592">
        <v>114661</v>
      </c>
      <c r="K54" s="519">
        <v>110711</v>
      </c>
      <c r="L54" s="592">
        <v>16563</v>
      </c>
      <c r="M54" s="519">
        <v>17429</v>
      </c>
      <c r="N54" s="592">
        <v>124254</v>
      </c>
      <c r="O54" s="519">
        <v>119194</v>
      </c>
      <c r="P54" s="595">
        <f t="shared" si="18"/>
        <v>255478</v>
      </c>
      <c r="Q54" s="595">
        <f t="shared" si="19"/>
        <v>8515.9333333333325</v>
      </c>
      <c r="R54" s="596">
        <f t="shared" si="20"/>
        <v>247334</v>
      </c>
      <c r="S54" s="596">
        <f t="shared" si="21"/>
        <v>8244.4666666666672</v>
      </c>
      <c r="T54" s="592">
        <v>4216</v>
      </c>
      <c r="U54" s="519">
        <v>2806</v>
      </c>
      <c r="V54" s="595">
        <f t="shared" si="22"/>
        <v>255478</v>
      </c>
      <c r="W54" s="596">
        <f t="shared" si="23"/>
        <v>247334</v>
      </c>
      <c r="X54" s="592"/>
      <c r="Y54" s="519"/>
      <c r="Z54" s="592"/>
      <c r="AA54" s="519"/>
      <c r="AB54" s="592"/>
      <c r="AC54" s="519"/>
      <c r="AD54" s="592"/>
      <c r="AE54" s="519"/>
      <c r="AF54" s="595">
        <f t="shared" si="24"/>
        <v>0</v>
      </c>
      <c r="AG54" s="595">
        <f t="shared" si="25"/>
        <v>0</v>
      </c>
      <c r="AH54" s="596">
        <f t="shared" si="26"/>
        <v>0</v>
      </c>
      <c r="AI54" s="596">
        <f t="shared" si="27"/>
        <v>0</v>
      </c>
      <c r="AJ54" s="592"/>
      <c r="AK54" s="519"/>
      <c r="AL54" s="595">
        <f t="shared" si="28"/>
        <v>0</v>
      </c>
      <c r="AM54" s="596">
        <f t="shared" si="29"/>
        <v>0</v>
      </c>
      <c r="AN54" s="592"/>
      <c r="AO54" s="519"/>
      <c r="AP54" s="592">
        <v>12883</v>
      </c>
      <c r="AQ54" s="519">
        <v>13062</v>
      </c>
      <c r="AR54" s="592">
        <v>9534</v>
      </c>
      <c r="AS54" s="519">
        <v>9844</v>
      </c>
      <c r="AT54" s="592">
        <v>14275</v>
      </c>
      <c r="AU54" s="519">
        <v>14031</v>
      </c>
      <c r="AV54" s="595">
        <f t="shared" si="30"/>
        <v>36692</v>
      </c>
      <c r="AW54" s="595">
        <f t="shared" si="31"/>
        <v>1528.8333333333333</v>
      </c>
      <c r="AX54" s="596">
        <f t="shared" si="32"/>
        <v>36937</v>
      </c>
      <c r="AY54" s="596">
        <f t="shared" si="33"/>
        <v>1539.0416666666667</v>
      </c>
      <c r="AZ54" s="595">
        <f t="shared" si="34"/>
        <v>10044.766666666666</v>
      </c>
      <c r="BA54" s="596">
        <f t="shared" si="35"/>
        <v>9783.5083333333332</v>
      </c>
    </row>
    <row r="55" spans="1:53" s="1" customFormat="1">
      <c r="A55" s="411" t="s">
        <v>102</v>
      </c>
      <c r="B55" s="412" t="s">
        <v>116</v>
      </c>
      <c r="C55" s="413"/>
      <c r="D55" s="414">
        <v>107327</v>
      </c>
      <c r="E55" s="414">
        <v>10</v>
      </c>
      <c r="F55" s="592" t="s">
        <v>74</v>
      </c>
      <c r="G55" s="519" t="s">
        <v>74</v>
      </c>
      <c r="H55" s="592"/>
      <c r="I55" s="519"/>
      <c r="J55" s="592">
        <v>11819</v>
      </c>
      <c r="K55" s="519">
        <v>11593</v>
      </c>
      <c r="L55" s="592">
        <v>2132</v>
      </c>
      <c r="M55" s="519">
        <v>2171</v>
      </c>
      <c r="N55" s="592">
        <v>13267</v>
      </c>
      <c r="O55" s="519">
        <v>12107</v>
      </c>
      <c r="P55" s="595">
        <f t="shared" si="18"/>
        <v>27218</v>
      </c>
      <c r="Q55" s="595">
        <f t="shared" si="19"/>
        <v>907.26666666666665</v>
      </c>
      <c r="R55" s="596">
        <f t="shared" si="20"/>
        <v>25871</v>
      </c>
      <c r="S55" s="596">
        <f t="shared" si="21"/>
        <v>862.36666666666667</v>
      </c>
      <c r="T55" s="592">
        <v>4738</v>
      </c>
      <c r="U55" s="519">
        <v>4105</v>
      </c>
      <c r="V55" s="595">
        <f t="shared" si="22"/>
        <v>27218</v>
      </c>
      <c r="W55" s="596">
        <f t="shared" si="23"/>
        <v>25871</v>
      </c>
      <c r="X55" s="592"/>
      <c r="Y55" s="519"/>
      <c r="Z55" s="592"/>
      <c r="AA55" s="519"/>
      <c r="AB55" s="592"/>
      <c r="AC55" s="519"/>
      <c r="AD55" s="592"/>
      <c r="AE55" s="519"/>
      <c r="AF55" s="595">
        <f t="shared" si="24"/>
        <v>0</v>
      </c>
      <c r="AG55" s="595">
        <f t="shared" si="25"/>
        <v>0</v>
      </c>
      <c r="AH55" s="596">
        <f t="shared" si="26"/>
        <v>0</v>
      </c>
      <c r="AI55" s="596">
        <f t="shared" si="27"/>
        <v>0</v>
      </c>
      <c r="AJ55" s="592"/>
      <c r="AK55" s="519"/>
      <c r="AL55" s="595">
        <f t="shared" si="28"/>
        <v>0</v>
      </c>
      <c r="AM55" s="596">
        <f t="shared" si="29"/>
        <v>0</v>
      </c>
      <c r="AN55" s="592"/>
      <c r="AO55" s="519"/>
      <c r="AP55" s="592"/>
      <c r="AQ55" s="519"/>
      <c r="AR55" s="592"/>
      <c r="AS55" s="519"/>
      <c r="AT55" s="592"/>
      <c r="AU55" s="519"/>
      <c r="AV55" s="595">
        <f t="shared" si="30"/>
        <v>0</v>
      </c>
      <c r="AW55" s="595">
        <f t="shared" si="31"/>
        <v>0</v>
      </c>
      <c r="AX55" s="596">
        <f t="shared" si="32"/>
        <v>0</v>
      </c>
      <c r="AY55" s="596">
        <f t="shared" si="33"/>
        <v>0</v>
      </c>
      <c r="AZ55" s="595">
        <f t="shared" si="34"/>
        <v>907.26666666666665</v>
      </c>
      <c r="BA55" s="596">
        <f t="shared" si="35"/>
        <v>862.36666666666667</v>
      </c>
    </row>
    <row r="56" spans="1:53" s="1" customFormat="1">
      <c r="A56" s="411" t="s">
        <v>102</v>
      </c>
      <c r="B56" s="412" t="s">
        <v>114</v>
      </c>
      <c r="C56" s="413"/>
      <c r="D56" s="414">
        <v>106449</v>
      </c>
      <c r="E56" s="414">
        <v>9</v>
      </c>
      <c r="F56" s="592" t="s">
        <v>74</v>
      </c>
      <c r="G56" s="519" t="s">
        <v>74</v>
      </c>
      <c r="H56" s="592"/>
      <c r="I56" s="519"/>
      <c r="J56" s="592">
        <v>33197</v>
      </c>
      <c r="K56" s="519">
        <v>31302</v>
      </c>
      <c r="L56" s="592">
        <v>5987</v>
      </c>
      <c r="M56" s="519">
        <v>6253</v>
      </c>
      <c r="N56" s="592">
        <v>35218</v>
      </c>
      <c r="O56" s="519">
        <v>31537</v>
      </c>
      <c r="P56" s="595">
        <f t="shared" si="18"/>
        <v>74402</v>
      </c>
      <c r="Q56" s="595">
        <f t="shared" si="19"/>
        <v>2480.0666666666666</v>
      </c>
      <c r="R56" s="596">
        <f t="shared" si="20"/>
        <v>69092</v>
      </c>
      <c r="S56" s="596">
        <f t="shared" si="21"/>
        <v>2303.0666666666666</v>
      </c>
      <c r="T56" s="592">
        <v>7692</v>
      </c>
      <c r="U56" s="519">
        <v>7681</v>
      </c>
      <c r="V56" s="595">
        <f t="shared" si="22"/>
        <v>74402</v>
      </c>
      <c r="W56" s="596">
        <f t="shared" si="23"/>
        <v>69092</v>
      </c>
      <c r="X56" s="592"/>
      <c r="Y56" s="519"/>
      <c r="Z56" s="592"/>
      <c r="AA56" s="519"/>
      <c r="AB56" s="592"/>
      <c r="AC56" s="519"/>
      <c r="AD56" s="592"/>
      <c r="AE56" s="519"/>
      <c r="AF56" s="595">
        <f t="shared" si="24"/>
        <v>0</v>
      </c>
      <c r="AG56" s="595">
        <f t="shared" si="25"/>
        <v>0</v>
      </c>
      <c r="AH56" s="596">
        <f t="shared" si="26"/>
        <v>0</v>
      </c>
      <c r="AI56" s="596">
        <f t="shared" si="27"/>
        <v>0</v>
      </c>
      <c r="AJ56" s="592"/>
      <c r="AK56" s="519"/>
      <c r="AL56" s="595">
        <f t="shared" si="28"/>
        <v>0</v>
      </c>
      <c r="AM56" s="596">
        <f t="shared" si="29"/>
        <v>0</v>
      </c>
      <c r="AN56" s="592"/>
      <c r="AO56" s="519"/>
      <c r="AP56" s="592"/>
      <c r="AQ56" s="519"/>
      <c r="AR56" s="592"/>
      <c r="AS56" s="519"/>
      <c r="AT56" s="592"/>
      <c r="AU56" s="519"/>
      <c r="AV56" s="595">
        <f t="shared" si="30"/>
        <v>0</v>
      </c>
      <c r="AW56" s="595">
        <f t="shared" si="31"/>
        <v>0</v>
      </c>
      <c r="AX56" s="596">
        <f t="shared" si="32"/>
        <v>0</v>
      </c>
      <c r="AY56" s="596">
        <f t="shared" si="33"/>
        <v>0</v>
      </c>
      <c r="AZ56" s="595">
        <f t="shared" si="34"/>
        <v>2480.0666666666666</v>
      </c>
      <c r="BA56" s="596">
        <f t="shared" si="35"/>
        <v>2303.0666666666666</v>
      </c>
    </row>
    <row r="57" spans="1:53" s="1" customFormat="1">
      <c r="A57" s="411" t="s">
        <v>102</v>
      </c>
      <c r="B57" s="412" t="s">
        <v>118</v>
      </c>
      <c r="C57" s="413"/>
      <c r="D57" s="414">
        <v>420538</v>
      </c>
      <c r="E57" s="414">
        <v>10</v>
      </c>
      <c r="F57" s="592" t="s">
        <v>74</v>
      </c>
      <c r="G57" s="519" t="s">
        <v>74</v>
      </c>
      <c r="H57" s="592"/>
      <c r="I57" s="519"/>
      <c r="J57" s="592">
        <v>12802</v>
      </c>
      <c r="K57" s="519">
        <v>11576</v>
      </c>
      <c r="L57" s="592">
        <v>2585</v>
      </c>
      <c r="M57" s="519">
        <v>2499</v>
      </c>
      <c r="N57" s="592">
        <v>13246</v>
      </c>
      <c r="O57" s="519">
        <v>12333</v>
      </c>
      <c r="P57" s="595">
        <f t="shared" si="18"/>
        <v>28633</v>
      </c>
      <c r="Q57" s="595">
        <f t="shared" si="19"/>
        <v>954.43333333333328</v>
      </c>
      <c r="R57" s="596">
        <f t="shared" si="20"/>
        <v>26408</v>
      </c>
      <c r="S57" s="596">
        <f t="shared" si="21"/>
        <v>880.26666666666665</v>
      </c>
      <c r="T57" s="592">
        <v>3163</v>
      </c>
      <c r="U57" s="519">
        <v>3751</v>
      </c>
      <c r="V57" s="595">
        <f t="shared" si="22"/>
        <v>28633</v>
      </c>
      <c r="W57" s="596">
        <f t="shared" si="23"/>
        <v>26408</v>
      </c>
      <c r="X57" s="592"/>
      <c r="Y57" s="519"/>
      <c r="Z57" s="592"/>
      <c r="AA57" s="519"/>
      <c r="AB57" s="592"/>
      <c r="AC57" s="519"/>
      <c r="AD57" s="592"/>
      <c r="AE57" s="519"/>
      <c r="AF57" s="595">
        <f t="shared" si="24"/>
        <v>0</v>
      </c>
      <c r="AG57" s="595">
        <f t="shared" si="25"/>
        <v>0</v>
      </c>
      <c r="AH57" s="596">
        <f t="shared" si="26"/>
        <v>0</v>
      </c>
      <c r="AI57" s="596">
        <f t="shared" si="27"/>
        <v>0</v>
      </c>
      <c r="AJ57" s="592"/>
      <c r="AK57" s="519"/>
      <c r="AL57" s="595">
        <f t="shared" si="28"/>
        <v>0</v>
      </c>
      <c r="AM57" s="596">
        <f t="shared" si="29"/>
        <v>0</v>
      </c>
      <c r="AN57" s="592"/>
      <c r="AO57" s="519"/>
      <c r="AP57" s="592"/>
      <c r="AQ57" s="519"/>
      <c r="AR57" s="592"/>
      <c r="AS57" s="519"/>
      <c r="AT57" s="592"/>
      <c r="AU57" s="519"/>
      <c r="AV57" s="595">
        <f t="shared" si="30"/>
        <v>0</v>
      </c>
      <c r="AW57" s="595">
        <f t="shared" si="31"/>
        <v>0</v>
      </c>
      <c r="AX57" s="596">
        <f t="shared" si="32"/>
        <v>0</v>
      </c>
      <c r="AY57" s="596">
        <f t="shared" si="33"/>
        <v>0</v>
      </c>
      <c r="AZ57" s="595">
        <f t="shared" si="34"/>
        <v>954.43333333333328</v>
      </c>
      <c r="BA57" s="596">
        <f t="shared" si="35"/>
        <v>880.26666666666665</v>
      </c>
    </row>
    <row r="58" spans="1:53" s="1" customFormat="1">
      <c r="A58" s="411" t="s">
        <v>102</v>
      </c>
      <c r="B58" s="416" t="s">
        <v>117</v>
      </c>
      <c r="C58" s="413"/>
      <c r="D58" s="414">
        <v>107318</v>
      </c>
      <c r="E58" s="414">
        <v>10</v>
      </c>
      <c r="F58" s="592" t="s">
        <v>74</v>
      </c>
      <c r="G58" s="519" t="s">
        <v>74</v>
      </c>
      <c r="H58" s="592"/>
      <c r="I58" s="519"/>
      <c r="J58" s="592">
        <v>10641</v>
      </c>
      <c r="K58" s="519">
        <v>9413</v>
      </c>
      <c r="L58" s="592">
        <v>1883</v>
      </c>
      <c r="M58" s="519">
        <v>2011</v>
      </c>
      <c r="N58" s="592">
        <v>11315</v>
      </c>
      <c r="O58" s="519">
        <v>10338</v>
      </c>
      <c r="P58" s="595">
        <f t="shared" si="18"/>
        <v>23839</v>
      </c>
      <c r="Q58" s="595">
        <f t="shared" si="19"/>
        <v>794.63333333333333</v>
      </c>
      <c r="R58" s="596">
        <f t="shared" si="20"/>
        <v>21762</v>
      </c>
      <c r="S58" s="596">
        <f t="shared" si="21"/>
        <v>725.4</v>
      </c>
      <c r="T58" s="592">
        <v>7048</v>
      </c>
      <c r="U58" s="519">
        <v>6358</v>
      </c>
      <c r="V58" s="595">
        <f t="shared" si="22"/>
        <v>23839</v>
      </c>
      <c r="W58" s="596">
        <f t="shared" si="23"/>
        <v>21762</v>
      </c>
      <c r="X58" s="592"/>
      <c r="Y58" s="519"/>
      <c r="Z58" s="592"/>
      <c r="AA58" s="519"/>
      <c r="AB58" s="592"/>
      <c r="AC58" s="519"/>
      <c r="AD58" s="592"/>
      <c r="AE58" s="519"/>
      <c r="AF58" s="595">
        <f t="shared" si="24"/>
        <v>0</v>
      </c>
      <c r="AG58" s="595">
        <f t="shared" si="25"/>
        <v>0</v>
      </c>
      <c r="AH58" s="596">
        <f t="shared" si="26"/>
        <v>0</v>
      </c>
      <c r="AI58" s="596">
        <f t="shared" si="27"/>
        <v>0</v>
      </c>
      <c r="AJ58" s="592"/>
      <c r="AK58" s="519"/>
      <c r="AL58" s="595">
        <f t="shared" si="28"/>
        <v>0</v>
      </c>
      <c r="AM58" s="596">
        <f t="shared" si="29"/>
        <v>0</v>
      </c>
      <c r="AN58" s="592"/>
      <c r="AO58" s="519"/>
      <c r="AP58" s="592"/>
      <c r="AQ58" s="519"/>
      <c r="AR58" s="592"/>
      <c r="AS58" s="519"/>
      <c r="AT58" s="592"/>
      <c r="AU58" s="519"/>
      <c r="AV58" s="595">
        <f t="shared" si="30"/>
        <v>0</v>
      </c>
      <c r="AW58" s="595">
        <f t="shared" si="31"/>
        <v>0</v>
      </c>
      <c r="AX58" s="596">
        <f t="shared" si="32"/>
        <v>0</v>
      </c>
      <c r="AY58" s="596">
        <f t="shared" si="33"/>
        <v>0</v>
      </c>
      <c r="AZ58" s="595">
        <f t="shared" si="34"/>
        <v>794.63333333333333</v>
      </c>
      <c r="BA58" s="596">
        <f t="shared" si="35"/>
        <v>725.4</v>
      </c>
    </row>
    <row r="59" spans="1:53" s="1" customFormat="1">
      <c r="A59" s="411" t="s">
        <v>102</v>
      </c>
      <c r="B59" s="412" t="s">
        <v>119</v>
      </c>
      <c r="C59" s="413"/>
      <c r="D59" s="414">
        <v>440402</v>
      </c>
      <c r="E59" s="414">
        <v>10</v>
      </c>
      <c r="F59" s="592" t="s">
        <v>74</v>
      </c>
      <c r="G59" s="519" t="s">
        <v>74</v>
      </c>
      <c r="H59" s="592"/>
      <c r="I59" s="519"/>
      <c r="J59" s="592">
        <v>21686</v>
      </c>
      <c r="K59" s="519">
        <v>21163</v>
      </c>
      <c r="L59" s="592">
        <v>11695</v>
      </c>
      <c r="M59" s="519">
        <v>11369</v>
      </c>
      <c r="N59" s="592">
        <v>22867</v>
      </c>
      <c r="O59" s="519">
        <v>19174</v>
      </c>
      <c r="P59" s="595">
        <f t="shared" si="18"/>
        <v>56248</v>
      </c>
      <c r="Q59" s="595">
        <f t="shared" si="19"/>
        <v>1874.9333333333334</v>
      </c>
      <c r="R59" s="596">
        <f t="shared" si="20"/>
        <v>51706</v>
      </c>
      <c r="S59" s="596">
        <f t="shared" si="21"/>
        <v>1723.5333333333333</v>
      </c>
      <c r="T59" s="592">
        <v>15085</v>
      </c>
      <c r="U59" s="519">
        <v>15044</v>
      </c>
      <c r="V59" s="595">
        <f t="shared" si="22"/>
        <v>56248</v>
      </c>
      <c r="W59" s="596">
        <f t="shared" si="23"/>
        <v>51706</v>
      </c>
      <c r="X59" s="592"/>
      <c r="Y59" s="519"/>
      <c r="Z59" s="592"/>
      <c r="AA59" s="519"/>
      <c r="AB59" s="592"/>
      <c r="AC59" s="519"/>
      <c r="AD59" s="592"/>
      <c r="AE59" s="519"/>
      <c r="AF59" s="595">
        <f t="shared" si="24"/>
        <v>0</v>
      </c>
      <c r="AG59" s="595">
        <f t="shared" si="25"/>
        <v>0</v>
      </c>
      <c r="AH59" s="596">
        <f t="shared" si="26"/>
        <v>0</v>
      </c>
      <c r="AI59" s="596">
        <f t="shared" si="27"/>
        <v>0</v>
      </c>
      <c r="AJ59" s="592"/>
      <c r="AK59" s="519"/>
      <c r="AL59" s="595">
        <f t="shared" si="28"/>
        <v>0</v>
      </c>
      <c r="AM59" s="596">
        <f t="shared" si="29"/>
        <v>0</v>
      </c>
      <c r="AN59" s="592"/>
      <c r="AO59" s="519"/>
      <c r="AP59" s="592"/>
      <c r="AQ59" s="519"/>
      <c r="AR59" s="592"/>
      <c r="AS59" s="519"/>
      <c r="AT59" s="592"/>
      <c r="AU59" s="519"/>
      <c r="AV59" s="595">
        <f t="shared" si="30"/>
        <v>0</v>
      </c>
      <c r="AW59" s="595">
        <f t="shared" si="31"/>
        <v>0</v>
      </c>
      <c r="AX59" s="596">
        <f t="shared" si="32"/>
        <v>0</v>
      </c>
      <c r="AY59" s="596">
        <f t="shared" si="33"/>
        <v>0</v>
      </c>
      <c r="AZ59" s="595">
        <f t="shared" si="34"/>
        <v>1874.9333333333334</v>
      </c>
      <c r="BA59" s="596">
        <f t="shared" si="35"/>
        <v>1723.5333333333333</v>
      </c>
    </row>
    <row r="60" spans="1:53" s="1" customFormat="1">
      <c r="A60" s="411" t="s">
        <v>102</v>
      </c>
      <c r="B60" s="412" t="s">
        <v>834</v>
      </c>
      <c r="C60" s="413" t="s">
        <v>835</v>
      </c>
      <c r="D60" s="414">
        <v>107521</v>
      </c>
      <c r="E60" s="414">
        <v>10</v>
      </c>
      <c r="F60" s="592" t="s">
        <v>74</v>
      </c>
      <c r="G60" s="519" t="s">
        <v>74</v>
      </c>
      <c r="H60" s="592"/>
      <c r="I60" s="519"/>
      <c r="J60" s="592">
        <v>8847</v>
      </c>
      <c r="K60" s="519">
        <v>8770</v>
      </c>
      <c r="L60" s="592">
        <v>3178</v>
      </c>
      <c r="M60" s="519">
        <v>2714</v>
      </c>
      <c r="N60" s="592">
        <v>8766</v>
      </c>
      <c r="O60" s="519">
        <v>8342</v>
      </c>
      <c r="P60" s="595">
        <f t="shared" si="18"/>
        <v>20791</v>
      </c>
      <c r="Q60" s="595">
        <f t="shared" si="19"/>
        <v>693.0333333333333</v>
      </c>
      <c r="R60" s="596">
        <f t="shared" si="20"/>
        <v>19826</v>
      </c>
      <c r="S60" s="596">
        <f t="shared" si="21"/>
        <v>660.86666666666667</v>
      </c>
      <c r="T60" s="592">
        <v>6904</v>
      </c>
      <c r="U60" s="519">
        <v>3399</v>
      </c>
      <c r="V60" s="595">
        <f t="shared" si="22"/>
        <v>20791</v>
      </c>
      <c r="W60" s="596">
        <f t="shared" si="23"/>
        <v>19826</v>
      </c>
      <c r="X60" s="592"/>
      <c r="Y60" s="519"/>
      <c r="Z60" s="592"/>
      <c r="AA60" s="519"/>
      <c r="AB60" s="592"/>
      <c r="AC60" s="519"/>
      <c r="AD60" s="592"/>
      <c r="AE60" s="519"/>
      <c r="AF60" s="595">
        <f t="shared" si="24"/>
        <v>0</v>
      </c>
      <c r="AG60" s="595">
        <f t="shared" si="25"/>
        <v>0</v>
      </c>
      <c r="AH60" s="596">
        <f t="shared" si="26"/>
        <v>0</v>
      </c>
      <c r="AI60" s="596">
        <f t="shared" si="27"/>
        <v>0</v>
      </c>
      <c r="AJ60" s="592"/>
      <c r="AK60" s="519"/>
      <c r="AL60" s="595">
        <f t="shared" si="28"/>
        <v>0</v>
      </c>
      <c r="AM60" s="596">
        <f t="shared" si="29"/>
        <v>0</v>
      </c>
      <c r="AN60" s="592"/>
      <c r="AO60" s="519"/>
      <c r="AP60" s="592"/>
      <c r="AQ60" s="519"/>
      <c r="AR60" s="592"/>
      <c r="AS60" s="519"/>
      <c r="AT60" s="592"/>
      <c r="AU60" s="519"/>
      <c r="AV60" s="595">
        <f t="shared" si="30"/>
        <v>0</v>
      </c>
      <c r="AW60" s="595">
        <f t="shared" si="31"/>
        <v>0</v>
      </c>
      <c r="AX60" s="596">
        <f t="shared" si="32"/>
        <v>0</v>
      </c>
      <c r="AY60" s="596">
        <f t="shared" si="33"/>
        <v>0</v>
      </c>
      <c r="AZ60" s="595">
        <f t="shared" si="34"/>
        <v>693.0333333333333</v>
      </c>
      <c r="BA60" s="596">
        <f t="shared" si="35"/>
        <v>660.86666666666667</v>
      </c>
    </row>
    <row r="61" spans="1:53" s="1" customFormat="1">
      <c r="A61" s="411" t="s">
        <v>102</v>
      </c>
      <c r="B61" s="412" t="s">
        <v>120</v>
      </c>
      <c r="C61" s="413"/>
      <c r="D61" s="414">
        <v>106625</v>
      </c>
      <c r="E61" s="414">
        <v>10</v>
      </c>
      <c r="F61" s="592" t="s">
        <v>74</v>
      </c>
      <c r="G61" s="519" t="s">
        <v>74</v>
      </c>
      <c r="H61" s="592"/>
      <c r="I61" s="519"/>
      <c r="J61" s="592">
        <v>15610</v>
      </c>
      <c r="K61" s="519">
        <v>14405</v>
      </c>
      <c r="L61" s="592">
        <v>2998</v>
      </c>
      <c r="M61" s="519">
        <v>3079</v>
      </c>
      <c r="N61" s="592">
        <v>16353</v>
      </c>
      <c r="O61" s="519">
        <v>15434</v>
      </c>
      <c r="P61" s="595">
        <f t="shared" si="18"/>
        <v>34961</v>
      </c>
      <c r="Q61" s="595">
        <f t="shared" si="19"/>
        <v>1165.3666666666666</v>
      </c>
      <c r="R61" s="596">
        <f t="shared" si="20"/>
        <v>32918</v>
      </c>
      <c r="S61" s="596">
        <f t="shared" si="21"/>
        <v>1097.2666666666667</v>
      </c>
      <c r="T61" s="592">
        <v>3749</v>
      </c>
      <c r="U61" s="519">
        <v>3506</v>
      </c>
      <c r="V61" s="595">
        <f t="shared" si="22"/>
        <v>34961</v>
      </c>
      <c r="W61" s="596">
        <f t="shared" si="23"/>
        <v>32918</v>
      </c>
      <c r="X61" s="592"/>
      <c r="Y61" s="519"/>
      <c r="Z61" s="592"/>
      <c r="AA61" s="519"/>
      <c r="AB61" s="592"/>
      <c r="AC61" s="519"/>
      <c r="AD61" s="592"/>
      <c r="AE61" s="519"/>
      <c r="AF61" s="595">
        <f t="shared" si="24"/>
        <v>0</v>
      </c>
      <c r="AG61" s="595">
        <f t="shared" si="25"/>
        <v>0</v>
      </c>
      <c r="AH61" s="596">
        <f t="shared" si="26"/>
        <v>0</v>
      </c>
      <c r="AI61" s="596">
        <f t="shared" si="27"/>
        <v>0</v>
      </c>
      <c r="AJ61" s="592"/>
      <c r="AK61" s="519"/>
      <c r="AL61" s="595">
        <f t="shared" si="28"/>
        <v>0</v>
      </c>
      <c r="AM61" s="596">
        <f t="shared" si="29"/>
        <v>0</v>
      </c>
      <c r="AN61" s="592"/>
      <c r="AO61" s="519"/>
      <c r="AP61" s="592"/>
      <c r="AQ61" s="519"/>
      <c r="AR61" s="592"/>
      <c r="AS61" s="519"/>
      <c r="AT61" s="592"/>
      <c r="AU61" s="519"/>
      <c r="AV61" s="595">
        <f t="shared" si="30"/>
        <v>0</v>
      </c>
      <c r="AW61" s="595">
        <f t="shared" si="31"/>
        <v>0</v>
      </c>
      <c r="AX61" s="596">
        <f t="shared" si="32"/>
        <v>0</v>
      </c>
      <c r="AY61" s="596">
        <f t="shared" si="33"/>
        <v>0</v>
      </c>
      <c r="AZ61" s="595">
        <f t="shared" si="34"/>
        <v>1165.3666666666666</v>
      </c>
      <c r="BA61" s="596">
        <f t="shared" si="35"/>
        <v>1097.2666666666667</v>
      </c>
    </row>
    <row r="62" spans="1:53" s="1" customFormat="1">
      <c r="A62" s="411" t="s">
        <v>102</v>
      </c>
      <c r="B62" s="412" t="s">
        <v>121</v>
      </c>
      <c r="C62" s="413"/>
      <c r="D62" s="414">
        <v>106795</v>
      </c>
      <c r="E62" s="414">
        <v>10</v>
      </c>
      <c r="F62" s="592" t="s">
        <v>74</v>
      </c>
      <c r="G62" s="519" t="s">
        <v>74</v>
      </c>
      <c r="H62" s="592"/>
      <c r="I62" s="519"/>
      <c r="J62" s="592">
        <v>11987</v>
      </c>
      <c r="K62" s="519">
        <v>12227</v>
      </c>
      <c r="L62" s="592">
        <v>2334</v>
      </c>
      <c r="M62" s="519">
        <v>2238</v>
      </c>
      <c r="N62" s="592">
        <v>14237</v>
      </c>
      <c r="O62" s="519">
        <v>13134</v>
      </c>
      <c r="P62" s="595">
        <f t="shared" si="18"/>
        <v>28558</v>
      </c>
      <c r="Q62" s="595">
        <f t="shared" si="19"/>
        <v>951.93333333333328</v>
      </c>
      <c r="R62" s="596">
        <f t="shared" si="20"/>
        <v>27599</v>
      </c>
      <c r="S62" s="596">
        <f t="shared" si="21"/>
        <v>919.9666666666667</v>
      </c>
      <c r="T62" s="592">
        <v>4814</v>
      </c>
      <c r="U62" s="519">
        <v>6462</v>
      </c>
      <c r="V62" s="595">
        <f t="shared" si="22"/>
        <v>28558</v>
      </c>
      <c r="W62" s="596">
        <f t="shared" si="23"/>
        <v>27599</v>
      </c>
      <c r="X62" s="592"/>
      <c r="Y62" s="519"/>
      <c r="Z62" s="592"/>
      <c r="AA62" s="519"/>
      <c r="AB62" s="592"/>
      <c r="AC62" s="519"/>
      <c r="AD62" s="592"/>
      <c r="AE62" s="519"/>
      <c r="AF62" s="595">
        <f t="shared" si="24"/>
        <v>0</v>
      </c>
      <c r="AG62" s="595">
        <f t="shared" si="25"/>
        <v>0</v>
      </c>
      <c r="AH62" s="596">
        <f t="shared" si="26"/>
        <v>0</v>
      </c>
      <c r="AI62" s="596">
        <f t="shared" si="27"/>
        <v>0</v>
      </c>
      <c r="AJ62" s="592"/>
      <c r="AK62" s="519"/>
      <c r="AL62" s="595">
        <f t="shared" si="28"/>
        <v>0</v>
      </c>
      <c r="AM62" s="596">
        <f t="shared" si="29"/>
        <v>0</v>
      </c>
      <c r="AN62" s="592"/>
      <c r="AO62" s="519"/>
      <c r="AP62" s="592"/>
      <c r="AQ62" s="519"/>
      <c r="AR62" s="592"/>
      <c r="AS62" s="519"/>
      <c r="AT62" s="592"/>
      <c r="AU62" s="519"/>
      <c r="AV62" s="595">
        <f t="shared" si="30"/>
        <v>0</v>
      </c>
      <c r="AW62" s="595">
        <f t="shared" si="31"/>
        <v>0</v>
      </c>
      <c r="AX62" s="596">
        <f t="shared" si="32"/>
        <v>0</v>
      </c>
      <c r="AY62" s="596">
        <f t="shared" si="33"/>
        <v>0</v>
      </c>
      <c r="AZ62" s="595">
        <f t="shared" si="34"/>
        <v>951.93333333333328</v>
      </c>
      <c r="BA62" s="596">
        <f t="shared" si="35"/>
        <v>919.9666666666667</v>
      </c>
    </row>
    <row r="63" spans="1:53" s="1" customFormat="1">
      <c r="A63" s="414" t="s">
        <v>102</v>
      </c>
      <c r="B63" s="412" t="s">
        <v>122</v>
      </c>
      <c r="C63" s="413"/>
      <c r="D63" s="414">
        <v>106883</v>
      </c>
      <c r="E63" s="414">
        <v>10</v>
      </c>
      <c r="F63" s="592" t="s">
        <v>74</v>
      </c>
      <c r="G63" s="519" t="s">
        <v>74</v>
      </c>
      <c r="H63" s="592"/>
      <c r="I63" s="519"/>
      <c r="J63" s="592">
        <v>9131</v>
      </c>
      <c r="K63" s="519">
        <v>11061</v>
      </c>
      <c r="L63" s="592">
        <v>3672</v>
      </c>
      <c r="M63" s="519">
        <v>3226</v>
      </c>
      <c r="N63" s="592">
        <v>11898</v>
      </c>
      <c r="O63" s="519">
        <v>9355</v>
      </c>
      <c r="P63" s="595">
        <f t="shared" si="18"/>
        <v>24701</v>
      </c>
      <c r="Q63" s="595">
        <f t="shared" si="19"/>
        <v>823.36666666666667</v>
      </c>
      <c r="R63" s="596">
        <f t="shared" si="20"/>
        <v>23642</v>
      </c>
      <c r="S63" s="596">
        <f t="shared" si="21"/>
        <v>788.06666666666672</v>
      </c>
      <c r="T63" s="592">
        <v>4144</v>
      </c>
      <c r="U63" s="519">
        <v>3593</v>
      </c>
      <c r="V63" s="595">
        <f t="shared" si="22"/>
        <v>24701</v>
      </c>
      <c r="W63" s="596">
        <f t="shared" si="23"/>
        <v>23642</v>
      </c>
      <c r="X63" s="592"/>
      <c r="Y63" s="519"/>
      <c r="Z63" s="592"/>
      <c r="AA63" s="519"/>
      <c r="AB63" s="592"/>
      <c r="AC63" s="519"/>
      <c r="AD63" s="592"/>
      <c r="AE63" s="519"/>
      <c r="AF63" s="595">
        <f t="shared" si="24"/>
        <v>0</v>
      </c>
      <c r="AG63" s="595">
        <f t="shared" si="25"/>
        <v>0</v>
      </c>
      <c r="AH63" s="596">
        <f t="shared" si="26"/>
        <v>0</v>
      </c>
      <c r="AI63" s="596">
        <f t="shared" si="27"/>
        <v>0</v>
      </c>
      <c r="AJ63" s="592"/>
      <c r="AK63" s="519"/>
      <c r="AL63" s="595">
        <f t="shared" si="28"/>
        <v>0</v>
      </c>
      <c r="AM63" s="596">
        <f t="shared" si="29"/>
        <v>0</v>
      </c>
      <c r="AN63" s="592"/>
      <c r="AO63" s="519"/>
      <c r="AP63" s="592"/>
      <c r="AQ63" s="519"/>
      <c r="AR63" s="592"/>
      <c r="AS63" s="519"/>
      <c r="AT63" s="592"/>
      <c r="AU63" s="519"/>
      <c r="AV63" s="595">
        <f t="shared" si="30"/>
        <v>0</v>
      </c>
      <c r="AW63" s="595">
        <f t="shared" si="31"/>
        <v>0</v>
      </c>
      <c r="AX63" s="596">
        <f t="shared" si="32"/>
        <v>0</v>
      </c>
      <c r="AY63" s="596">
        <f t="shared" si="33"/>
        <v>0</v>
      </c>
      <c r="AZ63" s="595">
        <f t="shared" si="34"/>
        <v>823.36666666666667</v>
      </c>
      <c r="BA63" s="596">
        <f t="shared" si="35"/>
        <v>788.06666666666672</v>
      </c>
    </row>
    <row r="64" spans="1:53" s="1" customFormat="1">
      <c r="A64" s="411" t="s">
        <v>102</v>
      </c>
      <c r="B64" s="412" t="s">
        <v>123</v>
      </c>
      <c r="C64" s="413"/>
      <c r="D64" s="414">
        <v>107460</v>
      </c>
      <c r="E64" s="414">
        <v>10</v>
      </c>
      <c r="F64" s="592" t="s">
        <v>74</v>
      </c>
      <c r="G64" s="519" t="s">
        <v>74</v>
      </c>
      <c r="H64" s="592"/>
      <c r="I64" s="519"/>
      <c r="J64" s="592">
        <v>16591</v>
      </c>
      <c r="K64" s="519">
        <v>15790</v>
      </c>
      <c r="L64" s="592">
        <v>2480</v>
      </c>
      <c r="M64" s="519">
        <v>2879</v>
      </c>
      <c r="N64" s="592">
        <v>18594</v>
      </c>
      <c r="O64" s="519">
        <v>17315</v>
      </c>
      <c r="P64" s="595">
        <f t="shared" si="18"/>
        <v>37665</v>
      </c>
      <c r="Q64" s="595">
        <f t="shared" si="19"/>
        <v>1255.5</v>
      </c>
      <c r="R64" s="596">
        <f t="shared" si="20"/>
        <v>35984</v>
      </c>
      <c r="S64" s="596">
        <f t="shared" si="21"/>
        <v>1199.4666666666667</v>
      </c>
      <c r="T64" s="592">
        <v>3856</v>
      </c>
      <c r="U64" s="519">
        <v>3864</v>
      </c>
      <c r="V64" s="595">
        <f t="shared" si="22"/>
        <v>37665</v>
      </c>
      <c r="W64" s="596">
        <f t="shared" si="23"/>
        <v>35984</v>
      </c>
      <c r="X64" s="592"/>
      <c r="Y64" s="519"/>
      <c r="Z64" s="592"/>
      <c r="AA64" s="519"/>
      <c r="AB64" s="592"/>
      <c r="AC64" s="519"/>
      <c r="AD64" s="592"/>
      <c r="AE64" s="519"/>
      <c r="AF64" s="595">
        <f t="shared" si="24"/>
        <v>0</v>
      </c>
      <c r="AG64" s="595">
        <f t="shared" si="25"/>
        <v>0</v>
      </c>
      <c r="AH64" s="596">
        <f t="shared" si="26"/>
        <v>0</v>
      </c>
      <c r="AI64" s="596">
        <f t="shared" si="27"/>
        <v>0</v>
      </c>
      <c r="AJ64" s="592"/>
      <c r="AK64" s="519"/>
      <c r="AL64" s="595">
        <f t="shared" si="28"/>
        <v>0</v>
      </c>
      <c r="AM64" s="596">
        <f t="shared" si="29"/>
        <v>0</v>
      </c>
      <c r="AN64" s="592"/>
      <c r="AO64" s="519"/>
      <c r="AP64" s="592"/>
      <c r="AQ64" s="519"/>
      <c r="AR64" s="592"/>
      <c r="AS64" s="519"/>
      <c r="AT64" s="592"/>
      <c r="AU64" s="519"/>
      <c r="AV64" s="595">
        <f t="shared" si="30"/>
        <v>0</v>
      </c>
      <c r="AW64" s="595">
        <f t="shared" si="31"/>
        <v>0</v>
      </c>
      <c r="AX64" s="596">
        <f t="shared" si="32"/>
        <v>0</v>
      </c>
      <c r="AY64" s="596">
        <f t="shared" si="33"/>
        <v>0</v>
      </c>
      <c r="AZ64" s="595">
        <f t="shared" si="34"/>
        <v>1255.5</v>
      </c>
      <c r="BA64" s="596">
        <f t="shared" si="35"/>
        <v>1199.4666666666667</v>
      </c>
    </row>
    <row r="65" spans="1:53" s="1" customFormat="1">
      <c r="A65" s="414" t="s">
        <v>102</v>
      </c>
      <c r="B65" s="416" t="s">
        <v>115</v>
      </c>
      <c r="C65" s="415"/>
      <c r="D65" s="414">
        <v>106980</v>
      </c>
      <c r="E65" s="414">
        <v>10</v>
      </c>
      <c r="F65" s="592" t="s">
        <v>74</v>
      </c>
      <c r="G65" s="519" t="s">
        <v>74</v>
      </c>
      <c r="H65" s="592"/>
      <c r="I65" s="519"/>
      <c r="J65" s="592">
        <v>23487</v>
      </c>
      <c r="K65" s="519">
        <v>23417</v>
      </c>
      <c r="L65" s="592">
        <v>4456</v>
      </c>
      <c r="M65" s="519">
        <v>4639</v>
      </c>
      <c r="N65" s="592">
        <v>26273</v>
      </c>
      <c r="O65" s="519">
        <v>24729</v>
      </c>
      <c r="P65" s="595">
        <f t="shared" si="18"/>
        <v>54216</v>
      </c>
      <c r="Q65" s="595">
        <f t="shared" si="19"/>
        <v>1807.2</v>
      </c>
      <c r="R65" s="596">
        <f t="shared" si="20"/>
        <v>52785</v>
      </c>
      <c r="S65" s="596">
        <f t="shared" si="21"/>
        <v>1759.5</v>
      </c>
      <c r="T65" s="592">
        <v>4213</v>
      </c>
      <c r="U65" s="519">
        <v>5260</v>
      </c>
      <c r="V65" s="595">
        <f t="shared" si="22"/>
        <v>54216</v>
      </c>
      <c r="W65" s="596">
        <f t="shared" si="23"/>
        <v>52785</v>
      </c>
      <c r="X65" s="592"/>
      <c r="Y65" s="519"/>
      <c r="Z65" s="592"/>
      <c r="AA65" s="519"/>
      <c r="AB65" s="592"/>
      <c r="AC65" s="519"/>
      <c r="AD65" s="592"/>
      <c r="AE65" s="519"/>
      <c r="AF65" s="595">
        <f t="shared" si="24"/>
        <v>0</v>
      </c>
      <c r="AG65" s="595">
        <f t="shared" si="25"/>
        <v>0</v>
      </c>
      <c r="AH65" s="596">
        <f t="shared" si="26"/>
        <v>0</v>
      </c>
      <c r="AI65" s="596">
        <f t="shared" si="27"/>
        <v>0</v>
      </c>
      <c r="AJ65" s="592"/>
      <c r="AK65" s="519"/>
      <c r="AL65" s="595">
        <f t="shared" si="28"/>
        <v>0</v>
      </c>
      <c r="AM65" s="596">
        <f t="shared" si="29"/>
        <v>0</v>
      </c>
      <c r="AN65" s="592"/>
      <c r="AO65" s="519"/>
      <c r="AP65" s="592"/>
      <c r="AQ65" s="519"/>
      <c r="AR65" s="592"/>
      <c r="AS65" s="519"/>
      <c r="AT65" s="592"/>
      <c r="AU65" s="519"/>
      <c r="AV65" s="595">
        <f t="shared" si="30"/>
        <v>0</v>
      </c>
      <c r="AW65" s="595">
        <f t="shared" si="31"/>
        <v>0</v>
      </c>
      <c r="AX65" s="596">
        <f t="shared" si="32"/>
        <v>0</v>
      </c>
      <c r="AY65" s="596">
        <f t="shared" si="33"/>
        <v>0</v>
      </c>
      <c r="AZ65" s="595">
        <f t="shared" si="34"/>
        <v>1807.2</v>
      </c>
      <c r="BA65" s="596">
        <f t="shared" si="35"/>
        <v>1759.5</v>
      </c>
    </row>
    <row r="66" spans="1:53" s="1" customFormat="1">
      <c r="A66" s="411" t="s">
        <v>102</v>
      </c>
      <c r="B66" s="412" t="s">
        <v>113</v>
      </c>
      <c r="C66" s="539" t="s">
        <v>920</v>
      </c>
      <c r="D66" s="414">
        <v>367459</v>
      </c>
      <c r="E66" s="414">
        <v>8</v>
      </c>
      <c r="F66" s="592" t="s">
        <v>74</v>
      </c>
      <c r="G66" s="519" t="s">
        <v>74</v>
      </c>
      <c r="H66" s="592"/>
      <c r="I66" s="519"/>
      <c r="J66" s="592">
        <v>63515</v>
      </c>
      <c r="K66" s="519">
        <v>63624</v>
      </c>
      <c r="L66" s="592">
        <v>13622</v>
      </c>
      <c r="M66" s="519">
        <v>13384</v>
      </c>
      <c r="N66" s="592">
        <v>73609</v>
      </c>
      <c r="O66" s="519">
        <v>63953</v>
      </c>
      <c r="P66" s="595">
        <f t="shared" si="18"/>
        <v>150746</v>
      </c>
      <c r="Q66" s="595">
        <f t="shared" si="19"/>
        <v>5024.8666666666668</v>
      </c>
      <c r="R66" s="596">
        <f t="shared" si="20"/>
        <v>140961</v>
      </c>
      <c r="S66" s="596">
        <f t="shared" si="21"/>
        <v>4698.7</v>
      </c>
      <c r="T66" s="592">
        <v>24056</v>
      </c>
      <c r="U66" s="519">
        <v>23845</v>
      </c>
      <c r="V66" s="595">
        <f t="shared" si="22"/>
        <v>150746</v>
      </c>
      <c r="W66" s="596">
        <f t="shared" si="23"/>
        <v>140961</v>
      </c>
      <c r="X66" s="592"/>
      <c r="Y66" s="519"/>
      <c r="Z66" s="592"/>
      <c r="AA66" s="519"/>
      <c r="AB66" s="592"/>
      <c r="AC66" s="519"/>
      <c r="AD66" s="592"/>
      <c r="AE66" s="519"/>
      <c r="AF66" s="595">
        <f t="shared" si="24"/>
        <v>0</v>
      </c>
      <c r="AG66" s="595">
        <f t="shared" si="25"/>
        <v>0</v>
      </c>
      <c r="AH66" s="596">
        <f t="shared" si="26"/>
        <v>0</v>
      </c>
      <c r="AI66" s="596">
        <f t="shared" si="27"/>
        <v>0</v>
      </c>
      <c r="AJ66" s="592"/>
      <c r="AK66" s="519"/>
      <c r="AL66" s="595">
        <f t="shared" si="28"/>
        <v>0</v>
      </c>
      <c r="AM66" s="596">
        <f t="shared" si="29"/>
        <v>0</v>
      </c>
      <c r="AN66" s="592"/>
      <c r="AO66" s="519"/>
      <c r="AP66" s="592"/>
      <c r="AQ66" s="519"/>
      <c r="AR66" s="592"/>
      <c r="AS66" s="519"/>
      <c r="AT66" s="592"/>
      <c r="AU66" s="519"/>
      <c r="AV66" s="595">
        <f t="shared" si="30"/>
        <v>0</v>
      </c>
      <c r="AW66" s="595">
        <f t="shared" si="31"/>
        <v>0</v>
      </c>
      <c r="AX66" s="596">
        <f t="shared" si="32"/>
        <v>0</v>
      </c>
      <c r="AY66" s="596">
        <f t="shared" si="33"/>
        <v>0</v>
      </c>
      <c r="AZ66" s="595">
        <f t="shared" si="34"/>
        <v>5024.8666666666668</v>
      </c>
      <c r="BA66" s="596">
        <f t="shared" si="35"/>
        <v>4698.7</v>
      </c>
    </row>
    <row r="67" spans="1:53" s="1" customFormat="1">
      <c r="A67" s="411" t="s">
        <v>102</v>
      </c>
      <c r="B67" s="412" t="s">
        <v>124</v>
      </c>
      <c r="C67" s="413"/>
      <c r="D67" s="414">
        <v>107549</v>
      </c>
      <c r="E67" s="414">
        <v>10</v>
      </c>
      <c r="F67" s="592" t="s">
        <v>74</v>
      </c>
      <c r="G67" s="519" t="s">
        <v>74</v>
      </c>
      <c r="H67" s="592"/>
      <c r="I67" s="519"/>
      <c r="J67" s="592">
        <v>10621</v>
      </c>
      <c r="K67" s="519">
        <v>10189</v>
      </c>
      <c r="L67" s="592">
        <v>2294</v>
      </c>
      <c r="M67" s="519">
        <v>2583</v>
      </c>
      <c r="N67" s="592">
        <v>11253</v>
      </c>
      <c r="O67" s="519">
        <v>10168</v>
      </c>
      <c r="P67" s="595">
        <f t="shared" si="18"/>
        <v>24168</v>
      </c>
      <c r="Q67" s="595">
        <f t="shared" si="19"/>
        <v>805.6</v>
      </c>
      <c r="R67" s="596">
        <f t="shared" si="20"/>
        <v>22940</v>
      </c>
      <c r="S67" s="596">
        <f t="shared" si="21"/>
        <v>764.66666666666663</v>
      </c>
      <c r="T67" s="592">
        <v>3535</v>
      </c>
      <c r="U67" s="519">
        <v>3478</v>
      </c>
      <c r="V67" s="595">
        <f t="shared" si="22"/>
        <v>24168</v>
      </c>
      <c r="W67" s="596">
        <f t="shared" si="23"/>
        <v>22940</v>
      </c>
      <c r="X67" s="592"/>
      <c r="Y67" s="519"/>
      <c r="Z67" s="592"/>
      <c r="AA67" s="519"/>
      <c r="AB67" s="592"/>
      <c r="AC67" s="519"/>
      <c r="AD67" s="592"/>
      <c r="AE67" s="519"/>
      <c r="AF67" s="595">
        <f t="shared" si="24"/>
        <v>0</v>
      </c>
      <c r="AG67" s="595">
        <f t="shared" si="25"/>
        <v>0</v>
      </c>
      <c r="AH67" s="596">
        <f t="shared" si="26"/>
        <v>0</v>
      </c>
      <c r="AI67" s="596">
        <f t="shared" si="27"/>
        <v>0</v>
      </c>
      <c r="AJ67" s="592"/>
      <c r="AK67" s="519"/>
      <c r="AL67" s="595">
        <f t="shared" si="28"/>
        <v>0</v>
      </c>
      <c r="AM67" s="596">
        <f t="shared" si="29"/>
        <v>0</v>
      </c>
      <c r="AN67" s="592"/>
      <c r="AO67" s="519"/>
      <c r="AP67" s="592"/>
      <c r="AQ67" s="519"/>
      <c r="AR67" s="592"/>
      <c r="AS67" s="519"/>
      <c r="AT67" s="592"/>
      <c r="AU67" s="519"/>
      <c r="AV67" s="595">
        <f t="shared" si="30"/>
        <v>0</v>
      </c>
      <c r="AW67" s="595">
        <f t="shared" si="31"/>
        <v>0</v>
      </c>
      <c r="AX67" s="596">
        <f t="shared" si="32"/>
        <v>0</v>
      </c>
      <c r="AY67" s="596">
        <f t="shared" si="33"/>
        <v>0</v>
      </c>
      <c r="AZ67" s="595">
        <f t="shared" si="34"/>
        <v>805.6</v>
      </c>
      <c r="BA67" s="596">
        <f t="shared" si="35"/>
        <v>764.66666666666663</v>
      </c>
    </row>
    <row r="68" spans="1:53" s="1" customFormat="1">
      <c r="A68" s="411" t="s">
        <v>102</v>
      </c>
      <c r="B68" s="412" t="s">
        <v>125</v>
      </c>
      <c r="C68" s="413"/>
      <c r="D68" s="414">
        <v>107619</v>
      </c>
      <c r="E68" s="414">
        <v>10</v>
      </c>
      <c r="F68" s="592" t="s">
        <v>74</v>
      </c>
      <c r="G68" s="519" t="s">
        <v>74</v>
      </c>
      <c r="H68" s="592"/>
      <c r="I68" s="519"/>
      <c r="J68" s="592">
        <v>11375</v>
      </c>
      <c r="K68" s="519">
        <v>11064</v>
      </c>
      <c r="L68" s="592">
        <v>2576</v>
      </c>
      <c r="M68" s="519">
        <v>2802</v>
      </c>
      <c r="N68" s="592">
        <v>13912</v>
      </c>
      <c r="O68" s="519">
        <v>9863</v>
      </c>
      <c r="P68" s="595">
        <f t="shared" si="18"/>
        <v>27863</v>
      </c>
      <c r="Q68" s="595">
        <f t="shared" si="19"/>
        <v>928.76666666666665</v>
      </c>
      <c r="R68" s="596">
        <f t="shared" si="20"/>
        <v>23729</v>
      </c>
      <c r="S68" s="596">
        <f t="shared" si="21"/>
        <v>790.9666666666667</v>
      </c>
      <c r="T68" s="592">
        <v>6522</v>
      </c>
      <c r="U68" s="519">
        <v>4835</v>
      </c>
      <c r="V68" s="595">
        <f t="shared" si="22"/>
        <v>27863</v>
      </c>
      <c r="W68" s="596">
        <f t="shared" si="23"/>
        <v>23729</v>
      </c>
      <c r="X68" s="592"/>
      <c r="Y68" s="519"/>
      <c r="Z68" s="592"/>
      <c r="AA68" s="519"/>
      <c r="AB68" s="592"/>
      <c r="AC68" s="519"/>
      <c r="AD68" s="592"/>
      <c r="AE68" s="519"/>
      <c r="AF68" s="595">
        <f t="shared" si="24"/>
        <v>0</v>
      </c>
      <c r="AG68" s="595">
        <f t="shared" si="25"/>
        <v>0</v>
      </c>
      <c r="AH68" s="596">
        <f t="shared" si="26"/>
        <v>0</v>
      </c>
      <c r="AI68" s="596">
        <f t="shared" si="27"/>
        <v>0</v>
      </c>
      <c r="AJ68" s="592"/>
      <c r="AK68" s="519"/>
      <c r="AL68" s="595">
        <f t="shared" si="28"/>
        <v>0</v>
      </c>
      <c r="AM68" s="596">
        <f t="shared" si="29"/>
        <v>0</v>
      </c>
      <c r="AN68" s="592"/>
      <c r="AO68" s="519"/>
      <c r="AP68" s="592"/>
      <c r="AQ68" s="519"/>
      <c r="AR68" s="592"/>
      <c r="AS68" s="519"/>
      <c r="AT68" s="592"/>
      <c r="AU68" s="519"/>
      <c r="AV68" s="595">
        <f t="shared" si="30"/>
        <v>0</v>
      </c>
      <c r="AW68" s="595">
        <f t="shared" si="31"/>
        <v>0</v>
      </c>
      <c r="AX68" s="596">
        <f t="shared" si="32"/>
        <v>0</v>
      </c>
      <c r="AY68" s="596">
        <f t="shared" si="33"/>
        <v>0</v>
      </c>
      <c r="AZ68" s="595">
        <f t="shared" si="34"/>
        <v>928.76666666666665</v>
      </c>
      <c r="BA68" s="596">
        <f t="shared" si="35"/>
        <v>790.9666666666667</v>
      </c>
    </row>
    <row r="69" spans="1:53" s="1" customFormat="1">
      <c r="A69" s="411" t="s">
        <v>102</v>
      </c>
      <c r="B69" s="412" t="s">
        <v>126</v>
      </c>
      <c r="C69" s="413"/>
      <c r="D69" s="414">
        <v>107974</v>
      </c>
      <c r="E69" s="414">
        <v>10</v>
      </c>
      <c r="F69" s="592" t="s">
        <v>74</v>
      </c>
      <c r="G69" s="519" t="s">
        <v>74</v>
      </c>
      <c r="H69" s="592"/>
      <c r="I69" s="519"/>
      <c r="J69" s="592">
        <v>12802</v>
      </c>
      <c r="K69" s="519">
        <v>12437</v>
      </c>
      <c r="L69" s="592">
        <v>4955</v>
      </c>
      <c r="M69" s="519">
        <v>4360</v>
      </c>
      <c r="N69" s="592">
        <v>13298</v>
      </c>
      <c r="O69" s="519">
        <v>11939</v>
      </c>
      <c r="P69" s="595">
        <f t="shared" si="18"/>
        <v>31055</v>
      </c>
      <c r="Q69" s="595">
        <f t="shared" si="19"/>
        <v>1035.1666666666667</v>
      </c>
      <c r="R69" s="596">
        <f t="shared" si="20"/>
        <v>28736</v>
      </c>
      <c r="S69" s="596">
        <f t="shared" si="21"/>
        <v>957.86666666666667</v>
      </c>
      <c r="T69" s="592">
        <v>2969</v>
      </c>
      <c r="U69" s="519">
        <v>2676</v>
      </c>
      <c r="V69" s="595">
        <f t="shared" si="22"/>
        <v>31055</v>
      </c>
      <c r="W69" s="596">
        <f t="shared" si="23"/>
        <v>28736</v>
      </c>
      <c r="X69" s="592"/>
      <c r="Y69" s="519"/>
      <c r="Z69" s="592"/>
      <c r="AA69" s="519"/>
      <c r="AB69" s="592"/>
      <c r="AC69" s="519"/>
      <c r="AD69" s="592"/>
      <c r="AE69" s="519"/>
      <c r="AF69" s="595">
        <f t="shared" si="24"/>
        <v>0</v>
      </c>
      <c r="AG69" s="595">
        <f t="shared" si="25"/>
        <v>0</v>
      </c>
      <c r="AH69" s="596">
        <f t="shared" si="26"/>
        <v>0</v>
      </c>
      <c r="AI69" s="596">
        <f t="shared" si="27"/>
        <v>0</v>
      </c>
      <c r="AJ69" s="592"/>
      <c r="AK69" s="519"/>
      <c r="AL69" s="595">
        <f t="shared" si="28"/>
        <v>0</v>
      </c>
      <c r="AM69" s="596">
        <f t="shared" si="29"/>
        <v>0</v>
      </c>
      <c r="AN69" s="592"/>
      <c r="AO69" s="519"/>
      <c r="AP69" s="592"/>
      <c r="AQ69" s="519"/>
      <c r="AR69" s="592"/>
      <c r="AS69" s="519"/>
      <c r="AT69" s="592"/>
      <c r="AU69" s="519"/>
      <c r="AV69" s="595">
        <f t="shared" si="30"/>
        <v>0</v>
      </c>
      <c r="AW69" s="595">
        <f t="shared" si="31"/>
        <v>0</v>
      </c>
      <c r="AX69" s="596">
        <f t="shared" si="32"/>
        <v>0</v>
      </c>
      <c r="AY69" s="596">
        <f t="shared" si="33"/>
        <v>0</v>
      </c>
      <c r="AZ69" s="595">
        <f t="shared" si="34"/>
        <v>1035.1666666666667</v>
      </c>
      <c r="BA69" s="596">
        <f t="shared" si="35"/>
        <v>957.86666666666667</v>
      </c>
    </row>
    <row r="70" spans="1:53" s="1" customFormat="1">
      <c r="A70" s="414" t="s">
        <v>102</v>
      </c>
      <c r="B70" s="412" t="s">
        <v>128</v>
      </c>
      <c r="C70" s="413"/>
      <c r="D70" s="414">
        <v>107992</v>
      </c>
      <c r="E70" s="414">
        <v>10</v>
      </c>
      <c r="F70" s="592" t="s">
        <v>74</v>
      </c>
      <c r="G70" s="519" t="s">
        <v>74</v>
      </c>
      <c r="H70" s="592"/>
      <c r="I70" s="519"/>
      <c r="J70" s="592">
        <v>10778</v>
      </c>
      <c r="K70" s="519">
        <v>11040</v>
      </c>
      <c r="L70" s="592">
        <v>3272</v>
      </c>
      <c r="M70" s="519">
        <v>2973</v>
      </c>
      <c r="N70" s="592">
        <v>12410</v>
      </c>
      <c r="O70" s="519">
        <v>10721</v>
      </c>
      <c r="P70" s="595">
        <f t="shared" si="18"/>
        <v>26460</v>
      </c>
      <c r="Q70" s="595">
        <f t="shared" si="19"/>
        <v>882</v>
      </c>
      <c r="R70" s="596">
        <f t="shared" si="20"/>
        <v>24734</v>
      </c>
      <c r="S70" s="596">
        <f t="shared" si="21"/>
        <v>824.4666666666667</v>
      </c>
      <c r="T70" s="592">
        <v>3677</v>
      </c>
      <c r="U70" s="519">
        <v>2945</v>
      </c>
      <c r="V70" s="595">
        <f t="shared" si="22"/>
        <v>26460</v>
      </c>
      <c r="W70" s="596">
        <f t="shared" si="23"/>
        <v>24734</v>
      </c>
      <c r="X70" s="592"/>
      <c r="Y70" s="519"/>
      <c r="Z70" s="592"/>
      <c r="AA70" s="519"/>
      <c r="AB70" s="592"/>
      <c r="AC70" s="519"/>
      <c r="AD70" s="592"/>
      <c r="AE70" s="519"/>
      <c r="AF70" s="595">
        <f t="shared" si="24"/>
        <v>0</v>
      </c>
      <c r="AG70" s="595">
        <f t="shared" si="25"/>
        <v>0</v>
      </c>
      <c r="AH70" s="596">
        <f t="shared" si="26"/>
        <v>0</v>
      </c>
      <c r="AI70" s="596">
        <f t="shared" si="27"/>
        <v>0</v>
      </c>
      <c r="AJ70" s="592"/>
      <c r="AK70" s="519"/>
      <c r="AL70" s="595">
        <f t="shared" si="28"/>
        <v>0</v>
      </c>
      <c r="AM70" s="596">
        <f t="shared" si="29"/>
        <v>0</v>
      </c>
      <c r="AN70" s="592"/>
      <c r="AO70" s="519"/>
      <c r="AP70" s="592"/>
      <c r="AQ70" s="519"/>
      <c r="AR70" s="592"/>
      <c r="AS70" s="519"/>
      <c r="AT70" s="592"/>
      <c r="AU70" s="519"/>
      <c r="AV70" s="595">
        <f t="shared" si="30"/>
        <v>0</v>
      </c>
      <c r="AW70" s="595">
        <f t="shared" si="31"/>
        <v>0</v>
      </c>
      <c r="AX70" s="596">
        <f t="shared" si="32"/>
        <v>0</v>
      </c>
      <c r="AY70" s="596">
        <f t="shared" si="33"/>
        <v>0</v>
      </c>
      <c r="AZ70" s="595">
        <f t="shared" si="34"/>
        <v>882</v>
      </c>
      <c r="BA70" s="596">
        <f t="shared" si="35"/>
        <v>824.4666666666667</v>
      </c>
    </row>
    <row r="71" spans="1:53" s="1" customFormat="1">
      <c r="A71" s="411" t="s">
        <v>102</v>
      </c>
      <c r="B71" s="412" t="s">
        <v>127</v>
      </c>
      <c r="C71" s="413"/>
      <c r="D71" s="414">
        <v>107637</v>
      </c>
      <c r="E71" s="414">
        <v>10</v>
      </c>
      <c r="F71" s="592" t="s">
        <v>74</v>
      </c>
      <c r="G71" s="519" t="s">
        <v>74</v>
      </c>
      <c r="H71" s="592"/>
      <c r="I71" s="519"/>
      <c r="J71" s="592">
        <v>10381</v>
      </c>
      <c r="K71" s="519">
        <v>10768</v>
      </c>
      <c r="L71" s="592">
        <v>3413</v>
      </c>
      <c r="M71" s="519">
        <v>3293</v>
      </c>
      <c r="N71" s="592">
        <v>12578</v>
      </c>
      <c r="O71" s="519">
        <v>10539</v>
      </c>
      <c r="P71" s="595">
        <f t="shared" si="18"/>
        <v>26372</v>
      </c>
      <c r="Q71" s="595">
        <f t="shared" si="19"/>
        <v>879.06666666666672</v>
      </c>
      <c r="R71" s="596">
        <f t="shared" si="20"/>
        <v>24600</v>
      </c>
      <c r="S71" s="596">
        <f t="shared" si="21"/>
        <v>820</v>
      </c>
      <c r="T71" s="592">
        <v>2026</v>
      </c>
      <c r="U71" s="519">
        <v>1821</v>
      </c>
      <c r="V71" s="595">
        <f t="shared" si="22"/>
        <v>26372</v>
      </c>
      <c r="W71" s="596">
        <f t="shared" si="23"/>
        <v>24600</v>
      </c>
      <c r="X71" s="592"/>
      <c r="Y71" s="519"/>
      <c r="Z71" s="592"/>
      <c r="AA71" s="519"/>
      <c r="AB71" s="592"/>
      <c r="AC71" s="519"/>
      <c r="AD71" s="592"/>
      <c r="AE71" s="519"/>
      <c r="AF71" s="595">
        <f t="shared" si="24"/>
        <v>0</v>
      </c>
      <c r="AG71" s="595">
        <f t="shared" si="25"/>
        <v>0</v>
      </c>
      <c r="AH71" s="596">
        <f t="shared" si="26"/>
        <v>0</v>
      </c>
      <c r="AI71" s="596">
        <f t="shared" si="27"/>
        <v>0</v>
      </c>
      <c r="AJ71" s="592"/>
      <c r="AK71" s="519"/>
      <c r="AL71" s="595">
        <f t="shared" si="28"/>
        <v>0</v>
      </c>
      <c r="AM71" s="596">
        <f t="shared" si="29"/>
        <v>0</v>
      </c>
      <c r="AN71" s="592"/>
      <c r="AO71" s="519"/>
      <c r="AP71" s="592"/>
      <c r="AQ71" s="519"/>
      <c r="AR71" s="592"/>
      <c r="AS71" s="519"/>
      <c r="AT71" s="592"/>
      <c r="AU71" s="519"/>
      <c r="AV71" s="595">
        <f t="shared" si="30"/>
        <v>0</v>
      </c>
      <c r="AW71" s="595">
        <f t="shared" si="31"/>
        <v>0</v>
      </c>
      <c r="AX71" s="596">
        <f t="shared" si="32"/>
        <v>0</v>
      </c>
      <c r="AY71" s="596">
        <f t="shared" si="33"/>
        <v>0</v>
      </c>
      <c r="AZ71" s="595">
        <f t="shared" si="34"/>
        <v>879.06666666666672</v>
      </c>
      <c r="BA71" s="596">
        <f t="shared" si="35"/>
        <v>820</v>
      </c>
    </row>
    <row r="72" spans="1:53" s="1" customFormat="1">
      <c r="A72" s="414" t="s">
        <v>102</v>
      </c>
      <c r="B72" s="412" t="s">
        <v>129</v>
      </c>
      <c r="C72" s="413"/>
      <c r="D72" s="414">
        <v>106999</v>
      </c>
      <c r="E72" s="414">
        <v>10</v>
      </c>
      <c r="F72" s="592" t="s">
        <v>74</v>
      </c>
      <c r="G72" s="519" t="s">
        <v>74</v>
      </c>
      <c r="H72" s="592"/>
      <c r="I72" s="519"/>
      <c r="J72" s="592">
        <v>12012</v>
      </c>
      <c r="K72" s="519">
        <v>12151</v>
      </c>
      <c r="L72" s="592">
        <v>2968</v>
      </c>
      <c r="M72" s="519">
        <v>2609</v>
      </c>
      <c r="N72" s="592">
        <v>14654</v>
      </c>
      <c r="O72" s="519">
        <v>12753</v>
      </c>
      <c r="P72" s="595">
        <f t="shared" ref="P72:P135" si="36">SUM(H72,J72,L72,N72)</f>
        <v>29634</v>
      </c>
      <c r="Q72" s="595">
        <f t="shared" ref="Q72:Q135" si="37">+P72/30</f>
        <v>987.8</v>
      </c>
      <c r="R72" s="596">
        <f t="shared" ref="R72:R135" si="38">SUM(I72,K72,M72,O72)</f>
        <v>27513</v>
      </c>
      <c r="S72" s="596">
        <f t="shared" ref="S72:S135" si="39">+R72/30</f>
        <v>917.1</v>
      </c>
      <c r="T72" s="592">
        <v>4662</v>
      </c>
      <c r="U72" s="519">
        <v>4273</v>
      </c>
      <c r="V72" s="595">
        <f t="shared" ref="V72:V135" si="40">IF(ISBLANK(T72),0,P72)</f>
        <v>29634</v>
      </c>
      <c r="W72" s="596">
        <f t="shared" ref="W72:W135" si="41">IF(ISBLANK(U72),0,R72)</f>
        <v>27513</v>
      </c>
      <c r="X72" s="592"/>
      <c r="Y72" s="519"/>
      <c r="Z72" s="592"/>
      <c r="AA72" s="519"/>
      <c r="AB72" s="592"/>
      <c r="AC72" s="519"/>
      <c r="AD72" s="592"/>
      <c r="AE72" s="519"/>
      <c r="AF72" s="595">
        <f t="shared" ref="AF72:AF135" si="42">SUM(X72,Z72,AB72,AD72)</f>
        <v>0</v>
      </c>
      <c r="AG72" s="595">
        <f t="shared" ref="AG72:AG135" si="43">+AF72/900</f>
        <v>0</v>
      </c>
      <c r="AH72" s="596">
        <f t="shared" ref="AH72:AH135" si="44">SUM(Y72,AA72,AC72,AE72)</f>
        <v>0</v>
      </c>
      <c r="AI72" s="596">
        <f t="shared" ref="AI72:AI135" si="45">+AH72/900</f>
        <v>0</v>
      </c>
      <c r="AJ72" s="592"/>
      <c r="AK72" s="519"/>
      <c r="AL72" s="595">
        <f t="shared" ref="AL72:AL135" si="46">IF(ISBLANK(AJ72),0,AF72)</f>
        <v>0</v>
      </c>
      <c r="AM72" s="596">
        <f t="shared" ref="AM72:AM135" si="47">IF(ISBLANK(AK72),0,AH72)</f>
        <v>0</v>
      </c>
      <c r="AN72" s="592"/>
      <c r="AO72" s="519"/>
      <c r="AP72" s="592"/>
      <c r="AQ72" s="519"/>
      <c r="AR72" s="592"/>
      <c r="AS72" s="519"/>
      <c r="AT72" s="592"/>
      <c r="AU72" s="519"/>
      <c r="AV72" s="595">
        <f t="shared" ref="AV72:AV135" si="48">SUM(AN72,AP72,AR72,AT72)</f>
        <v>0</v>
      </c>
      <c r="AW72" s="595">
        <f t="shared" ref="AW72:AW135" si="49">+AV72/24</f>
        <v>0</v>
      </c>
      <c r="AX72" s="596">
        <f t="shared" ref="AX72:AX135" si="50">SUM(AO72,AQ72,AS72,AU72)</f>
        <v>0</v>
      </c>
      <c r="AY72" s="596">
        <f t="shared" ref="AY72:AY135" si="51">+AX72/24</f>
        <v>0</v>
      </c>
      <c r="AZ72" s="595">
        <f t="shared" ref="AZ72:AZ135" si="52">SUM(Q72,AG72,AW72)</f>
        <v>987.8</v>
      </c>
      <c r="BA72" s="596">
        <f t="shared" ref="BA72:BA135" si="53">SUM(S72,AI72,AY72)</f>
        <v>917.1</v>
      </c>
    </row>
    <row r="73" spans="1:53" s="1" customFormat="1">
      <c r="A73" s="411" t="s">
        <v>102</v>
      </c>
      <c r="B73" s="412" t="s">
        <v>836</v>
      </c>
      <c r="C73" s="413"/>
      <c r="D73" s="414">
        <v>107725</v>
      </c>
      <c r="E73" s="414">
        <v>10</v>
      </c>
      <c r="F73" s="592" t="s">
        <v>74</v>
      </c>
      <c r="G73" s="519" t="s">
        <v>74</v>
      </c>
      <c r="H73" s="592"/>
      <c r="I73" s="519"/>
      <c r="J73" s="592">
        <v>12947</v>
      </c>
      <c r="K73" s="519">
        <v>12157</v>
      </c>
      <c r="L73" s="592">
        <v>2264</v>
      </c>
      <c r="M73" s="519">
        <v>2415</v>
      </c>
      <c r="N73" s="592">
        <v>13158</v>
      </c>
      <c r="O73" s="519">
        <v>11563</v>
      </c>
      <c r="P73" s="595">
        <f t="shared" si="36"/>
        <v>28369</v>
      </c>
      <c r="Q73" s="595">
        <f t="shared" si="37"/>
        <v>945.63333333333333</v>
      </c>
      <c r="R73" s="596">
        <f t="shared" si="38"/>
        <v>26135</v>
      </c>
      <c r="S73" s="596">
        <f t="shared" si="39"/>
        <v>871.16666666666663</v>
      </c>
      <c r="T73" s="592">
        <v>5709</v>
      </c>
      <c r="U73" s="519">
        <v>5996</v>
      </c>
      <c r="V73" s="595">
        <f t="shared" si="40"/>
        <v>28369</v>
      </c>
      <c r="W73" s="596">
        <f t="shared" si="41"/>
        <v>26135</v>
      </c>
      <c r="X73" s="592"/>
      <c r="Y73" s="519"/>
      <c r="Z73" s="592"/>
      <c r="AA73" s="519"/>
      <c r="AB73" s="592"/>
      <c r="AC73" s="519"/>
      <c r="AD73" s="592"/>
      <c r="AE73" s="519"/>
      <c r="AF73" s="595">
        <f t="shared" si="42"/>
        <v>0</v>
      </c>
      <c r="AG73" s="595">
        <f t="shared" si="43"/>
        <v>0</v>
      </c>
      <c r="AH73" s="596">
        <f t="shared" si="44"/>
        <v>0</v>
      </c>
      <c r="AI73" s="596">
        <f t="shared" si="45"/>
        <v>0</v>
      </c>
      <c r="AJ73" s="592"/>
      <c r="AK73" s="519"/>
      <c r="AL73" s="595">
        <f t="shared" si="46"/>
        <v>0</v>
      </c>
      <c r="AM73" s="596">
        <f t="shared" si="47"/>
        <v>0</v>
      </c>
      <c r="AN73" s="592"/>
      <c r="AO73" s="519"/>
      <c r="AP73" s="592"/>
      <c r="AQ73" s="519"/>
      <c r="AR73" s="592"/>
      <c r="AS73" s="519"/>
      <c r="AT73" s="592"/>
      <c r="AU73" s="519"/>
      <c r="AV73" s="595">
        <f t="shared" si="48"/>
        <v>0</v>
      </c>
      <c r="AW73" s="595">
        <f t="shared" si="49"/>
        <v>0</v>
      </c>
      <c r="AX73" s="596">
        <f t="shared" si="50"/>
        <v>0</v>
      </c>
      <c r="AY73" s="596">
        <f t="shared" si="51"/>
        <v>0</v>
      </c>
      <c r="AZ73" s="595">
        <f t="shared" si="52"/>
        <v>945.63333333333333</v>
      </c>
      <c r="BA73" s="596">
        <f t="shared" si="53"/>
        <v>871.16666666666663</v>
      </c>
    </row>
    <row r="74" spans="1:53" s="1" customFormat="1">
      <c r="A74" s="414" t="s">
        <v>102</v>
      </c>
      <c r="B74" s="412" t="s">
        <v>130</v>
      </c>
      <c r="C74" s="413"/>
      <c r="D74" s="414">
        <v>107585</v>
      </c>
      <c r="E74" s="414">
        <v>10</v>
      </c>
      <c r="F74" s="592" t="s">
        <v>74</v>
      </c>
      <c r="G74" s="519" t="s">
        <v>74</v>
      </c>
      <c r="H74" s="592"/>
      <c r="I74" s="519"/>
      <c r="J74" s="592">
        <v>18307</v>
      </c>
      <c r="K74" s="519">
        <v>17756</v>
      </c>
      <c r="L74" s="592">
        <v>3499</v>
      </c>
      <c r="M74" s="519">
        <v>3011</v>
      </c>
      <c r="N74" s="592">
        <v>20014</v>
      </c>
      <c r="O74" s="519">
        <v>19832</v>
      </c>
      <c r="P74" s="595">
        <f t="shared" si="36"/>
        <v>41820</v>
      </c>
      <c r="Q74" s="595">
        <f t="shared" si="37"/>
        <v>1394</v>
      </c>
      <c r="R74" s="596">
        <f t="shared" si="38"/>
        <v>40599</v>
      </c>
      <c r="S74" s="596">
        <f t="shared" si="39"/>
        <v>1353.3</v>
      </c>
      <c r="T74" s="592">
        <v>2662</v>
      </c>
      <c r="U74" s="519">
        <v>2707</v>
      </c>
      <c r="V74" s="595">
        <f t="shared" si="40"/>
        <v>41820</v>
      </c>
      <c r="W74" s="596">
        <f t="shared" si="41"/>
        <v>40599</v>
      </c>
      <c r="X74" s="592"/>
      <c r="Y74" s="519"/>
      <c r="Z74" s="592"/>
      <c r="AA74" s="519"/>
      <c r="AB74" s="592"/>
      <c r="AC74" s="519"/>
      <c r="AD74" s="592"/>
      <c r="AE74" s="519"/>
      <c r="AF74" s="595">
        <f t="shared" si="42"/>
        <v>0</v>
      </c>
      <c r="AG74" s="595">
        <f t="shared" si="43"/>
        <v>0</v>
      </c>
      <c r="AH74" s="596">
        <f t="shared" si="44"/>
        <v>0</v>
      </c>
      <c r="AI74" s="596">
        <f t="shared" si="45"/>
        <v>0</v>
      </c>
      <c r="AJ74" s="592"/>
      <c r="AK74" s="519"/>
      <c r="AL74" s="595">
        <f t="shared" si="46"/>
        <v>0</v>
      </c>
      <c r="AM74" s="596">
        <f t="shared" si="47"/>
        <v>0</v>
      </c>
      <c r="AN74" s="592"/>
      <c r="AO74" s="519"/>
      <c r="AP74" s="592"/>
      <c r="AQ74" s="519"/>
      <c r="AR74" s="592"/>
      <c r="AS74" s="519"/>
      <c r="AT74" s="592"/>
      <c r="AU74" s="519"/>
      <c r="AV74" s="595">
        <f t="shared" si="48"/>
        <v>0</v>
      </c>
      <c r="AW74" s="595">
        <f t="shared" si="49"/>
        <v>0</v>
      </c>
      <c r="AX74" s="596">
        <f t="shared" si="50"/>
        <v>0</v>
      </c>
      <c r="AY74" s="596">
        <f t="shared" si="51"/>
        <v>0</v>
      </c>
      <c r="AZ74" s="595">
        <f t="shared" si="52"/>
        <v>1394</v>
      </c>
      <c r="BA74" s="596">
        <f t="shared" si="53"/>
        <v>1353.3</v>
      </c>
    </row>
    <row r="75" spans="1:53" s="1" customFormat="1">
      <c r="A75" s="411" t="s">
        <v>102</v>
      </c>
      <c r="B75" s="412" t="s">
        <v>813</v>
      </c>
      <c r="C75" s="413"/>
      <c r="D75" s="414">
        <v>107743</v>
      </c>
      <c r="E75" s="414">
        <v>10</v>
      </c>
      <c r="F75" s="592" t="s">
        <v>74</v>
      </c>
      <c r="G75" s="519" t="s">
        <v>74</v>
      </c>
      <c r="H75" s="592"/>
      <c r="I75" s="519"/>
      <c r="J75" s="592">
        <v>6616</v>
      </c>
      <c r="K75" s="519">
        <v>7204</v>
      </c>
      <c r="L75" s="592">
        <v>1446</v>
      </c>
      <c r="M75" s="519">
        <v>1077</v>
      </c>
      <c r="N75" s="592">
        <v>8581</v>
      </c>
      <c r="O75" s="519">
        <v>8940</v>
      </c>
      <c r="P75" s="595">
        <f t="shared" si="36"/>
        <v>16643</v>
      </c>
      <c r="Q75" s="595">
        <f t="shared" si="37"/>
        <v>554.76666666666665</v>
      </c>
      <c r="R75" s="596">
        <f t="shared" si="38"/>
        <v>17221</v>
      </c>
      <c r="S75" s="596">
        <f t="shared" si="39"/>
        <v>574.0333333333333</v>
      </c>
      <c r="T75" s="592">
        <v>3089</v>
      </c>
      <c r="U75" s="519">
        <v>2735</v>
      </c>
      <c r="V75" s="595">
        <f t="shared" si="40"/>
        <v>16643</v>
      </c>
      <c r="W75" s="596">
        <f t="shared" si="41"/>
        <v>17221</v>
      </c>
      <c r="X75" s="592"/>
      <c r="Y75" s="519"/>
      <c r="Z75" s="592"/>
      <c r="AA75" s="519"/>
      <c r="AB75" s="592"/>
      <c r="AC75" s="519"/>
      <c r="AD75" s="592"/>
      <c r="AE75" s="519"/>
      <c r="AF75" s="595">
        <f t="shared" si="42"/>
        <v>0</v>
      </c>
      <c r="AG75" s="595">
        <f t="shared" si="43"/>
        <v>0</v>
      </c>
      <c r="AH75" s="596">
        <f t="shared" si="44"/>
        <v>0</v>
      </c>
      <c r="AI75" s="596">
        <f t="shared" si="45"/>
        <v>0</v>
      </c>
      <c r="AJ75" s="592"/>
      <c r="AK75" s="519"/>
      <c r="AL75" s="595">
        <f t="shared" si="46"/>
        <v>0</v>
      </c>
      <c r="AM75" s="596">
        <f t="shared" si="47"/>
        <v>0</v>
      </c>
      <c r="AN75" s="592"/>
      <c r="AO75" s="519"/>
      <c r="AP75" s="592"/>
      <c r="AQ75" s="519"/>
      <c r="AR75" s="592"/>
      <c r="AS75" s="519"/>
      <c r="AT75" s="592"/>
      <c r="AU75" s="519"/>
      <c r="AV75" s="595">
        <f t="shared" si="48"/>
        <v>0</v>
      </c>
      <c r="AW75" s="595">
        <f t="shared" si="49"/>
        <v>0</v>
      </c>
      <c r="AX75" s="596">
        <f t="shared" si="50"/>
        <v>0</v>
      </c>
      <c r="AY75" s="596">
        <f t="shared" si="51"/>
        <v>0</v>
      </c>
      <c r="AZ75" s="595">
        <f t="shared" si="52"/>
        <v>554.76666666666665</v>
      </c>
      <c r="BA75" s="596">
        <f t="shared" si="53"/>
        <v>574.0333333333333</v>
      </c>
    </row>
    <row r="76" spans="1:53" s="1" customFormat="1">
      <c r="A76" s="414" t="s">
        <v>102</v>
      </c>
      <c r="B76" s="412" t="s">
        <v>812</v>
      </c>
      <c r="C76" s="415"/>
      <c r="D76" s="414">
        <v>107664</v>
      </c>
      <c r="E76" s="414">
        <v>9</v>
      </c>
      <c r="F76" s="592" t="s">
        <v>74</v>
      </c>
      <c r="G76" s="519" t="s">
        <v>74</v>
      </c>
      <c r="H76" s="592"/>
      <c r="I76" s="519"/>
      <c r="J76" s="592">
        <v>47677</v>
      </c>
      <c r="K76" s="519">
        <v>51561</v>
      </c>
      <c r="L76" s="592">
        <v>11302</v>
      </c>
      <c r="M76" s="519">
        <v>11753</v>
      </c>
      <c r="N76" s="592">
        <v>55272</v>
      </c>
      <c r="O76" s="519">
        <v>49410</v>
      </c>
      <c r="P76" s="595">
        <f t="shared" si="36"/>
        <v>114251</v>
      </c>
      <c r="Q76" s="595">
        <f t="shared" si="37"/>
        <v>3808.3666666666668</v>
      </c>
      <c r="R76" s="596">
        <f t="shared" si="38"/>
        <v>112724</v>
      </c>
      <c r="S76" s="596">
        <f t="shared" si="39"/>
        <v>3757.4666666666667</v>
      </c>
      <c r="T76" s="592">
        <v>8471</v>
      </c>
      <c r="U76" s="519">
        <v>5345</v>
      </c>
      <c r="V76" s="595">
        <f t="shared" si="40"/>
        <v>114251</v>
      </c>
      <c r="W76" s="596">
        <f t="shared" si="41"/>
        <v>112724</v>
      </c>
      <c r="X76" s="592"/>
      <c r="Y76" s="519"/>
      <c r="Z76" s="592"/>
      <c r="AA76" s="519"/>
      <c r="AB76" s="592"/>
      <c r="AC76" s="519"/>
      <c r="AD76" s="592"/>
      <c r="AE76" s="519"/>
      <c r="AF76" s="595">
        <f t="shared" si="42"/>
        <v>0</v>
      </c>
      <c r="AG76" s="595">
        <f t="shared" si="43"/>
        <v>0</v>
      </c>
      <c r="AH76" s="596">
        <f t="shared" si="44"/>
        <v>0</v>
      </c>
      <c r="AI76" s="596">
        <f t="shared" si="45"/>
        <v>0</v>
      </c>
      <c r="AJ76" s="592"/>
      <c r="AK76" s="519"/>
      <c r="AL76" s="595">
        <f t="shared" si="46"/>
        <v>0</v>
      </c>
      <c r="AM76" s="596">
        <f t="shared" si="47"/>
        <v>0</v>
      </c>
      <c r="AN76" s="592"/>
      <c r="AO76" s="519"/>
      <c r="AP76" s="592"/>
      <c r="AQ76" s="519"/>
      <c r="AR76" s="592"/>
      <c r="AS76" s="519"/>
      <c r="AT76" s="592"/>
      <c r="AU76" s="519"/>
      <c r="AV76" s="595">
        <f t="shared" si="48"/>
        <v>0</v>
      </c>
      <c r="AW76" s="595">
        <f t="shared" si="49"/>
        <v>0</v>
      </c>
      <c r="AX76" s="596">
        <f t="shared" si="50"/>
        <v>0</v>
      </c>
      <c r="AY76" s="596">
        <f t="shared" si="51"/>
        <v>0</v>
      </c>
      <c r="AZ76" s="595">
        <f t="shared" si="52"/>
        <v>3808.3666666666668</v>
      </c>
      <c r="BA76" s="596">
        <f t="shared" si="53"/>
        <v>3757.4666666666667</v>
      </c>
    </row>
    <row r="77" spans="1:53" s="365" customFormat="1" ht="13.5" customHeight="1">
      <c r="A77" s="417" t="s">
        <v>431</v>
      </c>
      <c r="B77" s="418" t="s">
        <v>432</v>
      </c>
      <c r="C77" s="419"/>
      <c r="D77" s="417">
        <v>130943</v>
      </c>
      <c r="E77" s="417">
        <v>1</v>
      </c>
      <c r="F77" s="592"/>
      <c r="G77" s="519"/>
      <c r="H77" s="592">
        <v>27893</v>
      </c>
      <c r="I77" s="519">
        <v>27294</v>
      </c>
      <c r="J77" s="592">
        <v>265680</v>
      </c>
      <c r="K77" s="519">
        <v>264814</v>
      </c>
      <c r="L77" s="592">
        <v>18429</v>
      </c>
      <c r="M77" s="519">
        <v>29207</v>
      </c>
      <c r="N77" s="592">
        <v>287289</v>
      </c>
      <c r="O77" s="519">
        <v>279297</v>
      </c>
      <c r="P77" s="595">
        <f t="shared" si="36"/>
        <v>599291</v>
      </c>
      <c r="Q77" s="595">
        <f t="shared" si="37"/>
        <v>19976.366666666665</v>
      </c>
      <c r="R77" s="596">
        <f t="shared" si="38"/>
        <v>600612</v>
      </c>
      <c r="S77" s="596">
        <f t="shared" si="39"/>
        <v>20020.400000000001</v>
      </c>
      <c r="T77" s="592"/>
      <c r="U77" s="519"/>
      <c r="V77" s="595">
        <f t="shared" si="40"/>
        <v>0</v>
      </c>
      <c r="W77" s="596">
        <f t="shared" si="41"/>
        <v>0</v>
      </c>
      <c r="X77" s="592"/>
      <c r="Y77" s="519"/>
      <c r="Z77" s="592"/>
      <c r="AA77" s="519"/>
      <c r="AB77" s="592"/>
      <c r="AC77" s="519"/>
      <c r="AD77" s="592"/>
      <c r="AE77" s="519"/>
      <c r="AF77" s="595">
        <f t="shared" si="42"/>
        <v>0</v>
      </c>
      <c r="AG77" s="595">
        <f t="shared" si="43"/>
        <v>0</v>
      </c>
      <c r="AH77" s="596">
        <f t="shared" si="44"/>
        <v>0</v>
      </c>
      <c r="AI77" s="596">
        <f t="shared" si="45"/>
        <v>0</v>
      </c>
      <c r="AJ77" s="592"/>
      <c r="AK77" s="519"/>
      <c r="AL77" s="595">
        <f t="shared" si="46"/>
        <v>0</v>
      </c>
      <c r="AM77" s="596">
        <f t="shared" si="47"/>
        <v>0</v>
      </c>
      <c r="AN77" s="592">
        <v>2292</v>
      </c>
      <c r="AO77" s="519">
        <v>2465</v>
      </c>
      <c r="AP77" s="592">
        <v>30363</v>
      </c>
      <c r="AQ77" s="519">
        <v>30287</v>
      </c>
      <c r="AR77" s="592">
        <v>10297</v>
      </c>
      <c r="AS77" s="519">
        <v>8166</v>
      </c>
      <c r="AT77" s="592">
        <v>32900</v>
      </c>
      <c r="AU77" s="519">
        <v>33690</v>
      </c>
      <c r="AV77" s="595">
        <f t="shared" si="48"/>
        <v>75852</v>
      </c>
      <c r="AW77" s="595">
        <f t="shared" si="49"/>
        <v>3160.5</v>
      </c>
      <c r="AX77" s="596">
        <f t="shared" si="50"/>
        <v>74608</v>
      </c>
      <c r="AY77" s="596">
        <f t="shared" si="51"/>
        <v>3108.6666666666665</v>
      </c>
      <c r="AZ77" s="595">
        <f t="shared" si="52"/>
        <v>23136.866666666665</v>
      </c>
      <c r="BA77" s="596">
        <f t="shared" si="53"/>
        <v>23129.066666666669</v>
      </c>
    </row>
    <row r="78" spans="1:53" s="1" customFormat="1">
      <c r="A78" s="417" t="s">
        <v>431</v>
      </c>
      <c r="B78" s="418" t="s">
        <v>433</v>
      </c>
      <c r="C78" s="420"/>
      <c r="D78" s="417">
        <v>130934</v>
      </c>
      <c r="E78" s="417">
        <v>3</v>
      </c>
      <c r="F78" s="592"/>
      <c r="G78" s="519"/>
      <c r="H78" s="592"/>
      <c r="I78" s="519"/>
      <c r="J78" s="592">
        <v>55845</v>
      </c>
      <c r="K78" s="519">
        <v>58128</v>
      </c>
      <c r="L78" s="592">
        <v>10297</v>
      </c>
      <c r="M78" s="519">
        <v>10113</v>
      </c>
      <c r="N78" s="592">
        <v>62039</v>
      </c>
      <c r="O78" s="519">
        <v>63465</v>
      </c>
      <c r="P78" s="595">
        <f t="shared" si="36"/>
        <v>128181</v>
      </c>
      <c r="Q78" s="595">
        <f t="shared" si="37"/>
        <v>4272.7</v>
      </c>
      <c r="R78" s="596">
        <f t="shared" si="38"/>
        <v>131706</v>
      </c>
      <c r="S78" s="596">
        <f t="shared" si="39"/>
        <v>4390.2</v>
      </c>
      <c r="T78" s="592"/>
      <c r="U78" s="519"/>
      <c r="V78" s="595">
        <f t="shared" si="40"/>
        <v>0</v>
      </c>
      <c r="W78" s="596">
        <f t="shared" si="41"/>
        <v>0</v>
      </c>
      <c r="X78" s="592"/>
      <c r="Y78" s="519"/>
      <c r="Z78" s="592"/>
      <c r="AA78" s="519"/>
      <c r="AB78" s="592"/>
      <c r="AC78" s="519"/>
      <c r="AD78" s="592"/>
      <c r="AE78" s="519"/>
      <c r="AF78" s="595">
        <f t="shared" si="42"/>
        <v>0</v>
      </c>
      <c r="AG78" s="595">
        <f t="shared" si="43"/>
        <v>0</v>
      </c>
      <c r="AH78" s="596">
        <f t="shared" si="44"/>
        <v>0</v>
      </c>
      <c r="AI78" s="596">
        <f t="shared" si="45"/>
        <v>0</v>
      </c>
      <c r="AJ78" s="592"/>
      <c r="AK78" s="519"/>
      <c r="AL78" s="595">
        <f t="shared" si="46"/>
        <v>0</v>
      </c>
      <c r="AM78" s="596">
        <f t="shared" si="47"/>
        <v>0</v>
      </c>
      <c r="AN78" s="592"/>
      <c r="AO78" s="519"/>
      <c r="AP78" s="592">
        <v>3186</v>
      </c>
      <c r="AQ78" s="519">
        <v>3930</v>
      </c>
      <c r="AR78" s="592">
        <v>780</v>
      </c>
      <c r="AS78" s="519">
        <v>1429</v>
      </c>
      <c r="AT78" s="592">
        <v>3277</v>
      </c>
      <c r="AU78" s="519">
        <v>3995</v>
      </c>
      <c r="AV78" s="595">
        <f t="shared" si="48"/>
        <v>7243</v>
      </c>
      <c r="AW78" s="595">
        <f t="shared" si="49"/>
        <v>301.79166666666669</v>
      </c>
      <c r="AX78" s="596">
        <f t="shared" si="50"/>
        <v>9354</v>
      </c>
      <c r="AY78" s="596">
        <f t="shared" si="51"/>
        <v>389.75</v>
      </c>
      <c r="AZ78" s="595">
        <f t="shared" si="52"/>
        <v>4574.4916666666668</v>
      </c>
      <c r="BA78" s="596">
        <f t="shared" si="53"/>
        <v>4779.95</v>
      </c>
    </row>
    <row r="79" spans="1:53" s="1" customFormat="1">
      <c r="A79" s="417" t="s">
        <v>431</v>
      </c>
      <c r="B79" s="418" t="s">
        <v>434</v>
      </c>
      <c r="C79" s="540" t="s">
        <v>921</v>
      </c>
      <c r="D79" s="417">
        <v>130907</v>
      </c>
      <c r="E79" s="417">
        <v>9</v>
      </c>
      <c r="F79" s="592"/>
      <c r="G79" s="519"/>
      <c r="H79" s="592"/>
      <c r="I79" s="519"/>
      <c r="J79" s="592">
        <v>107651</v>
      </c>
      <c r="K79" s="519">
        <v>100220</v>
      </c>
      <c r="L79" s="592">
        <v>30148</v>
      </c>
      <c r="M79" s="519">
        <v>32370</v>
      </c>
      <c r="N79" s="592">
        <v>121988</v>
      </c>
      <c r="O79" s="519">
        <v>116491</v>
      </c>
      <c r="P79" s="595">
        <f t="shared" si="36"/>
        <v>259787</v>
      </c>
      <c r="Q79" s="595">
        <f t="shared" si="37"/>
        <v>8659.5666666666675</v>
      </c>
      <c r="R79" s="596">
        <f t="shared" si="38"/>
        <v>249081</v>
      </c>
      <c r="S79" s="596">
        <f t="shared" si="39"/>
        <v>8302.7000000000007</v>
      </c>
      <c r="T79" s="592"/>
      <c r="U79" s="519"/>
      <c r="V79" s="595">
        <f t="shared" si="40"/>
        <v>0</v>
      </c>
      <c r="W79" s="596">
        <f t="shared" si="41"/>
        <v>0</v>
      </c>
      <c r="X79" s="592"/>
      <c r="Y79" s="519"/>
      <c r="Z79" s="592"/>
      <c r="AA79" s="519"/>
      <c r="AB79" s="592"/>
      <c r="AC79" s="519"/>
      <c r="AD79" s="592"/>
      <c r="AE79" s="519"/>
      <c r="AF79" s="595">
        <f t="shared" si="42"/>
        <v>0</v>
      </c>
      <c r="AG79" s="595">
        <f t="shared" si="43"/>
        <v>0</v>
      </c>
      <c r="AH79" s="596">
        <f t="shared" si="44"/>
        <v>0</v>
      </c>
      <c r="AI79" s="596">
        <f t="shared" si="45"/>
        <v>0</v>
      </c>
      <c r="AJ79" s="592"/>
      <c r="AK79" s="519"/>
      <c r="AL79" s="595">
        <f t="shared" si="46"/>
        <v>0</v>
      </c>
      <c r="AM79" s="596">
        <f t="shared" si="47"/>
        <v>0</v>
      </c>
      <c r="AN79" s="592"/>
      <c r="AO79" s="519"/>
      <c r="AP79" s="592"/>
      <c r="AQ79" s="519"/>
      <c r="AR79" s="592"/>
      <c r="AS79" s="519"/>
      <c r="AT79" s="592"/>
      <c r="AU79" s="519"/>
      <c r="AV79" s="595">
        <f t="shared" si="48"/>
        <v>0</v>
      </c>
      <c r="AW79" s="595">
        <f t="shared" si="49"/>
        <v>0</v>
      </c>
      <c r="AX79" s="596">
        <f t="shared" si="50"/>
        <v>0</v>
      </c>
      <c r="AY79" s="596">
        <f t="shared" si="51"/>
        <v>0</v>
      </c>
      <c r="AZ79" s="595">
        <f t="shared" si="52"/>
        <v>8659.5666666666675</v>
      </c>
      <c r="BA79" s="596">
        <f t="shared" si="53"/>
        <v>8302.7000000000007</v>
      </c>
    </row>
    <row r="80" spans="1:53" s="365" customFormat="1" ht="13.5" customHeight="1">
      <c r="A80" s="421" t="s">
        <v>131</v>
      </c>
      <c r="B80" s="422" t="s">
        <v>132</v>
      </c>
      <c r="C80" s="423"/>
      <c r="D80" s="421">
        <v>132693</v>
      </c>
      <c r="E80" s="421">
        <v>7</v>
      </c>
      <c r="F80" s="592"/>
      <c r="G80" s="519"/>
      <c r="H80" s="592"/>
      <c r="I80" s="519"/>
      <c r="J80" s="592">
        <v>127638</v>
      </c>
      <c r="K80" s="541">
        <v>127669</v>
      </c>
      <c r="L80" s="592">
        <v>50812</v>
      </c>
      <c r="M80" s="541">
        <v>53421</v>
      </c>
      <c r="N80" s="592">
        <v>134887</v>
      </c>
      <c r="O80" s="541">
        <v>124032</v>
      </c>
      <c r="P80" s="595">
        <f t="shared" si="36"/>
        <v>313337</v>
      </c>
      <c r="Q80" s="595">
        <f t="shared" si="37"/>
        <v>10444.566666666668</v>
      </c>
      <c r="R80" s="596">
        <f t="shared" si="38"/>
        <v>305122</v>
      </c>
      <c r="S80" s="596">
        <f t="shared" si="39"/>
        <v>10170.733333333334</v>
      </c>
      <c r="T80" s="592">
        <v>60958</v>
      </c>
      <c r="U80" s="541">
        <v>60572</v>
      </c>
      <c r="V80" s="595">
        <f t="shared" si="40"/>
        <v>313337</v>
      </c>
      <c r="W80" s="596">
        <f t="shared" si="41"/>
        <v>305122</v>
      </c>
      <c r="X80" s="592"/>
      <c r="Y80" s="519"/>
      <c r="Z80" s="592">
        <v>140839</v>
      </c>
      <c r="AA80" s="541">
        <v>160119</v>
      </c>
      <c r="AB80" s="592">
        <v>39390</v>
      </c>
      <c r="AC80" s="541">
        <v>21876</v>
      </c>
      <c r="AD80" s="592">
        <v>119244</v>
      </c>
      <c r="AE80" s="541">
        <v>97947</v>
      </c>
      <c r="AF80" s="595">
        <f t="shared" si="42"/>
        <v>299473</v>
      </c>
      <c r="AG80" s="595">
        <f t="shared" si="43"/>
        <v>332.7477777777778</v>
      </c>
      <c r="AH80" s="596">
        <f t="shared" si="44"/>
        <v>279942</v>
      </c>
      <c r="AI80" s="596">
        <f t="shared" si="45"/>
        <v>311.04666666666668</v>
      </c>
      <c r="AJ80" s="592">
        <v>23585</v>
      </c>
      <c r="AK80" s="541">
        <v>21860</v>
      </c>
      <c r="AL80" s="595">
        <f t="shared" si="46"/>
        <v>299473</v>
      </c>
      <c r="AM80" s="596">
        <f t="shared" si="47"/>
        <v>279942</v>
      </c>
      <c r="AN80" s="592"/>
      <c r="AO80" s="519"/>
      <c r="AP80" s="592"/>
      <c r="AQ80" s="519"/>
      <c r="AR80" s="592"/>
      <c r="AS80" s="519"/>
      <c r="AT80" s="592"/>
      <c r="AU80" s="519"/>
      <c r="AV80" s="595">
        <f t="shared" si="48"/>
        <v>0</v>
      </c>
      <c r="AW80" s="595">
        <f t="shared" si="49"/>
        <v>0</v>
      </c>
      <c r="AX80" s="596">
        <f t="shared" si="50"/>
        <v>0</v>
      </c>
      <c r="AY80" s="596">
        <f t="shared" si="51"/>
        <v>0</v>
      </c>
      <c r="AZ80" s="595">
        <f t="shared" si="52"/>
        <v>10777.314444444446</v>
      </c>
      <c r="BA80" s="596">
        <f t="shared" si="53"/>
        <v>10481.780000000001</v>
      </c>
    </row>
    <row r="81" spans="1:53" s="1" customFormat="1">
      <c r="A81" s="421" t="s">
        <v>131</v>
      </c>
      <c r="B81" s="422" t="s">
        <v>133</v>
      </c>
      <c r="C81" s="423"/>
      <c r="D81" s="421">
        <v>132709</v>
      </c>
      <c r="E81" s="421">
        <v>7</v>
      </c>
      <c r="F81" s="592"/>
      <c r="G81" s="519"/>
      <c r="H81" s="592"/>
      <c r="I81" s="519"/>
      <c r="J81" s="592">
        <v>325009</v>
      </c>
      <c r="K81" s="541">
        <v>306238</v>
      </c>
      <c r="L81" s="592">
        <v>165999</v>
      </c>
      <c r="M81" s="541">
        <v>153503</v>
      </c>
      <c r="N81" s="592">
        <v>335411</v>
      </c>
      <c r="O81" s="541">
        <v>301326</v>
      </c>
      <c r="P81" s="595">
        <f t="shared" si="36"/>
        <v>826419</v>
      </c>
      <c r="Q81" s="595">
        <f t="shared" si="37"/>
        <v>27547.3</v>
      </c>
      <c r="R81" s="596">
        <f t="shared" si="38"/>
        <v>761067</v>
      </c>
      <c r="S81" s="596">
        <f t="shared" si="39"/>
        <v>25368.9</v>
      </c>
      <c r="T81" s="592">
        <v>76482</v>
      </c>
      <c r="U81" s="541">
        <v>65528</v>
      </c>
      <c r="V81" s="595">
        <f t="shared" si="40"/>
        <v>826419</v>
      </c>
      <c r="W81" s="596">
        <f t="shared" si="41"/>
        <v>761067</v>
      </c>
      <c r="X81" s="592"/>
      <c r="Y81" s="519"/>
      <c r="Z81" s="592">
        <v>97009</v>
      </c>
      <c r="AA81" s="541">
        <v>68290</v>
      </c>
      <c r="AB81" s="592">
        <v>73292</v>
      </c>
      <c r="AC81" s="541">
        <v>15576</v>
      </c>
      <c r="AD81" s="592">
        <v>56416</v>
      </c>
      <c r="AE81" s="541">
        <v>99592</v>
      </c>
      <c r="AF81" s="595">
        <f t="shared" si="42"/>
        <v>226717</v>
      </c>
      <c r="AG81" s="595">
        <f t="shared" si="43"/>
        <v>251.90777777777777</v>
      </c>
      <c r="AH81" s="596">
        <f t="shared" si="44"/>
        <v>183458</v>
      </c>
      <c r="AI81" s="596">
        <f t="shared" si="45"/>
        <v>203.84222222222223</v>
      </c>
      <c r="AJ81" s="592">
        <v>7573</v>
      </c>
      <c r="AK81" s="541">
        <v>0</v>
      </c>
      <c r="AL81" s="595">
        <f t="shared" si="46"/>
        <v>226717</v>
      </c>
      <c r="AM81" s="596">
        <f t="shared" si="47"/>
        <v>183458</v>
      </c>
      <c r="AN81" s="592"/>
      <c r="AO81" s="519"/>
      <c r="AP81" s="592"/>
      <c r="AQ81" s="519"/>
      <c r="AR81" s="592"/>
      <c r="AS81" s="519"/>
      <c r="AT81" s="592"/>
      <c r="AU81" s="519"/>
      <c r="AV81" s="595">
        <f t="shared" si="48"/>
        <v>0</v>
      </c>
      <c r="AW81" s="595">
        <f t="shared" si="49"/>
        <v>0</v>
      </c>
      <c r="AX81" s="596">
        <f t="shared" si="50"/>
        <v>0</v>
      </c>
      <c r="AY81" s="596">
        <f t="shared" si="51"/>
        <v>0</v>
      </c>
      <c r="AZ81" s="595">
        <f t="shared" si="52"/>
        <v>27799.207777777778</v>
      </c>
      <c r="BA81" s="596">
        <f t="shared" si="53"/>
        <v>25572.742222222223</v>
      </c>
    </row>
    <row r="82" spans="1:53" s="1" customFormat="1">
      <c r="A82" s="421" t="s">
        <v>131</v>
      </c>
      <c r="B82" s="422" t="s">
        <v>134</v>
      </c>
      <c r="C82" s="423"/>
      <c r="D82" s="421">
        <v>132851</v>
      </c>
      <c r="E82" s="421">
        <v>7</v>
      </c>
      <c r="F82" s="592"/>
      <c r="G82" s="519"/>
      <c r="H82" s="592"/>
      <c r="I82" s="519"/>
      <c r="J82" s="592">
        <v>59649</v>
      </c>
      <c r="K82" s="541">
        <v>57789</v>
      </c>
      <c r="L82" s="592">
        <v>23812</v>
      </c>
      <c r="M82" s="541">
        <v>24432</v>
      </c>
      <c r="N82" s="592">
        <v>62897</v>
      </c>
      <c r="O82" s="541">
        <v>57082</v>
      </c>
      <c r="P82" s="595">
        <f t="shared" si="36"/>
        <v>146358</v>
      </c>
      <c r="Q82" s="595">
        <f t="shared" si="37"/>
        <v>4878.6000000000004</v>
      </c>
      <c r="R82" s="596">
        <f t="shared" si="38"/>
        <v>139303</v>
      </c>
      <c r="S82" s="596">
        <f t="shared" si="39"/>
        <v>4643.4333333333334</v>
      </c>
      <c r="T82" s="592">
        <v>20212</v>
      </c>
      <c r="U82" s="541">
        <v>20511</v>
      </c>
      <c r="V82" s="595">
        <f t="shared" si="40"/>
        <v>146358</v>
      </c>
      <c r="W82" s="596">
        <f t="shared" si="41"/>
        <v>139303</v>
      </c>
      <c r="X82" s="592"/>
      <c r="Y82" s="519"/>
      <c r="Z82" s="592">
        <v>46756</v>
      </c>
      <c r="AA82" s="541">
        <v>53333</v>
      </c>
      <c r="AB82" s="592">
        <v>46649</v>
      </c>
      <c r="AC82" s="541">
        <v>24476</v>
      </c>
      <c r="AD82" s="592">
        <v>67221</v>
      </c>
      <c r="AE82" s="541">
        <v>59275</v>
      </c>
      <c r="AF82" s="595">
        <f t="shared" si="42"/>
        <v>160626</v>
      </c>
      <c r="AG82" s="595">
        <f t="shared" si="43"/>
        <v>178.47333333333333</v>
      </c>
      <c r="AH82" s="596">
        <f t="shared" si="44"/>
        <v>137084</v>
      </c>
      <c r="AI82" s="596">
        <f t="shared" si="45"/>
        <v>152.31555555555556</v>
      </c>
      <c r="AJ82" s="592">
        <v>4380</v>
      </c>
      <c r="AK82" s="541">
        <v>5910</v>
      </c>
      <c r="AL82" s="595">
        <f t="shared" si="46"/>
        <v>160626</v>
      </c>
      <c r="AM82" s="596">
        <f t="shared" si="47"/>
        <v>137084</v>
      </c>
      <c r="AN82" s="592"/>
      <c r="AO82" s="519"/>
      <c r="AP82" s="592"/>
      <c r="AQ82" s="519"/>
      <c r="AR82" s="592"/>
      <c r="AS82" s="519"/>
      <c r="AT82" s="592"/>
      <c r="AU82" s="519"/>
      <c r="AV82" s="595">
        <f t="shared" si="48"/>
        <v>0</v>
      </c>
      <c r="AW82" s="595">
        <f t="shared" si="49"/>
        <v>0</v>
      </c>
      <c r="AX82" s="596">
        <f t="shared" si="50"/>
        <v>0</v>
      </c>
      <c r="AY82" s="596">
        <f t="shared" si="51"/>
        <v>0</v>
      </c>
      <c r="AZ82" s="595">
        <f t="shared" si="52"/>
        <v>5057.0733333333337</v>
      </c>
      <c r="BA82" s="596">
        <f t="shared" si="53"/>
        <v>4795.7488888888893</v>
      </c>
    </row>
    <row r="83" spans="1:53" s="1" customFormat="1">
      <c r="A83" s="421" t="s">
        <v>131</v>
      </c>
      <c r="B83" s="422" t="s">
        <v>135</v>
      </c>
      <c r="C83" s="424"/>
      <c r="D83" s="421">
        <v>133021</v>
      </c>
      <c r="E83" s="421">
        <v>7</v>
      </c>
      <c r="F83" s="592"/>
      <c r="G83" s="519"/>
      <c r="H83" s="592"/>
      <c r="I83" s="519"/>
      <c r="J83" s="592">
        <v>16328</v>
      </c>
      <c r="K83" s="541">
        <v>15610</v>
      </c>
      <c r="L83" s="592">
        <v>4708</v>
      </c>
      <c r="M83" s="541">
        <v>5118</v>
      </c>
      <c r="N83" s="592">
        <v>17344</v>
      </c>
      <c r="O83" s="541">
        <v>16676</v>
      </c>
      <c r="P83" s="595">
        <f t="shared" si="36"/>
        <v>38380</v>
      </c>
      <c r="Q83" s="595">
        <f t="shared" si="37"/>
        <v>1279.3333333333333</v>
      </c>
      <c r="R83" s="596">
        <f t="shared" si="38"/>
        <v>37404</v>
      </c>
      <c r="S83" s="596">
        <f t="shared" si="39"/>
        <v>1246.8</v>
      </c>
      <c r="T83" s="592">
        <v>8009</v>
      </c>
      <c r="U83" s="541">
        <v>7982</v>
      </c>
      <c r="V83" s="595">
        <f t="shared" si="40"/>
        <v>38380</v>
      </c>
      <c r="W83" s="596">
        <f t="shared" si="41"/>
        <v>37404</v>
      </c>
      <c r="X83" s="592"/>
      <c r="Y83" s="519"/>
      <c r="Z83" s="592">
        <v>52324</v>
      </c>
      <c r="AA83" s="541">
        <v>46348</v>
      </c>
      <c r="AB83" s="592">
        <v>16415</v>
      </c>
      <c r="AC83" s="541">
        <v>27055</v>
      </c>
      <c r="AD83" s="592">
        <v>56749</v>
      </c>
      <c r="AE83" s="541">
        <v>60038</v>
      </c>
      <c r="AF83" s="595">
        <f t="shared" si="42"/>
        <v>125488</v>
      </c>
      <c r="AG83" s="595">
        <f t="shared" si="43"/>
        <v>139.43111111111111</v>
      </c>
      <c r="AH83" s="596">
        <f t="shared" si="44"/>
        <v>133441</v>
      </c>
      <c r="AI83" s="596">
        <f t="shared" si="45"/>
        <v>148.26777777777778</v>
      </c>
      <c r="AJ83" s="592">
        <v>1020</v>
      </c>
      <c r="AK83" s="541">
        <v>3210</v>
      </c>
      <c r="AL83" s="595">
        <f t="shared" si="46"/>
        <v>125488</v>
      </c>
      <c r="AM83" s="596">
        <f t="shared" si="47"/>
        <v>133441</v>
      </c>
      <c r="AN83" s="592"/>
      <c r="AO83" s="519"/>
      <c r="AP83" s="592"/>
      <c r="AQ83" s="519"/>
      <c r="AR83" s="592"/>
      <c r="AS83" s="519"/>
      <c r="AT83" s="592"/>
      <c r="AU83" s="519"/>
      <c r="AV83" s="595">
        <f t="shared" si="48"/>
        <v>0</v>
      </c>
      <c r="AW83" s="595">
        <f t="shared" si="49"/>
        <v>0</v>
      </c>
      <c r="AX83" s="596">
        <f t="shared" si="50"/>
        <v>0</v>
      </c>
      <c r="AY83" s="596">
        <f t="shared" si="51"/>
        <v>0</v>
      </c>
      <c r="AZ83" s="595">
        <f t="shared" si="52"/>
        <v>1418.7644444444443</v>
      </c>
      <c r="BA83" s="596">
        <f t="shared" si="53"/>
        <v>1395.0677777777778</v>
      </c>
    </row>
    <row r="84" spans="1:53" s="1" customFormat="1">
      <c r="A84" s="421" t="s">
        <v>131</v>
      </c>
      <c r="B84" s="422" t="s">
        <v>136</v>
      </c>
      <c r="C84" s="424"/>
      <c r="D84" s="421">
        <v>133386</v>
      </c>
      <c r="E84" s="421">
        <v>7</v>
      </c>
      <c r="F84" s="592"/>
      <c r="G84" s="519"/>
      <c r="H84" s="592"/>
      <c r="I84" s="519"/>
      <c r="J84" s="592">
        <v>114978</v>
      </c>
      <c r="K84" s="541">
        <v>116276</v>
      </c>
      <c r="L84" s="592">
        <v>43369</v>
      </c>
      <c r="M84" s="541">
        <v>44333</v>
      </c>
      <c r="N84" s="592">
        <v>124666</v>
      </c>
      <c r="O84" s="541">
        <v>118104</v>
      </c>
      <c r="P84" s="595">
        <f t="shared" si="36"/>
        <v>283013</v>
      </c>
      <c r="Q84" s="595">
        <f t="shared" si="37"/>
        <v>9433.7666666666664</v>
      </c>
      <c r="R84" s="596">
        <f t="shared" si="38"/>
        <v>278713</v>
      </c>
      <c r="S84" s="596">
        <f t="shared" si="39"/>
        <v>9290.4333333333325</v>
      </c>
      <c r="T84" s="592">
        <v>42775</v>
      </c>
      <c r="U84" s="541">
        <v>42905</v>
      </c>
      <c r="V84" s="595">
        <f t="shared" si="40"/>
        <v>283013</v>
      </c>
      <c r="W84" s="596">
        <f t="shared" si="41"/>
        <v>278713</v>
      </c>
      <c r="X84" s="592"/>
      <c r="Y84" s="519"/>
      <c r="Z84" s="592">
        <v>624866</v>
      </c>
      <c r="AA84" s="541">
        <v>548380</v>
      </c>
      <c r="AB84" s="592">
        <v>331309</v>
      </c>
      <c r="AC84" s="541">
        <v>252868</v>
      </c>
      <c r="AD84" s="592">
        <v>550959</v>
      </c>
      <c r="AE84" s="541">
        <v>460628</v>
      </c>
      <c r="AF84" s="595">
        <f t="shared" si="42"/>
        <v>1507134</v>
      </c>
      <c r="AG84" s="595">
        <f t="shared" si="43"/>
        <v>1674.5933333333332</v>
      </c>
      <c r="AH84" s="596">
        <f t="shared" si="44"/>
        <v>1261876</v>
      </c>
      <c r="AI84" s="596">
        <f t="shared" si="45"/>
        <v>1402.0844444444444</v>
      </c>
      <c r="AJ84" s="592">
        <v>13935</v>
      </c>
      <c r="AK84" s="541">
        <v>10820</v>
      </c>
      <c r="AL84" s="595">
        <f t="shared" si="46"/>
        <v>1507134</v>
      </c>
      <c r="AM84" s="596">
        <f t="shared" si="47"/>
        <v>1261876</v>
      </c>
      <c r="AN84" s="592"/>
      <c r="AO84" s="519"/>
      <c r="AP84" s="592"/>
      <c r="AQ84" s="519"/>
      <c r="AR84" s="592"/>
      <c r="AS84" s="519"/>
      <c r="AT84" s="592"/>
      <c r="AU84" s="519"/>
      <c r="AV84" s="595">
        <f t="shared" si="48"/>
        <v>0</v>
      </c>
      <c r="AW84" s="595">
        <f t="shared" si="49"/>
        <v>0</v>
      </c>
      <c r="AX84" s="596">
        <f t="shared" si="50"/>
        <v>0</v>
      </c>
      <c r="AY84" s="596">
        <f t="shared" si="51"/>
        <v>0</v>
      </c>
      <c r="AZ84" s="595">
        <f t="shared" si="52"/>
        <v>11108.36</v>
      </c>
      <c r="BA84" s="596">
        <f t="shared" si="53"/>
        <v>10692.517777777777</v>
      </c>
    </row>
    <row r="85" spans="1:53" s="1" customFormat="1">
      <c r="A85" s="421" t="s">
        <v>131</v>
      </c>
      <c r="B85" s="422" t="s">
        <v>137</v>
      </c>
      <c r="C85" s="424"/>
      <c r="D85" s="421">
        <v>133508</v>
      </c>
      <c r="E85" s="421">
        <v>7</v>
      </c>
      <c r="F85" s="592"/>
      <c r="G85" s="519"/>
      <c r="H85" s="592"/>
      <c r="I85" s="519"/>
      <c r="J85" s="592">
        <v>137759</v>
      </c>
      <c r="K85" s="541">
        <v>131986</v>
      </c>
      <c r="L85" s="592">
        <v>45142</v>
      </c>
      <c r="M85" s="541">
        <v>41741</v>
      </c>
      <c r="N85" s="592">
        <v>147596</v>
      </c>
      <c r="O85" s="541">
        <v>136908</v>
      </c>
      <c r="P85" s="595">
        <f t="shared" si="36"/>
        <v>330497</v>
      </c>
      <c r="Q85" s="595">
        <f t="shared" si="37"/>
        <v>11016.566666666668</v>
      </c>
      <c r="R85" s="596">
        <f t="shared" si="38"/>
        <v>310635</v>
      </c>
      <c r="S85" s="596">
        <f t="shared" si="39"/>
        <v>10354.5</v>
      </c>
      <c r="T85" s="592">
        <v>52037</v>
      </c>
      <c r="U85" s="541">
        <v>45171</v>
      </c>
      <c r="V85" s="595">
        <f t="shared" si="40"/>
        <v>330497</v>
      </c>
      <c r="W85" s="596">
        <f t="shared" si="41"/>
        <v>310635</v>
      </c>
      <c r="X85" s="592"/>
      <c r="Y85" s="519"/>
      <c r="Z85" s="592">
        <v>4350</v>
      </c>
      <c r="AA85" s="541">
        <v>4800</v>
      </c>
      <c r="AB85" s="592">
        <v>8100</v>
      </c>
      <c r="AC85" s="541">
        <v>12450</v>
      </c>
      <c r="AD85" s="592">
        <v>3900</v>
      </c>
      <c r="AE85" s="541">
        <v>6720</v>
      </c>
      <c r="AF85" s="595">
        <f t="shared" si="42"/>
        <v>16350</v>
      </c>
      <c r="AG85" s="595">
        <f t="shared" si="43"/>
        <v>18.166666666666668</v>
      </c>
      <c r="AH85" s="596">
        <f t="shared" si="44"/>
        <v>23970</v>
      </c>
      <c r="AI85" s="596">
        <f t="shared" si="45"/>
        <v>26.633333333333333</v>
      </c>
      <c r="AJ85" s="592">
        <v>0</v>
      </c>
      <c r="AK85" s="541">
        <v>0</v>
      </c>
      <c r="AL85" s="595">
        <f t="shared" si="46"/>
        <v>16350</v>
      </c>
      <c r="AM85" s="596">
        <f t="shared" si="47"/>
        <v>23970</v>
      </c>
      <c r="AN85" s="592"/>
      <c r="AO85" s="519"/>
      <c r="AP85" s="592"/>
      <c r="AQ85" s="519"/>
      <c r="AR85" s="592"/>
      <c r="AS85" s="519"/>
      <c r="AT85" s="592"/>
      <c r="AU85" s="519"/>
      <c r="AV85" s="595">
        <f t="shared" si="48"/>
        <v>0</v>
      </c>
      <c r="AW85" s="595">
        <f t="shared" si="49"/>
        <v>0</v>
      </c>
      <c r="AX85" s="596">
        <f t="shared" si="50"/>
        <v>0</v>
      </c>
      <c r="AY85" s="596">
        <f t="shared" si="51"/>
        <v>0</v>
      </c>
      <c r="AZ85" s="595">
        <f t="shared" si="52"/>
        <v>11034.733333333334</v>
      </c>
      <c r="BA85" s="596">
        <f t="shared" si="53"/>
        <v>10381.133333333333</v>
      </c>
    </row>
    <row r="86" spans="1:53" s="1" customFormat="1">
      <c r="A86" s="421" t="s">
        <v>131</v>
      </c>
      <c r="B86" s="422" t="s">
        <v>138</v>
      </c>
      <c r="C86" s="425"/>
      <c r="D86" s="421">
        <v>133702</v>
      </c>
      <c r="E86" s="421">
        <v>7</v>
      </c>
      <c r="F86" s="592"/>
      <c r="G86" s="519"/>
      <c r="H86" s="592"/>
      <c r="I86" s="519"/>
      <c r="J86" s="592">
        <v>184360</v>
      </c>
      <c r="K86" s="541">
        <v>184397</v>
      </c>
      <c r="L86" s="592">
        <v>101331</v>
      </c>
      <c r="M86" s="541">
        <v>97946</v>
      </c>
      <c r="N86" s="592">
        <v>194222</v>
      </c>
      <c r="O86" s="541">
        <v>178559</v>
      </c>
      <c r="P86" s="595">
        <f t="shared" si="36"/>
        <v>479913</v>
      </c>
      <c r="Q86" s="595">
        <f t="shared" si="37"/>
        <v>15997.1</v>
      </c>
      <c r="R86" s="596">
        <f t="shared" si="38"/>
        <v>460902</v>
      </c>
      <c r="S86" s="596">
        <f t="shared" si="39"/>
        <v>15363.4</v>
      </c>
      <c r="T86" s="592">
        <v>42345</v>
      </c>
      <c r="U86" s="541">
        <v>38431</v>
      </c>
      <c r="V86" s="595">
        <f t="shared" si="40"/>
        <v>479913</v>
      </c>
      <c r="W86" s="596">
        <f t="shared" si="41"/>
        <v>460902</v>
      </c>
      <c r="X86" s="592"/>
      <c r="Y86" s="519"/>
      <c r="Z86" s="592">
        <v>376108</v>
      </c>
      <c r="AA86" s="541">
        <v>390805</v>
      </c>
      <c r="AB86" s="592">
        <v>322752</v>
      </c>
      <c r="AC86" s="541">
        <v>190314</v>
      </c>
      <c r="AD86" s="592">
        <v>404814</v>
      </c>
      <c r="AE86" s="541">
        <v>314158</v>
      </c>
      <c r="AF86" s="595">
        <f t="shared" si="42"/>
        <v>1103674</v>
      </c>
      <c r="AG86" s="595">
        <f t="shared" si="43"/>
        <v>1226.3044444444445</v>
      </c>
      <c r="AH86" s="596">
        <f t="shared" si="44"/>
        <v>895277</v>
      </c>
      <c r="AI86" s="596">
        <f t="shared" si="45"/>
        <v>994.75222222222226</v>
      </c>
      <c r="AJ86" s="592">
        <v>7695</v>
      </c>
      <c r="AK86" s="541">
        <v>12148</v>
      </c>
      <c r="AL86" s="595">
        <f t="shared" si="46"/>
        <v>1103674</v>
      </c>
      <c r="AM86" s="596">
        <f t="shared" si="47"/>
        <v>895277</v>
      </c>
      <c r="AN86" s="592"/>
      <c r="AO86" s="519"/>
      <c r="AP86" s="592"/>
      <c r="AQ86" s="519"/>
      <c r="AR86" s="592"/>
      <c r="AS86" s="519"/>
      <c r="AT86" s="592"/>
      <c r="AU86" s="519"/>
      <c r="AV86" s="595">
        <f t="shared" si="48"/>
        <v>0</v>
      </c>
      <c r="AW86" s="595">
        <f t="shared" si="49"/>
        <v>0</v>
      </c>
      <c r="AX86" s="596">
        <f t="shared" si="50"/>
        <v>0</v>
      </c>
      <c r="AY86" s="596">
        <f t="shared" si="51"/>
        <v>0</v>
      </c>
      <c r="AZ86" s="595">
        <f t="shared" si="52"/>
        <v>17223.404444444444</v>
      </c>
      <c r="BA86" s="596">
        <f t="shared" si="53"/>
        <v>16358.152222222221</v>
      </c>
    </row>
    <row r="87" spans="1:53" s="1" customFormat="1">
      <c r="A87" s="421" t="s">
        <v>131</v>
      </c>
      <c r="B87" s="422" t="s">
        <v>839</v>
      </c>
      <c r="C87" s="424" t="s">
        <v>840</v>
      </c>
      <c r="D87" s="421">
        <v>133960</v>
      </c>
      <c r="E87" s="421">
        <v>10</v>
      </c>
      <c r="F87" s="592"/>
      <c r="G87" s="519"/>
      <c r="H87" s="592"/>
      <c r="I87" s="519"/>
      <c r="J87" s="592">
        <v>7596</v>
      </c>
      <c r="K87" s="541">
        <v>8606</v>
      </c>
      <c r="L87" s="592">
        <v>2614</v>
      </c>
      <c r="M87" s="541">
        <v>2812</v>
      </c>
      <c r="N87" s="592">
        <v>8752</v>
      </c>
      <c r="O87" s="541">
        <v>9392</v>
      </c>
      <c r="P87" s="595">
        <f t="shared" si="36"/>
        <v>18962</v>
      </c>
      <c r="Q87" s="595">
        <f t="shared" si="37"/>
        <v>632.06666666666672</v>
      </c>
      <c r="R87" s="596">
        <f t="shared" si="38"/>
        <v>20810</v>
      </c>
      <c r="S87" s="596">
        <f t="shared" si="39"/>
        <v>693.66666666666663</v>
      </c>
      <c r="T87" s="592">
        <v>1604</v>
      </c>
      <c r="U87" s="541">
        <v>2226</v>
      </c>
      <c r="V87" s="595">
        <f t="shared" si="40"/>
        <v>18962</v>
      </c>
      <c r="W87" s="596">
        <f t="shared" si="41"/>
        <v>20810</v>
      </c>
      <c r="X87" s="592"/>
      <c r="Y87" s="519"/>
      <c r="Z87" s="592">
        <v>18815</v>
      </c>
      <c r="AA87" s="541">
        <v>31580</v>
      </c>
      <c r="AB87" s="592">
        <v>28486</v>
      </c>
      <c r="AC87" s="541">
        <v>19302</v>
      </c>
      <c r="AD87" s="592">
        <v>28210</v>
      </c>
      <c r="AE87" s="541">
        <v>31261</v>
      </c>
      <c r="AF87" s="595">
        <f t="shared" si="42"/>
        <v>75511</v>
      </c>
      <c r="AG87" s="595">
        <f t="shared" si="43"/>
        <v>83.901111111111106</v>
      </c>
      <c r="AH87" s="596">
        <f t="shared" si="44"/>
        <v>82143</v>
      </c>
      <c r="AI87" s="596">
        <f t="shared" si="45"/>
        <v>91.27</v>
      </c>
      <c r="AJ87" s="592">
        <v>0</v>
      </c>
      <c r="AK87" s="541">
        <v>0</v>
      </c>
      <c r="AL87" s="595">
        <f t="shared" si="46"/>
        <v>75511</v>
      </c>
      <c r="AM87" s="596">
        <f t="shared" si="47"/>
        <v>82143</v>
      </c>
      <c r="AN87" s="592"/>
      <c r="AO87" s="519"/>
      <c r="AP87" s="592"/>
      <c r="AQ87" s="519"/>
      <c r="AR87" s="592"/>
      <c r="AS87" s="519"/>
      <c r="AT87" s="592"/>
      <c r="AU87" s="519"/>
      <c r="AV87" s="595">
        <f t="shared" si="48"/>
        <v>0</v>
      </c>
      <c r="AW87" s="595">
        <f t="shared" si="49"/>
        <v>0</v>
      </c>
      <c r="AX87" s="596">
        <f t="shared" si="50"/>
        <v>0</v>
      </c>
      <c r="AY87" s="596">
        <f t="shared" si="51"/>
        <v>0</v>
      </c>
      <c r="AZ87" s="595">
        <f t="shared" si="52"/>
        <v>715.96777777777788</v>
      </c>
      <c r="BA87" s="596">
        <f t="shared" si="53"/>
        <v>784.93666666666661</v>
      </c>
    </row>
    <row r="88" spans="1:53" s="1" customFormat="1">
      <c r="A88" s="421" t="s">
        <v>131</v>
      </c>
      <c r="B88" s="422" t="s">
        <v>139</v>
      </c>
      <c r="C88" s="423"/>
      <c r="D88" s="421">
        <v>134343</v>
      </c>
      <c r="E88" s="421">
        <v>7</v>
      </c>
      <c r="F88" s="592"/>
      <c r="G88" s="519"/>
      <c r="H88" s="592"/>
      <c r="I88" s="519"/>
      <c r="J88" s="592">
        <v>37152</v>
      </c>
      <c r="K88" s="541">
        <v>38945</v>
      </c>
      <c r="L88" s="592">
        <v>10804</v>
      </c>
      <c r="M88" s="541">
        <v>11191</v>
      </c>
      <c r="N88" s="592">
        <v>42220</v>
      </c>
      <c r="O88" s="541">
        <v>40033</v>
      </c>
      <c r="P88" s="595">
        <f t="shared" si="36"/>
        <v>90176</v>
      </c>
      <c r="Q88" s="595">
        <f t="shared" si="37"/>
        <v>3005.8666666666668</v>
      </c>
      <c r="R88" s="596">
        <f t="shared" si="38"/>
        <v>90169</v>
      </c>
      <c r="S88" s="596">
        <f t="shared" si="39"/>
        <v>3005.6333333333332</v>
      </c>
      <c r="T88" s="592">
        <v>11641</v>
      </c>
      <c r="U88" s="541">
        <v>12056</v>
      </c>
      <c r="V88" s="595">
        <f t="shared" si="40"/>
        <v>90176</v>
      </c>
      <c r="W88" s="596">
        <f t="shared" si="41"/>
        <v>90169</v>
      </c>
      <c r="X88" s="592"/>
      <c r="Y88" s="519"/>
      <c r="Z88" s="592">
        <v>50519</v>
      </c>
      <c r="AA88" s="541">
        <v>47862</v>
      </c>
      <c r="AB88" s="592">
        <v>20794</v>
      </c>
      <c r="AC88" s="541">
        <v>24107</v>
      </c>
      <c r="AD88" s="592">
        <v>43051</v>
      </c>
      <c r="AE88" s="541">
        <v>51646</v>
      </c>
      <c r="AF88" s="595">
        <f t="shared" si="42"/>
        <v>114364</v>
      </c>
      <c r="AG88" s="595">
        <f t="shared" si="43"/>
        <v>127.07111111111111</v>
      </c>
      <c r="AH88" s="596">
        <f t="shared" si="44"/>
        <v>123615</v>
      </c>
      <c r="AI88" s="596">
        <f t="shared" si="45"/>
        <v>137.35</v>
      </c>
      <c r="AJ88" s="592">
        <v>0</v>
      </c>
      <c r="AK88" s="541">
        <v>0</v>
      </c>
      <c r="AL88" s="595">
        <f t="shared" si="46"/>
        <v>114364</v>
      </c>
      <c r="AM88" s="596">
        <f t="shared" si="47"/>
        <v>123615</v>
      </c>
      <c r="AN88" s="592"/>
      <c r="AO88" s="519"/>
      <c r="AP88" s="592"/>
      <c r="AQ88" s="519"/>
      <c r="AR88" s="592"/>
      <c r="AS88" s="519"/>
      <c r="AT88" s="592"/>
      <c r="AU88" s="519"/>
      <c r="AV88" s="595">
        <f t="shared" si="48"/>
        <v>0</v>
      </c>
      <c r="AW88" s="595">
        <f t="shared" si="49"/>
        <v>0</v>
      </c>
      <c r="AX88" s="596">
        <f t="shared" si="50"/>
        <v>0</v>
      </c>
      <c r="AY88" s="596">
        <f t="shared" si="51"/>
        <v>0</v>
      </c>
      <c r="AZ88" s="595">
        <f t="shared" si="52"/>
        <v>3132.9377777777777</v>
      </c>
      <c r="BA88" s="596">
        <f t="shared" si="53"/>
        <v>3142.9833333333331</v>
      </c>
    </row>
    <row r="89" spans="1:53" s="1" customFormat="1">
      <c r="A89" s="421" t="s">
        <v>131</v>
      </c>
      <c r="B89" s="422" t="s">
        <v>140</v>
      </c>
      <c r="C89" s="424"/>
      <c r="D89" s="421">
        <v>134495</v>
      </c>
      <c r="E89" s="421">
        <v>8</v>
      </c>
      <c r="F89" s="592"/>
      <c r="G89" s="519"/>
      <c r="H89" s="592"/>
      <c r="I89" s="519"/>
      <c r="J89" s="592">
        <v>229697</v>
      </c>
      <c r="K89" s="541">
        <v>237483</v>
      </c>
      <c r="L89" s="592">
        <v>99322</v>
      </c>
      <c r="M89" s="541">
        <v>96362</v>
      </c>
      <c r="N89" s="592">
        <v>258930</v>
      </c>
      <c r="O89" s="541">
        <v>232718</v>
      </c>
      <c r="P89" s="595">
        <f t="shared" si="36"/>
        <v>587949</v>
      </c>
      <c r="Q89" s="595">
        <f t="shared" si="37"/>
        <v>19598.3</v>
      </c>
      <c r="R89" s="596">
        <f t="shared" si="38"/>
        <v>566563</v>
      </c>
      <c r="S89" s="596">
        <f t="shared" si="39"/>
        <v>18885.433333333334</v>
      </c>
      <c r="T89" s="592">
        <v>68049</v>
      </c>
      <c r="U89" s="541">
        <v>71752</v>
      </c>
      <c r="V89" s="595">
        <f t="shared" si="40"/>
        <v>587949</v>
      </c>
      <c r="W89" s="596">
        <f t="shared" si="41"/>
        <v>566563</v>
      </c>
      <c r="X89" s="592"/>
      <c r="Y89" s="519"/>
      <c r="Z89" s="592">
        <v>919395</v>
      </c>
      <c r="AA89" s="541">
        <v>875049</v>
      </c>
      <c r="AB89" s="592">
        <v>125546</v>
      </c>
      <c r="AC89" s="541">
        <v>64272</v>
      </c>
      <c r="AD89" s="592">
        <v>921136</v>
      </c>
      <c r="AE89" s="541">
        <v>846842</v>
      </c>
      <c r="AF89" s="595">
        <f t="shared" si="42"/>
        <v>1966077</v>
      </c>
      <c r="AG89" s="595">
        <f t="shared" si="43"/>
        <v>2184.5300000000002</v>
      </c>
      <c r="AH89" s="596">
        <f t="shared" si="44"/>
        <v>1786163</v>
      </c>
      <c r="AI89" s="596">
        <f t="shared" si="45"/>
        <v>1984.6255555555556</v>
      </c>
      <c r="AJ89" s="592">
        <v>0</v>
      </c>
      <c r="AK89" s="541">
        <v>0</v>
      </c>
      <c r="AL89" s="595">
        <f t="shared" si="46"/>
        <v>1966077</v>
      </c>
      <c r="AM89" s="596">
        <f t="shared" si="47"/>
        <v>1786163</v>
      </c>
      <c r="AN89" s="592"/>
      <c r="AO89" s="519"/>
      <c r="AP89" s="592"/>
      <c r="AQ89" s="519"/>
      <c r="AR89" s="592"/>
      <c r="AS89" s="519"/>
      <c r="AT89" s="592"/>
      <c r="AU89" s="519"/>
      <c r="AV89" s="595">
        <f t="shared" si="48"/>
        <v>0</v>
      </c>
      <c r="AW89" s="595">
        <f t="shared" si="49"/>
        <v>0</v>
      </c>
      <c r="AX89" s="596">
        <f t="shared" si="50"/>
        <v>0</v>
      </c>
      <c r="AY89" s="596">
        <f t="shared" si="51"/>
        <v>0</v>
      </c>
      <c r="AZ89" s="595">
        <f t="shared" si="52"/>
        <v>21782.829999999998</v>
      </c>
      <c r="BA89" s="596">
        <f t="shared" si="53"/>
        <v>20870.058888888889</v>
      </c>
    </row>
    <row r="90" spans="1:53" s="1" customFormat="1">
      <c r="A90" s="421" t="s">
        <v>131</v>
      </c>
      <c r="B90" s="422" t="s">
        <v>141</v>
      </c>
      <c r="C90" s="425"/>
      <c r="D90" s="421">
        <v>134608</v>
      </c>
      <c r="E90" s="421">
        <v>7</v>
      </c>
      <c r="F90" s="592"/>
      <c r="G90" s="519"/>
      <c r="H90" s="592"/>
      <c r="I90" s="519"/>
      <c r="J90" s="592">
        <v>122905</v>
      </c>
      <c r="K90" s="541">
        <v>120054</v>
      </c>
      <c r="L90" s="592">
        <v>60239</v>
      </c>
      <c r="M90" s="541">
        <v>60010</v>
      </c>
      <c r="N90" s="592">
        <v>133776</v>
      </c>
      <c r="O90" s="541">
        <v>121224</v>
      </c>
      <c r="P90" s="595">
        <f t="shared" si="36"/>
        <v>316920</v>
      </c>
      <c r="Q90" s="595">
        <f t="shared" si="37"/>
        <v>10564</v>
      </c>
      <c r="R90" s="596">
        <f t="shared" si="38"/>
        <v>301288</v>
      </c>
      <c r="S90" s="596">
        <f t="shared" si="39"/>
        <v>10042.933333333332</v>
      </c>
      <c r="T90" s="592">
        <v>62559</v>
      </c>
      <c r="U90" s="541">
        <v>63338</v>
      </c>
      <c r="V90" s="595">
        <f t="shared" si="40"/>
        <v>316920</v>
      </c>
      <c r="W90" s="596">
        <f t="shared" si="41"/>
        <v>301288</v>
      </c>
      <c r="X90" s="592"/>
      <c r="Y90" s="519"/>
      <c r="Z90" s="592">
        <v>574551</v>
      </c>
      <c r="AA90" s="541">
        <v>626352</v>
      </c>
      <c r="AB90" s="592">
        <v>485683</v>
      </c>
      <c r="AC90" s="541">
        <v>275731</v>
      </c>
      <c r="AD90" s="592">
        <v>680440</v>
      </c>
      <c r="AE90" s="541">
        <v>376074</v>
      </c>
      <c r="AF90" s="595">
        <f t="shared" si="42"/>
        <v>1740674</v>
      </c>
      <c r="AG90" s="595">
        <f t="shared" si="43"/>
        <v>1934.0822222222223</v>
      </c>
      <c r="AH90" s="596">
        <f t="shared" si="44"/>
        <v>1278157</v>
      </c>
      <c r="AI90" s="596">
        <f t="shared" si="45"/>
        <v>1420.1744444444444</v>
      </c>
      <c r="AJ90" s="592">
        <v>900</v>
      </c>
      <c r="AK90" s="541">
        <v>1500</v>
      </c>
      <c r="AL90" s="595">
        <f t="shared" si="46"/>
        <v>1740674</v>
      </c>
      <c r="AM90" s="596">
        <f t="shared" si="47"/>
        <v>1278157</v>
      </c>
      <c r="AN90" s="592"/>
      <c r="AO90" s="519"/>
      <c r="AP90" s="592"/>
      <c r="AQ90" s="519"/>
      <c r="AR90" s="592"/>
      <c r="AS90" s="519"/>
      <c r="AT90" s="592"/>
      <c r="AU90" s="519"/>
      <c r="AV90" s="595">
        <f t="shared" si="48"/>
        <v>0</v>
      </c>
      <c r="AW90" s="595">
        <f t="shared" si="49"/>
        <v>0</v>
      </c>
      <c r="AX90" s="596">
        <f t="shared" si="50"/>
        <v>0</v>
      </c>
      <c r="AY90" s="596">
        <f t="shared" si="51"/>
        <v>0</v>
      </c>
      <c r="AZ90" s="595">
        <f t="shared" si="52"/>
        <v>12498.082222222223</v>
      </c>
      <c r="BA90" s="596">
        <f t="shared" si="53"/>
        <v>11463.107777777777</v>
      </c>
    </row>
    <row r="91" spans="1:53" s="1" customFormat="1">
      <c r="A91" s="421" t="s">
        <v>131</v>
      </c>
      <c r="B91" s="422" t="s">
        <v>142</v>
      </c>
      <c r="C91" s="423"/>
      <c r="D91" s="421">
        <v>135160</v>
      </c>
      <c r="E91" s="421">
        <v>7</v>
      </c>
      <c r="F91" s="592"/>
      <c r="G91" s="519"/>
      <c r="H91" s="592"/>
      <c r="I91" s="519"/>
      <c r="J91" s="592">
        <v>25702</v>
      </c>
      <c r="K91" s="541">
        <v>25259</v>
      </c>
      <c r="L91" s="592">
        <v>11160</v>
      </c>
      <c r="M91" s="541">
        <v>11539</v>
      </c>
      <c r="N91" s="592">
        <v>27375</v>
      </c>
      <c r="O91" s="541">
        <v>23619</v>
      </c>
      <c r="P91" s="595">
        <f t="shared" si="36"/>
        <v>64237</v>
      </c>
      <c r="Q91" s="595">
        <f t="shared" si="37"/>
        <v>2141.2333333333331</v>
      </c>
      <c r="R91" s="596">
        <f t="shared" si="38"/>
        <v>60417</v>
      </c>
      <c r="S91" s="596">
        <f t="shared" si="39"/>
        <v>2013.9</v>
      </c>
      <c r="T91" s="592">
        <v>14426</v>
      </c>
      <c r="U91" s="541">
        <v>13299</v>
      </c>
      <c r="V91" s="595">
        <f t="shared" si="40"/>
        <v>64237</v>
      </c>
      <c r="W91" s="596">
        <f t="shared" si="41"/>
        <v>60417</v>
      </c>
      <c r="X91" s="592"/>
      <c r="Y91" s="519"/>
      <c r="Z91" s="592">
        <v>99935</v>
      </c>
      <c r="AA91" s="541">
        <v>90149</v>
      </c>
      <c r="AB91" s="592">
        <v>51032</v>
      </c>
      <c r="AC91" s="541">
        <v>43816</v>
      </c>
      <c r="AD91" s="592">
        <v>101671</v>
      </c>
      <c r="AE91" s="541">
        <v>102831</v>
      </c>
      <c r="AF91" s="595">
        <f t="shared" si="42"/>
        <v>252638</v>
      </c>
      <c r="AG91" s="595">
        <f t="shared" si="43"/>
        <v>280.70888888888891</v>
      </c>
      <c r="AH91" s="596">
        <f t="shared" si="44"/>
        <v>236796</v>
      </c>
      <c r="AI91" s="596">
        <f t="shared" si="45"/>
        <v>263.10666666666668</v>
      </c>
      <c r="AJ91" s="592">
        <v>5010</v>
      </c>
      <c r="AK91" s="541">
        <v>3000</v>
      </c>
      <c r="AL91" s="595">
        <f t="shared" si="46"/>
        <v>252638</v>
      </c>
      <c r="AM91" s="596">
        <f t="shared" si="47"/>
        <v>236796</v>
      </c>
      <c r="AN91" s="592"/>
      <c r="AO91" s="519"/>
      <c r="AP91" s="592"/>
      <c r="AQ91" s="519"/>
      <c r="AR91" s="592"/>
      <c r="AS91" s="519"/>
      <c r="AT91" s="592"/>
      <c r="AU91" s="519"/>
      <c r="AV91" s="595">
        <f t="shared" si="48"/>
        <v>0</v>
      </c>
      <c r="AW91" s="595">
        <f t="shared" si="49"/>
        <v>0</v>
      </c>
      <c r="AX91" s="596">
        <f t="shared" si="50"/>
        <v>0</v>
      </c>
      <c r="AY91" s="596">
        <f t="shared" si="51"/>
        <v>0</v>
      </c>
      <c r="AZ91" s="595">
        <f t="shared" si="52"/>
        <v>2421.942222222222</v>
      </c>
      <c r="BA91" s="596">
        <f t="shared" si="53"/>
        <v>2277.0066666666667</v>
      </c>
    </row>
    <row r="92" spans="1:53" s="1" customFormat="1">
      <c r="A92" s="421" t="s">
        <v>131</v>
      </c>
      <c r="B92" s="422" t="s">
        <v>143</v>
      </c>
      <c r="C92" s="423"/>
      <c r="D92" s="421">
        <v>135188</v>
      </c>
      <c r="E92" s="421">
        <v>7</v>
      </c>
      <c r="F92" s="592"/>
      <c r="G92" s="519"/>
      <c r="H92" s="592"/>
      <c r="I92" s="519"/>
      <c r="J92" s="592">
        <v>39511</v>
      </c>
      <c r="K92" s="541">
        <v>39810</v>
      </c>
      <c r="L92" s="592">
        <v>14596</v>
      </c>
      <c r="M92" s="541">
        <v>15197</v>
      </c>
      <c r="N92" s="592">
        <v>45055</v>
      </c>
      <c r="O92" s="541">
        <v>42699</v>
      </c>
      <c r="P92" s="595">
        <f t="shared" si="36"/>
        <v>99162</v>
      </c>
      <c r="Q92" s="595">
        <f t="shared" si="37"/>
        <v>3305.4</v>
      </c>
      <c r="R92" s="596">
        <f t="shared" si="38"/>
        <v>97706</v>
      </c>
      <c r="S92" s="596">
        <f t="shared" si="39"/>
        <v>3256.8666666666668</v>
      </c>
      <c r="T92" s="592">
        <v>22443</v>
      </c>
      <c r="U92" s="541">
        <v>24011</v>
      </c>
      <c r="V92" s="595">
        <f t="shared" si="40"/>
        <v>99162</v>
      </c>
      <c r="W92" s="596">
        <f t="shared" si="41"/>
        <v>97706</v>
      </c>
      <c r="X92" s="592"/>
      <c r="Y92" s="519"/>
      <c r="Z92" s="592">
        <v>402</v>
      </c>
      <c r="AA92" s="541">
        <v>114</v>
      </c>
      <c r="AB92" s="592">
        <v>0</v>
      </c>
      <c r="AC92" s="541">
        <v>0</v>
      </c>
      <c r="AD92" s="592">
        <v>12</v>
      </c>
      <c r="AE92" s="541">
        <v>392</v>
      </c>
      <c r="AF92" s="595">
        <f t="shared" si="42"/>
        <v>414</v>
      </c>
      <c r="AG92" s="595">
        <f t="shared" si="43"/>
        <v>0.46</v>
      </c>
      <c r="AH92" s="596">
        <f t="shared" si="44"/>
        <v>506</v>
      </c>
      <c r="AI92" s="596">
        <f t="shared" si="45"/>
        <v>0.56222222222222218</v>
      </c>
      <c r="AJ92" s="592">
        <v>0</v>
      </c>
      <c r="AK92" s="541">
        <v>0</v>
      </c>
      <c r="AL92" s="595">
        <f t="shared" si="46"/>
        <v>414</v>
      </c>
      <c r="AM92" s="596">
        <f t="shared" si="47"/>
        <v>506</v>
      </c>
      <c r="AN92" s="592"/>
      <c r="AO92" s="519"/>
      <c r="AP92" s="592"/>
      <c r="AQ92" s="519"/>
      <c r="AR92" s="592"/>
      <c r="AS92" s="519"/>
      <c r="AT92" s="592"/>
      <c r="AU92" s="519"/>
      <c r="AV92" s="595">
        <f t="shared" si="48"/>
        <v>0</v>
      </c>
      <c r="AW92" s="595">
        <f t="shared" si="49"/>
        <v>0</v>
      </c>
      <c r="AX92" s="596">
        <f t="shared" si="50"/>
        <v>0</v>
      </c>
      <c r="AY92" s="596">
        <f t="shared" si="51"/>
        <v>0</v>
      </c>
      <c r="AZ92" s="595">
        <f t="shared" si="52"/>
        <v>3305.86</v>
      </c>
      <c r="BA92" s="596">
        <f t="shared" si="53"/>
        <v>3257.4288888888891</v>
      </c>
    </row>
    <row r="93" spans="1:53" s="1" customFormat="1">
      <c r="A93" s="421" t="s">
        <v>131</v>
      </c>
      <c r="B93" s="422" t="s">
        <v>144</v>
      </c>
      <c r="C93" s="423"/>
      <c r="D93" s="421">
        <v>135391</v>
      </c>
      <c r="E93" s="421">
        <v>7</v>
      </c>
      <c r="F93" s="592"/>
      <c r="G93" s="519"/>
      <c r="H93" s="592"/>
      <c r="I93" s="519"/>
      <c r="J93" s="592">
        <v>81772</v>
      </c>
      <c r="K93" s="541">
        <v>81023</v>
      </c>
      <c r="L93" s="592">
        <v>28244</v>
      </c>
      <c r="M93" s="541">
        <v>30021</v>
      </c>
      <c r="N93" s="592">
        <v>90625</v>
      </c>
      <c r="O93" s="541">
        <v>86374</v>
      </c>
      <c r="P93" s="595">
        <f t="shared" si="36"/>
        <v>200641</v>
      </c>
      <c r="Q93" s="595">
        <f t="shared" si="37"/>
        <v>6688.0333333333338</v>
      </c>
      <c r="R93" s="596">
        <f t="shared" si="38"/>
        <v>197418</v>
      </c>
      <c r="S93" s="596">
        <f t="shared" si="39"/>
        <v>6580.6</v>
      </c>
      <c r="T93" s="592">
        <v>21261</v>
      </c>
      <c r="U93" s="541">
        <v>16324</v>
      </c>
      <c r="V93" s="595">
        <f t="shared" si="40"/>
        <v>200641</v>
      </c>
      <c r="W93" s="596">
        <f t="shared" si="41"/>
        <v>197418</v>
      </c>
      <c r="X93" s="592"/>
      <c r="Y93" s="519"/>
      <c r="Z93" s="592">
        <v>0</v>
      </c>
      <c r="AA93" s="541">
        <v>0</v>
      </c>
      <c r="AB93" s="592">
        <v>0</v>
      </c>
      <c r="AC93" s="541">
        <v>0</v>
      </c>
      <c r="AD93" s="592">
        <v>0</v>
      </c>
      <c r="AE93" s="541">
        <v>0</v>
      </c>
      <c r="AF93" s="595">
        <f t="shared" si="42"/>
        <v>0</v>
      </c>
      <c r="AG93" s="595">
        <f t="shared" si="43"/>
        <v>0</v>
      </c>
      <c r="AH93" s="596">
        <f t="shared" si="44"/>
        <v>0</v>
      </c>
      <c r="AI93" s="596">
        <f t="shared" si="45"/>
        <v>0</v>
      </c>
      <c r="AJ93" s="592">
        <v>0</v>
      </c>
      <c r="AK93" s="541">
        <v>0</v>
      </c>
      <c r="AL93" s="595">
        <f t="shared" si="46"/>
        <v>0</v>
      </c>
      <c r="AM93" s="596">
        <f t="shared" si="47"/>
        <v>0</v>
      </c>
      <c r="AN93" s="592"/>
      <c r="AO93" s="519"/>
      <c r="AP93" s="592"/>
      <c r="AQ93" s="519"/>
      <c r="AR93" s="592"/>
      <c r="AS93" s="519"/>
      <c r="AT93" s="592"/>
      <c r="AU93" s="519"/>
      <c r="AV93" s="595">
        <f t="shared" si="48"/>
        <v>0</v>
      </c>
      <c r="AW93" s="595">
        <f t="shared" si="49"/>
        <v>0</v>
      </c>
      <c r="AX93" s="596">
        <f t="shared" si="50"/>
        <v>0</v>
      </c>
      <c r="AY93" s="596">
        <f t="shared" si="51"/>
        <v>0</v>
      </c>
      <c r="AZ93" s="595">
        <f t="shared" si="52"/>
        <v>6688.0333333333338</v>
      </c>
      <c r="BA93" s="596">
        <f t="shared" si="53"/>
        <v>6580.6</v>
      </c>
    </row>
    <row r="94" spans="1:53" s="1" customFormat="1">
      <c r="A94" s="421" t="s">
        <v>131</v>
      </c>
      <c r="B94" s="422" t="s">
        <v>145</v>
      </c>
      <c r="C94" s="424"/>
      <c r="D94" s="421">
        <v>135717</v>
      </c>
      <c r="E94" s="421">
        <v>7</v>
      </c>
      <c r="F94" s="592"/>
      <c r="G94" s="519"/>
      <c r="H94" s="592"/>
      <c r="I94" s="519"/>
      <c r="J94" s="592">
        <v>521983</v>
      </c>
      <c r="K94" s="541">
        <v>499096</v>
      </c>
      <c r="L94" s="592">
        <v>253786</v>
      </c>
      <c r="M94" s="541">
        <v>256784</v>
      </c>
      <c r="N94" s="592">
        <v>549536</v>
      </c>
      <c r="O94" s="541">
        <v>482907</v>
      </c>
      <c r="P94" s="595">
        <f t="shared" si="36"/>
        <v>1325305</v>
      </c>
      <c r="Q94" s="595">
        <f t="shared" si="37"/>
        <v>44176.833333333336</v>
      </c>
      <c r="R94" s="596">
        <f t="shared" si="38"/>
        <v>1238787</v>
      </c>
      <c r="S94" s="596">
        <f t="shared" si="39"/>
        <v>41292.9</v>
      </c>
      <c r="T94" s="592">
        <v>66974</v>
      </c>
      <c r="U94" s="541">
        <v>68977</v>
      </c>
      <c r="V94" s="595">
        <f t="shared" si="40"/>
        <v>1325305</v>
      </c>
      <c r="W94" s="596">
        <f t="shared" si="41"/>
        <v>1238787</v>
      </c>
      <c r="X94" s="592"/>
      <c r="Y94" s="519"/>
      <c r="Z94" s="592">
        <v>818338</v>
      </c>
      <c r="AA94" s="541">
        <v>890680</v>
      </c>
      <c r="AB94" s="592">
        <v>508754</v>
      </c>
      <c r="AC94" s="541">
        <v>204286</v>
      </c>
      <c r="AD94" s="592">
        <v>669159</v>
      </c>
      <c r="AE94" s="541">
        <v>358370</v>
      </c>
      <c r="AF94" s="595">
        <f t="shared" si="42"/>
        <v>1996251</v>
      </c>
      <c r="AG94" s="595">
        <f t="shared" si="43"/>
        <v>2218.0566666666668</v>
      </c>
      <c r="AH94" s="596">
        <f t="shared" si="44"/>
        <v>1453336</v>
      </c>
      <c r="AI94" s="596">
        <f t="shared" si="45"/>
        <v>1614.8177777777778</v>
      </c>
      <c r="AJ94" s="592">
        <v>0</v>
      </c>
      <c r="AK94" s="541">
        <v>0</v>
      </c>
      <c r="AL94" s="595">
        <f t="shared" si="46"/>
        <v>1996251</v>
      </c>
      <c r="AM94" s="596">
        <f t="shared" si="47"/>
        <v>1453336</v>
      </c>
      <c r="AN94" s="592"/>
      <c r="AO94" s="519"/>
      <c r="AP94" s="592"/>
      <c r="AQ94" s="519"/>
      <c r="AR94" s="592"/>
      <c r="AS94" s="519"/>
      <c r="AT94" s="592"/>
      <c r="AU94" s="519"/>
      <c r="AV94" s="595">
        <f t="shared" si="48"/>
        <v>0</v>
      </c>
      <c r="AW94" s="595">
        <f t="shared" si="49"/>
        <v>0</v>
      </c>
      <c r="AX94" s="596">
        <f t="shared" si="50"/>
        <v>0</v>
      </c>
      <c r="AY94" s="596">
        <f t="shared" si="51"/>
        <v>0</v>
      </c>
      <c r="AZ94" s="595">
        <f t="shared" si="52"/>
        <v>46394.89</v>
      </c>
      <c r="BA94" s="596">
        <f t="shared" si="53"/>
        <v>42907.717777777776</v>
      </c>
    </row>
    <row r="95" spans="1:53" s="1" customFormat="1">
      <c r="A95" s="421" t="s">
        <v>131</v>
      </c>
      <c r="B95" s="422" t="s">
        <v>838</v>
      </c>
      <c r="C95" s="424" t="s">
        <v>837</v>
      </c>
      <c r="D95" s="421">
        <v>136145</v>
      </c>
      <c r="E95" s="421">
        <v>10</v>
      </c>
      <c r="F95" s="592"/>
      <c r="G95" s="519"/>
      <c r="H95" s="592"/>
      <c r="I95" s="519"/>
      <c r="J95" s="592">
        <v>8973</v>
      </c>
      <c r="K95" s="541">
        <v>9113</v>
      </c>
      <c r="L95" s="592">
        <v>3626</v>
      </c>
      <c r="M95" s="541">
        <v>3207</v>
      </c>
      <c r="N95" s="592">
        <v>9736</v>
      </c>
      <c r="O95" s="541">
        <v>9612</v>
      </c>
      <c r="P95" s="595">
        <f t="shared" si="36"/>
        <v>22335</v>
      </c>
      <c r="Q95" s="595">
        <f t="shared" si="37"/>
        <v>744.5</v>
      </c>
      <c r="R95" s="596">
        <f t="shared" si="38"/>
        <v>21932</v>
      </c>
      <c r="S95" s="596">
        <f t="shared" si="39"/>
        <v>731.06666666666672</v>
      </c>
      <c r="T95" s="592">
        <v>6222</v>
      </c>
      <c r="U95" s="541">
        <v>5402</v>
      </c>
      <c r="V95" s="595">
        <f t="shared" si="40"/>
        <v>22335</v>
      </c>
      <c r="W95" s="596">
        <f t="shared" si="41"/>
        <v>21932</v>
      </c>
      <c r="X95" s="592"/>
      <c r="Y95" s="519"/>
      <c r="Z95" s="592">
        <v>35051</v>
      </c>
      <c r="AA95" s="541">
        <v>33721</v>
      </c>
      <c r="AB95" s="592">
        <v>9082</v>
      </c>
      <c r="AC95" s="541">
        <v>6640</v>
      </c>
      <c r="AD95" s="592">
        <v>40034</v>
      </c>
      <c r="AE95" s="541">
        <v>19838</v>
      </c>
      <c r="AF95" s="595">
        <f t="shared" si="42"/>
        <v>84167</v>
      </c>
      <c r="AG95" s="595">
        <f t="shared" si="43"/>
        <v>93.518888888888895</v>
      </c>
      <c r="AH95" s="596">
        <f t="shared" si="44"/>
        <v>60199</v>
      </c>
      <c r="AI95" s="596">
        <f t="shared" si="45"/>
        <v>66.887777777777771</v>
      </c>
      <c r="AJ95" s="592">
        <v>6750</v>
      </c>
      <c r="AK95" s="541">
        <v>3150</v>
      </c>
      <c r="AL95" s="595">
        <f t="shared" si="46"/>
        <v>84167</v>
      </c>
      <c r="AM95" s="596">
        <f t="shared" si="47"/>
        <v>60199</v>
      </c>
      <c r="AN95" s="592"/>
      <c r="AO95" s="519"/>
      <c r="AP95" s="592"/>
      <c r="AQ95" s="519"/>
      <c r="AR95" s="592"/>
      <c r="AS95" s="519"/>
      <c r="AT95" s="592"/>
      <c r="AU95" s="519"/>
      <c r="AV95" s="595">
        <f t="shared" si="48"/>
        <v>0</v>
      </c>
      <c r="AW95" s="595">
        <f t="shared" si="49"/>
        <v>0</v>
      </c>
      <c r="AX95" s="596">
        <f t="shared" si="50"/>
        <v>0</v>
      </c>
      <c r="AY95" s="596">
        <f t="shared" si="51"/>
        <v>0</v>
      </c>
      <c r="AZ95" s="595">
        <f t="shared" si="52"/>
        <v>838.01888888888891</v>
      </c>
      <c r="BA95" s="596">
        <f t="shared" si="53"/>
        <v>797.95444444444445</v>
      </c>
    </row>
    <row r="96" spans="1:53" s="1" customFormat="1">
      <c r="A96" s="421" t="s">
        <v>131</v>
      </c>
      <c r="B96" s="422" t="s">
        <v>146</v>
      </c>
      <c r="C96" s="424"/>
      <c r="D96" s="421">
        <v>136233</v>
      </c>
      <c r="E96" s="421">
        <v>7</v>
      </c>
      <c r="F96" s="592"/>
      <c r="G96" s="519"/>
      <c r="H96" s="592"/>
      <c r="I96" s="519"/>
      <c r="J96" s="592">
        <v>44162</v>
      </c>
      <c r="K96" s="541">
        <v>44214</v>
      </c>
      <c r="L96" s="592">
        <v>16931</v>
      </c>
      <c r="M96" s="541">
        <v>18349</v>
      </c>
      <c r="N96" s="592">
        <v>47721</v>
      </c>
      <c r="O96" s="541">
        <v>42943</v>
      </c>
      <c r="P96" s="595">
        <f t="shared" si="36"/>
        <v>108814</v>
      </c>
      <c r="Q96" s="595">
        <f t="shared" si="37"/>
        <v>3627.1333333333332</v>
      </c>
      <c r="R96" s="596">
        <f t="shared" si="38"/>
        <v>105506</v>
      </c>
      <c r="S96" s="596">
        <f t="shared" si="39"/>
        <v>3516.8666666666668</v>
      </c>
      <c r="T96" s="592">
        <v>17594</v>
      </c>
      <c r="U96" s="541">
        <v>18485</v>
      </c>
      <c r="V96" s="595">
        <f t="shared" si="40"/>
        <v>108814</v>
      </c>
      <c r="W96" s="596">
        <f t="shared" si="41"/>
        <v>105506</v>
      </c>
      <c r="X96" s="592"/>
      <c r="Y96" s="519"/>
      <c r="Z96" s="592">
        <v>92244</v>
      </c>
      <c r="AA96" s="541">
        <v>102523</v>
      </c>
      <c r="AB96" s="592">
        <v>43221</v>
      </c>
      <c r="AC96" s="541">
        <v>7424</v>
      </c>
      <c r="AD96" s="592">
        <v>96908</v>
      </c>
      <c r="AE96" s="541">
        <v>86153</v>
      </c>
      <c r="AF96" s="595">
        <f t="shared" si="42"/>
        <v>232373</v>
      </c>
      <c r="AG96" s="595">
        <f t="shared" si="43"/>
        <v>258.1922222222222</v>
      </c>
      <c r="AH96" s="596">
        <f t="shared" si="44"/>
        <v>196100</v>
      </c>
      <c r="AI96" s="596">
        <f t="shared" si="45"/>
        <v>217.88888888888889</v>
      </c>
      <c r="AJ96" s="592">
        <v>0</v>
      </c>
      <c r="AK96" s="541">
        <v>0</v>
      </c>
      <c r="AL96" s="595">
        <f t="shared" si="46"/>
        <v>232373</v>
      </c>
      <c r="AM96" s="596">
        <f t="shared" si="47"/>
        <v>196100</v>
      </c>
      <c r="AN96" s="592"/>
      <c r="AO96" s="519"/>
      <c r="AP96" s="592"/>
      <c r="AQ96" s="519"/>
      <c r="AR96" s="592"/>
      <c r="AS96" s="519"/>
      <c r="AT96" s="592"/>
      <c r="AU96" s="519"/>
      <c r="AV96" s="595">
        <f t="shared" si="48"/>
        <v>0</v>
      </c>
      <c r="AW96" s="595">
        <f t="shared" si="49"/>
        <v>0</v>
      </c>
      <c r="AX96" s="596">
        <f t="shared" si="50"/>
        <v>0</v>
      </c>
      <c r="AY96" s="596">
        <f t="shared" si="51"/>
        <v>0</v>
      </c>
      <c r="AZ96" s="595">
        <f t="shared" si="52"/>
        <v>3885.3255555555552</v>
      </c>
      <c r="BA96" s="596">
        <f t="shared" si="53"/>
        <v>3734.7555555555555</v>
      </c>
    </row>
    <row r="97" spans="1:53" s="1" customFormat="1">
      <c r="A97" s="421" t="s">
        <v>131</v>
      </c>
      <c r="B97" s="422" t="s">
        <v>147</v>
      </c>
      <c r="C97" s="423"/>
      <c r="D97" s="421">
        <v>136358</v>
      </c>
      <c r="E97" s="421">
        <v>7</v>
      </c>
      <c r="F97" s="592"/>
      <c r="G97" s="519"/>
      <c r="H97" s="592"/>
      <c r="I97" s="519"/>
      <c r="J97" s="592">
        <v>230004</v>
      </c>
      <c r="K97" s="541">
        <v>220541</v>
      </c>
      <c r="L97" s="592">
        <v>110682</v>
      </c>
      <c r="M97" s="541">
        <v>120964</v>
      </c>
      <c r="N97" s="592">
        <v>248628</v>
      </c>
      <c r="O97" s="541">
        <v>218438</v>
      </c>
      <c r="P97" s="595">
        <f t="shared" si="36"/>
        <v>589314</v>
      </c>
      <c r="Q97" s="595">
        <f t="shared" si="37"/>
        <v>19643.8</v>
      </c>
      <c r="R97" s="596">
        <f t="shared" si="38"/>
        <v>559943</v>
      </c>
      <c r="S97" s="596">
        <f t="shared" si="39"/>
        <v>18664.766666666666</v>
      </c>
      <c r="T97" s="592">
        <v>38823</v>
      </c>
      <c r="U97" s="541">
        <v>39731</v>
      </c>
      <c r="V97" s="595">
        <f t="shared" si="40"/>
        <v>589314</v>
      </c>
      <c r="W97" s="596">
        <f t="shared" si="41"/>
        <v>559943</v>
      </c>
      <c r="X97" s="592"/>
      <c r="Y97" s="519"/>
      <c r="Z97" s="592">
        <v>543242</v>
      </c>
      <c r="AA97" s="541">
        <v>517305</v>
      </c>
      <c r="AB97" s="592">
        <v>290589</v>
      </c>
      <c r="AC97" s="541">
        <v>271739</v>
      </c>
      <c r="AD97" s="592">
        <v>547935</v>
      </c>
      <c r="AE97" s="541">
        <v>442577</v>
      </c>
      <c r="AF97" s="595">
        <f t="shared" si="42"/>
        <v>1381766</v>
      </c>
      <c r="AG97" s="595">
        <f t="shared" si="43"/>
        <v>1535.2955555555557</v>
      </c>
      <c r="AH97" s="596">
        <f t="shared" si="44"/>
        <v>1231621</v>
      </c>
      <c r="AI97" s="596">
        <f t="shared" si="45"/>
        <v>1368.4677777777779</v>
      </c>
      <c r="AJ97" s="592">
        <v>6000</v>
      </c>
      <c r="AK97" s="541">
        <v>1920</v>
      </c>
      <c r="AL97" s="595">
        <f t="shared" si="46"/>
        <v>1381766</v>
      </c>
      <c r="AM97" s="596">
        <f t="shared" si="47"/>
        <v>1231621</v>
      </c>
      <c r="AN97" s="592"/>
      <c r="AO97" s="519"/>
      <c r="AP97" s="592"/>
      <c r="AQ97" s="519"/>
      <c r="AR97" s="592"/>
      <c r="AS97" s="519"/>
      <c r="AT97" s="592"/>
      <c r="AU97" s="519"/>
      <c r="AV97" s="595">
        <f t="shared" si="48"/>
        <v>0</v>
      </c>
      <c r="AW97" s="595">
        <f t="shared" si="49"/>
        <v>0</v>
      </c>
      <c r="AX97" s="596">
        <f t="shared" si="50"/>
        <v>0</v>
      </c>
      <c r="AY97" s="596">
        <f t="shared" si="51"/>
        <v>0</v>
      </c>
      <c r="AZ97" s="595">
        <f t="shared" si="52"/>
        <v>21179.095555555556</v>
      </c>
      <c r="BA97" s="596">
        <f t="shared" si="53"/>
        <v>20033.234444444446</v>
      </c>
    </row>
    <row r="98" spans="1:53" s="1" customFormat="1">
      <c r="A98" s="421" t="s">
        <v>131</v>
      </c>
      <c r="B98" s="422" t="s">
        <v>148</v>
      </c>
      <c r="C98" s="423"/>
      <c r="D98" s="421">
        <v>136400</v>
      </c>
      <c r="E98" s="421">
        <v>7</v>
      </c>
      <c r="F98" s="592"/>
      <c r="G98" s="519"/>
      <c r="H98" s="592"/>
      <c r="I98" s="519"/>
      <c r="J98" s="592">
        <v>91099</v>
      </c>
      <c r="K98" s="541">
        <v>92543</v>
      </c>
      <c r="L98" s="592">
        <v>27731</v>
      </c>
      <c r="M98" s="541">
        <v>29752</v>
      </c>
      <c r="N98" s="592">
        <v>100467</v>
      </c>
      <c r="O98" s="541">
        <v>90133</v>
      </c>
      <c r="P98" s="595">
        <f t="shared" si="36"/>
        <v>219297</v>
      </c>
      <c r="Q98" s="595">
        <f t="shared" si="37"/>
        <v>7309.9</v>
      </c>
      <c r="R98" s="596">
        <f t="shared" si="38"/>
        <v>212428</v>
      </c>
      <c r="S98" s="596">
        <f t="shared" si="39"/>
        <v>7080.9333333333334</v>
      </c>
      <c r="T98" s="592">
        <v>33817</v>
      </c>
      <c r="U98" s="541">
        <v>37152</v>
      </c>
      <c r="V98" s="595">
        <f t="shared" si="40"/>
        <v>219297</v>
      </c>
      <c r="W98" s="596">
        <f t="shared" si="41"/>
        <v>212428</v>
      </c>
      <c r="X98" s="592"/>
      <c r="Y98" s="519"/>
      <c r="Z98" s="592">
        <v>142999</v>
      </c>
      <c r="AA98" s="541">
        <v>114435</v>
      </c>
      <c r="AB98" s="592">
        <v>70489</v>
      </c>
      <c r="AC98" s="541">
        <v>12446</v>
      </c>
      <c r="AD98" s="592">
        <v>127151</v>
      </c>
      <c r="AE98" s="541">
        <v>59344</v>
      </c>
      <c r="AF98" s="595">
        <f t="shared" si="42"/>
        <v>340639</v>
      </c>
      <c r="AG98" s="595">
        <f t="shared" si="43"/>
        <v>378.48777777777775</v>
      </c>
      <c r="AH98" s="596">
        <f t="shared" si="44"/>
        <v>186225</v>
      </c>
      <c r="AI98" s="596">
        <f t="shared" si="45"/>
        <v>206.91666666666666</v>
      </c>
      <c r="AJ98" s="592">
        <v>3150</v>
      </c>
      <c r="AK98" s="541">
        <v>2100</v>
      </c>
      <c r="AL98" s="595">
        <f t="shared" si="46"/>
        <v>340639</v>
      </c>
      <c r="AM98" s="596">
        <f t="shared" si="47"/>
        <v>186225</v>
      </c>
      <c r="AN98" s="592"/>
      <c r="AO98" s="519"/>
      <c r="AP98" s="592"/>
      <c r="AQ98" s="519"/>
      <c r="AR98" s="592"/>
      <c r="AS98" s="519"/>
      <c r="AT98" s="592"/>
      <c r="AU98" s="519"/>
      <c r="AV98" s="595">
        <f t="shared" si="48"/>
        <v>0</v>
      </c>
      <c r="AW98" s="595">
        <f t="shared" si="49"/>
        <v>0</v>
      </c>
      <c r="AX98" s="596">
        <f t="shared" si="50"/>
        <v>0</v>
      </c>
      <c r="AY98" s="596">
        <f t="shared" si="51"/>
        <v>0</v>
      </c>
      <c r="AZ98" s="595">
        <f t="shared" si="52"/>
        <v>7688.387777777777</v>
      </c>
      <c r="BA98" s="596">
        <f t="shared" si="53"/>
        <v>7287.85</v>
      </c>
    </row>
    <row r="99" spans="1:53" s="1" customFormat="1">
      <c r="A99" s="421" t="s">
        <v>131</v>
      </c>
      <c r="B99" s="422" t="s">
        <v>149</v>
      </c>
      <c r="C99" s="423"/>
      <c r="D99" s="421">
        <v>136473</v>
      </c>
      <c r="E99" s="421">
        <v>7</v>
      </c>
      <c r="F99" s="592"/>
      <c r="G99" s="519"/>
      <c r="H99" s="592"/>
      <c r="I99" s="519"/>
      <c r="J99" s="592">
        <v>78978</v>
      </c>
      <c r="K99" s="541">
        <v>77997</v>
      </c>
      <c r="L99" s="592">
        <v>34592</v>
      </c>
      <c r="M99" s="541">
        <v>30648</v>
      </c>
      <c r="N99" s="592">
        <v>84562</v>
      </c>
      <c r="O99" s="541">
        <v>78284</v>
      </c>
      <c r="P99" s="595">
        <f t="shared" si="36"/>
        <v>198132</v>
      </c>
      <c r="Q99" s="595">
        <f t="shared" si="37"/>
        <v>6604.4</v>
      </c>
      <c r="R99" s="596">
        <f t="shared" si="38"/>
        <v>186929</v>
      </c>
      <c r="S99" s="596">
        <f t="shared" si="39"/>
        <v>6230.9666666666662</v>
      </c>
      <c r="T99" s="592">
        <v>24047</v>
      </c>
      <c r="U99" s="541">
        <v>26065</v>
      </c>
      <c r="V99" s="595">
        <f t="shared" si="40"/>
        <v>198132</v>
      </c>
      <c r="W99" s="596">
        <f t="shared" si="41"/>
        <v>186929</v>
      </c>
      <c r="X99" s="592"/>
      <c r="Y99" s="519"/>
      <c r="Z99" s="592">
        <v>228830</v>
      </c>
      <c r="AA99" s="541">
        <v>173412</v>
      </c>
      <c r="AB99" s="592">
        <v>116764</v>
      </c>
      <c r="AC99" s="541">
        <v>64278</v>
      </c>
      <c r="AD99" s="592">
        <v>163440</v>
      </c>
      <c r="AE99" s="541">
        <v>133087</v>
      </c>
      <c r="AF99" s="595">
        <f t="shared" si="42"/>
        <v>509034</v>
      </c>
      <c r="AG99" s="595">
        <f t="shared" si="43"/>
        <v>565.59333333333336</v>
      </c>
      <c r="AH99" s="596">
        <f t="shared" si="44"/>
        <v>370777</v>
      </c>
      <c r="AI99" s="596">
        <f t="shared" si="45"/>
        <v>411.97444444444443</v>
      </c>
      <c r="AJ99" s="592">
        <v>1350</v>
      </c>
      <c r="AK99" s="541">
        <v>2700</v>
      </c>
      <c r="AL99" s="595">
        <f t="shared" si="46"/>
        <v>509034</v>
      </c>
      <c r="AM99" s="596">
        <f t="shared" si="47"/>
        <v>370777</v>
      </c>
      <c r="AN99" s="592"/>
      <c r="AO99" s="519"/>
      <c r="AP99" s="592"/>
      <c r="AQ99" s="519"/>
      <c r="AR99" s="592"/>
      <c r="AS99" s="519"/>
      <c r="AT99" s="592"/>
      <c r="AU99" s="519"/>
      <c r="AV99" s="595">
        <f t="shared" si="48"/>
        <v>0</v>
      </c>
      <c r="AW99" s="595">
        <f t="shared" si="49"/>
        <v>0</v>
      </c>
      <c r="AX99" s="596">
        <f t="shared" si="50"/>
        <v>0</v>
      </c>
      <c r="AY99" s="596">
        <f t="shared" si="51"/>
        <v>0</v>
      </c>
      <c r="AZ99" s="595">
        <f t="shared" si="52"/>
        <v>7169.9933333333329</v>
      </c>
      <c r="BA99" s="596">
        <f t="shared" si="53"/>
        <v>6642.9411111111103</v>
      </c>
    </row>
    <row r="100" spans="1:53" s="1" customFormat="1">
      <c r="A100" s="421" t="s">
        <v>131</v>
      </c>
      <c r="B100" s="422" t="s">
        <v>150</v>
      </c>
      <c r="C100" s="423"/>
      <c r="D100" s="421">
        <v>136516</v>
      </c>
      <c r="E100" s="421">
        <v>7</v>
      </c>
      <c r="F100" s="592"/>
      <c r="G100" s="519"/>
      <c r="H100" s="592"/>
      <c r="I100" s="519"/>
      <c r="J100" s="592">
        <v>79669</v>
      </c>
      <c r="K100" s="541">
        <v>79005</v>
      </c>
      <c r="L100" s="592">
        <v>29678</v>
      </c>
      <c r="M100" s="541">
        <v>31004</v>
      </c>
      <c r="N100" s="592">
        <v>87974</v>
      </c>
      <c r="O100" s="541">
        <v>80269</v>
      </c>
      <c r="P100" s="595">
        <f t="shared" si="36"/>
        <v>197321</v>
      </c>
      <c r="Q100" s="595">
        <f t="shared" si="37"/>
        <v>6577.3666666666668</v>
      </c>
      <c r="R100" s="596">
        <f t="shared" si="38"/>
        <v>190278</v>
      </c>
      <c r="S100" s="596">
        <f t="shared" si="39"/>
        <v>6342.6</v>
      </c>
      <c r="T100" s="592">
        <v>20506</v>
      </c>
      <c r="U100" s="541">
        <v>21372</v>
      </c>
      <c r="V100" s="595">
        <f t="shared" si="40"/>
        <v>197321</v>
      </c>
      <c r="W100" s="596">
        <f t="shared" si="41"/>
        <v>190278</v>
      </c>
      <c r="X100" s="592"/>
      <c r="Y100" s="519"/>
      <c r="Z100" s="592">
        <v>39533</v>
      </c>
      <c r="AA100" s="541">
        <v>29514</v>
      </c>
      <c r="AB100" s="592">
        <v>24035</v>
      </c>
      <c r="AC100" s="541">
        <v>14739</v>
      </c>
      <c r="AD100" s="592">
        <v>42270</v>
      </c>
      <c r="AE100" s="541">
        <v>36752</v>
      </c>
      <c r="AF100" s="595">
        <f t="shared" si="42"/>
        <v>105838</v>
      </c>
      <c r="AG100" s="595">
        <f t="shared" si="43"/>
        <v>117.59777777777778</v>
      </c>
      <c r="AH100" s="596">
        <f t="shared" si="44"/>
        <v>81005</v>
      </c>
      <c r="AI100" s="596">
        <f t="shared" si="45"/>
        <v>90.00555555555556</v>
      </c>
      <c r="AJ100" s="592">
        <v>0</v>
      </c>
      <c r="AK100" s="541">
        <v>0</v>
      </c>
      <c r="AL100" s="595">
        <f t="shared" si="46"/>
        <v>105838</v>
      </c>
      <c r="AM100" s="596">
        <f t="shared" si="47"/>
        <v>81005</v>
      </c>
      <c r="AN100" s="592"/>
      <c r="AO100" s="519"/>
      <c r="AP100" s="592"/>
      <c r="AQ100" s="519"/>
      <c r="AR100" s="592"/>
      <c r="AS100" s="519"/>
      <c r="AT100" s="592"/>
      <c r="AU100" s="519"/>
      <c r="AV100" s="595">
        <f t="shared" si="48"/>
        <v>0</v>
      </c>
      <c r="AW100" s="595">
        <f t="shared" si="49"/>
        <v>0</v>
      </c>
      <c r="AX100" s="596">
        <f t="shared" si="50"/>
        <v>0</v>
      </c>
      <c r="AY100" s="596">
        <f t="shared" si="51"/>
        <v>0</v>
      </c>
      <c r="AZ100" s="595">
        <f t="shared" si="52"/>
        <v>6694.9644444444448</v>
      </c>
      <c r="BA100" s="596">
        <f t="shared" si="53"/>
        <v>6432.6055555555558</v>
      </c>
    </row>
    <row r="101" spans="1:53" s="1" customFormat="1">
      <c r="A101" s="421" t="s">
        <v>131</v>
      </c>
      <c r="B101" s="422" t="s">
        <v>151</v>
      </c>
      <c r="C101" s="423"/>
      <c r="D101" s="421">
        <v>137281</v>
      </c>
      <c r="E101" s="421">
        <v>7</v>
      </c>
      <c r="F101" s="592"/>
      <c r="G101" s="519"/>
      <c r="H101" s="592"/>
      <c r="I101" s="519"/>
      <c r="J101" s="592">
        <v>53381</v>
      </c>
      <c r="K101" s="541">
        <v>53848</v>
      </c>
      <c r="L101" s="592">
        <v>21221</v>
      </c>
      <c r="M101" s="541">
        <v>22640</v>
      </c>
      <c r="N101" s="592">
        <v>60211</v>
      </c>
      <c r="O101" s="541">
        <v>56936</v>
      </c>
      <c r="P101" s="595">
        <f t="shared" si="36"/>
        <v>134813</v>
      </c>
      <c r="Q101" s="595">
        <f t="shared" si="37"/>
        <v>4493.7666666666664</v>
      </c>
      <c r="R101" s="596">
        <f t="shared" si="38"/>
        <v>133424</v>
      </c>
      <c r="S101" s="596">
        <f t="shared" si="39"/>
        <v>4447.4666666666662</v>
      </c>
      <c r="T101" s="592">
        <v>33076</v>
      </c>
      <c r="U101" s="541">
        <v>36232</v>
      </c>
      <c r="V101" s="595">
        <f t="shared" si="40"/>
        <v>134813</v>
      </c>
      <c r="W101" s="596">
        <f t="shared" si="41"/>
        <v>133424</v>
      </c>
      <c r="X101" s="592"/>
      <c r="Y101" s="519"/>
      <c r="Z101" s="592">
        <v>56595</v>
      </c>
      <c r="AA101" s="541">
        <v>45624</v>
      </c>
      <c r="AB101" s="592">
        <v>26534</v>
      </c>
      <c r="AC101" s="541">
        <v>20984</v>
      </c>
      <c r="AD101" s="592">
        <v>67257</v>
      </c>
      <c r="AE101" s="541">
        <v>26343</v>
      </c>
      <c r="AF101" s="595">
        <f t="shared" si="42"/>
        <v>150386</v>
      </c>
      <c r="AG101" s="595">
        <f t="shared" si="43"/>
        <v>167.09555555555556</v>
      </c>
      <c r="AH101" s="596">
        <f t="shared" si="44"/>
        <v>92951</v>
      </c>
      <c r="AI101" s="596">
        <f t="shared" si="45"/>
        <v>103.27888888888889</v>
      </c>
      <c r="AJ101" s="592">
        <v>2160</v>
      </c>
      <c r="AK101" s="541">
        <v>1320</v>
      </c>
      <c r="AL101" s="595">
        <f t="shared" si="46"/>
        <v>150386</v>
      </c>
      <c r="AM101" s="596">
        <f t="shared" si="47"/>
        <v>92951</v>
      </c>
      <c r="AN101" s="592"/>
      <c r="AO101" s="519"/>
      <c r="AP101" s="592"/>
      <c r="AQ101" s="519"/>
      <c r="AR101" s="592"/>
      <c r="AS101" s="519"/>
      <c r="AT101" s="592"/>
      <c r="AU101" s="519"/>
      <c r="AV101" s="595">
        <f t="shared" si="48"/>
        <v>0</v>
      </c>
      <c r="AW101" s="595">
        <f t="shared" si="49"/>
        <v>0</v>
      </c>
      <c r="AX101" s="596">
        <f t="shared" si="50"/>
        <v>0</v>
      </c>
      <c r="AY101" s="596">
        <f t="shared" si="51"/>
        <v>0</v>
      </c>
      <c r="AZ101" s="595">
        <f t="shared" si="52"/>
        <v>4660.862222222222</v>
      </c>
      <c r="BA101" s="596">
        <f t="shared" si="53"/>
        <v>4550.7455555555553</v>
      </c>
    </row>
    <row r="102" spans="1:53" s="1" customFormat="1">
      <c r="A102" s="421" t="s">
        <v>131</v>
      </c>
      <c r="B102" s="422" t="s">
        <v>152</v>
      </c>
      <c r="C102" s="424"/>
      <c r="D102" s="421">
        <v>137078</v>
      </c>
      <c r="E102" s="421">
        <v>7</v>
      </c>
      <c r="F102" s="592"/>
      <c r="G102" s="519"/>
      <c r="H102" s="592"/>
      <c r="I102" s="519"/>
      <c r="J102" s="592">
        <v>229861</v>
      </c>
      <c r="K102" s="541">
        <v>224398</v>
      </c>
      <c r="L102" s="592">
        <v>83065</v>
      </c>
      <c r="M102" s="541">
        <v>82899</v>
      </c>
      <c r="N102" s="592">
        <v>237537</v>
      </c>
      <c r="O102" s="541">
        <v>215624</v>
      </c>
      <c r="P102" s="595">
        <f t="shared" si="36"/>
        <v>550463</v>
      </c>
      <c r="Q102" s="595">
        <f t="shared" si="37"/>
        <v>18348.766666666666</v>
      </c>
      <c r="R102" s="596">
        <f t="shared" si="38"/>
        <v>522921</v>
      </c>
      <c r="S102" s="596">
        <f t="shared" si="39"/>
        <v>17430.7</v>
      </c>
      <c r="T102" s="592">
        <v>46430</v>
      </c>
      <c r="U102" s="541">
        <v>45611</v>
      </c>
      <c r="V102" s="595">
        <f t="shared" si="40"/>
        <v>550463</v>
      </c>
      <c r="W102" s="596">
        <f t="shared" si="41"/>
        <v>522921</v>
      </c>
      <c r="X102" s="592"/>
      <c r="Y102" s="519"/>
      <c r="Z102" s="592">
        <v>94298</v>
      </c>
      <c r="AA102" s="541">
        <v>68153</v>
      </c>
      <c r="AB102" s="592">
        <v>33355</v>
      </c>
      <c r="AC102" s="541">
        <v>37279</v>
      </c>
      <c r="AD102" s="592">
        <v>74018</v>
      </c>
      <c r="AE102" s="541">
        <v>79586</v>
      </c>
      <c r="AF102" s="595">
        <f t="shared" si="42"/>
        <v>201671</v>
      </c>
      <c r="AG102" s="595">
        <f t="shared" si="43"/>
        <v>224.07888888888888</v>
      </c>
      <c r="AH102" s="596">
        <f t="shared" si="44"/>
        <v>185018</v>
      </c>
      <c r="AI102" s="596">
        <f t="shared" si="45"/>
        <v>205.57555555555555</v>
      </c>
      <c r="AJ102" s="592">
        <v>0</v>
      </c>
      <c r="AK102" s="541">
        <v>0</v>
      </c>
      <c r="AL102" s="595">
        <f t="shared" si="46"/>
        <v>201671</v>
      </c>
      <c r="AM102" s="596">
        <f t="shared" si="47"/>
        <v>185018</v>
      </c>
      <c r="AN102" s="592"/>
      <c r="AO102" s="519"/>
      <c r="AP102" s="592"/>
      <c r="AQ102" s="519"/>
      <c r="AR102" s="592"/>
      <c r="AS102" s="519"/>
      <c r="AT102" s="592"/>
      <c r="AU102" s="519"/>
      <c r="AV102" s="595">
        <f t="shared" si="48"/>
        <v>0</v>
      </c>
      <c r="AW102" s="595">
        <f t="shared" si="49"/>
        <v>0</v>
      </c>
      <c r="AX102" s="596">
        <f t="shared" si="50"/>
        <v>0</v>
      </c>
      <c r="AY102" s="596">
        <f t="shared" si="51"/>
        <v>0</v>
      </c>
      <c r="AZ102" s="595">
        <f t="shared" si="52"/>
        <v>18572.845555555556</v>
      </c>
      <c r="BA102" s="596">
        <f t="shared" si="53"/>
        <v>17636.275555555556</v>
      </c>
    </row>
    <row r="103" spans="1:53" s="1" customFormat="1">
      <c r="A103" s="421" t="s">
        <v>131</v>
      </c>
      <c r="B103" s="422" t="s">
        <v>153</v>
      </c>
      <c r="C103" s="423"/>
      <c r="D103" s="421">
        <v>137096</v>
      </c>
      <c r="E103" s="421">
        <v>7</v>
      </c>
      <c r="F103" s="592"/>
      <c r="G103" s="519"/>
      <c r="H103" s="592"/>
      <c r="I103" s="519"/>
      <c r="J103" s="592">
        <v>121470</v>
      </c>
      <c r="K103" s="541">
        <v>118747</v>
      </c>
      <c r="L103" s="592">
        <v>50029</v>
      </c>
      <c r="M103" s="541">
        <v>48120</v>
      </c>
      <c r="N103" s="592">
        <v>136281</v>
      </c>
      <c r="O103" s="541">
        <v>122669</v>
      </c>
      <c r="P103" s="595">
        <f t="shared" si="36"/>
        <v>307780</v>
      </c>
      <c r="Q103" s="595">
        <f t="shared" si="37"/>
        <v>10259.333333333334</v>
      </c>
      <c r="R103" s="596">
        <f t="shared" si="38"/>
        <v>289536</v>
      </c>
      <c r="S103" s="596">
        <f t="shared" si="39"/>
        <v>9651.2000000000007</v>
      </c>
      <c r="T103" s="592">
        <v>20244</v>
      </c>
      <c r="U103" s="541">
        <v>18539</v>
      </c>
      <c r="V103" s="595">
        <f t="shared" si="40"/>
        <v>307780</v>
      </c>
      <c r="W103" s="596">
        <f t="shared" si="41"/>
        <v>289536</v>
      </c>
      <c r="X103" s="592"/>
      <c r="Y103" s="519"/>
      <c r="Z103" s="592">
        <v>265512</v>
      </c>
      <c r="AA103" s="541">
        <v>288901</v>
      </c>
      <c r="AB103" s="592">
        <v>187674</v>
      </c>
      <c r="AC103" s="541">
        <v>154479</v>
      </c>
      <c r="AD103" s="592">
        <v>295717</v>
      </c>
      <c r="AE103" s="541">
        <v>243304</v>
      </c>
      <c r="AF103" s="595">
        <f t="shared" si="42"/>
        <v>748903</v>
      </c>
      <c r="AG103" s="595">
        <f t="shared" si="43"/>
        <v>832.11444444444442</v>
      </c>
      <c r="AH103" s="596">
        <f t="shared" si="44"/>
        <v>686684</v>
      </c>
      <c r="AI103" s="596">
        <f t="shared" si="45"/>
        <v>762.98222222222228</v>
      </c>
      <c r="AJ103" s="592">
        <v>1626</v>
      </c>
      <c r="AK103" s="541">
        <v>2118</v>
      </c>
      <c r="AL103" s="595">
        <f t="shared" si="46"/>
        <v>748903</v>
      </c>
      <c r="AM103" s="596">
        <f t="shared" si="47"/>
        <v>686684</v>
      </c>
      <c r="AN103" s="592"/>
      <c r="AO103" s="519"/>
      <c r="AP103" s="592"/>
      <c r="AQ103" s="519"/>
      <c r="AR103" s="592"/>
      <c r="AS103" s="519"/>
      <c r="AT103" s="592"/>
      <c r="AU103" s="519"/>
      <c r="AV103" s="595">
        <f t="shared" si="48"/>
        <v>0</v>
      </c>
      <c r="AW103" s="595">
        <f t="shared" si="49"/>
        <v>0</v>
      </c>
      <c r="AX103" s="596">
        <f t="shared" si="50"/>
        <v>0</v>
      </c>
      <c r="AY103" s="596">
        <f t="shared" si="51"/>
        <v>0</v>
      </c>
      <c r="AZ103" s="595">
        <f t="shared" si="52"/>
        <v>11091.447777777779</v>
      </c>
      <c r="BA103" s="596">
        <f t="shared" si="53"/>
        <v>10414.182222222224</v>
      </c>
    </row>
    <row r="104" spans="1:53" s="1" customFormat="1">
      <c r="A104" s="421" t="s">
        <v>131</v>
      </c>
      <c r="B104" s="422" t="s">
        <v>154</v>
      </c>
      <c r="C104" s="423"/>
      <c r="D104" s="421">
        <v>137209</v>
      </c>
      <c r="E104" s="421">
        <v>7</v>
      </c>
      <c r="F104" s="592"/>
      <c r="G104" s="519"/>
      <c r="H104" s="592"/>
      <c r="I104" s="519"/>
      <c r="J104" s="592">
        <v>129527</v>
      </c>
      <c r="K104" s="541">
        <v>132321</v>
      </c>
      <c r="L104" s="592">
        <v>60326</v>
      </c>
      <c r="M104" s="541">
        <v>67365</v>
      </c>
      <c r="N104" s="592">
        <v>143587</v>
      </c>
      <c r="O104" s="541">
        <v>132878</v>
      </c>
      <c r="P104" s="595">
        <f t="shared" si="36"/>
        <v>333440</v>
      </c>
      <c r="Q104" s="595">
        <f t="shared" si="37"/>
        <v>11114.666666666666</v>
      </c>
      <c r="R104" s="596">
        <f t="shared" si="38"/>
        <v>332564</v>
      </c>
      <c r="S104" s="596">
        <f t="shared" si="39"/>
        <v>11085.466666666667</v>
      </c>
      <c r="T104" s="592">
        <v>16233</v>
      </c>
      <c r="U104" s="541">
        <v>19486</v>
      </c>
      <c r="V104" s="595">
        <f t="shared" si="40"/>
        <v>333440</v>
      </c>
      <c r="W104" s="596">
        <f t="shared" si="41"/>
        <v>332564</v>
      </c>
      <c r="X104" s="592"/>
      <c r="Y104" s="519"/>
      <c r="Z104" s="592">
        <v>559975</v>
      </c>
      <c r="AA104" s="541">
        <v>596078</v>
      </c>
      <c r="AB104" s="592">
        <v>392874</v>
      </c>
      <c r="AC104" s="541">
        <v>413902</v>
      </c>
      <c r="AD104" s="592">
        <v>607306</v>
      </c>
      <c r="AE104" s="541">
        <v>464010</v>
      </c>
      <c r="AF104" s="595">
        <f t="shared" si="42"/>
        <v>1560155</v>
      </c>
      <c r="AG104" s="595">
        <f t="shared" si="43"/>
        <v>1733.5055555555555</v>
      </c>
      <c r="AH104" s="596">
        <f t="shared" si="44"/>
        <v>1473990</v>
      </c>
      <c r="AI104" s="596">
        <f t="shared" si="45"/>
        <v>1637.7666666666667</v>
      </c>
      <c r="AJ104" s="592">
        <v>0</v>
      </c>
      <c r="AK104" s="541">
        <v>0</v>
      </c>
      <c r="AL104" s="595">
        <f t="shared" si="46"/>
        <v>1560155</v>
      </c>
      <c r="AM104" s="596">
        <f t="shared" si="47"/>
        <v>1473990</v>
      </c>
      <c r="AN104" s="592"/>
      <c r="AO104" s="519"/>
      <c r="AP104" s="592"/>
      <c r="AQ104" s="519"/>
      <c r="AR104" s="592"/>
      <c r="AS104" s="519"/>
      <c r="AT104" s="592"/>
      <c r="AU104" s="519"/>
      <c r="AV104" s="595">
        <f t="shared" si="48"/>
        <v>0</v>
      </c>
      <c r="AW104" s="595">
        <f t="shared" si="49"/>
        <v>0</v>
      </c>
      <c r="AX104" s="596">
        <f t="shared" si="50"/>
        <v>0</v>
      </c>
      <c r="AY104" s="596">
        <f t="shared" si="51"/>
        <v>0</v>
      </c>
      <c r="AZ104" s="595">
        <f t="shared" si="52"/>
        <v>12848.172222222222</v>
      </c>
      <c r="BA104" s="596">
        <f t="shared" si="53"/>
        <v>12723.233333333334</v>
      </c>
    </row>
    <row r="105" spans="1:53" s="1" customFormat="1">
      <c r="A105" s="421" t="s">
        <v>131</v>
      </c>
      <c r="B105" s="422" t="s">
        <v>155</v>
      </c>
      <c r="C105" s="423"/>
      <c r="D105" s="421">
        <v>137315</v>
      </c>
      <c r="E105" s="421">
        <v>7</v>
      </c>
      <c r="F105" s="592"/>
      <c r="G105" s="519"/>
      <c r="H105" s="592"/>
      <c r="I105" s="519"/>
      <c r="J105" s="592">
        <v>19771</v>
      </c>
      <c r="K105" s="541">
        <v>19465</v>
      </c>
      <c r="L105" s="592">
        <v>6342</v>
      </c>
      <c r="M105" s="541">
        <v>6124</v>
      </c>
      <c r="N105" s="592">
        <v>21778</v>
      </c>
      <c r="O105" s="541">
        <v>22581</v>
      </c>
      <c r="P105" s="595">
        <f t="shared" si="36"/>
        <v>47891</v>
      </c>
      <c r="Q105" s="595">
        <f t="shared" si="37"/>
        <v>1596.3666666666666</v>
      </c>
      <c r="R105" s="596">
        <f t="shared" si="38"/>
        <v>48170</v>
      </c>
      <c r="S105" s="596">
        <f t="shared" si="39"/>
        <v>1605.6666666666667</v>
      </c>
      <c r="T105" s="592">
        <v>8686</v>
      </c>
      <c r="U105" s="541">
        <v>9093</v>
      </c>
      <c r="V105" s="595">
        <f t="shared" si="40"/>
        <v>47891</v>
      </c>
      <c r="W105" s="596">
        <f t="shared" si="41"/>
        <v>48170</v>
      </c>
      <c r="X105" s="592"/>
      <c r="Y105" s="519"/>
      <c r="Z105" s="592">
        <v>262817</v>
      </c>
      <c r="AA105" s="541">
        <v>283005</v>
      </c>
      <c r="AB105" s="592">
        <v>117655</v>
      </c>
      <c r="AC105" s="541">
        <v>92292</v>
      </c>
      <c r="AD105" s="592">
        <v>320852</v>
      </c>
      <c r="AE105" s="541">
        <v>286330</v>
      </c>
      <c r="AF105" s="595">
        <f t="shared" si="42"/>
        <v>701324</v>
      </c>
      <c r="AG105" s="595">
        <f t="shared" si="43"/>
        <v>779.24888888888893</v>
      </c>
      <c r="AH105" s="596">
        <f t="shared" si="44"/>
        <v>661627</v>
      </c>
      <c r="AI105" s="596">
        <f t="shared" si="45"/>
        <v>735.14111111111106</v>
      </c>
      <c r="AJ105" s="592">
        <v>67477</v>
      </c>
      <c r="AK105" s="541">
        <v>66660</v>
      </c>
      <c r="AL105" s="595">
        <f t="shared" si="46"/>
        <v>701324</v>
      </c>
      <c r="AM105" s="596">
        <f t="shared" si="47"/>
        <v>661627</v>
      </c>
      <c r="AN105" s="592"/>
      <c r="AO105" s="519"/>
      <c r="AP105" s="592"/>
      <c r="AQ105" s="519"/>
      <c r="AR105" s="592"/>
      <c r="AS105" s="519"/>
      <c r="AT105" s="592"/>
      <c r="AU105" s="519"/>
      <c r="AV105" s="595">
        <f t="shared" si="48"/>
        <v>0</v>
      </c>
      <c r="AW105" s="595">
        <f t="shared" si="49"/>
        <v>0</v>
      </c>
      <c r="AX105" s="596">
        <f t="shared" si="50"/>
        <v>0</v>
      </c>
      <c r="AY105" s="596">
        <f t="shared" si="51"/>
        <v>0</v>
      </c>
      <c r="AZ105" s="595">
        <f t="shared" si="52"/>
        <v>2375.6155555555556</v>
      </c>
      <c r="BA105" s="596">
        <f t="shared" si="53"/>
        <v>2340.807777777778</v>
      </c>
    </row>
    <row r="106" spans="1:53" s="1" customFormat="1">
      <c r="A106" s="421" t="s">
        <v>131</v>
      </c>
      <c r="B106" s="422" t="s">
        <v>156</v>
      </c>
      <c r="C106" s="424" t="s">
        <v>837</v>
      </c>
      <c r="D106" s="421">
        <v>137759</v>
      </c>
      <c r="E106" s="421">
        <v>8</v>
      </c>
      <c r="F106" s="592"/>
      <c r="G106" s="519"/>
      <c r="H106" s="592"/>
      <c r="I106" s="519"/>
      <c r="J106" s="592">
        <v>100103</v>
      </c>
      <c r="K106" s="541">
        <v>99273</v>
      </c>
      <c r="L106" s="592">
        <v>43500</v>
      </c>
      <c r="M106" s="541">
        <v>42609</v>
      </c>
      <c r="N106" s="592">
        <v>115349</v>
      </c>
      <c r="O106" s="541">
        <v>110866</v>
      </c>
      <c r="P106" s="595">
        <f t="shared" si="36"/>
        <v>258952</v>
      </c>
      <c r="Q106" s="595">
        <f t="shared" si="37"/>
        <v>8631.7333333333336</v>
      </c>
      <c r="R106" s="596">
        <f t="shared" si="38"/>
        <v>252748</v>
      </c>
      <c r="S106" s="596">
        <f t="shared" si="39"/>
        <v>8424.9333333333325</v>
      </c>
      <c r="T106" s="592">
        <v>8859</v>
      </c>
      <c r="U106" s="541">
        <v>10903</v>
      </c>
      <c r="V106" s="595">
        <f t="shared" si="40"/>
        <v>258952</v>
      </c>
      <c r="W106" s="596">
        <f t="shared" si="41"/>
        <v>252748</v>
      </c>
      <c r="X106" s="592"/>
      <c r="Y106" s="519"/>
      <c r="Z106" s="592">
        <v>165651</v>
      </c>
      <c r="AA106" s="541">
        <v>135526</v>
      </c>
      <c r="AB106" s="592">
        <v>16587</v>
      </c>
      <c r="AC106" s="541">
        <v>5170</v>
      </c>
      <c r="AD106" s="592">
        <v>163256</v>
      </c>
      <c r="AE106" s="541">
        <v>127392</v>
      </c>
      <c r="AF106" s="595">
        <f t="shared" si="42"/>
        <v>345494</v>
      </c>
      <c r="AG106" s="595">
        <f t="shared" si="43"/>
        <v>383.8822222222222</v>
      </c>
      <c r="AH106" s="596">
        <f t="shared" si="44"/>
        <v>268088</v>
      </c>
      <c r="AI106" s="596">
        <f t="shared" si="45"/>
        <v>297.87555555555554</v>
      </c>
      <c r="AJ106" s="592">
        <v>0</v>
      </c>
      <c r="AK106" s="541">
        <v>0</v>
      </c>
      <c r="AL106" s="595">
        <f t="shared" si="46"/>
        <v>345494</v>
      </c>
      <c r="AM106" s="596">
        <f t="shared" si="47"/>
        <v>268088</v>
      </c>
      <c r="AN106" s="592"/>
      <c r="AO106" s="519"/>
      <c r="AP106" s="592"/>
      <c r="AQ106" s="519"/>
      <c r="AR106" s="592"/>
      <c r="AS106" s="519"/>
      <c r="AT106" s="592"/>
      <c r="AU106" s="519"/>
      <c r="AV106" s="595">
        <f t="shared" si="48"/>
        <v>0</v>
      </c>
      <c r="AW106" s="595">
        <f t="shared" si="49"/>
        <v>0</v>
      </c>
      <c r="AX106" s="596">
        <f t="shared" si="50"/>
        <v>0</v>
      </c>
      <c r="AY106" s="596">
        <f t="shared" si="51"/>
        <v>0</v>
      </c>
      <c r="AZ106" s="595">
        <f t="shared" si="52"/>
        <v>9015.6155555555561</v>
      </c>
      <c r="BA106" s="596">
        <f t="shared" si="53"/>
        <v>8722.8088888888888</v>
      </c>
    </row>
    <row r="107" spans="1:53" s="1" customFormat="1">
      <c r="A107" s="421" t="s">
        <v>131</v>
      </c>
      <c r="B107" s="422" t="s">
        <v>157</v>
      </c>
      <c r="C107" s="423"/>
      <c r="D107" s="421">
        <v>138187</v>
      </c>
      <c r="E107" s="421">
        <v>7</v>
      </c>
      <c r="F107" s="592"/>
      <c r="G107" s="519"/>
      <c r="H107" s="592"/>
      <c r="I107" s="519"/>
      <c r="J107" s="592">
        <v>382186</v>
      </c>
      <c r="K107" s="541">
        <v>389871</v>
      </c>
      <c r="L107" s="592">
        <v>175404</v>
      </c>
      <c r="M107" s="541">
        <v>207915</v>
      </c>
      <c r="N107" s="592">
        <v>426340</v>
      </c>
      <c r="O107" s="541">
        <v>429906</v>
      </c>
      <c r="P107" s="595">
        <f t="shared" si="36"/>
        <v>983930</v>
      </c>
      <c r="Q107" s="595">
        <f t="shared" si="37"/>
        <v>32797.666666666664</v>
      </c>
      <c r="R107" s="596">
        <f t="shared" si="38"/>
        <v>1027692</v>
      </c>
      <c r="S107" s="596">
        <f t="shared" si="39"/>
        <v>34256.400000000001</v>
      </c>
      <c r="T107" s="592">
        <v>98132</v>
      </c>
      <c r="U107" s="541">
        <v>111499</v>
      </c>
      <c r="V107" s="595">
        <f t="shared" si="40"/>
        <v>983930</v>
      </c>
      <c r="W107" s="596">
        <f t="shared" si="41"/>
        <v>1027692</v>
      </c>
      <c r="X107" s="592"/>
      <c r="Y107" s="519"/>
      <c r="Z107" s="592">
        <v>100422</v>
      </c>
      <c r="AA107" s="541">
        <v>102098</v>
      </c>
      <c r="AB107" s="592">
        <v>68710</v>
      </c>
      <c r="AC107" s="541">
        <v>63163</v>
      </c>
      <c r="AD107" s="592">
        <v>91928</v>
      </c>
      <c r="AE107" s="541">
        <v>70970</v>
      </c>
      <c r="AF107" s="595">
        <f t="shared" si="42"/>
        <v>261060</v>
      </c>
      <c r="AG107" s="595">
        <f t="shared" si="43"/>
        <v>290.06666666666666</v>
      </c>
      <c r="AH107" s="596">
        <f t="shared" si="44"/>
        <v>236231</v>
      </c>
      <c r="AI107" s="596">
        <f t="shared" si="45"/>
        <v>262.47888888888889</v>
      </c>
      <c r="AJ107" s="592">
        <v>0</v>
      </c>
      <c r="AK107" s="541">
        <v>0</v>
      </c>
      <c r="AL107" s="595">
        <f t="shared" si="46"/>
        <v>261060</v>
      </c>
      <c r="AM107" s="596">
        <f t="shared" si="47"/>
        <v>236231</v>
      </c>
      <c r="AN107" s="592"/>
      <c r="AO107" s="519"/>
      <c r="AP107" s="592"/>
      <c r="AQ107" s="519"/>
      <c r="AR107" s="592"/>
      <c r="AS107" s="519"/>
      <c r="AT107" s="592"/>
      <c r="AU107" s="519"/>
      <c r="AV107" s="595">
        <f t="shared" si="48"/>
        <v>0</v>
      </c>
      <c r="AW107" s="595">
        <f t="shared" si="49"/>
        <v>0</v>
      </c>
      <c r="AX107" s="596">
        <f t="shared" si="50"/>
        <v>0</v>
      </c>
      <c r="AY107" s="596">
        <f t="shared" si="51"/>
        <v>0</v>
      </c>
      <c r="AZ107" s="595">
        <f t="shared" si="52"/>
        <v>33087.73333333333</v>
      </c>
      <c r="BA107" s="596">
        <f t="shared" si="53"/>
        <v>34518.878888888888</v>
      </c>
    </row>
    <row r="108" spans="1:53" s="365" customFormat="1" ht="13.75" customHeight="1">
      <c r="A108" s="426" t="s">
        <v>158</v>
      </c>
      <c r="B108" s="427" t="s">
        <v>801</v>
      </c>
      <c r="C108" s="428"/>
      <c r="D108" s="429">
        <v>139940</v>
      </c>
      <c r="E108" s="430">
        <v>1</v>
      </c>
      <c r="F108" s="592"/>
      <c r="G108" s="519"/>
      <c r="H108" s="592"/>
      <c r="I108" s="519"/>
      <c r="J108" s="592">
        <v>484483</v>
      </c>
      <c r="K108" s="519">
        <v>489543.5</v>
      </c>
      <c r="L108" s="592">
        <v>136691</v>
      </c>
      <c r="M108" s="519">
        <v>154606</v>
      </c>
      <c r="N108" s="592">
        <v>530095</v>
      </c>
      <c r="O108" s="519">
        <v>522155.5</v>
      </c>
      <c r="P108" s="595">
        <f t="shared" si="36"/>
        <v>1151269</v>
      </c>
      <c r="Q108" s="595">
        <f t="shared" si="37"/>
        <v>38375.633333333331</v>
      </c>
      <c r="R108" s="596">
        <f t="shared" si="38"/>
        <v>1166305</v>
      </c>
      <c r="S108" s="596">
        <f t="shared" si="39"/>
        <v>38876.833333333336</v>
      </c>
      <c r="T108" s="592">
        <v>26778.5</v>
      </c>
      <c r="U108" s="519">
        <v>29104.5</v>
      </c>
      <c r="V108" s="595">
        <f t="shared" si="40"/>
        <v>1151269</v>
      </c>
      <c r="W108" s="596">
        <f t="shared" si="41"/>
        <v>1166305</v>
      </c>
      <c r="X108" s="592"/>
      <c r="Y108" s="519"/>
      <c r="Z108" s="592"/>
      <c r="AA108" s="519"/>
      <c r="AB108" s="592"/>
      <c r="AC108" s="519"/>
      <c r="AD108" s="592"/>
      <c r="AE108" s="519"/>
      <c r="AF108" s="595">
        <f t="shared" si="42"/>
        <v>0</v>
      </c>
      <c r="AG108" s="595">
        <f t="shared" si="43"/>
        <v>0</v>
      </c>
      <c r="AH108" s="596">
        <f t="shared" si="44"/>
        <v>0</v>
      </c>
      <c r="AI108" s="596">
        <f t="shared" si="45"/>
        <v>0</v>
      </c>
      <c r="AJ108" s="592"/>
      <c r="AK108" s="519"/>
      <c r="AL108" s="595">
        <f t="shared" si="46"/>
        <v>0</v>
      </c>
      <c r="AM108" s="596">
        <f t="shared" si="47"/>
        <v>0</v>
      </c>
      <c r="AN108" s="592"/>
      <c r="AO108" s="519"/>
      <c r="AP108" s="592">
        <v>87481</v>
      </c>
      <c r="AQ108" s="519">
        <v>86346.5</v>
      </c>
      <c r="AR108" s="592">
        <v>47202.5</v>
      </c>
      <c r="AS108" s="519">
        <v>47864</v>
      </c>
      <c r="AT108" s="592">
        <v>90882.5</v>
      </c>
      <c r="AU108" s="519">
        <v>87426.5</v>
      </c>
      <c r="AV108" s="595">
        <f t="shared" si="48"/>
        <v>225566</v>
      </c>
      <c r="AW108" s="595">
        <f t="shared" si="49"/>
        <v>9398.5833333333339</v>
      </c>
      <c r="AX108" s="596">
        <f t="shared" si="50"/>
        <v>221637</v>
      </c>
      <c r="AY108" s="596">
        <f t="shared" si="51"/>
        <v>9234.875</v>
      </c>
      <c r="AZ108" s="595">
        <f t="shared" si="52"/>
        <v>47774.216666666667</v>
      </c>
      <c r="BA108" s="596">
        <f t="shared" si="53"/>
        <v>48111.708333333336</v>
      </c>
    </row>
    <row r="109" spans="1:53" s="1" customFormat="1">
      <c r="A109" s="426" t="s">
        <v>158</v>
      </c>
      <c r="B109" s="427" t="s">
        <v>159</v>
      </c>
      <c r="C109" s="428"/>
      <c r="D109" s="429">
        <v>139959</v>
      </c>
      <c r="E109" s="430">
        <v>1</v>
      </c>
      <c r="F109" s="592"/>
      <c r="G109" s="519"/>
      <c r="H109" s="592"/>
      <c r="I109" s="519"/>
      <c r="J109" s="592">
        <v>388090.5</v>
      </c>
      <c r="K109" s="519">
        <v>387828.5</v>
      </c>
      <c r="L109" s="592">
        <v>73794</v>
      </c>
      <c r="M109" s="519">
        <v>78267</v>
      </c>
      <c r="N109" s="592">
        <v>405292.5</v>
      </c>
      <c r="O109" s="519">
        <v>403765</v>
      </c>
      <c r="P109" s="595">
        <f t="shared" si="36"/>
        <v>867177</v>
      </c>
      <c r="Q109" s="595">
        <f t="shared" si="37"/>
        <v>28905.9</v>
      </c>
      <c r="R109" s="596">
        <f t="shared" si="38"/>
        <v>869860.5</v>
      </c>
      <c r="S109" s="596">
        <f t="shared" si="39"/>
        <v>28995.35</v>
      </c>
      <c r="T109" s="592">
        <v>546</v>
      </c>
      <c r="U109" s="519">
        <v>819</v>
      </c>
      <c r="V109" s="595">
        <f t="shared" si="40"/>
        <v>867177</v>
      </c>
      <c r="W109" s="596">
        <f t="shared" si="41"/>
        <v>869860.5</v>
      </c>
      <c r="X109" s="592"/>
      <c r="Y109" s="519"/>
      <c r="Z109" s="592"/>
      <c r="AA109" s="519"/>
      <c r="AB109" s="592"/>
      <c r="AC109" s="519"/>
      <c r="AD109" s="592"/>
      <c r="AE109" s="519"/>
      <c r="AF109" s="595">
        <f t="shared" si="42"/>
        <v>0</v>
      </c>
      <c r="AG109" s="595">
        <f t="shared" si="43"/>
        <v>0</v>
      </c>
      <c r="AH109" s="596">
        <f t="shared" si="44"/>
        <v>0</v>
      </c>
      <c r="AI109" s="596">
        <f t="shared" si="45"/>
        <v>0</v>
      </c>
      <c r="AJ109" s="592"/>
      <c r="AK109" s="519"/>
      <c r="AL109" s="595">
        <f t="shared" si="46"/>
        <v>0</v>
      </c>
      <c r="AM109" s="596">
        <f t="shared" si="47"/>
        <v>0</v>
      </c>
      <c r="AN109" s="592"/>
      <c r="AO109" s="519"/>
      <c r="AP109" s="592">
        <v>113970.2</v>
      </c>
      <c r="AQ109" s="519">
        <v>115495.8</v>
      </c>
      <c r="AR109" s="592">
        <v>48483.3</v>
      </c>
      <c r="AS109" s="519">
        <v>52548.1</v>
      </c>
      <c r="AT109" s="592">
        <v>118123.7</v>
      </c>
      <c r="AU109" s="519">
        <v>120898</v>
      </c>
      <c r="AV109" s="595">
        <f t="shared" si="48"/>
        <v>280577.2</v>
      </c>
      <c r="AW109" s="595">
        <f t="shared" si="49"/>
        <v>11690.716666666667</v>
      </c>
      <c r="AX109" s="596">
        <f t="shared" si="50"/>
        <v>288941.90000000002</v>
      </c>
      <c r="AY109" s="596">
        <f t="shared" si="51"/>
        <v>12039.245833333334</v>
      </c>
      <c r="AZ109" s="595">
        <f t="shared" si="52"/>
        <v>40596.616666666669</v>
      </c>
      <c r="BA109" s="596">
        <f t="shared" si="53"/>
        <v>41034.595833333333</v>
      </c>
    </row>
    <row r="110" spans="1:53" s="1" customFormat="1">
      <c r="A110" s="426" t="s">
        <v>158</v>
      </c>
      <c r="B110" s="427" t="s">
        <v>160</v>
      </c>
      <c r="C110" s="428"/>
      <c r="D110" s="429">
        <v>139755</v>
      </c>
      <c r="E110" s="430">
        <v>2</v>
      </c>
      <c r="F110" s="592"/>
      <c r="G110" s="519"/>
      <c r="H110" s="592"/>
      <c r="I110" s="519"/>
      <c r="J110" s="592">
        <v>195803</v>
      </c>
      <c r="K110" s="519">
        <v>200200.97</v>
      </c>
      <c r="L110" s="592">
        <v>44695</v>
      </c>
      <c r="M110" s="519">
        <v>57738</v>
      </c>
      <c r="N110" s="592">
        <v>215629.53</v>
      </c>
      <c r="O110" s="519">
        <v>224031</v>
      </c>
      <c r="P110" s="595">
        <f t="shared" si="36"/>
        <v>456127.53</v>
      </c>
      <c r="Q110" s="595">
        <f t="shared" si="37"/>
        <v>15204.251</v>
      </c>
      <c r="R110" s="596">
        <f t="shared" si="38"/>
        <v>481969.97</v>
      </c>
      <c r="S110" s="596">
        <f t="shared" si="39"/>
        <v>16065.665666666666</v>
      </c>
      <c r="T110" s="592">
        <v>4173</v>
      </c>
      <c r="U110" s="519">
        <v>4804</v>
      </c>
      <c r="V110" s="595">
        <f t="shared" si="40"/>
        <v>456127.53</v>
      </c>
      <c r="W110" s="596">
        <f t="shared" si="41"/>
        <v>481969.97</v>
      </c>
      <c r="X110" s="592"/>
      <c r="Y110" s="519"/>
      <c r="Z110" s="592"/>
      <c r="AA110" s="519"/>
      <c r="AB110" s="592"/>
      <c r="AC110" s="519"/>
      <c r="AD110" s="592"/>
      <c r="AE110" s="519"/>
      <c r="AF110" s="595">
        <f t="shared" si="42"/>
        <v>0</v>
      </c>
      <c r="AG110" s="595">
        <f t="shared" si="43"/>
        <v>0</v>
      </c>
      <c r="AH110" s="596">
        <f t="shared" si="44"/>
        <v>0</v>
      </c>
      <c r="AI110" s="596">
        <f t="shared" si="45"/>
        <v>0</v>
      </c>
      <c r="AJ110" s="592"/>
      <c r="AK110" s="519"/>
      <c r="AL110" s="595">
        <f t="shared" si="46"/>
        <v>0</v>
      </c>
      <c r="AM110" s="596">
        <f t="shared" si="47"/>
        <v>0</v>
      </c>
      <c r="AN110" s="592"/>
      <c r="AO110" s="519"/>
      <c r="AP110" s="592">
        <v>145863</v>
      </c>
      <c r="AQ110" s="519">
        <v>154035.5</v>
      </c>
      <c r="AR110" s="592">
        <v>66190</v>
      </c>
      <c r="AS110" s="519">
        <v>78380.5</v>
      </c>
      <c r="AT110" s="592">
        <v>163852.5</v>
      </c>
      <c r="AU110" s="519">
        <v>170322.5</v>
      </c>
      <c r="AV110" s="595">
        <f t="shared" si="48"/>
        <v>375905.5</v>
      </c>
      <c r="AW110" s="595">
        <f t="shared" si="49"/>
        <v>15662.729166666666</v>
      </c>
      <c r="AX110" s="596">
        <f t="shared" si="50"/>
        <v>402738.5</v>
      </c>
      <c r="AY110" s="596">
        <f t="shared" si="51"/>
        <v>16780.770833333332</v>
      </c>
      <c r="AZ110" s="595">
        <f t="shared" si="52"/>
        <v>30866.980166666668</v>
      </c>
      <c r="BA110" s="596">
        <f t="shared" si="53"/>
        <v>32846.436499999996</v>
      </c>
    </row>
    <row r="111" spans="1:53" s="1" customFormat="1">
      <c r="A111" s="426" t="s">
        <v>158</v>
      </c>
      <c r="B111" s="427" t="s">
        <v>161</v>
      </c>
      <c r="C111" s="428" t="s">
        <v>841</v>
      </c>
      <c r="D111" s="429">
        <v>139931</v>
      </c>
      <c r="E111" s="430">
        <v>3</v>
      </c>
      <c r="F111" s="592"/>
      <c r="G111" s="519"/>
      <c r="H111" s="592"/>
      <c r="I111" s="519"/>
      <c r="J111" s="592">
        <v>274778</v>
      </c>
      <c r="K111" s="519">
        <v>267704</v>
      </c>
      <c r="L111" s="592">
        <v>73334</v>
      </c>
      <c r="M111" s="519">
        <v>75748</v>
      </c>
      <c r="N111" s="592">
        <v>298227</v>
      </c>
      <c r="O111" s="519">
        <v>304969</v>
      </c>
      <c r="P111" s="595">
        <f t="shared" si="36"/>
        <v>646339</v>
      </c>
      <c r="Q111" s="595">
        <f t="shared" si="37"/>
        <v>21544.633333333335</v>
      </c>
      <c r="R111" s="596">
        <f t="shared" si="38"/>
        <v>648421</v>
      </c>
      <c r="S111" s="596">
        <f t="shared" si="39"/>
        <v>21614.033333333333</v>
      </c>
      <c r="T111" s="592">
        <v>10905</v>
      </c>
      <c r="U111" s="519">
        <v>12455</v>
      </c>
      <c r="V111" s="595">
        <f t="shared" si="40"/>
        <v>646339</v>
      </c>
      <c r="W111" s="596">
        <f t="shared" si="41"/>
        <v>648421</v>
      </c>
      <c r="X111" s="592"/>
      <c r="Y111" s="519"/>
      <c r="Z111" s="592"/>
      <c r="AA111" s="519"/>
      <c r="AB111" s="592"/>
      <c r="AC111" s="519"/>
      <c r="AD111" s="592"/>
      <c r="AE111" s="519"/>
      <c r="AF111" s="595">
        <f t="shared" si="42"/>
        <v>0</v>
      </c>
      <c r="AG111" s="595">
        <f t="shared" si="43"/>
        <v>0</v>
      </c>
      <c r="AH111" s="596">
        <f t="shared" si="44"/>
        <v>0</v>
      </c>
      <c r="AI111" s="596">
        <f t="shared" si="45"/>
        <v>0</v>
      </c>
      <c r="AJ111" s="592"/>
      <c r="AK111" s="519"/>
      <c r="AL111" s="595">
        <f t="shared" si="46"/>
        <v>0</v>
      </c>
      <c r="AM111" s="596">
        <f t="shared" si="47"/>
        <v>0</v>
      </c>
      <c r="AN111" s="592"/>
      <c r="AO111" s="519"/>
      <c r="AP111" s="592">
        <v>21942</v>
      </c>
      <c r="AQ111" s="519">
        <v>22641</v>
      </c>
      <c r="AR111" s="592">
        <v>15781</v>
      </c>
      <c r="AS111" s="519">
        <v>17245</v>
      </c>
      <c r="AT111" s="592">
        <v>24012</v>
      </c>
      <c r="AU111" s="519">
        <v>25127</v>
      </c>
      <c r="AV111" s="595">
        <f t="shared" si="48"/>
        <v>61735</v>
      </c>
      <c r="AW111" s="595">
        <f t="shared" si="49"/>
        <v>2572.2916666666665</v>
      </c>
      <c r="AX111" s="596">
        <f t="shared" si="50"/>
        <v>65013</v>
      </c>
      <c r="AY111" s="596">
        <f t="shared" si="51"/>
        <v>2708.875</v>
      </c>
      <c r="AZ111" s="595">
        <f t="shared" si="52"/>
        <v>24116.925000000003</v>
      </c>
      <c r="BA111" s="596">
        <f t="shared" si="53"/>
        <v>24322.908333333333</v>
      </c>
    </row>
    <row r="112" spans="1:53" s="1" customFormat="1">
      <c r="A112" s="426" t="s">
        <v>158</v>
      </c>
      <c r="B112" s="427" t="s">
        <v>162</v>
      </c>
      <c r="C112" s="428" t="s">
        <v>841</v>
      </c>
      <c r="D112" s="429">
        <v>486840</v>
      </c>
      <c r="E112" s="430">
        <v>3</v>
      </c>
      <c r="F112" s="592"/>
      <c r="G112" s="519"/>
      <c r="H112" s="592"/>
      <c r="I112" s="519"/>
      <c r="J112" s="592">
        <v>374370</v>
      </c>
      <c r="K112" s="519">
        <v>393334</v>
      </c>
      <c r="L112" s="592">
        <v>98853</v>
      </c>
      <c r="M112" s="519">
        <v>117730</v>
      </c>
      <c r="N112" s="592">
        <v>424298</v>
      </c>
      <c r="O112" s="519">
        <v>456454</v>
      </c>
      <c r="P112" s="595">
        <f t="shared" si="36"/>
        <v>897521</v>
      </c>
      <c r="Q112" s="595">
        <f t="shared" si="37"/>
        <v>29917.366666666665</v>
      </c>
      <c r="R112" s="596">
        <f t="shared" si="38"/>
        <v>967518</v>
      </c>
      <c r="S112" s="596">
        <f t="shared" si="39"/>
        <v>32250.6</v>
      </c>
      <c r="T112" s="592">
        <v>13898</v>
      </c>
      <c r="U112" s="519">
        <v>16415</v>
      </c>
      <c r="V112" s="595">
        <f t="shared" si="40"/>
        <v>897521</v>
      </c>
      <c r="W112" s="596">
        <f t="shared" si="41"/>
        <v>967518</v>
      </c>
      <c r="X112" s="592"/>
      <c r="Y112" s="519"/>
      <c r="Z112" s="592"/>
      <c r="AA112" s="519"/>
      <c r="AB112" s="592"/>
      <c r="AC112" s="519"/>
      <c r="AD112" s="592"/>
      <c r="AE112" s="519"/>
      <c r="AF112" s="595">
        <f t="shared" si="42"/>
        <v>0</v>
      </c>
      <c r="AG112" s="595">
        <f t="shared" si="43"/>
        <v>0</v>
      </c>
      <c r="AH112" s="596">
        <f t="shared" si="44"/>
        <v>0</v>
      </c>
      <c r="AI112" s="596">
        <f t="shared" si="45"/>
        <v>0</v>
      </c>
      <c r="AJ112" s="592"/>
      <c r="AK112" s="519"/>
      <c r="AL112" s="595">
        <f t="shared" si="46"/>
        <v>0</v>
      </c>
      <c r="AM112" s="596">
        <f t="shared" si="47"/>
        <v>0</v>
      </c>
      <c r="AN112" s="592"/>
      <c r="AO112" s="519"/>
      <c r="AP112" s="592">
        <v>20653</v>
      </c>
      <c r="AQ112" s="519">
        <v>21164</v>
      </c>
      <c r="AR112" s="592">
        <v>12633.1</v>
      </c>
      <c r="AS112" s="519">
        <v>14408</v>
      </c>
      <c r="AT112" s="592">
        <v>23114</v>
      </c>
      <c r="AU112" s="519">
        <v>26283</v>
      </c>
      <c r="AV112" s="595">
        <f t="shared" si="48"/>
        <v>56400.1</v>
      </c>
      <c r="AW112" s="595">
        <f t="shared" si="49"/>
        <v>2350.0041666666666</v>
      </c>
      <c r="AX112" s="596">
        <f t="shared" si="50"/>
        <v>61855</v>
      </c>
      <c r="AY112" s="596">
        <f t="shared" si="51"/>
        <v>2577.2916666666665</v>
      </c>
      <c r="AZ112" s="595">
        <f t="shared" si="52"/>
        <v>32267.370833333331</v>
      </c>
      <c r="BA112" s="596">
        <f t="shared" si="53"/>
        <v>34827.891666666663</v>
      </c>
    </row>
    <row r="113" spans="1:53" s="1" customFormat="1">
      <c r="A113" s="426" t="s">
        <v>158</v>
      </c>
      <c r="B113" s="427" t="s">
        <v>163</v>
      </c>
      <c r="C113" s="428"/>
      <c r="D113" s="429">
        <v>141334</v>
      </c>
      <c r="E113" s="430">
        <v>3</v>
      </c>
      <c r="F113" s="592"/>
      <c r="G113" s="519"/>
      <c r="H113" s="592"/>
      <c r="I113" s="519"/>
      <c r="J113" s="592">
        <v>127200</v>
      </c>
      <c r="K113" s="519">
        <v>119289</v>
      </c>
      <c r="L113" s="592">
        <v>30937</v>
      </c>
      <c r="M113" s="519">
        <v>34423</v>
      </c>
      <c r="N113" s="592">
        <v>130258</v>
      </c>
      <c r="O113" s="519">
        <v>126581</v>
      </c>
      <c r="P113" s="595">
        <f t="shared" si="36"/>
        <v>288395</v>
      </c>
      <c r="Q113" s="595">
        <f t="shared" si="37"/>
        <v>9613.1666666666661</v>
      </c>
      <c r="R113" s="596">
        <f t="shared" si="38"/>
        <v>280293</v>
      </c>
      <c r="S113" s="596">
        <f t="shared" si="39"/>
        <v>9343.1</v>
      </c>
      <c r="T113" s="592">
        <v>8570</v>
      </c>
      <c r="U113" s="519">
        <v>9494</v>
      </c>
      <c r="V113" s="595">
        <f t="shared" si="40"/>
        <v>288395</v>
      </c>
      <c r="W113" s="596">
        <f t="shared" si="41"/>
        <v>280293</v>
      </c>
      <c r="X113" s="592"/>
      <c r="Y113" s="519"/>
      <c r="Z113" s="592"/>
      <c r="AA113" s="519"/>
      <c r="AB113" s="592"/>
      <c r="AC113" s="519"/>
      <c r="AD113" s="592"/>
      <c r="AE113" s="519"/>
      <c r="AF113" s="595">
        <f t="shared" si="42"/>
        <v>0</v>
      </c>
      <c r="AG113" s="595">
        <f t="shared" si="43"/>
        <v>0</v>
      </c>
      <c r="AH113" s="596">
        <f t="shared" si="44"/>
        <v>0</v>
      </c>
      <c r="AI113" s="596">
        <f t="shared" si="45"/>
        <v>0</v>
      </c>
      <c r="AJ113" s="592"/>
      <c r="AK113" s="519"/>
      <c r="AL113" s="595">
        <f t="shared" si="46"/>
        <v>0</v>
      </c>
      <c r="AM113" s="596">
        <f t="shared" si="47"/>
        <v>0</v>
      </c>
      <c r="AN113" s="592"/>
      <c r="AO113" s="519"/>
      <c r="AP113" s="592">
        <v>15771</v>
      </c>
      <c r="AQ113" s="519">
        <v>16982</v>
      </c>
      <c r="AR113" s="592">
        <v>13787</v>
      </c>
      <c r="AS113" s="519">
        <v>16008</v>
      </c>
      <c r="AT113" s="592">
        <v>17782</v>
      </c>
      <c r="AU113" s="519">
        <v>19599</v>
      </c>
      <c r="AV113" s="595">
        <f t="shared" si="48"/>
        <v>47340</v>
      </c>
      <c r="AW113" s="595">
        <f t="shared" si="49"/>
        <v>1972.5</v>
      </c>
      <c r="AX113" s="596">
        <f t="shared" si="50"/>
        <v>52589</v>
      </c>
      <c r="AY113" s="596">
        <f t="shared" si="51"/>
        <v>2191.2083333333335</v>
      </c>
      <c r="AZ113" s="595">
        <f t="shared" si="52"/>
        <v>11585.666666666666</v>
      </c>
      <c r="BA113" s="596">
        <f t="shared" si="53"/>
        <v>11534.308333333334</v>
      </c>
    </row>
    <row r="114" spans="1:53" s="1" customFormat="1">
      <c r="A114" s="426" t="s">
        <v>158</v>
      </c>
      <c r="B114" s="427" t="s">
        <v>164</v>
      </c>
      <c r="C114" s="428"/>
      <c r="D114" s="429">
        <v>141264</v>
      </c>
      <c r="E114" s="430">
        <v>3</v>
      </c>
      <c r="F114" s="592"/>
      <c r="G114" s="519"/>
      <c r="H114" s="592"/>
      <c r="I114" s="519"/>
      <c r="J114" s="592">
        <v>100760</v>
      </c>
      <c r="K114" s="519">
        <v>97569</v>
      </c>
      <c r="L114" s="592">
        <v>24843</v>
      </c>
      <c r="M114" s="519">
        <v>26198</v>
      </c>
      <c r="N114" s="592">
        <v>107919</v>
      </c>
      <c r="O114" s="519">
        <v>118153</v>
      </c>
      <c r="P114" s="595">
        <f t="shared" si="36"/>
        <v>233522</v>
      </c>
      <c r="Q114" s="595">
        <f t="shared" si="37"/>
        <v>7784.0666666666666</v>
      </c>
      <c r="R114" s="596">
        <f t="shared" si="38"/>
        <v>241920</v>
      </c>
      <c r="S114" s="596">
        <f t="shared" si="39"/>
        <v>8064</v>
      </c>
      <c r="T114" s="592">
        <v>3142</v>
      </c>
      <c r="U114" s="519">
        <v>2715</v>
      </c>
      <c r="V114" s="595">
        <f t="shared" si="40"/>
        <v>233522</v>
      </c>
      <c r="W114" s="596">
        <f t="shared" si="41"/>
        <v>241920</v>
      </c>
      <c r="X114" s="592"/>
      <c r="Y114" s="519"/>
      <c r="Z114" s="592"/>
      <c r="AA114" s="519"/>
      <c r="AB114" s="592"/>
      <c r="AC114" s="519"/>
      <c r="AD114" s="592"/>
      <c r="AE114" s="519"/>
      <c r="AF114" s="595">
        <f t="shared" si="42"/>
        <v>0</v>
      </c>
      <c r="AG114" s="595">
        <f t="shared" si="43"/>
        <v>0</v>
      </c>
      <c r="AH114" s="596">
        <f t="shared" si="44"/>
        <v>0</v>
      </c>
      <c r="AI114" s="596">
        <f t="shared" si="45"/>
        <v>0</v>
      </c>
      <c r="AJ114" s="592"/>
      <c r="AK114" s="519"/>
      <c r="AL114" s="595">
        <f t="shared" si="46"/>
        <v>0</v>
      </c>
      <c r="AM114" s="596">
        <f t="shared" si="47"/>
        <v>0</v>
      </c>
      <c r="AN114" s="592"/>
      <c r="AO114" s="519"/>
      <c r="AP114" s="592">
        <v>16147</v>
      </c>
      <c r="AQ114" s="519">
        <v>16822</v>
      </c>
      <c r="AR114" s="592">
        <v>13353</v>
      </c>
      <c r="AS114" s="519">
        <v>13479</v>
      </c>
      <c r="AT114" s="592">
        <v>17524</v>
      </c>
      <c r="AU114" s="519">
        <v>18156</v>
      </c>
      <c r="AV114" s="595">
        <f t="shared" si="48"/>
        <v>47024</v>
      </c>
      <c r="AW114" s="595">
        <f t="shared" si="49"/>
        <v>1959.3333333333333</v>
      </c>
      <c r="AX114" s="596">
        <f t="shared" si="50"/>
        <v>48457</v>
      </c>
      <c r="AY114" s="596">
        <f t="shared" si="51"/>
        <v>2019.0416666666667</v>
      </c>
      <c r="AZ114" s="595">
        <f t="shared" si="52"/>
        <v>9743.4</v>
      </c>
      <c r="BA114" s="596">
        <f t="shared" si="53"/>
        <v>10083.041666666666</v>
      </c>
    </row>
    <row r="115" spans="1:53" s="1" customFormat="1">
      <c r="A115" s="426" t="s">
        <v>158</v>
      </c>
      <c r="B115" s="427" t="s">
        <v>165</v>
      </c>
      <c r="C115" s="428"/>
      <c r="D115" s="429">
        <v>138716</v>
      </c>
      <c r="E115" s="430">
        <v>4</v>
      </c>
      <c r="F115" s="592"/>
      <c r="G115" s="519"/>
      <c r="H115" s="592"/>
      <c r="I115" s="519"/>
      <c r="J115" s="592">
        <v>64354</v>
      </c>
      <c r="K115" s="519">
        <v>65480</v>
      </c>
      <c r="L115" s="592">
        <v>17144</v>
      </c>
      <c r="M115" s="519">
        <v>17594</v>
      </c>
      <c r="N115" s="592">
        <v>70191</v>
      </c>
      <c r="O115" s="519">
        <v>71883</v>
      </c>
      <c r="P115" s="595">
        <f t="shared" si="36"/>
        <v>151689</v>
      </c>
      <c r="Q115" s="595">
        <f t="shared" si="37"/>
        <v>5056.3</v>
      </c>
      <c r="R115" s="596">
        <f t="shared" si="38"/>
        <v>154957</v>
      </c>
      <c r="S115" s="596">
        <f t="shared" si="39"/>
        <v>5165.2333333333336</v>
      </c>
      <c r="T115" s="592">
        <v>7901</v>
      </c>
      <c r="U115" s="519">
        <v>5732</v>
      </c>
      <c r="V115" s="595">
        <f t="shared" si="40"/>
        <v>151689</v>
      </c>
      <c r="W115" s="596">
        <f t="shared" si="41"/>
        <v>154957</v>
      </c>
      <c r="X115" s="592"/>
      <c r="Y115" s="519"/>
      <c r="Z115" s="592"/>
      <c r="AA115" s="519"/>
      <c r="AB115" s="592"/>
      <c r="AC115" s="519"/>
      <c r="AD115" s="592"/>
      <c r="AE115" s="519"/>
      <c r="AF115" s="595">
        <f t="shared" si="42"/>
        <v>0</v>
      </c>
      <c r="AG115" s="595">
        <f t="shared" si="43"/>
        <v>0</v>
      </c>
      <c r="AH115" s="596">
        <f t="shared" si="44"/>
        <v>0</v>
      </c>
      <c r="AI115" s="596">
        <f t="shared" si="45"/>
        <v>0</v>
      </c>
      <c r="AJ115" s="592"/>
      <c r="AK115" s="519"/>
      <c r="AL115" s="595">
        <f t="shared" si="46"/>
        <v>0</v>
      </c>
      <c r="AM115" s="596">
        <f t="shared" si="47"/>
        <v>0</v>
      </c>
      <c r="AN115" s="592"/>
      <c r="AO115" s="519"/>
      <c r="AP115" s="592">
        <v>2534</v>
      </c>
      <c r="AQ115" s="519">
        <v>2348</v>
      </c>
      <c r="AR115" s="592">
        <v>1104</v>
      </c>
      <c r="AS115" s="519">
        <v>1549</v>
      </c>
      <c r="AT115" s="592">
        <v>2662</v>
      </c>
      <c r="AU115" s="519">
        <v>3136</v>
      </c>
      <c r="AV115" s="595">
        <f t="shared" si="48"/>
        <v>6300</v>
      </c>
      <c r="AW115" s="595">
        <f t="shared" si="49"/>
        <v>262.5</v>
      </c>
      <c r="AX115" s="596">
        <f t="shared" si="50"/>
        <v>7033</v>
      </c>
      <c r="AY115" s="596">
        <f t="shared" si="51"/>
        <v>293.04166666666669</v>
      </c>
      <c r="AZ115" s="595">
        <f t="shared" si="52"/>
        <v>5318.8</v>
      </c>
      <c r="BA115" s="596">
        <f t="shared" si="53"/>
        <v>5458.2750000000005</v>
      </c>
    </row>
    <row r="116" spans="1:53" s="1" customFormat="1">
      <c r="A116" s="426" t="s">
        <v>158</v>
      </c>
      <c r="B116" s="431" t="s">
        <v>814</v>
      </c>
      <c r="C116" s="428"/>
      <c r="D116" s="429">
        <v>482149</v>
      </c>
      <c r="E116" s="430">
        <v>4</v>
      </c>
      <c r="F116" s="592"/>
      <c r="G116" s="519"/>
      <c r="H116" s="592"/>
      <c r="I116" s="519"/>
      <c r="J116" s="592">
        <v>65225</v>
      </c>
      <c r="K116" s="519">
        <v>66566</v>
      </c>
      <c r="L116" s="592">
        <v>12703</v>
      </c>
      <c r="M116" s="519">
        <v>14260</v>
      </c>
      <c r="N116" s="592">
        <v>73498</v>
      </c>
      <c r="O116" s="519">
        <v>73883</v>
      </c>
      <c r="P116" s="595">
        <f t="shared" si="36"/>
        <v>151426</v>
      </c>
      <c r="Q116" s="595">
        <f t="shared" si="37"/>
        <v>5047.5333333333338</v>
      </c>
      <c r="R116" s="596">
        <f t="shared" si="38"/>
        <v>154709</v>
      </c>
      <c r="S116" s="596">
        <f t="shared" si="39"/>
        <v>5156.9666666666662</v>
      </c>
      <c r="T116" s="592">
        <v>2874</v>
      </c>
      <c r="U116" s="519">
        <v>3219</v>
      </c>
      <c r="V116" s="595">
        <f t="shared" si="40"/>
        <v>151426</v>
      </c>
      <c r="W116" s="596">
        <f t="shared" si="41"/>
        <v>154709</v>
      </c>
      <c r="X116" s="592"/>
      <c r="Y116" s="519"/>
      <c r="Z116" s="592"/>
      <c r="AA116" s="519"/>
      <c r="AB116" s="592"/>
      <c r="AC116" s="519"/>
      <c r="AD116" s="592"/>
      <c r="AE116" s="519"/>
      <c r="AF116" s="595">
        <f t="shared" si="42"/>
        <v>0</v>
      </c>
      <c r="AG116" s="595">
        <f t="shared" si="43"/>
        <v>0</v>
      </c>
      <c r="AH116" s="596">
        <f t="shared" si="44"/>
        <v>0</v>
      </c>
      <c r="AI116" s="596">
        <f t="shared" si="45"/>
        <v>0</v>
      </c>
      <c r="AJ116" s="592"/>
      <c r="AK116" s="519"/>
      <c r="AL116" s="595">
        <f t="shared" si="46"/>
        <v>0</v>
      </c>
      <c r="AM116" s="596">
        <f t="shared" si="47"/>
        <v>0</v>
      </c>
      <c r="AN116" s="592"/>
      <c r="AO116" s="519"/>
      <c r="AP116" s="592">
        <v>15687</v>
      </c>
      <c r="AQ116" s="519">
        <v>16660</v>
      </c>
      <c r="AR116" s="592">
        <v>13202</v>
      </c>
      <c r="AS116" s="519">
        <v>14267</v>
      </c>
      <c r="AT116" s="592">
        <v>19368</v>
      </c>
      <c r="AU116" s="519">
        <v>21162</v>
      </c>
      <c r="AV116" s="595">
        <f t="shared" si="48"/>
        <v>48257</v>
      </c>
      <c r="AW116" s="595">
        <f t="shared" si="49"/>
        <v>2010.7083333333333</v>
      </c>
      <c r="AX116" s="596">
        <f t="shared" si="50"/>
        <v>52089</v>
      </c>
      <c r="AY116" s="596">
        <f t="shared" si="51"/>
        <v>2170.375</v>
      </c>
      <c r="AZ116" s="595">
        <f t="shared" si="52"/>
        <v>7058.2416666666668</v>
      </c>
      <c r="BA116" s="596">
        <f t="shared" si="53"/>
        <v>7327.3416666666662</v>
      </c>
    </row>
    <row r="117" spans="1:53" s="1" customFormat="1">
      <c r="A117" s="426" t="s">
        <v>158</v>
      </c>
      <c r="B117" s="427" t="s">
        <v>166</v>
      </c>
      <c r="C117" s="432"/>
      <c r="D117" s="429">
        <v>139311</v>
      </c>
      <c r="E117" s="430">
        <v>4</v>
      </c>
      <c r="F117" s="592"/>
      <c r="G117" s="519"/>
      <c r="H117" s="592"/>
      <c r="I117" s="519"/>
      <c r="J117" s="592">
        <v>66921</v>
      </c>
      <c r="K117" s="519">
        <v>65891</v>
      </c>
      <c r="L117" s="592">
        <v>21666</v>
      </c>
      <c r="M117" s="519">
        <v>21965</v>
      </c>
      <c r="N117" s="592">
        <v>69758</v>
      </c>
      <c r="O117" s="519">
        <v>68382</v>
      </c>
      <c r="P117" s="595">
        <f t="shared" si="36"/>
        <v>158345</v>
      </c>
      <c r="Q117" s="595">
        <f t="shared" si="37"/>
        <v>5278.166666666667</v>
      </c>
      <c r="R117" s="596">
        <f t="shared" si="38"/>
        <v>156238</v>
      </c>
      <c r="S117" s="596">
        <f t="shared" si="39"/>
        <v>5207.9333333333334</v>
      </c>
      <c r="T117" s="592">
        <v>16028</v>
      </c>
      <c r="U117" s="519">
        <v>15116</v>
      </c>
      <c r="V117" s="595">
        <f t="shared" si="40"/>
        <v>158345</v>
      </c>
      <c r="W117" s="596">
        <f t="shared" si="41"/>
        <v>156238</v>
      </c>
      <c r="X117" s="592"/>
      <c r="Y117" s="519"/>
      <c r="Z117" s="592"/>
      <c r="AA117" s="519"/>
      <c r="AB117" s="592"/>
      <c r="AC117" s="519"/>
      <c r="AD117" s="592"/>
      <c r="AE117" s="519"/>
      <c r="AF117" s="595">
        <f t="shared" si="42"/>
        <v>0</v>
      </c>
      <c r="AG117" s="595">
        <f t="shared" si="43"/>
        <v>0</v>
      </c>
      <c r="AH117" s="596">
        <f t="shared" si="44"/>
        <v>0</v>
      </c>
      <c r="AI117" s="596">
        <f t="shared" si="45"/>
        <v>0</v>
      </c>
      <c r="AJ117" s="592"/>
      <c r="AK117" s="519"/>
      <c r="AL117" s="595">
        <f t="shared" si="46"/>
        <v>0</v>
      </c>
      <c r="AM117" s="596">
        <f t="shared" si="47"/>
        <v>0</v>
      </c>
      <c r="AN117" s="592"/>
      <c r="AO117" s="519"/>
      <c r="AP117" s="592">
        <v>3249</v>
      </c>
      <c r="AQ117" s="519">
        <v>4081</v>
      </c>
      <c r="AR117" s="592">
        <v>1756</v>
      </c>
      <c r="AS117" s="519">
        <v>1884</v>
      </c>
      <c r="AT117" s="592">
        <v>3878</v>
      </c>
      <c r="AU117" s="519">
        <v>5431</v>
      </c>
      <c r="AV117" s="595">
        <f t="shared" si="48"/>
        <v>8883</v>
      </c>
      <c r="AW117" s="595">
        <f t="shared" si="49"/>
        <v>370.125</v>
      </c>
      <c r="AX117" s="596">
        <f t="shared" si="50"/>
        <v>11396</v>
      </c>
      <c r="AY117" s="596">
        <f t="shared" si="51"/>
        <v>474.83333333333331</v>
      </c>
      <c r="AZ117" s="595">
        <f t="shared" si="52"/>
        <v>5648.291666666667</v>
      </c>
      <c r="BA117" s="596">
        <f t="shared" si="53"/>
        <v>5682.7666666666664</v>
      </c>
    </row>
    <row r="118" spans="1:53" s="1" customFormat="1">
      <c r="A118" s="426" t="s">
        <v>158</v>
      </c>
      <c r="B118" s="427" t="s">
        <v>167</v>
      </c>
      <c r="C118" s="428" t="s">
        <v>830</v>
      </c>
      <c r="D118" s="429">
        <v>139366</v>
      </c>
      <c r="E118" s="430">
        <v>4</v>
      </c>
      <c r="F118" s="592"/>
      <c r="G118" s="519"/>
      <c r="H118" s="592"/>
      <c r="I118" s="519"/>
      <c r="J118" s="592">
        <v>77136</v>
      </c>
      <c r="K118" s="519">
        <v>72906</v>
      </c>
      <c r="L118" s="592">
        <v>15697</v>
      </c>
      <c r="M118" s="519">
        <v>19205</v>
      </c>
      <c r="N118" s="592">
        <v>78129</v>
      </c>
      <c r="O118" s="519">
        <v>82191</v>
      </c>
      <c r="P118" s="595">
        <f t="shared" si="36"/>
        <v>170962</v>
      </c>
      <c r="Q118" s="595">
        <f t="shared" si="37"/>
        <v>5698.7333333333336</v>
      </c>
      <c r="R118" s="596">
        <f t="shared" si="38"/>
        <v>174302</v>
      </c>
      <c r="S118" s="596">
        <f t="shared" si="39"/>
        <v>5810.0666666666666</v>
      </c>
      <c r="T118" s="592">
        <v>5190</v>
      </c>
      <c r="U118" s="519">
        <v>5391</v>
      </c>
      <c r="V118" s="595">
        <f t="shared" si="40"/>
        <v>170962</v>
      </c>
      <c r="W118" s="596">
        <f t="shared" si="41"/>
        <v>174302</v>
      </c>
      <c r="X118" s="592"/>
      <c r="Y118" s="519"/>
      <c r="Z118" s="592"/>
      <c r="AA118" s="519"/>
      <c r="AB118" s="592"/>
      <c r="AC118" s="519"/>
      <c r="AD118" s="592"/>
      <c r="AE118" s="519"/>
      <c r="AF118" s="595">
        <f t="shared" si="42"/>
        <v>0</v>
      </c>
      <c r="AG118" s="595">
        <f t="shared" si="43"/>
        <v>0</v>
      </c>
      <c r="AH118" s="596">
        <f t="shared" si="44"/>
        <v>0</v>
      </c>
      <c r="AI118" s="596">
        <f t="shared" si="45"/>
        <v>0</v>
      </c>
      <c r="AJ118" s="592"/>
      <c r="AK118" s="519"/>
      <c r="AL118" s="595">
        <f t="shared" si="46"/>
        <v>0</v>
      </c>
      <c r="AM118" s="596">
        <f t="shared" si="47"/>
        <v>0</v>
      </c>
      <c r="AN118" s="592"/>
      <c r="AO118" s="519"/>
      <c r="AP118" s="592">
        <v>9742</v>
      </c>
      <c r="AQ118" s="519">
        <v>8917</v>
      </c>
      <c r="AR118" s="592">
        <v>5878</v>
      </c>
      <c r="AS118" s="519">
        <v>5784</v>
      </c>
      <c r="AT118" s="592">
        <v>9093</v>
      </c>
      <c r="AU118" s="519">
        <v>9925</v>
      </c>
      <c r="AV118" s="595">
        <f t="shared" si="48"/>
        <v>24713</v>
      </c>
      <c r="AW118" s="595">
        <f t="shared" si="49"/>
        <v>1029.7083333333333</v>
      </c>
      <c r="AX118" s="596">
        <f t="shared" si="50"/>
        <v>24626</v>
      </c>
      <c r="AY118" s="596">
        <f t="shared" si="51"/>
        <v>1026.0833333333333</v>
      </c>
      <c r="AZ118" s="595">
        <f t="shared" si="52"/>
        <v>6728.4416666666666</v>
      </c>
      <c r="BA118" s="596">
        <f t="shared" si="53"/>
        <v>6836.15</v>
      </c>
    </row>
    <row r="119" spans="1:53" s="1" customFormat="1">
      <c r="A119" s="426" t="s">
        <v>158</v>
      </c>
      <c r="B119" s="427" t="s">
        <v>168</v>
      </c>
      <c r="C119" s="542" t="s">
        <v>907</v>
      </c>
      <c r="D119" s="429">
        <v>139719</v>
      </c>
      <c r="E119" s="503">
        <v>5</v>
      </c>
      <c r="F119" s="592"/>
      <c r="G119" s="519"/>
      <c r="H119" s="592"/>
      <c r="I119" s="519"/>
      <c r="J119" s="592">
        <v>30106</v>
      </c>
      <c r="K119" s="519">
        <v>29115</v>
      </c>
      <c r="L119" s="592">
        <v>6032</v>
      </c>
      <c r="M119" s="519">
        <v>6608</v>
      </c>
      <c r="N119" s="592">
        <v>31880</v>
      </c>
      <c r="O119" s="519">
        <v>34115</v>
      </c>
      <c r="P119" s="595">
        <f t="shared" si="36"/>
        <v>68018</v>
      </c>
      <c r="Q119" s="595">
        <f t="shared" si="37"/>
        <v>2267.2666666666669</v>
      </c>
      <c r="R119" s="596">
        <f t="shared" si="38"/>
        <v>69838</v>
      </c>
      <c r="S119" s="596">
        <f t="shared" si="39"/>
        <v>2327.9333333333334</v>
      </c>
      <c r="T119" s="592">
        <v>611</v>
      </c>
      <c r="U119" s="519">
        <v>506</v>
      </c>
      <c r="V119" s="595">
        <f t="shared" si="40"/>
        <v>68018</v>
      </c>
      <c r="W119" s="596">
        <f t="shared" si="41"/>
        <v>69838</v>
      </c>
      <c r="X119" s="592"/>
      <c r="Y119" s="519"/>
      <c r="Z119" s="592"/>
      <c r="AA119" s="519"/>
      <c r="AB119" s="592"/>
      <c r="AC119" s="519"/>
      <c r="AD119" s="592"/>
      <c r="AE119" s="519"/>
      <c r="AF119" s="595">
        <f t="shared" si="42"/>
        <v>0</v>
      </c>
      <c r="AG119" s="595">
        <f t="shared" si="43"/>
        <v>0</v>
      </c>
      <c r="AH119" s="596">
        <f t="shared" si="44"/>
        <v>0</v>
      </c>
      <c r="AI119" s="596">
        <f t="shared" si="45"/>
        <v>0</v>
      </c>
      <c r="AJ119" s="592"/>
      <c r="AK119" s="519"/>
      <c r="AL119" s="595">
        <f t="shared" si="46"/>
        <v>0</v>
      </c>
      <c r="AM119" s="596">
        <f t="shared" si="47"/>
        <v>0</v>
      </c>
      <c r="AN119" s="592"/>
      <c r="AO119" s="519"/>
      <c r="AP119" s="592">
        <v>2851</v>
      </c>
      <c r="AQ119" s="519">
        <v>2231</v>
      </c>
      <c r="AR119" s="592">
        <v>1188</v>
      </c>
      <c r="AS119" s="519">
        <v>1056</v>
      </c>
      <c r="AT119" s="592">
        <v>2333</v>
      </c>
      <c r="AU119" s="519">
        <v>1896</v>
      </c>
      <c r="AV119" s="595">
        <f t="shared" si="48"/>
        <v>6372</v>
      </c>
      <c r="AW119" s="595">
        <f t="shared" si="49"/>
        <v>265.5</v>
      </c>
      <c r="AX119" s="596">
        <f t="shared" si="50"/>
        <v>5183</v>
      </c>
      <c r="AY119" s="596">
        <f t="shared" si="51"/>
        <v>215.95833333333334</v>
      </c>
      <c r="AZ119" s="595">
        <f t="shared" si="52"/>
        <v>2532.7666666666669</v>
      </c>
      <c r="BA119" s="596">
        <f t="shared" si="53"/>
        <v>2543.8916666666669</v>
      </c>
    </row>
    <row r="120" spans="1:53" s="1" customFormat="1">
      <c r="A120" s="426" t="s">
        <v>158</v>
      </c>
      <c r="B120" s="427" t="s">
        <v>169</v>
      </c>
      <c r="C120" s="428"/>
      <c r="D120" s="429">
        <v>139861</v>
      </c>
      <c r="E120" s="430">
        <v>4</v>
      </c>
      <c r="F120" s="592"/>
      <c r="G120" s="519"/>
      <c r="H120" s="592"/>
      <c r="I120" s="519"/>
      <c r="J120" s="592">
        <v>76744</v>
      </c>
      <c r="K120" s="519">
        <v>74524</v>
      </c>
      <c r="L120" s="592">
        <v>19414</v>
      </c>
      <c r="M120" s="519">
        <v>17617</v>
      </c>
      <c r="N120" s="592">
        <v>80939</v>
      </c>
      <c r="O120" s="519">
        <v>77021</v>
      </c>
      <c r="P120" s="595">
        <f t="shared" si="36"/>
        <v>177097</v>
      </c>
      <c r="Q120" s="595">
        <f t="shared" si="37"/>
        <v>5903.2333333333336</v>
      </c>
      <c r="R120" s="596">
        <f t="shared" si="38"/>
        <v>169162</v>
      </c>
      <c r="S120" s="596">
        <f t="shared" si="39"/>
        <v>5638.7333333333336</v>
      </c>
      <c r="T120" s="592">
        <v>737</v>
      </c>
      <c r="U120" s="519">
        <v>594</v>
      </c>
      <c r="V120" s="595">
        <f t="shared" si="40"/>
        <v>177097</v>
      </c>
      <c r="W120" s="596">
        <f t="shared" si="41"/>
        <v>169162</v>
      </c>
      <c r="X120" s="592"/>
      <c r="Y120" s="519"/>
      <c r="Z120" s="592"/>
      <c r="AA120" s="519"/>
      <c r="AB120" s="592"/>
      <c r="AC120" s="519"/>
      <c r="AD120" s="592"/>
      <c r="AE120" s="519"/>
      <c r="AF120" s="595">
        <f t="shared" si="42"/>
        <v>0</v>
      </c>
      <c r="AG120" s="595">
        <f t="shared" si="43"/>
        <v>0</v>
      </c>
      <c r="AH120" s="596">
        <f t="shared" si="44"/>
        <v>0</v>
      </c>
      <c r="AI120" s="596">
        <f t="shared" si="45"/>
        <v>0</v>
      </c>
      <c r="AJ120" s="592"/>
      <c r="AK120" s="519"/>
      <c r="AL120" s="595">
        <f t="shared" si="46"/>
        <v>0</v>
      </c>
      <c r="AM120" s="596">
        <f t="shared" si="47"/>
        <v>0</v>
      </c>
      <c r="AN120" s="592"/>
      <c r="AO120" s="519"/>
      <c r="AP120" s="592">
        <v>7441</v>
      </c>
      <c r="AQ120" s="519">
        <v>8338</v>
      </c>
      <c r="AR120" s="592">
        <v>7164</v>
      </c>
      <c r="AS120" s="519">
        <v>8364</v>
      </c>
      <c r="AT120" s="592">
        <v>8580</v>
      </c>
      <c r="AU120" s="519">
        <v>9005</v>
      </c>
      <c r="AV120" s="595">
        <f t="shared" si="48"/>
        <v>23185</v>
      </c>
      <c r="AW120" s="595">
        <f t="shared" si="49"/>
        <v>966.04166666666663</v>
      </c>
      <c r="AX120" s="596">
        <f t="shared" si="50"/>
        <v>25707</v>
      </c>
      <c r="AY120" s="596">
        <f t="shared" si="51"/>
        <v>1071.125</v>
      </c>
      <c r="AZ120" s="595">
        <f t="shared" si="52"/>
        <v>6869.2750000000005</v>
      </c>
      <c r="BA120" s="596">
        <f t="shared" si="53"/>
        <v>6709.8583333333336</v>
      </c>
    </row>
    <row r="121" spans="1:53" s="1" customFormat="1">
      <c r="A121" s="426" t="s">
        <v>158</v>
      </c>
      <c r="B121" s="427" t="s">
        <v>171</v>
      </c>
      <c r="C121" s="428" t="s">
        <v>831</v>
      </c>
      <c r="D121" s="429">
        <v>139764</v>
      </c>
      <c r="E121" s="430">
        <v>4</v>
      </c>
      <c r="F121" s="592"/>
      <c r="G121" s="519"/>
      <c r="H121" s="592"/>
      <c r="I121" s="519"/>
      <c r="J121" s="592">
        <v>26942</v>
      </c>
      <c r="K121" s="519">
        <v>26236</v>
      </c>
      <c r="L121" s="592">
        <v>7902</v>
      </c>
      <c r="M121" s="519">
        <v>7961</v>
      </c>
      <c r="N121" s="592">
        <v>28447</v>
      </c>
      <c r="O121" s="519">
        <v>29121</v>
      </c>
      <c r="P121" s="595">
        <f t="shared" si="36"/>
        <v>63291</v>
      </c>
      <c r="Q121" s="595">
        <f t="shared" si="37"/>
        <v>2109.6999999999998</v>
      </c>
      <c r="R121" s="596">
        <f t="shared" si="38"/>
        <v>63318</v>
      </c>
      <c r="S121" s="596">
        <f t="shared" si="39"/>
        <v>2110.6</v>
      </c>
      <c r="T121" s="592">
        <v>2859</v>
      </c>
      <c r="U121" s="519">
        <v>3066</v>
      </c>
      <c r="V121" s="595">
        <f t="shared" si="40"/>
        <v>63291</v>
      </c>
      <c r="W121" s="596">
        <f t="shared" si="41"/>
        <v>63318</v>
      </c>
      <c r="X121" s="592"/>
      <c r="Y121" s="519"/>
      <c r="Z121" s="592"/>
      <c r="AA121" s="519"/>
      <c r="AB121" s="592"/>
      <c r="AC121" s="519"/>
      <c r="AD121" s="592"/>
      <c r="AE121" s="519"/>
      <c r="AF121" s="595">
        <f t="shared" si="42"/>
        <v>0</v>
      </c>
      <c r="AG121" s="595">
        <f t="shared" si="43"/>
        <v>0</v>
      </c>
      <c r="AH121" s="596">
        <f t="shared" si="44"/>
        <v>0</v>
      </c>
      <c r="AI121" s="596">
        <f t="shared" si="45"/>
        <v>0</v>
      </c>
      <c r="AJ121" s="592"/>
      <c r="AK121" s="519"/>
      <c r="AL121" s="595">
        <f t="shared" si="46"/>
        <v>0</v>
      </c>
      <c r="AM121" s="596">
        <f t="shared" si="47"/>
        <v>0</v>
      </c>
      <c r="AN121" s="592"/>
      <c r="AO121" s="519"/>
      <c r="AP121" s="592">
        <v>2946</v>
      </c>
      <c r="AQ121" s="519">
        <v>3137</v>
      </c>
      <c r="AR121" s="592">
        <v>4119</v>
      </c>
      <c r="AS121" s="519">
        <v>4486</v>
      </c>
      <c r="AT121" s="592">
        <v>3419</v>
      </c>
      <c r="AU121" s="519">
        <v>3890</v>
      </c>
      <c r="AV121" s="595">
        <f t="shared" si="48"/>
        <v>10484</v>
      </c>
      <c r="AW121" s="595">
        <f t="shared" si="49"/>
        <v>436.83333333333331</v>
      </c>
      <c r="AX121" s="596">
        <f t="shared" si="50"/>
        <v>11513</v>
      </c>
      <c r="AY121" s="596">
        <f t="shared" si="51"/>
        <v>479.70833333333331</v>
      </c>
      <c r="AZ121" s="595">
        <f t="shared" si="52"/>
        <v>2546.5333333333333</v>
      </c>
      <c r="BA121" s="596">
        <f t="shared" si="53"/>
        <v>2590.3083333333334</v>
      </c>
    </row>
    <row r="122" spans="1:53" s="1" customFormat="1">
      <c r="A122" s="426" t="s">
        <v>158</v>
      </c>
      <c r="B122" s="427" t="s">
        <v>170</v>
      </c>
      <c r="C122" s="428"/>
      <c r="D122" s="430">
        <v>482680</v>
      </c>
      <c r="E122" s="430">
        <v>4</v>
      </c>
      <c r="F122" s="592"/>
      <c r="G122" s="519"/>
      <c r="H122" s="592"/>
      <c r="I122" s="519"/>
      <c r="J122" s="592">
        <v>200223</v>
      </c>
      <c r="K122" s="519">
        <v>198841</v>
      </c>
      <c r="L122" s="592">
        <v>41098</v>
      </c>
      <c r="M122" s="519">
        <v>48643</v>
      </c>
      <c r="N122" s="592">
        <v>221729</v>
      </c>
      <c r="O122" s="519">
        <v>219432</v>
      </c>
      <c r="P122" s="595">
        <f t="shared" si="36"/>
        <v>463050</v>
      </c>
      <c r="Q122" s="595">
        <f t="shared" si="37"/>
        <v>15435</v>
      </c>
      <c r="R122" s="596">
        <f t="shared" si="38"/>
        <v>466916</v>
      </c>
      <c r="S122" s="596">
        <f t="shared" si="39"/>
        <v>15563.866666666667</v>
      </c>
      <c r="T122" s="592">
        <v>20841</v>
      </c>
      <c r="U122" s="519">
        <v>21184</v>
      </c>
      <c r="V122" s="595">
        <f t="shared" si="40"/>
        <v>463050</v>
      </c>
      <c r="W122" s="596">
        <f t="shared" si="41"/>
        <v>466916</v>
      </c>
      <c r="X122" s="592"/>
      <c r="Y122" s="519"/>
      <c r="Z122" s="592"/>
      <c r="AA122" s="519"/>
      <c r="AB122" s="592"/>
      <c r="AC122" s="519"/>
      <c r="AD122" s="592"/>
      <c r="AE122" s="519"/>
      <c r="AF122" s="595">
        <f t="shared" si="42"/>
        <v>0</v>
      </c>
      <c r="AG122" s="595">
        <f t="shared" si="43"/>
        <v>0</v>
      </c>
      <c r="AH122" s="596">
        <f t="shared" si="44"/>
        <v>0</v>
      </c>
      <c r="AI122" s="596">
        <f t="shared" si="45"/>
        <v>0</v>
      </c>
      <c r="AJ122" s="592"/>
      <c r="AK122" s="519"/>
      <c r="AL122" s="595">
        <f t="shared" si="46"/>
        <v>0</v>
      </c>
      <c r="AM122" s="596">
        <f t="shared" si="47"/>
        <v>0</v>
      </c>
      <c r="AN122" s="592"/>
      <c r="AO122" s="519"/>
      <c r="AP122" s="592">
        <v>5215</v>
      </c>
      <c r="AQ122" s="519">
        <v>5434</v>
      </c>
      <c r="AR122" s="592">
        <v>4123</v>
      </c>
      <c r="AS122" s="519">
        <v>4498</v>
      </c>
      <c r="AT122" s="592">
        <v>5600</v>
      </c>
      <c r="AU122" s="519">
        <v>6014</v>
      </c>
      <c r="AV122" s="595">
        <f t="shared" si="48"/>
        <v>14938</v>
      </c>
      <c r="AW122" s="595">
        <f t="shared" si="49"/>
        <v>622.41666666666663</v>
      </c>
      <c r="AX122" s="596">
        <f t="shared" si="50"/>
        <v>15946</v>
      </c>
      <c r="AY122" s="596">
        <f t="shared" si="51"/>
        <v>664.41666666666663</v>
      </c>
      <c r="AZ122" s="595">
        <f t="shared" si="52"/>
        <v>16057.416666666666</v>
      </c>
      <c r="BA122" s="596">
        <f t="shared" si="53"/>
        <v>16228.283333333333</v>
      </c>
    </row>
    <row r="123" spans="1:53" s="1" customFormat="1">
      <c r="A123" s="426" t="s">
        <v>158</v>
      </c>
      <c r="B123" s="427" t="s">
        <v>172</v>
      </c>
      <c r="C123" s="543" t="s">
        <v>919</v>
      </c>
      <c r="D123" s="429">
        <v>140960</v>
      </c>
      <c r="E123" s="430">
        <v>5</v>
      </c>
      <c r="F123" s="592"/>
      <c r="G123" s="519"/>
      <c r="H123" s="592"/>
      <c r="I123" s="519"/>
      <c r="J123" s="592">
        <v>46736</v>
      </c>
      <c r="K123" s="519">
        <v>41787</v>
      </c>
      <c r="L123" s="592">
        <v>9465</v>
      </c>
      <c r="M123" s="519">
        <v>9058</v>
      </c>
      <c r="N123" s="592">
        <v>47427</v>
      </c>
      <c r="O123" s="519">
        <v>42382</v>
      </c>
      <c r="P123" s="595">
        <f t="shared" si="36"/>
        <v>103628</v>
      </c>
      <c r="Q123" s="595">
        <f t="shared" si="37"/>
        <v>3454.2666666666669</v>
      </c>
      <c r="R123" s="596">
        <f t="shared" si="38"/>
        <v>93227</v>
      </c>
      <c r="S123" s="596">
        <f t="shared" si="39"/>
        <v>3107.5666666666666</v>
      </c>
      <c r="T123" s="592">
        <v>2079</v>
      </c>
      <c r="U123" s="519">
        <v>1709</v>
      </c>
      <c r="V123" s="595">
        <f t="shared" si="40"/>
        <v>103628</v>
      </c>
      <c r="W123" s="596">
        <f t="shared" si="41"/>
        <v>93227</v>
      </c>
      <c r="X123" s="592"/>
      <c r="Y123" s="519"/>
      <c r="Z123" s="592"/>
      <c r="AA123" s="519"/>
      <c r="AB123" s="592"/>
      <c r="AC123" s="519"/>
      <c r="AD123" s="592"/>
      <c r="AE123" s="519"/>
      <c r="AF123" s="595">
        <f t="shared" si="42"/>
        <v>0</v>
      </c>
      <c r="AG123" s="595">
        <f t="shared" si="43"/>
        <v>0</v>
      </c>
      <c r="AH123" s="596">
        <f t="shared" si="44"/>
        <v>0</v>
      </c>
      <c r="AI123" s="596">
        <f t="shared" si="45"/>
        <v>0</v>
      </c>
      <c r="AJ123" s="592"/>
      <c r="AK123" s="519"/>
      <c r="AL123" s="595">
        <f t="shared" si="46"/>
        <v>0</v>
      </c>
      <c r="AM123" s="596">
        <f t="shared" si="47"/>
        <v>0</v>
      </c>
      <c r="AN123" s="592"/>
      <c r="AO123" s="519"/>
      <c r="AP123" s="592">
        <v>1688</v>
      </c>
      <c r="AQ123" s="519">
        <v>1689</v>
      </c>
      <c r="AR123" s="592">
        <v>387</v>
      </c>
      <c r="AS123" s="519">
        <v>607</v>
      </c>
      <c r="AT123" s="592">
        <v>1606</v>
      </c>
      <c r="AU123" s="519">
        <v>2244</v>
      </c>
      <c r="AV123" s="595">
        <f t="shared" si="48"/>
        <v>3681</v>
      </c>
      <c r="AW123" s="595">
        <f t="shared" si="49"/>
        <v>153.375</v>
      </c>
      <c r="AX123" s="596">
        <f t="shared" si="50"/>
        <v>4540</v>
      </c>
      <c r="AY123" s="596">
        <f t="shared" si="51"/>
        <v>189.16666666666666</v>
      </c>
      <c r="AZ123" s="595">
        <f t="shared" si="52"/>
        <v>3607.6416666666669</v>
      </c>
      <c r="BA123" s="596">
        <f t="shared" si="53"/>
        <v>3296.7333333333331</v>
      </c>
    </row>
    <row r="124" spans="1:53" s="1" customFormat="1">
      <c r="A124" s="426" t="s">
        <v>158</v>
      </c>
      <c r="B124" s="427" t="s">
        <v>176</v>
      </c>
      <c r="C124" s="428"/>
      <c r="D124" s="429">
        <v>138558</v>
      </c>
      <c r="E124" s="504">
        <v>6</v>
      </c>
      <c r="F124" s="592"/>
      <c r="G124" s="519"/>
      <c r="H124" s="592"/>
      <c r="I124" s="519"/>
      <c r="J124" s="592">
        <v>42933</v>
      </c>
      <c r="K124" s="519">
        <v>39190</v>
      </c>
      <c r="L124" s="592">
        <v>9366</v>
      </c>
      <c r="M124" s="519">
        <v>8370</v>
      </c>
      <c r="N124" s="592">
        <v>45340</v>
      </c>
      <c r="O124" s="519">
        <v>45710</v>
      </c>
      <c r="P124" s="595">
        <f t="shared" si="36"/>
        <v>97639</v>
      </c>
      <c r="Q124" s="595">
        <f t="shared" si="37"/>
        <v>3254.6333333333332</v>
      </c>
      <c r="R124" s="596">
        <f t="shared" si="38"/>
        <v>93270</v>
      </c>
      <c r="S124" s="596">
        <f t="shared" si="39"/>
        <v>3109</v>
      </c>
      <c r="T124" s="592">
        <v>6837</v>
      </c>
      <c r="U124" s="519">
        <v>5926</v>
      </c>
      <c r="V124" s="595">
        <f t="shared" si="40"/>
        <v>97639</v>
      </c>
      <c r="W124" s="596">
        <f t="shared" si="41"/>
        <v>93270</v>
      </c>
      <c r="X124" s="592"/>
      <c r="Y124" s="519"/>
      <c r="Z124" s="592"/>
      <c r="AA124" s="519"/>
      <c r="AB124" s="592"/>
      <c r="AC124" s="519"/>
      <c r="AD124" s="592"/>
      <c r="AE124" s="519"/>
      <c r="AF124" s="595">
        <f t="shared" si="42"/>
        <v>0</v>
      </c>
      <c r="AG124" s="595">
        <f t="shared" si="43"/>
        <v>0</v>
      </c>
      <c r="AH124" s="596">
        <f t="shared" si="44"/>
        <v>0</v>
      </c>
      <c r="AI124" s="596">
        <f t="shared" si="45"/>
        <v>0</v>
      </c>
      <c r="AJ124" s="592"/>
      <c r="AK124" s="519"/>
      <c r="AL124" s="595">
        <f t="shared" si="46"/>
        <v>0</v>
      </c>
      <c r="AM124" s="596">
        <f t="shared" si="47"/>
        <v>0</v>
      </c>
      <c r="AN124" s="592"/>
      <c r="AO124" s="519"/>
      <c r="AP124" s="592"/>
      <c r="AQ124" s="519"/>
      <c r="AR124" s="592"/>
      <c r="AS124" s="519"/>
      <c r="AT124" s="592"/>
      <c r="AU124" s="519"/>
      <c r="AV124" s="595">
        <f t="shared" si="48"/>
        <v>0</v>
      </c>
      <c r="AW124" s="595">
        <f t="shared" si="49"/>
        <v>0</v>
      </c>
      <c r="AX124" s="596">
        <f t="shared" si="50"/>
        <v>0</v>
      </c>
      <c r="AY124" s="596">
        <f t="shared" si="51"/>
        <v>0</v>
      </c>
      <c r="AZ124" s="595">
        <f t="shared" si="52"/>
        <v>3254.6333333333332</v>
      </c>
      <c r="BA124" s="596">
        <f t="shared" si="53"/>
        <v>3109</v>
      </c>
    </row>
    <row r="125" spans="1:53" s="1" customFormat="1">
      <c r="A125" s="426" t="s">
        <v>158</v>
      </c>
      <c r="B125" s="427" t="s">
        <v>177</v>
      </c>
      <c r="C125" s="432"/>
      <c r="D125" s="429">
        <v>139250</v>
      </c>
      <c r="E125" s="430">
        <v>6</v>
      </c>
      <c r="F125" s="592"/>
      <c r="G125" s="519"/>
      <c r="H125" s="592"/>
      <c r="I125" s="519"/>
      <c r="J125" s="592">
        <v>35927</v>
      </c>
      <c r="K125" s="519">
        <v>35488</v>
      </c>
      <c r="L125" s="592">
        <v>8691</v>
      </c>
      <c r="M125" s="519">
        <v>9214</v>
      </c>
      <c r="N125" s="592">
        <v>38423</v>
      </c>
      <c r="O125" s="519">
        <v>36862</v>
      </c>
      <c r="P125" s="595">
        <f t="shared" si="36"/>
        <v>83041</v>
      </c>
      <c r="Q125" s="595">
        <f t="shared" si="37"/>
        <v>2768.0333333333333</v>
      </c>
      <c r="R125" s="596">
        <f t="shared" si="38"/>
        <v>81564</v>
      </c>
      <c r="S125" s="596">
        <f t="shared" si="39"/>
        <v>2718.8</v>
      </c>
      <c r="T125" s="592">
        <v>6911</v>
      </c>
      <c r="U125" s="519">
        <v>6624</v>
      </c>
      <c r="V125" s="595">
        <f t="shared" si="40"/>
        <v>83041</v>
      </c>
      <c r="W125" s="596">
        <f t="shared" si="41"/>
        <v>81564</v>
      </c>
      <c r="X125" s="592"/>
      <c r="Y125" s="519"/>
      <c r="Z125" s="592"/>
      <c r="AA125" s="519"/>
      <c r="AB125" s="592"/>
      <c r="AC125" s="519"/>
      <c r="AD125" s="592"/>
      <c r="AE125" s="519"/>
      <c r="AF125" s="595">
        <f t="shared" si="42"/>
        <v>0</v>
      </c>
      <c r="AG125" s="595">
        <f t="shared" si="43"/>
        <v>0</v>
      </c>
      <c r="AH125" s="596">
        <f t="shared" si="44"/>
        <v>0</v>
      </c>
      <c r="AI125" s="596">
        <f t="shared" si="45"/>
        <v>0</v>
      </c>
      <c r="AJ125" s="592"/>
      <c r="AK125" s="519"/>
      <c r="AL125" s="595">
        <f t="shared" si="46"/>
        <v>0</v>
      </c>
      <c r="AM125" s="596">
        <f t="shared" si="47"/>
        <v>0</v>
      </c>
      <c r="AN125" s="592"/>
      <c r="AO125" s="519"/>
      <c r="AP125" s="592"/>
      <c r="AQ125" s="519"/>
      <c r="AR125" s="592"/>
      <c r="AS125" s="519"/>
      <c r="AT125" s="592"/>
      <c r="AU125" s="519"/>
      <c r="AV125" s="595">
        <f t="shared" si="48"/>
        <v>0</v>
      </c>
      <c r="AW125" s="595">
        <f t="shared" si="49"/>
        <v>0</v>
      </c>
      <c r="AX125" s="596">
        <f t="shared" si="50"/>
        <v>0</v>
      </c>
      <c r="AY125" s="596">
        <f t="shared" si="51"/>
        <v>0</v>
      </c>
      <c r="AZ125" s="595">
        <f t="shared" si="52"/>
        <v>2768.0333333333333</v>
      </c>
      <c r="BA125" s="596">
        <f t="shared" si="53"/>
        <v>2718.8</v>
      </c>
    </row>
    <row r="126" spans="1:53" s="1" customFormat="1">
      <c r="A126" s="426" t="s">
        <v>158</v>
      </c>
      <c r="B126" s="427" t="s">
        <v>173</v>
      </c>
      <c r="C126" s="432"/>
      <c r="D126" s="429">
        <v>139463</v>
      </c>
      <c r="E126" s="430">
        <v>6</v>
      </c>
      <c r="F126" s="592"/>
      <c r="G126" s="519"/>
      <c r="H126" s="592"/>
      <c r="I126" s="519"/>
      <c r="J126" s="592">
        <v>51609</v>
      </c>
      <c r="K126" s="519">
        <v>49176</v>
      </c>
      <c r="L126" s="592">
        <v>10809</v>
      </c>
      <c r="M126" s="519">
        <v>11492</v>
      </c>
      <c r="N126" s="592">
        <v>56205</v>
      </c>
      <c r="O126" s="519">
        <v>53945</v>
      </c>
      <c r="P126" s="595">
        <f t="shared" si="36"/>
        <v>118623</v>
      </c>
      <c r="Q126" s="595">
        <f t="shared" si="37"/>
        <v>3954.1</v>
      </c>
      <c r="R126" s="596">
        <f t="shared" si="38"/>
        <v>114613</v>
      </c>
      <c r="S126" s="596">
        <f t="shared" si="39"/>
        <v>3820.4333333333334</v>
      </c>
      <c r="T126" s="592">
        <v>5757</v>
      </c>
      <c r="U126" s="519">
        <v>5497</v>
      </c>
      <c r="V126" s="595">
        <f t="shared" si="40"/>
        <v>118623</v>
      </c>
      <c r="W126" s="596">
        <f t="shared" si="41"/>
        <v>114613</v>
      </c>
      <c r="X126" s="592"/>
      <c r="Y126" s="519"/>
      <c r="Z126" s="592"/>
      <c r="AA126" s="519"/>
      <c r="AB126" s="592"/>
      <c r="AC126" s="519"/>
      <c r="AD126" s="592"/>
      <c r="AE126" s="519"/>
      <c r="AF126" s="595">
        <f t="shared" si="42"/>
        <v>0</v>
      </c>
      <c r="AG126" s="595">
        <f t="shared" si="43"/>
        <v>0</v>
      </c>
      <c r="AH126" s="596">
        <f t="shared" si="44"/>
        <v>0</v>
      </c>
      <c r="AI126" s="596">
        <f t="shared" si="45"/>
        <v>0</v>
      </c>
      <c r="AJ126" s="592"/>
      <c r="AK126" s="519"/>
      <c r="AL126" s="595">
        <f t="shared" si="46"/>
        <v>0</v>
      </c>
      <c r="AM126" s="596">
        <f t="shared" si="47"/>
        <v>0</v>
      </c>
      <c r="AN126" s="592"/>
      <c r="AO126" s="519"/>
      <c r="AP126" s="592"/>
      <c r="AQ126" s="519"/>
      <c r="AR126" s="592"/>
      <c r="AS126" s="519"/>
      <c r="AT126" s="592"/>
      <c r="AU126" s="519"/>
      <c r="AV126" s="595">
        <f t="shared" si="48"/>
        <v>0</v>
      </c>
      <c r="AW126" s="595">
        <f t="shared" si="49"/>
        <v>0</v>
      </c>
      <c r="AX126" s="596">
        <f t="shared" si="50"/>
        <v>0</v>
      </c>
      <c r="AY126" s="596">
        <f t="shared" si="51"/>
        <v>0</v>
      </c>
      <c r="AZ126" s="595">
        <f t="shared" si="52"/>
        <v>3954.1</v>
      </c>
      <c r="BA126" s="596">
        <f t="shared" si="53"/>
        <v>3820.4333333333334</v>
      </c>
    </row>
    <row r="127" spans="1:53" s="1" customFormat="1">
      <c r="A127" s="426" t="s">
        <v>158</v>
      </c>
      <c r="B127" s="427" t="s">
        <v>174</v>
      </c>
      <c r="C127" s="432"/>
      <c r="D127" s="429">
        <v>447689</v>
      </c>
      <c r="E127" s="430">
        <v>6</v>
      </c>
      <c r="F127" s="592"/>
      <c r="G127" s="519"/>
      <c r="H127" s="592"/>
      <c r="I127" s="519"/>
      <c r="J127" s="592">
        <v>134853</v>
      </c>
      <c r="K127" s="519">
        <v>135738</v>
      </c>
      <c r="L127" s="592">
        <v>26996</v>
      </c>
      <c r="M127" s="519">
        <v>32797</v>
      </c>
      <c r="N127" s="592">
        <v>150260</v>
      </c>
      <c r="O127" s="519">
        <v>136317</v>
      </c>
      <c r="P127" s="595">
        <f t="shared" si="36"/>
        <v>312109</v>
      </c>
      <c r="Q127" s="595">
        <f t="shared" si="37"/>
        <v>10403.633333333333</v>
      </c>
      <c r="R127" s="596">
        <f t="shared" si="38"/>
        <v>304852</v>
      </c>
      <c r="S127" s="596">
        <f t="shared" si="39"/>
        <v>10161.733333333334</v>
      </c>
      <c r="T127" s="592">
        <v>11808</v>
      </c>
      <c r="U127" s="519">
        <v>9397</v>
      </c>
      <c r="V127" s="595">
        <f t="shared" si="40"/>
        <v>312109</v>
      </c>
      <c r="W127" s="596">
        <f t="shared" si="41"/>
        <v>304852</v>
      </c>
      <c r="X127" s="592"/>
      <c r="Y127" s="519"/>
      <c r="Z127" s="592"/>
      <c r="AA127" s="519"/>
      <c r="AB127" s="592"/>
      <c r="AC127" s="519"/>
      <c r="AD127" s="592"/>
      <c r="AE127" s="519"/>
      <c r="AF127" s="595">
        <f t="shared" si="42"/>
        <v>0</v>
      </c>
      <c r="AG127" s="595">
        <f t="shared" si="43"/>
        <v>0</v>
      </c>
      <c r="AH127" s="596">
        <f t="shared" si="44"/>
        <v>0</v>
      </c>
      <c r="AI127" s="596">
        <f t="shared" si="45"/>
        <v>0</v>
      </c>
      <c r="AJ127" s="592"/>
      <c r="AK127" s="519"/>
      <c r="AL127" s="595">
        <f t="shared" si="46"/>
        <v>0</v>
      </c>
      <c r="AM127" s="596">
        <f t="shared" si="47"/>
        <v>0</v>
      </c>
      <c r="AN127" s="592"/>
      <c r="AO127" s="519"/>
      <c r="AP127" s="592"/>
      <c r="AQ127" s="519"/>
      <c r="AR127" s="592"/>
      <c r="AS127" s="519"/>
      <c r="AT127" s="592"/>
      <c r="AU127" s="519"/>
      <c r="AV127" s="595">
        <f t="shared" si="48"/>
        <v>0</v>
      </c>
      <c r="AW127" s="595">
        <f t="shared" si="49"/>
        <v>0</v>
      </c>
      <c r="AX127" s="596">
        <f t="shared" si="50"/>
        <v>0</v>
      </c>
      <c r="AY127" s="596">
        <f t="shared" si="51"/>
        <v>0</v>
      </c>
      <c r="AZ127" s="595">
        <f t="shared" si="52"/>
        <v>10403.633333333333</v>
      </c>
      <c r="BA127" s="596">
        <f t="shared" si="53"/>
        <v>10161.733333333334</v>
      </c>
    </row>
    <row r="128" spans="1:53" s="1" customFormat="1">
      <c r="A128" s="426" t="s">
        <v>158</v>
      </c>
      <c r="B128" s="427" t="s">
        <v>178</v>
      </c>
      <c r="C128" s="428"/>
      <c r="D128" s="429">
        <v>139968</v>
      </c>
      <c r="E128" s="504">
        <v>6</v>
      </c>
      <c r="F128" s="592"/>
      <c r="G128" s="519"/>
      <c r="H128" s="592"/>
      <c r="I128" s="519"/>
      <c r="J128" s="592">
        <v>37179</v>
      </c>
      <c r="K128" s="519">
        <v>35631</v>
      </c>
      <c r="L128" s="592">
        <v>5317</v>
      </c>
      <c r="M128" s="519">
        <v>6452</v>
      </c>
      <c r="N128" s="592">
        <v>40865</v>
      </c>
      <c r="O128" s="519">
        <v>35552</v>
      </c>
      <c r="P128" s="595">
        <f t="shared" si="36"/>
        <v>83361</v>
      </c>
      <c r="Q128" s="595">
        <f t="shared" si="37"/>
        <v>2778.7</v>
      </c>
      <c r="R128" s="596">
        <f t="shared" si="38"/>
        <v>77635</v>
      </c>
      <c r="S128" s="596">
        <f t="shared" si="39"/>
        <v>2587.8333333333335</v>
      </c>
      <c r="T128" s="592">
        <v>7619</v>
      </c>
      <c r="U128" s="519">
        <v>6863</v>
      </c>
      <c r="V128" s="595">
        <f t="shared" si="40"/>
        <v>83361</v>
      </c>
      <c r="W128" s="596">
        <f t="shared" si="41"/>
        <v>77635</v>
      </c>
      <c r="X128" s="592"/>
      <c r="Y128" s="519"/>
      <c r="Z128" s="592"/>
      <c r="AA128" s="519"/>
      <c r="AB128" s="592"/>
      <c r="AC128" s="519"/>
      <c r="AD128" s="592"/>
      <c r="AE128" s="519"/>
      <c r="AF128" s="595">
        <f t="shared" si="42"/>
        <v>0</v>
      </c>
      <c r="AG128" s="595">
        <f t="shared" si="43"/>
        <v>0</v>
      </c>
      <c r="AH128" s="596">
        <f t="shared" si="44"/>
        <v>0</v>
      </c>
      <c r="AI128" s="596">
        <f t="shared" si="45"/>
        <v>0</v>
      </c>
      <c r="AJ128" s="592"/>
      <c r="AK128" s="519"/>
      <c r="AL128" s="595">
        <f t="shared" si="46"/>
        <v>0</v>
      </c>
      <c r="AM128" s="596">
        <f t="shared" si="47"/>
        <v>0</v>
      </c>
      <c r="AN128" s="592"/>
      <c r="AO128" s="519"/>
      <c r="AP128" s="592"/>
      <c r="AQ128" s="519"/>
      <c r="AR128" s="592"/>
      <c r="AS128" s="519"/>
      <c r="AT128" s="592"/>
      <c r="AU128" s="519"/>
      <c r="AV128" s="595">
        <f t="shared" si="48"/>
        <v>0</v>
      </c>
      <c r="AW128" s="595">
        <f t="shared" si="49"/>
        <v>0</v>
      </c>
      <c r="AX128" s="596">
        <f t="shared" si="50"/>
        <v>0</v>
      </c>
      <c r="AY128" s="596">
        <f t="shared" si="51"/>
        <v>0</v>
      </c>
      <c r="AZ128" s="595">
        <f t="shared" si="52"/>
        <v>2778.7</v>
      </c>
      <c r="BA128" s="596">
        <f t="shared" si="53"/>
        <v>2587.8333333333335</v>
      </c>
    </row>
    <row r="129" spans="1:53" s="1" customFormat="1">
      <c r="A129" s="426" t="s">
        <v>158</v>
      </c>
      <c r="B129" s="427" t="s">
        <v>175</v>
      </c>
      <c r="C129" s="542" t="s">
        <v>908</v>
      </c>
      <c r="D129" s="544">
        <v>482158</v>
      </c>
      <c r="E129" s="545">
        <v>5</v>
      </c>
      <c r="F129" s="592"/>
      <c r="G129" s="519"/>
      <c r="H129" s="592"/>
      <c r="I129" s="519"/>
      <c r="J129" s="592">
        <v>77832</v>
      </c>
      <c r="K129" s="519">
        <v>80927</v>
      </c>
      <c r="L129" s="592">
        <v>21985</v>
      </c>
      <c r="M129" s="519">
        <v>25127</v>
      </c>
      <c r="N129" s="592">
        <v>86107</v>
      </c>
      <c r="O129" s="519">
        <v>89079</v>
      </c>
      <c r="P129" s="595">
        <f t="shared" si="36"/>
        <v>185924</v>
      </c>
      <c r="Q129" s="595">
        <f t="shared" si="37"/>
        <v>6197.4666666666662</v>
      </c>
      <c r="R129" s="596">
        <f t="shared" si="38"/>
        <v>195133</v>
      </c>
      <c r="S129" s="596">
        <f t="shared" si="39"/>
        <v>6504.4333333333334</v>
      </c>
      <c r="T129" s="592">
        <v>7645</v>
      </c>
      <c r="U129" s="519">
        <v>7546</v>
      </c>
      <c r="V129" s="595">
        <f t="shared" si="40"/>
        <v>185924</v>
      </c>
      <c r="W129" s="596">
        <f t="shared" si="41"/>
        <v>195133</v>
      </c>
      <c r="X129" s="592"/>
      <c r="Y129" s="519"/>
      <c r="Z129" s="592"/>
      <c r="AA129" s="519"/>
      <c r="AB129" s="592"/>
      <c r="AC129" s="519"/>
      <c r="AD129" s="592"/>
      <c r="AE129" s="519"/>
      <c r="AF129" s="595">
        <f t="shared" si="42"/>
        <v>0</v>
      </c>
      <c r="AG129" s="595">
        <f t="shared" si="43"/>
        <v>0</v>
      </c>
      <c r="AH129" s="596">
        <f t="shared" si="44"/>
        <v>0</v>
      </c>
      <c r="AI129" s="596">
        <f t="shared" si="45"/>
        <v>0</v>
      </c>
      <c r="AJ129" s="592"/>
      <c r="AK129" s="519"/>
      <c r="AL129" s="595">
        <f t="shared" si="46"/>
        <v>0</v>
      </c>
      <c r="AM129" s="596">
        <f t="shared" si="47"/>
        <v>0</v>
      </c>
      <c r="AN129" s="592"/>
      <c r="AO129" s="519"/>
      <c r="AP129" s="592">
        <v>1806</v>
      </c>
      <c r="AQ129" s="519">
        <v>2194</v>
      </c>
      <c r="AR129" s="592">
        <v>924</v>
      </c>
      <c r="AS129" s="519">
        <v>1227</v>
      </c>
      <c r="AT129" s="592">
        <v>2004</v>
      </c>
      <c r="AU129" s="519">
        <v>3019</v>
      </c>
      <c r="AV129" s="595">
        <f t="shared" si="48"/>
        <v>4734</v>
      </c>
      <c r="AW129" s="595">
        <f t="shared" si="49"/>
        <v>197.25</v>
      </c>
      <c r="AX129" s="596">
        <f t="shared" si="50"/>
        <v>6440</v>
      </c>
      <c r="AY129" s="596">
        <f t="shared" si="51"/>
        <v>268.33333333333331</v>
      </c>
      <c r="AZ129" s="595">
        <f t="shared" si="52"/>
        <v>6394.7166666666662</v>
      </c>
      <c r="BA129" s="596">
        <f t="shared" si="53"/>
        <v>6772.7666666666664</v>
      </c>
    </row>
    <row r="130" spans="1:53" s="1" customFormat="1">
      <c r="A130" s="426" t="s">
        <v>158</v>
      </c>
      <c r="B130" s="427" t="s">
        <v>179</v>
      </c>
      <c r="C130" s="432"/>
      <c r="D130" s="429">
        <v>138901</v>
      </c>
      <c r="E130" s="430">
        <v>7</v>
      </c>
      <c r="F130" s="592"/>
      <c r="G130" s="519"/>
      <c r="H130" s="592"/>
      <c r="I130" s="519"/>
      <c r="J130" s="592">
        <v>20318</v>
      </c>
      <c r="K130" s="519">
        <v>16128</v>
      </c>
      <c r="L130" s="592">
        <v>6218</v>
      </c>
      <c r="M130" s="519">
        <v>5644</v>
      </c>
      <c r="N130" s="592">
        <v>17499</v>
      </c>
      <c r="O130" s="519">
        <v>16441</v>
      </c>
      <c r="P130" s="595">
        <f t="shared" si="36"/>
        <v>44035</v>
      </c>
      <c r="Q130" s="595">
        <f t="shared" si="37"/>
        <v>1467.8333333333333</v>
      </c>
      <c r="R130" s="596">
        <f t="shared" si="38"/>
        <v>38213</v>
      </c>
      <c r="S130" s="596">
        <f t="shared" si="39"/>
        <v>1273.7666666666667</v>
      </c>
      <c r="T130" s="592">
        <v>2957</v>
      </c>
      <c r="U130" s="519">
        <v>2030</v>
      </c>
      <c r="V130" s="595">
        <f t="shared" si="40"/>
        <v>44035</v>
      </c>
      <c r="W130" s="596">
        <f t="shared" si="41"/>
        <v>38213</v>
      </c>
      <c r="X130" s="592"/>
      <c r="Y130" s="519"/>
      <c r="Z130" s="592"/>
      <c r="AA130" s="519"/>
      <c r="AB130" s="592"/>
      <c r="AC130" s="519"/>
      <c r="AD130" s="592"/>
      <c r="AE130" s="519"/>
      <c r="AF130" s="595">
        <f t="shared" si="42"/>
        <v>0</v>
      </c>
      <c r="AG130" s="595">
        <f t="shared" si="43"/>
        <v>0</v>
      </c>
      <c r="AH130" s="596">
        <f t="shared" si="44"/>
        <v>0</v>
      </c>
      <c r="AI130" s="596">
        <f t="shared" si="45"/>
        <v>0</v>
      </c>
      <c r="AJ130" s="592"/>
      <c r="AK130" s="519"/>
      <c r="AL130" s="595">
        <f t="shared" si="46"/>
        <v>0</v>
      </c>
      <c r="AM130" s="596">
        <f t="shared" si="47"/>
        <v>0</v>
      </c>
      <c r="AN130" s="592"/>
      <c r="AO130" s="519"/>
      <c r="AP130" s="592"/>
      <c r="AQ130" s="519"/>
      <c r="AR130" s="592"/>
      <c r="AS130" s="519"/>
      <c r="AT130" s="592"/>
      <c r="AU130" s="519"/>
      <c r="AV130" s="595">
        <f t="shared" si="48"/>
        <v>0</v>
      </c>
      <c r="AW130" s="595">
        <f t="shared" si="49"/>
        <v>0</v>
      </c>
      <c r="AX130" s="596">
        <f t="shared" si="50"/>
        <v>0</v>
      </c>
      <c r="AY130" s="596">
        <f t="shared" si="51"/>
        <v>0</v>
      </c>
      <c r="AZ130" s="595">
        <f t="shared" si="52"/>
        <v>1467.8333333333333</v>
      </c>
      <c r="BA130" s="596">
        <f t="shared" si="53"/>
        <v>1273.7666666666667</v>
      </c>
    </row>
    <row r="131" spans="1:53" s="1" customFormat="1">
      <c r="A131" s="426" t="s">
        <v>158</v>
      </c>
      <c r="B131" s="427" t="s">
        <v>180</v>
      </c>
      <c r="C131" s="432"/>
      <c r="D131" s="429">
        <v>139621</v>
      </c>
      <c r="E131" s="430">
        <v>7</v>
      </c>
      <c r="F131" s="592"/>
      <c r="G131" s="519"/>
      <c r="H131" s="592"/>
      <c r="I131" s="519"/>
      <c r="J131" s="592">
        <v>29103</v>
      </c>
      <c r="K131" s="519">
        <v>26122</v>
      </c>
      <c r="L131" s="592">
        <v>5468</v>
      </c>
      <c r="M131" s="519">
        <v>5769</v>
      </c>
      <c r="N131" s="592">
        <v>31567</v>
      </c>
      <c r="O131" s="519">
        <v>25811</v>
      </c>
      <c r="P131" s="595">
        <f t="shared" si="36"/>
        <v>66138</v>
      </c>
      <c r="Q131" s="595">
        <f t="shared" si="37"/>
        <v>2204.6</v>
      </c>
      <c r="R131" s="596">
        <f t="shared" si="38"/>
        <v>57702</v>
      </c>
      <c r="S131" s="596">
        <f t="shared" si="39"/>
        <v>1923.4</v>
      </c>
      <c r="T131" s="592">
        <v>4642</v>
      </c>
      <c r="U131" s="519">
        <v>3855</v>
      </c>
      <c r="V131" s="595">
        <f t="shared" si="40"/>
        <v>66138</v>
      </c>
      <c r="W131" s="596">
        <f t="shared" si="41"/>
        <v>57702</v>
      </c>
      <c r="X131" s="592"/>
      <c r="Y131" s="519"/>
      <c r="Z131" s="592"/>
      <c r="AA131" s="519"/>
      <c r="AB131" s="592"/>
      <c r="AC131" s="519"/>
      <c r="AD131" s="592"/>
      <c r="AE131" s="519"/>
      <c r="AF131" s="595">
        <f t="shared" si="42"/>
        <v>0</v>
      </c>
      <c r="AG131" s="595">
        <f t="shared" si="43"/>
        <v>0</v>
      </c>
      <c r="AH131" s="596">
        <f t="shared" si="44"/>
        <v>0</v>
      </c>
      <c r="AI131" s="596">
        <f t="shared" si="45"/>
        <v>0</v>
      </c>
      <c r="AJ131" s="592"/>
      <c r="AK131" s="519"/>
      <c r="AL131" s="595">
        <f t="shared" si="46"/>
        <v>0</v>
      </c>
      <c r="AM131" s="596">
        <f t="shared" si="47"/>
        <v>0</v>
      </c>
      <c r="AN131" s="592"/>
      <c r="AO131" s="519"/>
      <c r="AP131" s="592"/>
      <c r="AQ131" s="519"/>
      <c r="AR131" s="592"/>
      <c r="AS131" s="519"/>
      <c r="AT131" s="592"/>
      <c r="AU131" s="519"/>
      <c r="AV131" s="595">
        <f t="shared" si="48"/>
        <v>0</v>
      </c>
      <c r="AW131" s="595">
        <f t="shared" si="49"/>
        <v>0</v>
      </c>
      <c r="AX131" s="596">
        <f t="shared" si="50"/>
        <v>0</v>
      </c>
      <c r="AY131" s="596">
        <f t="shared" si="51"/>
        <v>0</v>
      </c>
      <c r="AZ131" s="595">
        <f t="shared" si="52"/>
        <v>2204.6</v>
      </c>
      <c r="BA131" s="596">
        <f t="shared" si="53"/>
        <v>1923.4</v>
      </c>
    </row>
    <row r="132" spans="1:53" s="1" customFormat="1">
      <c r="A132" s="426" t="s">
        <v>158</v>
      </c>
      <c r="B132" s="427" t="s">
        <v>181</v>
      </c>
      <c r="C132" s="432"/>
      <c r="D132" s="429">
        <v>139700</v>
      </c>
      <c r="E132" s="430">
        <v>7</v>
      </c>
      <c r="F132" s="592"/>
      <c r="G132" s="519"/>
      <c r="H132" s="592"/>
      <c r="I132" s="519"/>
      <c r="J132" s="592">
        <v>56720</v>
      </c>
      <c r="K132" s="519">
        <v>55957</v>
      </c>
      <c r="L132" s="592">
        <v>13779</v>
      </c>
      <c r="M132" s="519">
        <v>16355</v>
      </c>
      <c r="N132" s="592">
        <v>62364</v>
      </c>
      <c r="O132" s="519">
        <v>54578</v>
      </c>
      <c r="P132" s="595">
        <f t="shared" si="36"/>
        <v>132863</v>
      </c>
      <c r="Q132" s="595">
        <f t="shared" si="37"/>
        <v>4428.7666666666664</v>
      </c>
      <c r="R132" s="596">
        <f t="shared" si="38"/>
        <v>126890</v>
      </c>
      <c r="S132" s="596">
        <f t="shared" si="39"/>
        <v>4229.666666666667</v>
      </c>
      <c r="T132" s="592">
        <v>6193</v>
      </c>
      <c r="U132" s="519">
        <v>6101</v>
      </c>
      <c r="V132" s="595">
        <f t="shared" si="40"/>
        <v>132863</v>
      </c>
      <c r="W132" s="596">
        <f t="shared" si="41"/>
        <v>126890</v>
      </c>
      <c r="X132" s="592"/>
      <c r="Y132" s="519"/>
      <c r="Z132" s="592"/>
      <c r="AA132" s="519"/>
      <c r="AB132" s="592"/>
      <c r="AC132" s="519"/>
      <c r="AD132" s="592"/>
      <c r="AE132" s="519"/>
      <c r="AF132" s="595">
        <f t="shared" si="42"/>
        <v>0</v>
      </c>
      <c r="AG132" s="595">
        <f t="shared" si="43"/>
        <v>0</v>
      </c>
      <c r="AH132" s="596">
        <f t="shared" si="44"/>
        <v>0</v>
      </c>
      <c r="AI132" s="596">
        <f t="shared" si="45"/>
        <v>0</v>
      </c>
      <c r="AJ132" s="592"/>
      <c r="AK132" s="519"/>
      <c r="AL132" s="595">
        <f t="shared" si="46"/>
        <v>0</v>
      </c>
      <c r="AM132" s="596">
        <f t="shared" si="47"/>
        <v>0</v>
      </c>
      <c r="AN132" s="592"/>
      <c r="AO132" s="519"/>
      <c r="AP132" s="592"/>
      <c r="AQ132" s="519"/>
      <c r="AR132" s="592"/>
      <c r="AS132" s="519"/>
      <c r="AT132" s="592"/>
      <c r="AU132" s="519"/>
      <c r="AV132" s="595">
        <f t="shared" si="48"/>
        <v>0</v>
      </c>
      <c r="AW132" s="595">
        <f t="shared" si="49"/>
        <v>0</v>
      </c>
      <c r="AX132" s="596">
        <f t="shared" si="50"/>
        <v>0</v>
      </c>
      <c r="AY132" s="596">
        <f t="shared" si="51"/>
        <v>0</v>
      </c>
      <c r="AZ132" s="595">
        <f t="shared" si="52"/>
        <v>4428.7666666666664</v>
      </c>
      <c r="BA132" s="596">
        <f t="shared" si="53"/>
        <v>4229.666666666667</v>
      </c>
    </row>
    <row r="133" spans="1:53" s="1" customFormat="1">
      <c r="A133" s="426" t="s">
        <v>158</v>
      </c>
      <c r="B133" s="427" t="s">
        <v>182</v>
      </c>
      <c r="C133" s="432"/>
      <c r="D133" s="430">
        <v>482699</v>
      </c>
      <c r="E133" s="430">
        <v>7</v>
      </c>
      <c r="F133" s="592"/>
      <c r="G133" s="519"/>
      <c r="H133" s="592"/>
      <c r="I133" s="519"/>
      <c r="J133" s="592">
        <v>25962</v>
      </c>
      <c r="K133" s="519">
        <v>24417</v>
      </c>
      <c r="L133" s="592">
        <v>7286</v>
      </c>
      <c r="M133" s="519">
        <v>7813</v>
      </c>
      <c r="N133" s="592">
        <v>26496</v>
      </c>
      <c r="O133" s="519">
        <v>21898</v>
      </c>
      <c r="P133" s="595">
        <f t="shared" si="36"/>
        <v>59744</v>
      </c>
      <c r="Q133" s="595">
        <f t="shared" si="37"/>
        <v>1991.4666666666667</v>
      </c>
      <c r="R133" s="596">
        <f t="shared" si="38"/>
        <v>54128</v>
      </c>
      <c r="S133" s="596">
        <f t="shared" si="39"/>
        <v>1804.2666666666667</v>
      </c>
      <c r="T133" s="592">
        <v>6628</v>
      </c>
      <c r="U133" s="519">
        <v>5742</v>
      </c>
      <c r="V133" s="595">
        <f t="shared" si="40"/>
        <v>59744</v>
      </c>
      <c r="W133" s="596">
        <f t="shared" si="41"/>
        <v>54128</v>
      </c>
      <c r="X133" s="592"/>
      <c r="Y133" s="519"/>
      <c r="Z133" s="592"/>
      <c r="AA133" s="519"/>
      <c r="AB133" s="592"/>
      <c r="AC133" s="519"/>
      <c r="AD133" s="592"/>
      <c r="AE133" s="519"/>
      <c r="AF133" s="595">
        <f t="shared" si="42"/>
        <v>0</v>
      </c>
      <c r="AG133" s="595">
        <f t="shared" si="43"/>
        <v>0</v>
      </c>
      <c r="AH133" s="596">
        <f t="shared" si="44"/>
        <v>0</v>
      </c>
      <c r="AI133" s="596">
        <f t="shared" si="45"/>
        <v>0</v>
      </c>
      <c r="AJ133" s="592"/>
      <c r="AK133" s="519"/>
      <c r="AL133" s="595">
        <f t="shared" si="46"/>
        <v>0</v>
      </c>
      <c r="AM133" s="596">
        <f t="shared" si="47"/>
        <v>0</v>
      </c>
      <c r="AN133" s="592"/>
      <c r="AO133" s="519"/>
      <c r="AP133" s="592"/>
      <c r="AQ133" s="519"/>
      <c r="AR133" s="592"/>
      <c r="AS133" s="519"/>
      <c r="AT133" s="592"/>
      <c r="AU133" s="519"/>
      <c r="AV133" s="595">
        <f t="shared" si="48"/>
        <v>0</v>
      </c>
      <c r="AW133" s="595">
        <f t="shared" si="49"/>
        <v>0</v>
      </c>
      <c r="AX133" s="596">
        <f t="shared" si="50"/>
        <v>0</v>
      </c>
      <c r="AY133" s="596">
        <f t="shared" si="51"/>
        <v>0</v>
      </c>
      <c r="AZ133" s="595">
        <f t="shared" si="52"/>
        <v>1991.4666666666667</v>
      </c>
      <c r="BA133" s="596">
        <f t="shared" si="53"/>
        <v>1804.2666666666667</v>
      </c>
    </row>
    <row r="134" spans="1:53" s="365" customFormat="1" ht="13.5" customHeight="1">
      <c r="A134" s="402" t="s">
        <v>158</v>
      </c>
      <c r="B134" s="403" t="s">
        <v>183</v>
      </c>
      <c r="C134" s="401"/>
      <c r="D134" s="404">
        <v>138682</v>
      </c>
      <c r="E134" s="404">
        <v>12</v>
      </c>
      <c r="F134" s="601" t="s">
        <v>74</v>
      </c>
      <c r="G134" s="519" t="s">
        <v>74</v>
      </c>
      <c r="H134" s="601"/>
      <c r="I134" s="519"/>
      <c r="J134" s="601">
        <v>27462</v>
      </c>
      <c r="K134" s="519">
        <v>29119</v>
      </c>
      <c r="L134" s="601">
        <v>17995</v>
      </c>
      <c r="M134" s="519">
        <v>13007</v>
      </c>
      <c r="N134" s="601">
        <v>31178</v>
      </c>
      <c r="O134" s="519">
        <v>28638</v>
      </c>
      <c r="P134" s="595">
        <f t="shared" si="36"/>
        <v>76635</v>
      </c>
      <c r="Q134" s="595">
        <f t="shared" si="37"/>
        <v>2554.5</v>
      </c>
      <c r="R134" s="596">
        <f t="shared" si="38"/>
        <v>70764</v>
      </c>
      <c r="S134" s="596">
        <f t="shared" si="39"/>
        <v>2358.8000000000002</v>
      </c>
      <c r="T134" s="601">
        <v>11006</v>
      </c>
      <c r="U134" s="519">
        <v>10674</v>
      </c>
      <c r="V134" s="595">
        <f t="shared" si="40"/>
        <v>76635</v>
      </c>
      <c r="W134" s="596">
        <f t="shared" si="41"/>
        <v>70764</v>
      </c>
      <c r="X134" s="601"/>
      <c r="Y134" s="519"/>
      <c r="Z134" s="601"/>
      <c r="AA134" s="519"/>
      <c r="AB134" s="601"/>
      <c r="AC134" s="519"/>
      <c r="AD134" s="601"/>
      <c r="AE134" s="519"/>
      <c r="AF134" s="595">
        <f t="shared" si="42"/>
        <v>0</v>
      </c>
      <c r="AG134" s="595">
        <f t="shared" si="43"/>
        <v>0</v>
      </c>
      <c r="AH134" s="596">
        <f t="shared" si="44"/>
        <v>0</v>
      </c>
      <c r="AI134" s="596">
        <f t="shared" si="45"/>
        <v>0</v>
      </c>
      <c r="AJ134" s="601"/>
      <c r="AK134" s="519"/>
      <c r="AL134" s="595">
        <f t="shared" si="46"/>
        <v>0</v>
      </c>
      <c r="AM134" s="596">
        <f t="shared" si="47"/>
        <v>0</v>
      </c>
      <c r="AN134" s="601"/>
      <c r="AO134" s="519"/>
      <c r="AP134" s="601"/>
      <c r="AQ134" s="519"/>
      <c r="AR134" s="601"/>
      <c r="AS134" s="519"/>
      <c r="AT134" s="601"/>
      <c r="AU134" s="519"/>
      <c r="AV134" s="595">
        <f t="shared" si="48"/>
        <v>0</v>
      </c>
      <c r="AW134" s="595">
        <f t="shared" si="49"/>
        <v>0</v>
      </c>
      <c r="AX134" s="596">
        <f t="shared" si="50"/>
        <v>0</v>
      </c>
      <c r="AY134" s="596">
        <f t="shared" si="51"/>
        <v>0</v>
      </c>
      <c r="AZ134" s="595">
        <f t="shared" si="52"/>
        <v>2554.5</v>
      </c>
      <c r="BA134" s="596">
        <f t="shared" si="53"/>
        <v>2358.8000000000002</v>
      </c>
    </row>
    <row r="135" spans="1:53" s="1" customFormat="1">
      <c r="A135" s="402" t="s">
        <v>158</v>
      </c>
      <c r="B135" s="403" t="s">
        <v>184</v>
      </c>
      <c r="C135" s="401"/>
      <c r="D135" s="404">
        <v>246813</v>
      </c>
      <c r="E135" s="404">
        <v>12</v>
      </c>
      <c r="F135" s="601" t="s">
        <v>74</v>
      </c>
      <c r="G135" s="519" t="s">
        <v>74</v>
      </c>
      <c r="H135" s="601"/>
      <c r="I135" s="519"/>
      <c r="J135" s="601">
        <v>33812</v>
      </c>
      <c r="K135" s="519">
        <v>32973</v>
      </c>
      <c r="L135" s="601">
        <v>15486</v>
      </c>
      <c r="M135" s="519">
        <v>13092</v>
      </c>
      <c r="N135" s="601">
        <v>36996</v>
      </c>
      <c r="O135" s="519">
        <v>33018</v>
      </c>
      <c r="P135" s="595">
        <f t="shared" si="36"/>
        <v>86294</v>
      </c>
      <c r="Q135" s="595">
        <f t="shared" si="37"/>
        <v>2876.4666666666667</v>
      </c>
      <c r="R135" s="596">
        <f t="shared" si="38"/>
        <v>79083</v>
      </c>
      <c r="S135" s="596">
        <f t="shared" si="39"/>
        <v>2636.1</v>
      </c>
      <c r="T135" s="601">
        <v>11811</v>
      </c>
      <c r="U135" s="519">
        <v>11217</v>
      </c>
      <c r="V135" s="595">
        <f t="shared" si="40"/>
        <v>86294</v>
      </c>
      <c r="W135" s="596">
        <f t="shared" si="41"/>
        <v>79083</v>
      </c>
      <c r="X135" s="601"/>
      <c r="Y135" s="519"/>
      <c r="Z135" s="601"/>
      <c r="AA135" s="519"/>
      <c r="AB135" s="601"/>
      <c r="AC135" s="519"/>
      <c r="AD135" s="601"/>
      <c r="AE135" s="519"/>
      <c r="AF135" s="595">
        <f t="shared" si="42"/>
        <v>0</v>
      </c>
      <c r="AG135" s="595">
        <f t="shared" si="43"/>
        <v>0</v>
      </c>
      <c r="AH135" s="596">
        <f t="shared" si="44"/>
        <v>0</v>
      </c>
      <c r="AI135" s="596">
        <f t="shared" si="45"/>
        <v>0</v>
      </c>
      <c r="AJ135" s="601"/>
      <c r="AK135" s="519"/>
      <c r="AL135" s="595">
        <f t="shared" si="46"/>
        <v>0</v>
      </c>
      <c r="AM135" s="596">
        <f t="shared" si="47"/>
        <v>0</v>
      </c>
      <c r="AN135" s="601"/>
      <c r="AO135" s="519"/>
      <c r="AP135" s="601"/>
      <c r="AQ135" s="519"/>
      <c r="AR135" s="601"/>
      <c r="AS135" s="519"/>
      <c r="AT135" s="601"/>
      <c r="AU135" s="519"/>
      <c r="AV135" s="595">
        <f t="shared" si="48"/>
        <v>0</v>
      </c>
      <c r="AW135" s="595">
        <f t="shared" si="49"/>
        <v>0</v>
      </c>
      <c r="AX135" s="596">
        <f t="shared" si="50"/>
        <v>0</v>
      </c>
      <c r="AY135" s="596">
        <f t="shared" si="51"/>
        <v>0</v>
      </c>
      <c r="AZ135" s="595">
        <f t="shared" si="52"/>
        <v>2876.4666666666667</v>
      </c>
      <c r="BA135" s="596">
        <f t="shared" si="53"/>
        <v>2636.1</v>
      </c>
    </row>
    <row r="136" spans="1:53" s="1" customFormat="1">
      <c r="A136" s="402" t="s">
        <v>158</v>
      </c>
      <c r="B136" s="403" t="s">
        <v>185</v>
      </c>
      <c r="C136" s="401"/>
      <c r="D136" s="404">
        <v>138840</v>
      </c>
      <c r="E136" s="404">
        <v>12</v>
      </c>
      <c r="F136" s="601" t="s">
        <v>74</v>
      </c>
      <c r="G136" s="519" t="s">
        <v>74</v>
      </c>
      <c r="H136" s="601"/>
      <c r="I136" s="519"/>
      <c r="J136" s="601">
        <v>34432</v>
      </c>
      <c r="K136" s="519">
        <v>35461</v>
      </c>
      <c r="L136" s="601">
        <v>18347</v>
      </c>
      <c r="M136" s="519">
        <v>17655</v>
      </c>
      <c r="N136" s="601">
        <v>34831</v>
      </c>
      <c r="O136" s="519">
        <v>26787</v>
      </c>
      <c r="P136" s="595">
        <f t="shared" ref="P136:P199" si="54">SUM(H136,J136,L136,N136)</f>
        <v>87610</v>
      </c>
      <c r="Q136" s="595">
        <f t="shared" ref="Q136:Q199" si="55">+P136/30</f>
        <v>2920.3333333333335</v>
      </c>
      <c r="R136" s="596">
        <f t="shared" ref="R136:R199" si="56">SUM(I136,K136,M136,O136)</f>
        <v>79903</v>
      </c>
      <c r="S136" s="596">
        <f t="shared" ref="S136:S199" si="57">+R136/30</f>
        <v>2663.4333333333334</v>
      </c>
      <c r="T136" s="601">
        <v>3905</v>
      </c>
      <c r="U136" s="519">
        <v>3673</v>
      </c>
      <c r="V136" s="595">
        <f t="shared" ref="V136:V199" si="58">IF(ISBLANK(T136),0,P136)</f>
        <v>87610</v>
      </c>
      <c r="W136" s="596">
        <f t="shared" ref="W136:W199" si="59">IF(ISBLANK(U136),0,R136)</f>
        <v>79903</v>
      </c>
      <c r="X136" s="601"/>
      <c r="Y136" s="519"/>
      <c r="Z136" s="601"/>
      <c r="AA136" s="519"/>
      <c r="AB136" s="601"/>
      <c r="AC136" s="519"/>
      <c r="AD136" s="601"/>
      <c r="AE136" s="519"/>
      <c r="AF136" s="595">
        <f t="shared" ref="AF136:AF199" si="60">SUM(X136,Z136,AB136,AD136)</f>
        <v>0</v>
      </c>
      <c r="AG136" s="595">
        <f t="shared" ref="AG136:AG199" si="61">+AF136/900</f>
        <v>0</v>
      </c>
      <c r="AH136" s="596">
        <f t="shared" ref="AH136:AH199" si="62">SUM(Y136,AA136,AC136,AE136)</f>
        <v>0</v>
      </c>
      <c r="AI136" s="596">
        <f t="shared" ref="AI136:AI199" si="63">+AH136/900</f>
        <v>0</v>
      </c>
      <c r="AJ136" s="601"/>
      <c r="AK136" s="519"/>
      <c r="AL136" s="595">
        <f t="shared" ref="AL136:AL199" si="64">IF(ISBLANK(AJ136),0,AF136)</f>
        <v>0</v>
      </c>
      <c r="AM136" s="596">
        <f t="shared" ref="AM136:AM199" si="65">IF(ISBLANK(AK136),0,AH136)</f>
        <v>0</v>
      </c>
      <c r="AN136" s="601"/>
      <c r="AO136" s="519"/>
      <c r="AP136" s="601"/>
      <c r="AQ136" s="519"/>
      <c r="AR136" s="601"/>
      <c r="AS136" s="519"/>
      <c r="AT136" s="601"/>
      <c r="AU136" s="519"/>
      <c r="AV136" s="595">
        <f t="shared" ref="AV136:AV199" si="66">SUM(AN136,AP136,AR136,AT136)</f>
        <v>0</v>
      </c>
      <c r="AW136" s="595">
        <f t="shared" ref="AW136:AW199" si="67">+AV136/24</f>
        <v>0</v>
      </c>
      <c r="AX136" s="596">
        <f t="shared" ref="AX136:AX199" si="68">SUM(AO136,AQ136,AS136,AU136)</f>
        <v>0</v>
      </c>
      <c r="AY136" s="596">
        <f t="shared" ref="AY136:AY199" si="69">+AX136/24</f>
        <v>0</v>
      </c>
      <c r="AZ136" s="595">
        <f t="shared" ref="AZ136:AZ199" si="70">SUM(Q136,AG136,AW136)</f>
        <v>2920.3333333333335</v>
      </c>
      <c r="BA136" s="596">
        <f t="shared" ref="BA136:BA199" si="71">SUM(S136,AI136,AY136)</f>
        <v>2663.4333333333334</v>
      </c>
    </row>
    <row r="137" spans="1:53" customFormat="1" ht="12.65" customHeight="1">
      <c r="A137" s="402" t="s">
        <v>158</v>
      </c>
      <c r="B137" s="403" t="s">
        <v>186</v>
      </c>
      <c r="C137" s="403"/>
      <c r="D137" s="404">
        <v>138956</v>
      </c>
      <c r="E137" s="404">
        <v>12</v>
      </c>
      <c r="F137" s="601" t="s">
        <v>74</v>
      </c>
      <c r="G137" s="519" t="s">
        <v>74</v>
      </c>
      <c r="H137" s="601"/>
      <c r="I137" s="519"/>
      <c r="J137" s="601">
        <v>37560</v>
      </c>
      <c r="K137" s="519">
        <v>36493</v>
      </c>
      <c r="L137" s="601">
        <v>19099</v>
      </c>
      <c r="M137" s="519">
        <v>16661</v>
      </c>
      <c r="N137" s="601">
        <v>39567</v>
      </c>
      <c r="O137" s="519">
        <v>35152</v>
      </c>
      <c r="P137" s="595">
        <f t="shared" si="54"/>
        <v>96226</v>
      </c>
      <c r="Q137" s="595">
        <f t="shared" si="55"/>
        <v>3207.5333333333333</v>
      </c>
      <c r="R137" s="596">
        <f t="shared" si="56"/>
        <v>88306</v>
      </c>
      <c r="S137" s="596">
        <f t="shared" si="57"/>
        <v>2943.5333333333333</v>
      </c>
      <c r="T137" s="601">
        <v>7501</v>
      </c>
      <c r="U137" s="519">
        <v>7116</v>
      </c>
      <c r="V137" s="595">
        <f t="shared" si="58"/>
        <v>96226</v>
      </c>
      <c r="W137" s="596">
        <f t="shared" si="59"/>
        <v>88306</v>
      </c>
      <c r="X137" s="601"/>
      <c r="Y137" s="519"/>
      <c r="Z137" s="601"/>
      <c r="AA137" s="519"/>
      <c r="AB137" s="601"/>
      <c r="AC137" s="519"/>
      <c r="AD137" s="601"/>
      <c r="AE137" s="519"/>
      <c r="AF137" s="595">
        <f t="shared" si="60"/>
        <v>0</v>
      </c>
      <c r="AG137" s="595">
        <f t="shared" si="61"/>
        <v>0</v>
      </c>
      <c r="AH137" s="596">
        <f t="shared" si="62"/>
        <v>0</v>
      </c>
      <c r="AI137" s="596">
        <f t="shared" si="63"/>
        <v>0</v>
      </c>
      <c r="AJ137" s="601"/>
      <c r="AK137" s="519"/>
      <c r="AL137" s="595">
        <f t="shared" si="64"/>
        <v>0</v>
      </c>
      <c r="AM137" s="596">
        <f t="shared" si="65"/>
        <v>0</v>
      </c>
      <c r="AN137" s="601"/>
      <c r="AO137" s="519"/>
      <c r="AP137" s="601"/>
      <c r="AQ137" s="519"/>
      <c r="AR137" s="601"/>
      <c r="AS137" s="519"/>
      <c r="AT137" s="601"/>
      <c r="AU137" s="519"/>
      <c r="AV137" s="595">
        <f t="shared" si="66"/>
        <v>0</v>
      </c>
      <c r="AW137" s="595">
        <f t="shared" si="67"/>
        <v>0</v>
      </c>
      <c r="AX137" s="596">
        <f t="shared" si="68"/>
        <v>0</v>
      </c>
      <c r="AY137" s="596">
        <f t="shared" si="69"/>
        <v>0</v>
      </c>
      <c r="AZ137" s="595">
        <f t="shared" si="70"/>
        <v>3207.5333333333333</v>
      </c>
      <c r="BA137" s="596">
        <f t="shared" si="71"/>
        <v>2943.5333333333333</v>
      </c>
    </row>
    <row r="138" spans="1:53" customFormat="1" ht="12.65" customHeight="1">
      <c r="A138" s="402" t="s">
        <v>158</v>
      </c>
      <c r="B138" s="403" t="s">
        <v>187</v>
      </c>
      <c r="C138" s="403"/>
      <c r="D138" s="404">
        <v>483045</v>
      </c>
      <c r="E138" s="404">
        <v>12</v>
      </c>
      <c r="F138" s="601" t="s">
        <v>74</v>
      </c>
      <c r="G138" s="519" t="s">
        <v>74</v>
      </c>
      <c r="H138" s="601"/>
      <c r="I138" s="519"/>
      <c r="J138" s="601">
        <v>63676</v>
      </c>
      <c r="K138" s="519">
        <v>63217</v>
      </c>
      <c r="L138" s="601">
        <v>34123</v>
      </c>
      <c r="M138" s="519">
        <v>26185</v>
      </c>
      <c r="N138" s="601">
        <v>69761</v>
      </c>
      <c r="O138" s="519">
        <v>64637</v>
      </c>
      <c r="P138" s="595">
        <f t="shared" si="54"/>
        <v>167560</v>
      </c>
      <c r="Q138" s="595">
        <f t="shared" si="55"/>
        <v>5585.333333333333</v>
      </c>
      <c r="R138" s="596">
        <f t="shared" si="56"/>
        <v>154039</v>
      </c>
      <c r="S138" s="596">
        <f t="shared" si="57"/>
        <v>5134.6333333333332</v>
      </c>
      <c r="T138" s="601">
        <v>26969</v>
      </c>
      <c r="U138" s="519">
        <v>27107</v>
      </c>
      <c r="V138" s="595">
        <f t="shared" si="58"/>
        <v>167560</v>
      </c>
      <c r="W138" s="596">
        <f t="shared" si="59"/>
        <v>154039</v>
      </c>
      <c r="X138" s="601"/>
      <c r="Y138" s="519"/>
      <c r="Z138" s="601"/>
      <c r="AA138" s="519"/>
      <c r="AB138" s="601"/>
      <c r="AC138" s="519"/>
      <c r="AD138" s="601"/>
      <c r="AE138" s="519"/>
      <c r="AF138" s="595">
        <f t="shared" si="60"/>
        <v>0</v>
      </c>
      <c r="AG138" s="595">
        <f t="shared" si="61"/>
        <v>0</v>
      </c>
      <c r="AH138" s="596">
        <f t="shared" si="62"/>
        <v>0</v>
      </c>
      <c r="AI138" s="596">
        <f t="shared" si="63"/>
        <v>0</v>
      </c>
      <c r="AJ138" s="601"/>
      <c r="AK138" s="519"/>
      <c r="AL138" s="595">
        <f t="shared" si="64"/>
        <v>0</v>
      </c>
      <c r="AM138" s="596">
        <f t="shared" si="65"/>
        <v>0</v>
      </c>
      <c r="AN138" s="601"/>
      <c r="AO138" s="519"/>
      <c r="AP138" s="601"/>
      <c r="AQ138" s="519"/>
      <c r="AR138" s="601"/>
      <c r="AS138" s="519"/>
      <c r="AT138" s="601"/>
      <c r="AU138" s="519"/>
      <c r="AV138" s="595">
        <f t="shared" si="66"/>
        <v>0</v>
      </c>
      <c r="AW138" s="595">
        <f t="shared" si="67"/>
        <v>0</v>
      </c>
      <c r="AX138" s="596">
        <f t="shared" si="68"/>
        <v>0</v>
      </c>
      <c r="AY138" s="596">
        <f t="shared" si="69"/>
        <v>0</v>
      </c>
      <c r="AZ138" s="595">
        <f t="shared" si="70"/>
        <v>5585.333333333333</v>
      </c>
      <c r="BA138" s="596">
        <f t="shared" si="71"/>
        <v>5134.6333333333332</v>
      </c>
    </row>
    <row r="139" spans="1:53" customFormat="1" ht="12.65" customHeight="1">
      <c r="A139" s="402" t="s">
        <v>158</v>
      </c>
      <c r="B139" s="403" t="s">
        <v>188</v>
      </c>
      <c r="C139" s="403"/>
      <c r="D139" s="404">
        <v>140331</v>
      </c>
      <c r="E139" s="404">
        <v>12</v>
      </c>
      <c r="F139" s="601" t="s">
        <v>74</v>
      </c>
      <c r="G139" s="519" t="s">
        <v>74</v>
      </c>
      <c r="H139" s="601"/>
      <c r="I139" s="519"/>
      <c r="J139" s="601">
        <v>80430</v>
      </c>
      <c r="K139" s="519">
        <v>82462</v>
      </c>
      <c r="L139" s="601">
        <v>28075</v>
      </c>
      <c r="M139" s="519">
        <v>29925</v>
      </c>
      <c r="N139" s="601">
        <v>84859</v>
      </c>
      <c r="O139" s="519">
        <v>78587</v>
      </c>
      <c r="P139" s="595">
        <f t="shared" si="54"/>
        <v>193364</v>
      </c>
      <c r="Q139" s="595">
        <f t="shared" si="55"/>
        <v>6445.4666666666662</v>
      </c>
      <c r="R139" s="596">
        <f t="shared" si="56"/>
        <v>190974</v>
      </c>
      <c r="S139" s="596">
        <f t="shared" si="57"/>
        <v>6365.8</v>
      </c>
      <c r="T139" s="601">
        <v>28113</v>
      </c>
      <c r="U139" s="519">
        <v>25147</v>
      </c>
      <c r="V139" s="595">
        <f t="shared" si="58"/>
        <v>193364</v>
      </c>
      <c r="W139" s="596">
        <f t="shared" si="59"/>
        <v>190974</v>
      </c>
      <c r="X139" s="601"/>
      <c r="Y139" s="519"/>
      <c r="Z139" s="601"/>
      <c r="AA139" s="519"/>
      <c r="AB139" s="601"/>
      <c r="AC139" s="519"/>
      <c r="AD139" s="601"/>
      <c r="AE139" s="519"/>
      <c r="AF139" s="595">
        <f t="shared" si="60"/>
        <v>0</v>
      </c>
      <c r="AG139" s="595">
        <f t="shared" si="61"/>
        <v>0</v>
      </c>
      <c r="AH139" s="596">
        <f t="shared" si="62"/>
        <v>0</v>
      </c>
      <c r="AI139" s="596">
        <f t="shared" si="63"/>
        <v>0</v>
      </c>
      <c r="AJ139" s="601"/>
      <c r="AK139" s="519"/>
      <c r="AL139" s="595">
        <f t="shared" si="64"/>
        <v>0</v>
      </c>
      <c r="AM139" s="596">
        <f t="shared" si="65"/>
        <v>0</v>
      </c>
      <c r="AN139" s="601"/>
      <c r="AO139" s="519"/>
      <c r="AP139" s="601"/>
      <c r="AQ139" s="519"/>
      <c r="AR139" s="601"/>
      <c r="AS139" s="519"/>
      <c r="AT139" s="601"/>
      <c r="AU139" s="519"/>
      <c r="AV139" s="595">
        <f t="shared" si="66"/>
        <v>0</v>
      </c>
      <c r="AW139" s="595">
        <f t="shared" si="67"/>
        <v>0</v>
      </c>
      <c r="AX139" s="596">
        <f t="shared" si="68"/>
        <v>0</v>
      </c>
      <c r="AY139" s="596">
        <f t="shared" si="69"/>
        <v>0</v>
      </c>
      <c r="AZ139" s="595">
        <f t="shared" si="70"/>
        <v>6445.4666666666662</v>
      </c>
      <c r="BA139" s="596">
        <f t="shared" si="71"/>
        <v>6365.8</v>
      </c>
    </row>
    <row r="140" spans="1:53" customFormat="1" ht="12.65" customHeight="1">
      <c r="A140" s="404" t="s">
        <v>158</v>
      </c>
      <c r="B140" s="405" t="s">
        <v>189</v>
      </c>
      <c r="C140" s="403"/>
      <c r="D140" s="406">
        <v>485458</v>
      </c>
      <c r="E140" s="404">
        <v>12</v>
      </c>
      <c r="F140" s="601" t="s">
        <v>74</v>
      </c>
      <c r="G140" s="519" t="s">
        <v>74</v>
      </c>
      <c r="H140" s="601"/>
      <c r="I140" s="519"/>
      <c r="J140" s="601">
        <v>29018</v>
      </c>
      <c r="K140" s="519">
        <v>31363</v>
      </c>
      <c r="L140" s="601">
        <v>10783</v>
      </c>
      <c r="M140" s="519">
        <v>10768</v>
      </c>
      <c r="N140" s="601">
        <v>32337</v>
      </c>
      <c r="O140" s="519">
        <v>26551</v>
      </c>
      <c r="P140" s="595">
        <f t="shared" si="54"/>
        <v>72138</v>
      </c>
      <c r="Q140" s="595">
        <f t="shared" si="55"/>
        <v>2404.6</v>
      </c>
      <c r="R140" s="596">
        <f t="shared" si="56"/>
        <v>68682</v>
      </c>
      <c r="S140" s="596">
        <f t="shared" si="57"/>
        <v>2289.4</v>
      </c>
      <c r="T140" s="601">
        <v>31605</v>
      </c>
      <c r="U140" s="519">
        <v>27850</v>
      </c>
      <c r="V140" s="595">
        <f t="shared" si="58"/>
        <v>72138</v>
      </c>
      <c r="W140" s="596">
        <f t="shared" si="59"/>
        <v>68682</v>
      </c>
      <c r="X140" s="601"/>
      <c r="Y140" s="519"/>
      <c r="Z140" s="601"/>
      <c r="AA140" s="519"/>
      <c r="AB140" s="601"/>
      <c r="AC140" s="519"/>
      <c r="AD140" s="601"/>
      <c r="AE140" s="519"/>
      <c r="AF140" s="595">
        <f t="shared" si="60"/>
        <v>0</v>
      </c>
      <c r="AG140" s="595">
        <f t="shared" si="61"/>
        <v>0</v>
      </c>
      <c r="AH140" s="596">
        <f t="shared" si="62"/>
        <v>0</v>
      </c>
      <c r="AI140" s="596">
        <f t="shared" si="63"/>
        <v>0</v>
      </c>
      <c r="AJ140" s="601"/>
      <c r="AK140" s="519"/>
      <c r="AL140" s="595">
        <f t="shared" si="64"/>
        <v>0</v>
      </c>
      <c r="AM140" s="596">
        <f t="shared" si="65"/>
        <v>0</v>
      </c>
      <c r="AN140" s="601"/>
      <c r="AO140" s="519"/>
      <c r="AP140" s="601"/>
      <c r="AQ140" s="519"/>
      <c r="AR140" s="601"/>
      <c r="AS140" s="519"/>
      <c r="AT140" s="601"/>
      <c r="AU140" s="519"/>
      <c r="AV140" s="595">
        <f t="shared" si="66"/>
        <v>0</v>
      </c>
      <c r="AW140" s="595">
        <f t="shared" si="67"/>
        <v>0</v>
      </c>
      <c r="AX140" s="596">
        <f t="shared" si="68"/>
        <v>0</v>
      </c>
      <c r="AY140" s="596">
        <f t="shared" si="69"/>
        <v>0</v>
      </c>
      <c r="AZ140" s="595">
        <f t="shared" si="70"/>
        <v>2404.6</v>
      </c>
      <c r="BA140" s="596">
        <f t="shared" si="71"/>
        <v>2289.4</v>
      </c>
    </row>
    <row r="141" spans="1:53" customFormat="1" ht="12.65" customHeight="1">
      <c r="A141" s="402" t="s">
        <v>158</v>
      </c>
      <c r="B141" s="403" t="s">
        <v>190</v>
      </c>
      <c r="C141" s="403"/>
      <c r="D141" s="404">
        <v>139357</v>
      </c>
      <c r="E141" s="404">
        <v>12</v>
      </c>
      <c r="F141" s="601" t="s">
        <v>74</v>
      </c>
      <c r="G141" s="519" t="s">
        <v>74</v>
      </c>
      <c r="H141" s="601"/>
      <c r="I141" s="519"/>
      <c r="J141" s="601">
        <v>27721</v>
      </c>
      <c r="K141" s="519">
        <v>29210</v>
      </c>
      <c r="L141" s="601">
        <v>14830</v>
      </c>
      <c r="M141" s="519">
        <v>13111</v>
      </c>
      <c r="N141" s="601">
        <v>30700</v>
      </c>
      <c r="O141" s="519">
        <v>26172</v>
      </c>
      <c r="P141" s="595">
        <f t="shared" si="54"/>
        <v>73251</v>
      </c>
      <c r="Q141" s="595">
        <f t="shared" si="55"/>
        <v>2441.6999999999998</v>
      </c>
      <c r="R141" s="596">
        <f t="shared" si="56"/>
        <v>68493</v>
      </c>
      <c r="S141" s="596">
        <f t="shared" si="57"/>
        <v>2283.1</v>
      </c>
      <c r="T141" s="601">
        <v>9103</v>
      </c>
      <c r="U141" s="519">
        <v>7619</v>
      </c>
      <c r="V141" s="595">
        <f t="shared" si="58"/>
        <v>73251</v>
      </c>
      <c r="W141" s="596">
        <f t="shared" si="59"/>
        <v>68493</v>
      </c>
      <c r="X141" s="601"/>
      <c r="Y141" s="519"/>
      <c r="Z141" s="601"/>
      <c r="AA141" s="519"/>
      <c r="AB141" s="601"/>
      <c r="AC141" s="519"/>
      <c r="AD141" s="601"/>
      <c r="AE141" s="519"/>
      <c r="AF141" s="595">
        <f t="shared" si="60"/>
        <v>0</v>
      </c>
      <c r="AG141" s="595">
        <f t="shared" si="61"/>
        <v>0</v>
      </c>
      <c r="AH141" s="596">
        <f t="shared" si="62"/>
        <v>0</v>
      </c>
      <c r="AI141" s="596">
        <f t="shared" si="63"/>
        <v>0</v>
      </c>
      <c r="AJ141" s="601"/>
      <c r="AK141" s="519"/>
      <c r="AL141" s="595">
        <f t="shared" si="64"/>
        <v>0</v>
      </c>
      <c r="AM141" s="596">
        <f t="shared" si="65"/>
        <v>0</v>
      </c>
      <c r="AN141" s="601"/>
      <c r="AO141" s="519"/>
      <c r="AP141" s="601"/>
      <c r="AQ141" s="519"/>
      <c r="AR141" s="601"/>
      <c r="AS141" s="519"/>
      <c r="AT141" s="601"/>
      <c r="AU141" s="519"/>
      <c r="AV141" s="595">
        <f t="shared" si="66"/>
        <v>0</v>
      </c>
      <c r="AW141" s="595">
        <f t="shared" si="67"/>
        <v>0</v>
      </c>
      <c r="AX141" s="596">
        <f t="shared" si="68"/>
        <v>0</v>
      </c>
      <c r="AY141" s="596">
        <f t="shared" si="69"/>
        <v>0</v>
      </c>
      <c r="AZ141" s="595">
        <f t="shared" si="70"/>
        <v>2441.6999999999998</v>
      </c>
      <c r="BA141" s="596">
        <f t="shared" si="71"/>
        <v>2283.1</v>
      </c>
    </row>
    <row r="142" spans="1:53" customFormat="1" ht="12.65" customHeight="1">
      <c r="A142" s="402" t="s">
        <v>158</v>
      </c>
      <c r="B142" s="403" t="s">
        <v>191</v>
      </c>
      <c r="C142" s="403"/>
      <c r="D142" s="404">
        <v>139384</v>
      </c>
      <c r="E142" s="404">
        <v>12</v>
      </c>
      <c r="F142" s="601" t="s">
        <v>74</v>
      </c>
      <c r="G142" s="519" t="s">
        <v>74</v>
      </c>
      <c r="H142" s="601"/>
      <c r="I142" s="519"/>
      <c r="J142" s="601">
        <v>45881</v>
      </c>
      <c r="K142" s="519">
        <v>51946</v>
      </c>
      <c r="L142" s="601">
        <v>18691</v>
      </c>
      <c r="M142" s="519">
        <v>20070</v>
      </c>
      <c r="N142" s="601">
        <v>55379</v>
      </c>
      <c r="O142" s="519">
        <v>55324</v>
      </c>
      <c r="P142" s="595">
        <f t="shared" si="54"/>
        <v>119951</v>
      </c>
      <c r="Q142" s="595">
        <f t="shared" si="55"/>
        <v>3998.3666666666668</v>
      </c>
      <c r="R142" s="596">
        <f t="shared" si="56"/>
        <v>127340</v>
      </c>
      <c r="S142" s="596">
        <f t="shared" si="57"/>
        <v>4244.666666666667</v>
      </c>
      <c r="T142" s="601">
        <v>29929</v>
      </c>
      <c r="U142" s="519">
        <v>26412</v>
      </c>
      <c r="V142" s="595">
        <f t="shared" si="58"/>
        <v>119951</v>
      </c>
      <c r="W142" s="596">
        <f t="shared" si="59"/>
        <v>127340</v>
      </c>
      <c r="X142" s="601"/>
      <c r="Y142" s="519"/>
      <c r="Z142" s="601"/>
      <c r="AA142" s="519"/>
      <c r="AB142" s="601"/>
      <c r="AC142" s="519"/>
      <c r="AD142" s="601"/>
      <c r="AE142" s="519"/>
      <c r="AF142" s="595">
        <f t="shared" si="60"/>
        <v>0</v>
      </c>
      <c r="AG142" s="595">
        <f t="shared" si="61"/>
        <v>0</v>
      </c>
      <c r="AH142" s="596">
        <f t="shared" si="62"/>
        <v>0</v>
      </c>
      <c r="AI142" s="596">
        <f t="shared" si="63"/>
        <v>0</v>
      </c>
      <c r="AJ142" s="601"/>
      <c r="AK142" s="519"/>
      <c r="AL142" s="595">
        <f t="shared" si="64"/>
        <v>0</v>
      </c>
      <c r="AM142" s="596">
        <f t="shared" si="65"/>
        <v>0</v>
      </c>
      <c r="AN142" s="601"/>
      <c r="AO142" s="519"/>
      <c r="AP142" s="601"/>
      <c r="AQ142" s="519"/>
      <c r="AR142" s="601"/>
      <c r="AS142" s="519"/>
      <c r="AT142" s="601"/>
      <c r="AU142" s="519"/>
      <c r="AV142" s="595">
        <f t="shared" si="66"/>
        <v>0</v>
      </c>
      <c r="AW142" s="595">
        <f t="shared" si="67"/>
        <v>0</v>
      </c>
      <c r="AX142" s="596">
        <f t="shared" si="68"/>
        <v>0</v>
      </c>
      <c r="AY142" s="596">
        <f t="shared" si="69"/>
        <v>0</v>
      </c>
      <c r="AZ142" s="595">
        <f t="shared" si="70"/>
        <v>3998.3666666666668</v>
      </c>
      <c r="BA142" s="596">
        <f t="shared" si="71"/>
        <v>4244.666666666667</v>
      </c>
    </row>
    <row r="143" spans="1:53" customFormat="1" ht="12.65" customHeight="1">
      <c r="A143" s="402" t="s">
        <v>158</v>
      </c>
      <c r="B143" s="403" t="s">
        <v>192</v>
      </c>
      <c r="C143" s="403"/>
      <c r="D143" s="404">
        <v>244446</v>
      </c>
      <c r="E143" s="404">
        <v>12</v>
      </c>
      <c r="F143" s="601" t="s">
        <v>74</v>
      </c>
      <c r="G143" s="519" t="s">
        <v>74</v>
      </c>
      <c r="H143" s="601"/>
      <c r="I143" s="519"/>
      <c r="J143" s="601">
        <v>27028</v>
      </c>
      <c r="K143" s="519">
        <v>27791.5</v>
      </c>
      <c r="L143" s="601">
        <v>13707</v>
      </c>
      <c r="M143" s="519">
        <v>12043</v>
      </c>
      <c r="N143" s="601">
        <v>28735</v>
      </c>
      <c r="O143" s="519">
        <v>21083</v>
      </c>
      <c r="P143" s="595">
        <f t="shared" si="54"/>
        <v>69470</v>
      </c>
      <c r="Q143" s="595">
        <f t="shared" si="55"/>
        <v>2315.6666666666665</v>
      </c>
      <c r="R143" s="596">
        <f t="shared" si="56"/>
        <v>60917.5</v>
      </c>
      <c r="S143" s="596">
        <f t="shared" si="57"/>
        <v>2030.5833333333333</v>
      </c>
      <c r="T143" s="601">
        <v>16569</v>
      </c>
      <c r="U143" s="519">
        <v>11902.5</v>
      </c>
      <c r="V143" s="595">
        <f t="shared" si="58"/>
        <v>69470</v>
      </c>
      <c r="W143" s="596">
        <f t="shared" si="59"/>
        <v>60917.5</v>
      </c>
      <c r="X143" s="601"/>
      <c r="Y143" s="519"/>
      <c r="Z143" s="601"/>
      <c r="AA143" s="519"/>
      <c r="AB143" s="601"/>
      <c r="AC143" s="519"/>
      <c r="AD143" s="601"/>
      <c r="AE143" s="519"/>
      <c r="AF143" s="595">
        <f t="shared" si="60"/>
        <v>0</v>
      </c>
      <c r="AG143" s="595">
        <f t="shared" si="61"/>
        <v>0</v>
      </c>
      <c r="AH143" s="596">
        <f t="shared" si="62"/>
        <v>0</v>
      </c>
      <c r="AI143" s="596">
        <f t="shared" si="63"/>
        <v>0</v>
      </c>
      <c r="AJ143" s="601"/>
      <c r="AK143" s="519"/>
      <c r="AL143" s="595">
        <f t="shared" si="64"/>
        <v>0</v>
      </c>
      <c r="AM143" s="596">
        <f t="shared" si="65"/>
        <v>0</v>
      </c>
      <c r="AN143" s="601"/>
      <c r="AO143" s="519"/>
      <c r="AP143" s="601"/>
      <c r="AQ143" s="519"/>
      <c r="AR143" s="601"/>
      <c r="AS143" s="519"/>
      <c r="AT143" s="601"/>
      <c r="AU143" s="519"/>
      <c r="AV143" s="595">
        <f t="shared" si="66"/>
        <v>0</v>
      </c>
      <c r="AW143" s="595">
        <f t="shared" si="67"/>
        <v>0</v>
      </c>
      <c r="AX143" s="596">
        <f t="shared" si="68"/>
        <v>0</v>
      </c>
      <c r="AY143" s="596">
        <f t="shared" si="69"/>
        <v>0</v>
      </c>
      <c r="AZ143" s="595">
        <f t="shared" si="70"/>
        <v>2315.6666666666665</v>
      </c>
      <c r="BA143" s="596">
        <f t="shared" si="71"/>
        <v>2030.5833333333333</v>
      </c>
    </row>
    <row r="144" spans="1:53" customFormat="1" ht="12.65" customHeight="1">
      <c r="A144" s="402" t="s">
        <v>158</v>
      </c>
      <c r="B144" s="403" t="s">
        <v>193</v>
      </c>
      <c r="C144" s="403"/>
      <c r="D144" s="404">
        <v>140012</v>
      </c>
      <c r="E144" s="404">
        <v>12</v>
      </c>
      <c r="F144" s="601" t="s">
        <v>74</v>
      </c>
      <c r="G144" s="519" t="s">
        <v>74</v>
      </c>
      <c r="H144" s="601"/>
      <c r="I144" s="519"/>
      <c r="J144" s="601">
        <v>71637</v>
      </c>
      <c r="K144" s="519">
        <v>75208</v>
      </c>
      <c r="L144" s="601">
        <v>23880</v>
      </c>
      <c r="M144" s="519">
        <v>23404</v>
      </c>
      <c r="N144" s="601">
        <v>76574</v>
      </c>
      <c r="O144" s="519">
        <v>68037</v>
      </c>
      <c r="P144" s="595">
        <f t="shared" si="54"/>
        <v>172091</v>
      </c>
      <c r="Q144" s="595">
        <f t="shared" si="55"/>
        <v>5736.3666666666668</v>
      </c>
      <c r="R144" s="596">
        <f t="shared" si="56"/>
        <v>166649</v>
      </c>
      <c r="S144" s="596">
        <f t="shared" si="57"/>
        <v>5554.9666666666662</v>
      </c>
      <c r="T144" s="601">
        <v>24431</v>
      </c>
      <c r="U144" s="519">
        <v>24675</v>
      </c>
      <c r="V144" s="595">
        <f t="shared" si="58"/>
        <v>172091</v>
      </c>
      <c r="W144" s="596">
        <f t="shared" si="59"/>
        <v>166649</v>
      </c>
      <c r="X144" s="601"/>
      <c r="Y144" s="519"/>
      <c r="Z144" s="601"/>
      <c r="AA144" s="519"/>
      <c r="AB144" s="601"/>
      <c r="AC144" s="519"/>
      <c r="AD144" s="601"/>
      <c r="AE144" s="519"/>
      <c r="AF144" s="595">
        <f t="shared" si="60"/>
        <v>0</v>
      </c>
      <c r="AG144" s="595">
        <f t="shared" si="61"/>
        <v>0</v>
      </c>
      <c r="AH144" s="596">
        <f t="shared" si="62"/>
        <v>0</v>
      </c>
      <c r="AI144" s="596">
        <f t="shared" si="63"/>
        <v>0</v>
      </c>
      <c r="AJ144" s="601"/>
      <c r="AK144" s="519"/>
      <c r="AL144" s="595">
        <f t="shared" si="64"/>
        <v>0</v>
      </c>
      <c r="AM144" s="596">
        <f t="shared" si="65"/>
        <v>0</v>
      </c>
      <c r="AN144" s="601"/>
      <c r="AO144" s="519"/>
      <c r="AP144" s="601"/>
      <c r="AQ144" s="519"/>
      <c r="AR144" s="601"/>
      <c r="AS144" s="519"/>
      <c r="AT144" s="601"/>
      <c r="AU144" s="519"/>
      <c r="AV144" s="595">
        <f t="shared" si="66"/>
        <v>0</v>
      </c>
      <c r="AW144" s="595">
        <f t="shared" si="67"/>
        <v>0</v>
      </c>
      <c r="AX144" s="596">
        <f t="shared" si="68"/>
        <v>0</v>
      </c>
      <c r="AY144" s="596">
        <f t="shared" si="69"/>
        <v>0</v>
      </c>
      <c r="AZ144" s="595">
        <f t="shared" si="70"/>
        <v>5736.3666666666668</v>
      </c>
      <c r="BA144" s="596">
        <f t="shared" si="71"/>
        <v>5554.9666666666662</v>
      </c>
    </row>
    <row r="145" spans="1:55" customFormat="1" ht="12.65" customHeight="1">
      <c r="A145" s="402" t="s">
        <v>158</v>
      </c>
      <c r="B145" s="403" t="s">
        <v>194</v>
      </c>
      <c r="C145" s="403"/>
      <c r="D145" s="404">
        <v>140243</v>
      </c>
      <c r="E145" s="404">
        <v>12</v>
      </c>
      <c r="F145" s="601" t="s">
        <v>74</v>
      </c>
      <c r="G145" s="519" t="s">
        <v>74</v>
      </c>
      <c r="H145" s="601"/>
      <c r="I145" s="519"/>
      <c r="J145" s="601">
        <v>33187</v>
      </c>
      <c r="K145" s="519">
        <v>37624</v>
      </c>
      <c r="L145" s="601">
        <v>14072</v>
      </c>
      <c r="M145" s="519">
        <v>14745</v>
      </c>
      <c r="N145" s="601">
        <v>38405</v>
      </c>
      <c r="O145" s="519">
        <v>40793</v>
      </c>
      <c r="P145" s="595">
        <f t="shared" si="54"/>
        <v>85664</v>
      </c>
      <c r="Q145" s="595">
        <f t="shared" si="55"/>
        <v>2855.4666666666667</v>
      </c>
      <c r="R145" s="596">
        <f t="shared" si="56"/>
        <v>93162</v>
      </c>
      <c r="S145" s="596">
        <f t="shared" si="57"/>
        <v>3105.4</v>
      </c>
      <c r="T145" s="601">
        <v>14447</v>
      </c>
      <c r="U145" s="519">
        <v>16131</v>
      </c>
      <c r="V145" s="595">
        <f t="shared" si="58"/>
        <v>85664</v>
      </c>
      <c r="W145" s="596">
        <f t="shared" si="59"/>
        <v>93162</v>
      </c>
      <c r="X145" s="601"/>
      <c r="Y145" s="519"/>
      <c r="Z145" s="601"/>
      <c r="AA145" s="519"/>
      <c r="AB145" s="601"/>
      <c r="AC145" s="519"/>
      <c r="AD145" s="601"/>
      <c r="AE145" s="519"/>
      <c r="AF145" s="595">
        <f t="shared" si="60"/>
        <v>0</v>
      </c>
      <c r="AG145" s="595">
        <f t="shared" si="61"/>
        <v>0</v>
      </c>
      <c r="AH145" s="596">
        <f t="shared" si="62"/>
        <v>0</v>
      </c>
      <c r="AI145" s="596">
        <f t="shared" si="63"/>
        <v>0</v>
      </c>
      <c r="AJ145" s="601"/>
      <c r="AK145" s="519"/>
      <c r="AL145" s="595">
        <f t="shared" si="64"/>
        <v>0</v>
      </c>
      <c r="AM145" s="596">
        <f t="shared" si="65"/>
        <v>0</v>
      </c>
      <c r="AN145" s="601"/>
      <c r="AO145" s="519"/>
      <c r="AP145" s="601"/>
      <c r="AQ145" s="519"/>
      <c r="AR145" s="601"/>
      <c r="AS145" s="519"/>
      <c r="AT145" s="601"/>
      <c r="AU145" s="519"/>
      <c r="AV145" s="595">
        <f t="shared" si="66"/>
        <v>0</v>
      </c>
      <c r="AW145" s="595">
        <f t="shared" si="67"/>
        <v>0</v>
      </c>
      <c r="AX145" s="596">
        <f t="shared" si="68"/>
        <v>0</v>
      </c>
      <c r="AY145" s="596">
        <f t="shared" si="69"/>
        <v>0</v>
      </c>
      <c r="AZ145" s="595">
        <f t="shared" si="70"/>
        <v>2855.4666666666667</v>
      </c>
      <c r="BA145" s="596">
        <f t="shared" si="71"/>
        <v>3105.4</v>
      </c>
    </row>
    <row r="146" spans="1:55" customFormat="1" ht="12.65" customHeight="1">
      <c r="A146" s="402" t="s">
        <v>158</v>
      </c>
      <c r="B146" s="403" t="s">
        <v>195</v>
      </c>
      <c r="C146" s="403"/>
      <c r="D146" s="404">
        <v>140678</v>
      </c>
      <c r="E146" s="404">
        <v>12</v>
      </c>
      <c r="F146" s="601" t="s">
        <v>74</v>
      </c>
      <c r="G146" s="519" t="s">
        <v>74</v>
      </c>
      <c r="H146" s="601"/>
      <c r="I146" s="519"/>
      <c r="J146" s="601">
        <v>21619</v>
      </c>
      <c r="K146" s="519">
        <v>23018</v>
      </c>
      <c r="L146" s="601">
        <v>9732</v>
      </c>
      <c r="M146" s="519">
        <v>9754</v>
      </c>
      <c r="N146" s="601">
        <v>23608</v>
      </c>
      <c r="O146" s="519">
        <v>22209</v>
      </c>
      <c r="P146" s="595">
        <f t="shared" si="54"/>
        <v>54959</v>
      </c>
      <c r="Q146" s="595">
        <f t="shared" si="55"/>
        <v>1831.9666666666667</v>
      </c>
      <c r="R146" s="596">
        <f t="shared" si="56"/>
        <v>54981</v>
      </c>
      <c r="S146" s="596">
        <f t="shared" si="57"/>
        <v>1832.7</v>
      </c>
      <c r="T146" s="601">
        <v>6225</v>
      </c>
      <c r="U146" s="519">
        <v>6448</v>
      </c>
      <c r="V146" s="595">
        <f t="shared" si="58"/>
        <v>54959</v>
      </c>
      <c r="W146" s="596">
        <f t="shared" si="59"/>
        <v>54981</v>
      </c>
      <c r="X146" s="601"/>
      <c r="Y146" s="519"/>
      <c r="Z146" s="601"/>
      <c r="AA146" s="519"/>
      <c r="AB146" s="601"/>
      <c r="AC146" s="519"/>
      <c r="AD146" s="601"/>
      <c r="AE146" s="519"/>
      <c r="AF146" s="595">
        <f t="shared" si="60"/>
        <v>0</v>
      </c>
      <c r="AG146" s="595">
        <f t="shared" si="61"/>
        <v>0</v>
      </c>
      <c r="AH146" s="596">
        <f t="shared" si="62"/>
        <v>0</v>
      </c>
      <c r="AI146" s="596">
        <f t="shared" si="63"/>
        <v>0</v>
      </c>
      <c r="AJ146" s="601"/>
      <c r="AK146" s="519"/>
      <c r="AL146" s="595">
        <f t="shared" si="64"/>
        <v>0</v>
      </c>
      <c r="AM146" s="596">
        <f t="shared" si="65"/>
        <v>0</v>
      </c>
      <c r="AN146" s="601"/>
      <c r="AO146" s="519"/>
      <c r="AP146" s="601"/>
      <c r="AQ146" s="519"/>
      <c r="AR146" s="601"/>
      <c r="AS146" s="519"/>
      <c r="AT146" s="601"/>
      <c r="AU146" s="519"/>
      <c r="AV146" s="595">
        <f t="shared" si="66"/>
        <v>0</v>
      </c>
      <c r="AW146" s="595">
        <f t="shared" si="67"/>
        <v>0</v>
      </c>
      <c r="AX146" s="596">
        <f t="shared" si="68"/>
        <v>0</v>
      </c>
      <c r="AY146" s="596">
        <f t="shared" si="69"/>
        <v>0</v>
      </c>
      <c r="AZ146" s="595">
        <f t="shared" si="70"/>
        <v>1831.9666666666667</v>
      </c>
      <c r="BA146" s="596">
        <f t="shared" si="71"/>
        <v>1832.7</v>
      </c>
    </row>
    <row r="147" spans="1:55" s="1" customFormat="1">
      <c r="A147" s="404" t="s">
        <v>158</v>
      </c>
      <c r="B147" s="403" t="s">
        <v>196</v>
      </c>
      <c r="C147" s="401"/>
      <c r="D147" s="404">
        <v>420431</v>
      </c>
      <c r="E147" s="404">
        <v>12</v>
      </c>
      <c r="F147" s="601" t="s">
        <v>74</v>
      </c>
      <c r="G147" s="519" t="s">
        <v>74</v>
      </c>
      <c r="H147" s="601"/>
      <c r="I147" s="519"/>
      <c r="J147" s="601">
        <v>11673</v>
      </c>
      <c r="K147" s="519">
        <v>14403</v>
      </c>
      <c r="L147" s="601">
        <v>7566</v>
      </c>
      <c r="M147" s="519">
        <v>7254</v>
      </c>
      <c r="N147" s="601">
        <v>15184</v>
      </c>
      <c r="O147" s="519">
        <v>14203</v>
      </c>
      <c r="P147" s="595">
        <f t="shared" si="54"/>
        <v>34423</v>
      </c>
      <c r="Q147" s="595">
        <f t="shared" si="55"/>
        <v>1147.4333333333334</v>
      </c>
      <c r="R147" s="596">
        <f t="shared" si="56"/>
        <v>35860</v>
      </c>
      <c r="S147" s="596">
        <f t="shared" si="57"/>
        <v>1195.3333333333333</v>
      </c>
      <c r="T147" s="601">
        <v>4182</v>
      </c>
      <c r="U147" s="519">
        <v>3697</v>
      </c>
      <c r="V147" s="595">
        <f t="shared" si="58"/>
        <v>34423</v>
      </c>
      <c r="W147" s="596">
        <f t="shared" si="59"/>
        <v>35860</v>
      </c>
      <c r="X147" s="601"/>
      <c r="Y147" s="519"/>
      <c r="Z147" s="601"/>
      <c r="AA147" s="519"/>
      <c r="AB147" s="601"/>
      <c r="AC147" s="519"/>
      <c r="AD147" s="601"/>
      <c r="AE147" s="519"/>
      <c r="AF147" s="595">
        <f t="shared" si="60"/>
        <v>0</v>
      </c>
      <c r="AG147" s="595">
        <f t="shared" si="61"/>
        <v>0</v>
      </c>
      <c r="AH147" s="596">
        <f t="shared" si="62"/>
        <v>0</v>
      </c>
      <c r="AI147" s="596">
        <f t="shared" si="63"/>
        <v>0</v>
      </c>
      <c r="AJ147" s="601"/>
      <c r="AK147" s="519"/>
      <c r="AL147" s="595">
        <f t="shared" si="64"/>
        <v>0</v>
      </c>
      <c r="AM147" s="596">
        <f t="shared" si="65"/>
        <v>0</v>
      </c>
      <c r="AN147" s="601"/>
      <c r="AO147" s="519"/>
      <c r="AP147" s="601"/>
      <c r="AQ147" s="519"/>
      <c r="AR147" s="601"/>
      <c r="AS147" s="519"/>
      <c r="AT147" s="601"/>
      <c r="AU147" s="519"/>
      <c r="AV147" s="595">
        <f t="shared" si="66"/>
        <v>0</v>
      </c>
      <c r="AW147" s="595">
        <f t="shared" si="67"/>
        <v>0</v>
      </c>
      <c r="AX147" s="596">
        <f t="shared" si="68"/>
        <v>0</v>
      </c>
      <c r="AY147" s="596">
        <f t="shared" si="69"/>
        <v>0</v>
      </c>
      <c r="AZ147" s="595">
        <f t="shared" si="70"/>
        <v>1147.4333333333334</v>
      </c>
      <c r="BA147" s="596">
        <f t="shared" si="71"/>
        <v>1195.3333333333333</v>
      </c>
    </row>
    <row r="148" spans="1:55" customFormat="1" ht="12.65" customHeight="1">
      <c r="A148" s="404" t="s">
        <v>158</v>
      </c>
      <c r="B148" s="403" t="s">
        <v>197</v>
      </c>
      <c r="C148" s="403"/>
      <c r="D148" s="404">
        <v>366465</v>
      </c>
      <c r="E148" s="404">
        <v>12</v>
      </c>
      <c r="F148" s="601" t="s">
        <v>74</v>
      </c>
      <c r="G148" s="519" t="s">
        <v>74</v>
      </c>
      <c r="H148" s="601"/>
      <c r="I148" s="519"/>
      <c r="J148" s="601">
        <v>19715</v>
      </c>
      <c r="K148" s="519">
        <v>19373</v>
      </c>
      <c r="L148" s="601">
        <v>10295</v>
      </c>
      <c r="M148" s="519">
        <v>9918</v>
      </c>
      <c r="N148" s="601">
        <v>20123</v>
      </c>
      <c r="O148" s="519">
        <v>20188</v>
      </c>
      <c r="P148" s="595">
        <f t="shared" si="54"/>
        <v>50133</v>
      </c>
      <c r="Q148" s="595">
        <f t="shared" si="55"/>
        <v>1671.1</v>
      </c>
      <c r="R148" s="596">
        <f t="shared" si="56"/>
        <v>49479</v>
      </c>
      <c r="S148" s="596">
        <f t="shared" si="57"/>
        <v>1649.3</v>
      </c>
      <c r="T148" s="601">
        <v>4438</v>
      </c>
      <c r="U148" s="519">
        <v>4768</v>
      </c>
      <c r="V148" s="595">
        <f t="shared" si="58"/>
        <v>50133</v>
      </c>
      <c r="W148" s="596">
        <f t="shared" si="59"/>
        <v>49479</v>
      </c>
      <c r="X148" s="601"/>
      <c r="Y148" s="519"/>
      <c r="Z148" s="601"/>
      <c r="AA148" s="519"/>
      <c r="AB148" s="601"/>
      <c r="AC148" s="519"/>
      <c r="AD148" s="601"/>
      <c r="AE148" s="519"/>
      <c r="AF148" s="595">
        <f t="shared" si="60"/>
        <v>0</v>
      </c>
      <c r="AG148" s="595">
        <f t="shared" si="61"/>
        <v>0</v>
      </c>
      <c r="AH148" s="596">
        <f t="shared" si="62"/>
        <v>0</v>
      </c>
      <c r="AI148" s="596">
        <f t="shared" si="63"/>
        <v>0</v>
      </c>
      <c r="AJ148" s="601"/>
      <c r="AK148" s="519"/>
      <c r="AL148" s="595">
        <f t="shared" si="64"/>
        <v>0</v>
      </c>
      <c r="AM148" s="596">
        <f t="shared" si="65"/>
        <v>0</v>
      </c>
      <c r="AN148" s="601"/>
      <c r="AO148" s="519"/>
      <c r="AP148" s="601"/>
      <c r="AQ148" s="519"/>
      <c r="AR148" s="601"/>
      <c r="AS148" s="519"/>
      <c r="AT148" s="601"/>
      <c r="AU148" s="519"/>
      <c r="AV148" s="595">
        <f t="shared" si="66"/>
        <v>0</v>
      </c>
      <c r="AW148" s="595">
        <f t="shared" si="67"/>
        <v>0</v>
      </c>
      <c r="AX148" s="596">
        <f t="shared" si="68"/>
        <v>0</v>
      </c>
      <c r="AY148" s="596">
        <f t="shared" si="69"/>
        <v>0</v>
      </c>
      <c r="AZ148" s="595">
        <f t="shared" si="70"/>
        <v>1671.1</v>
      </c>
      <c r="BA148" s="596">
        <f t="shared" si="71"/>
        <v>1649.3</v>
      </c>
    </row>
    <row r="149" spans="1:55" customFormat="1" ht="12.65" customHeight="1">
      <c r="A149" s="404" t="s">
        <v>158</v>
      </c>
      <c r="B149" s="403" t="s">
        <v>198</v>
      </c>
      <c r="C149" s="403"/>
      <c r="D149" s="404">
        <v>140942</v>
      </c>
      <c r="E149" s="404">
        <v>12</v>
      </c>
      <c r="F149" s="601" t="s">
        <v>74</v>
      </c>
      <c r="G149" s="519" t="s">
        <v>74</v>
      </c>
      <c r="H149" s="601"/>
      <c r="I149" s="519"/>
      <c r="J149" s="601">
        <v>34150</v>
      </c>
      <c r="K149" s="519">
        <v>37047</v>
      </c>
      <c r="L149" s="601">
        <v>15277</v>
      </c>
      <c r="M149" s="519">
        <v>14136</v>
      </c>
      <c r="N149" s="601">
        <v>38073</v>
      </c>
      <c r="O149" s="519">
        <v>33744</v>
      </c>
      <c r="P149" s="595">
        <f t="shared" si="54"/>
        <v>87500</v>
      </c>
      <c r="Q149" s="595">
        <f t="shared" si="55"/>
        <v>2916.6666666666665</v>
      </c>
      <c r="R149" s="596">
        <f t="shared" si="56"/>
        <v>84927</v>
      </c>
      <c r="S149" s="596">
        <f t="shared" si="57"/>
        <v>2830.9</v>
      </c>
      <c r="T149" s="601">
        <v>8475</v>
      </c>
      <c r="U149" s="519">
        <v>7575</v>
      </c>
      <c r="V149" s="595">
        <f t="shared" si="58"/>
        <v>87500</v>
      </c>
      <c r="W149" s="596">
        <f t="shared" si="59"/>
        <v>84927</v>
      </c>
      <c r="X149" s="601"/>
      <c r="Y149" s="519"/>
      <c r="Z149" s="601"/>
      <c r="AA149" s="519"/>
      <c r="AB149" s="601"/>
      <c r="AC149" s="519"/>
      <c r="AD149" s="601"/>
      <c r="AE149" s="519"/>
      <c r="AF149" s="595">
        <f t="shared" si="60"/>
        <v>0</v>
      </c>
      <c r="AG149" s="595">
        <f t="shared" si="61"/>
        <v>0</v>
      </c>
      <c r="AH149" s="596">
        <f t="shared" si="62"/>
        <v>0</v>
      </c>
      <c r="AI149" s="596">
        <f t="shared" si="63"/>
        <v>0</v>
      </c>
      <c r="AJ149" s="601"/>
      <c r="AK149" s="519"/>
      <c r="AL149" s="595">
        <f t="shared" si="64"/>
        <v>0</v>
      </c>
      <c r="AM149" s="596">
        <f t="shared" si="65"/>
        <v>0</v>
      </c>
      <c r="AN149" s="601"/>
      <c r="AO149" s="519"/>
      <c r="AP149" s="601"/>
      <c r="AQ149" s="519"/>
      <c r="AR149" s="601"/>
      <c r="AS149" s="519"/>
      <c r="AT149" s="601"/>
      <c r="AU149" s="519"/>
      <c r="AV149" s="595">
        <f t="shared" si="66"/>
        <v>0</v>
      </c>
      <c r="AW149" s="595">
        <f t="shared" si="67"/>
        <v>0</v>
      </c>
      <c r="AX149" s="596">
        <f t="shared" si="68"/>
        <v>0</v>
      </c>
      <c r="AY149" s="596">
        <f t="shared" si="69"/>
        <v>0</v>
      </c>
      <c r="AZ149" s="595">
        <f t="shared" si="70"/>
        <v>2916.6666666666665</v>
      </c>
      <c r="BA149" s="596">
        <f t="shared" si="71"/>
        <v>2830.9</v>
      </c>
    </row>
    <row r="150" spans="1:55" customFormat="1" ht="12.65" customHeight="1">
      <c r="A150" s="404" t="s">
        <v>158</v>
      </c>
      <c r="B150" s="403" t="s">
        <v>199</v>
      </c>
      <c r="C150" s="403"/>
      <c r="D150" s="404">
        <v>141006</v>
      </c>
      <c r="E150" s="404">
        <v>12</v>
      </c>
      <c r="F150" s="601" t="s">
        <v>74</v>
      </c>
      <c r="G150" s="519" t="s">
        <v>74</v>
      </c>
      <c r="H150" s="601"/>
      <c r="I150" s="519"/>
      <c r="J150" s="601">
        <v>20432</v>
      </c>
      <c r="K150" s="519">
        <v>19745</v>
      </c>
      <c r="L150" s="601">
        <v>10127</v>
      </c>
      <c r="M150" s="519">
        <v>8383</v>
      </c>
      <c r="N150" s="601">
        <v>21354</v>
      </c>
      <c r="O150" s="519">
        <v>17816</v>
      </c>
      <c r="P150" s="595">
        <f t="shared" si="54"/>
        <v>51913</v>
      </c>
      <c r="Q150" s="595">
        <f t="shared" si="55"/>
        <v>1730.4333333333334</v>
      </c>
      <c r="R150" s="596">
        <f t="shared" si="56"/>
        <v>45944</v>
      </c>
      <c r="S150" s="596">
        <f t="shared" si="57"/>
        <v>1531.4666666666667</v>
      </c>
      <c r="T150" s="601">
        <v>6525</v>
      </c>
      <c r="U150" s="519">
        <v>5471</v>
      </c>
      <c r="V150" s="595">
        <f t="shared" si="58"/>
        <v>51913</v>
      </c>
      <c r="W150" s="596">
        <f t="shared" si="59"/>
        <v>45944</v>
      </c>
      <c r="X150" s="601"/>
      <c r="Y150" s="519"/>
      <c r="Z150" s="601"/>
      <c r="AA150" s="519"/>
      <c r="AB150" s="601"/>
      <c r="AC150" s="519"/>
      <c r="AD150" s="601"/>
      <c r="AE150" s="519"/>
      <c r="AF150" s="595">
        <f t="shared" si="60"/>
        <v>0</v>
      </c>
      <c r="AG150" s="595">
        <f t="shared" si="61"/>
        <v>0</v>
      </c>
      <c r="AH150" s="596">
        <f t="shared" si="62"/>
        <v>0</v>
      </c>
      <c r="AI150" s="596">
        <f t="shared" si="63"/>
        <v>0</v>
      </c>
      <c r="AJ150" s="601"/>
      <c r="AK150" s="519"/>
      <c r="AL150" s="595">
        <f t="shared" si="64"/>
        <v>0</v>
      </c>
      <c r="AM150" s="596">
        <f t="shared" si="65"/>
        <v>0</v>
      </c>
      <c r="AN150" s="601"/>
      <c r="AO150" s="519"/>
      <c r="AP150" s="601"/>
      <c r="AQ150" s="519"/>
      <c r="AR150" s="601"/>
      <c r="AS150" s="519"/>
      <c r="AT150" s="601"/>
      <c r="AU150" s="519"/>
      <c r="AV150" s="595">
        <f t="shared" si="66"/>
        <v>0</v>
      </c>
      <c r="AW150" s="595">
        <f t="shared" si="67"/>
        <v>0</v>
      </c>
      <c r="AX150" s="596">
        <f t="shared" si="68"/>
        <v>0</v>
      </c>
      <c r="AY150" s="596">
        <f t="shared" si="69"/>
        <v>0</v>
      </c>
      <c r="AZ150" s="595">
        <f t="shared" si="70"/>
        <v>1730.4333333333334</v>
      </c>
      <c r="BA150" s="596">
        <f t="shared" si="71"/>
        <v>1531.4666666666667</v>
      </c>
    </row>
    <row r="151" spans="1:55" customFormat="1" ht="12.65" customHeight="1">
      <c r="A151" s="404" t="s">
        <v>158</v>
      </c>
      <c r="B151" s="403" t="s">
        <v>200</v>
      </c>
      <c r="C151" s="403"/>
      <c r="D151" s="404">
        <v>368911</v>
      </c>
      <c r="E151" s="404">
        <v>12</v>
      </c>
      <c r="F151" s="601" t="s">
        <v>74</v>
      </c>
      <c r="G151" s="519" t="s">
        <v>74</v>
      </c>
      <c r="H151" s="601"/>
      <c r="I151" s="519"/>
      <c r="J151" s="601">
        <v>14094</v>
      </c>
      <c r="K151" s="519">
        <v>13711</v>
      </c>
      <c r="L151" s="601">
        <v>6711</v>
      </c>
      <c r="M151" s="519">
        <v>4956</v>
      </c>
      <c r="N151" s="601">
        <v>15724</v>
      </c>
      <c r="O151" s="519">
        <v>13708</v>
      </c>
      <c r="P151" s="595">
        <f t="shared" si="54"/>
        <v>36529</v>
      </c>
      <c r="Q151" s="595">
        <f t="shared" si="55"/>
        <v>1217.6333333333334</v>
      </c>
      <c r="R151" s="596">
        <f t="shared" si="56"/>
        <v>32375</v>
      </c>
      <c r="S151" s="596">
        <f t="shared" si="57"/>
        <v>1079.1666666666667</v>
      </c>
      <c r="T151" s="601">
        <v>8280</v>
      </c>
      <c r="U151" s="519">
        <v>7721</v>
      </c>
      <c r="V151" s="595">
        <f t="shared" si="58"/>
        <v>36529</v>
      </c>
      <c r="W151" s="596">
        <f t="shared" si="59"/>
        <v>32375</v>
      </c>
      <c r="X151" s="601"/>
      <c r="Y151" s="519"/>
      <c r="Z151" s="601"/>
      <c r="AA151" s="519"/>
      <c r="AB151" s="601"/>
      <c r="AC151" s="519"/>
      <c r="AD151" s="601"/>
      <c r="AE151" s="519"/>
      <c r="AF151" s="595">
        <f t="shared" si="60"/>
        <v>0</v>
      </c>
      <c r="AG151" s="595">
        <f t="shared" si="61"/>
        <v>0</v>
      </c>
      <c r="AH151" s="596">
        <f t="shared" si="62"/>
        <v>0</v>
      </c>
      <c r="AI151" s="596">
        <f t="shared" si="63"/>
        <v>0</v>
      </c>
      <c r="AJ151" s="601"/>
      <c r="AK151" s="519"/>
      <c r="AL151" s="595">
        <f t="shared" si="64"/>
        <v>0</v>
      </c>
      <c r="AM151" s="596">
        <f t="shared" si="65"/>
        <v>0</v>
      </c>
      <c r="AN151" s="601"/>
      <c r="AO151" s="519"/>
      <c r="AP151" s="601"/>
      <c r="AQ151" s="519"/>
      <c r="AR151" s="601"/>
      <c r="AS151" s="519"/>
      <c r="AT151" s="601"/>
      <c r="AU151" s="519"/>
      <c r="AV151" s="595">
        <f t="shared" si="66"/>
        <v>0</v>
      </c>
      <c r="AW151" s="595">
        <f t="shared" si="67"/>
        <v>0</v>
      </c>
      <c r="AX151" s="596">
        <f t="shared" si="68"/>
        <v>0</v>
      </c>
      <c r="AY151" s="596">
        <f t="shared" si="69"/>
        <v>0</v>
      </c>
      <c r="AZ151" s="595">
        <f t="shared" si="70"/>
        <v>1217.6333333333334</v>
      </c>
      <c r="BA151" s="596">
        <f t="shared" si="71"/>
        <v>1079.1666666666667</v>
      </c>
    </row>
    <row r="152" spans="1:55" customFormat="1" ht="12.65" customHeight="1">
      <c r="A152" s="404" t="s">
        <v>158</v>
      </c>
      <c r="B152" s="403" t="s">
        <v>201</v>
      </c>
      <c r="C152" s="403"/>
      <c r="D152" s="404">
        <v>139986</v>
      </c>
      <c r="E152" s="404">
        <v>12</v>
      </c>
      <c r="F152" s="601" t="s">
        <v>74</v>
      </c>
      <c r="G152" s="519" t="s">
        <v>74</v>
      </c>
      <c r="H152" s="601"/>
      <c r="I152" s="519"/>
      <c r="J152" s="601">
        <v>40998</v>
      </c>
      <c r="K152" s="519">
        <v>43936</v>
      </c>
      <c r="L152" s="601">
        <v>19668</v>
      </c>
      <c r="M152" s="519">
        <v>19785</v>
      </c>
      <c r="N152" s="601">
        <v>44272</v>
      </c>
      <c r="O152" s="519">
        <v>43996</v>
      </c>
      <c r="P152" s="595">
        <f t="shared" si="54"/>
        <v>104938</v>
      </c>
      <c r="Q152" s="595">
        <f t="shared" si="55"/>
        <v>3497.9333333333334</v>
      </c>
      <c r="R152" s="596">
        <f t="shared" si="56"/>
        <v>107717</v>
      </c>
      <c r="S152" s="596">
        <f t="shared" si="57"/>
        <v>3590.5666666666666</v>
      </c>
      <c r="T152" s="601">
        <v>16553</v>
      </c>
      <c r="U152" s="519">
        <v>16442</v>
      </c>
      <c r="V152" s="595">
        <f t="shared" si="58"/>
        <v>104938</v>
      </c>
      <c r="W152" s="596">
        <f t="shared" si="59"/>
        <v>107717</v>
      </c>
      <c r="X152" s="601"/>
      <c r="Y152" s="519"/>
      <c r="Z152" s="601"/>
      <c r="AA152" s="519"/>
      <c r="AB152" s="601"/>
      <c r="AC152" s="519"/>
      <c r="AD152" s="601"/>
      <c r="AE152" s="519"/>
      <c r="AF152" s="595">
        <f t="shared" si="60"/>
        <v>0</v>
      </c>
      <c r="AG152" s="595">
        <f t="shared" si="61"/>
        <v>0</v>
      </c>
      <c r="AH152" s="596">
        <f t="shared" si="62"/>
        <v>0</v>
      </c>
      <c r="AI152" s="596">
        <f t="shared" si="63"/>
        <v>0</v>
      </c>
      <c r="AJ152" s="601"/>
      <c r="AK152" s="519"/>
      <c r="AL152" s="595">
        <f t="shared" si="64"/>
        <v>0</v>
      </c>
      <c r="AM152" s="596">
        <f t="shared" si="65"/>
        <v>0</v>
      </c>
      <c r="AN152" s="601"/>
      <c r="AO152" s="519"/>
      <c r="AP152" s="601"/>
      <c r="AQ152" s="519"/>
      <c r="AR152" s="601"/>
      <c r="AS152" s="519"/>
      <c r="AT152" s="601"/>
      <c r="AU152" s="519"/>
      <c r="AV152" s="595">
        <f t="shared" si="66"/>
        <v>0</v>
      </c>
      <c r="AW152" s="595">
        <f t="shared" si="67"/>
        <v>0</v>
      </c>
      <c r="AX152" s="596">
        <f t="shared" si="68"/>
        <v>0</v>
      </c>
      <c r="AY152" s="596">
        <f t="shared" si="69"/>
        <v>0</v>
      </c>
      <c r="AZ152" s="595">
        <f t="shared" si="70"/>
        <v>3497.9333333333334</v>
      </c>
      <c r="BA152" s="596">
        <f t="shared" si="71"/>
        <v>3590.5666666666666</v>
      </c>
    </row>
    <row r="153" spans="1:55" customFormat="1" ht="12.65" customHeight="1">
      <c r="A153" s="404" t="s">
        <v>158</v>
      </c>
      <c r="B153" s="405" t="s">
        <v>202</v>
      </c>
      <c r="C153" s="403"/>
      <c r="D153" s="406">
        <v>487162</v>
      </c>
      <c r="E153" s="404">
        <v>12</v>
      </c>
      <c r="F153" s="601" t="s">
        <v>74</v>
      </c>
      <c r="G153" s="519" t="s">
        <v>74</v>
      </c>
      <c r="H153" s="601"/>
      <c r="I153" s="519"/>
      <c r="J153" s="601">
        <v>37017</v>
      </c>
      <c r="K153" s="519">
        <v>41784</v>
      </c>
      <c r="L153" s="601">
        <v>19085</v>
      </c>
      <c r="M153" s="519">
        <v>16868</v>
      </c>
      <c r="N153" s="601">
        <v>43103</v>
      </c>
      <c r="O153" s="519">
        <v>35632</v>
      </c>
      <c r="P153" s="595">
        <f t="shared" si="54"/>
        <v>99205</v>
      </c>
      <c r="Q153" s="595">
        <f t="shared" si="55"/>
        <v>3306.8333333333335</v>
      </c>
      <c r="R153" s="596">
        <f t="shared" si="56"/>
        <v>94284</v>
      </c>
      <c r="S153" s="596">
        <f t="shared" si="57"/>
        <v>3142.8</v>
      </c>
      <c r="T153" s="601">
        <v>24245</v>
      </c>
      <c r="U153" s="519">
        <v>22666</v>
      </c>
      <c r="V153" s="595">
        <f t="shared" si="58"/>
        <v>99205</v>
      </c>
      <c r="W153" s="596">
        <f t="shared" si="59"/>
        <v>94284</v>
      </c>
      <c r="X153" s="601"/>
      <c r="Y153" s="519"/>
      <c r="Z153" s="601"/>
      <c r="AA153" s="519"/>
      <c r="AB153" s="601"/>
      <c r="AC153" s="519"/>
      <c r="AD153" s="601"/>
      <c r="AE153" s="519"/>
      <c r="AF153" s="595">
        <f t="shared" si="60"/>
        <v>0</v>
      </c>
      <c r="AG153" s="595">
        <f t="shared" si="61"/>
        <v>0</v>
      </c>
      <c r="AH153" s="596">
        <f t="shared" si="62"/>
        <v>0</v>
      </c>
      <c r="AI153" s="596">
        <f t="shared" si="63"/>
        <v>0</v>
      </c>
      <c r="AJ153" s="601"/>
      <c r="AK153" s="519"/>
      <c r="AL153" s="595">
        <f t="shared" si="64"/>
        <v>0</v>
      </c>
      <c r="AM153" s="596">
        <f t="shared" si="65"/>
        <v>0</v>
      </c>
      <c r="AN153" s="601"/>
      <c r="AO153" s="519"/>
      <c r="AP153" s="601"/>
      <c r="AQ153" s="519"/>
      <c r="AR153" s="601"/>
      <c r="AS153" s="519"/>
      <c r="AT153" s="601"/>
      <c r="AU153" s="519"/>
      <c r="AV153" s="595">
        <f t="shared" si="66"/>
        <v>0</v>
      </c>
      <c r="AW153" s="595">
        <f t="shared" si="67"/>
        <v>0</v>
      </c>
      <c r="AX153" s="596">
        <f t="shared" si="68"/>
        <v>0</v>
      </c>
      <c r="AY153" s="596">
        <f t="shared" si="69"/>
        <v>0</v>
      </c>
      <c r="AZ153" s="595">
        <f t="shared" si="70"/>
        <v>3306.8333333333335</v>
      </c>
      <c r="BA153" s="596">
        <f t="shared" si="71"/>
        <v>3142.8</v>
      </c>
    </row>
    <row r="154" spans="1:55" customFormat="1" ht="12.65" customHeight="1">
      <c r="A154" s="404" t="s">
        <v>158</v>
      </c>
      <c r="B154" s="403" t="s">
        <v>203</v>
      </c>
      <c r="C154" s="403"/>
      <c r="D154" s="404">
        <v>139278</v>
      </c>
      <c r="E154" s="404">
        <v>12</v>
      </c>
      <c r="F154" s="601" t="s">
        <v>74</v>
      </c>
      <c r="G154" s="519" t="s">
        <v>74</v>
      </c>
      <c r="H154" s="601"/>
      <c r="I154" s="519"/>
      <c r="J154" s="601">
        <v>56025</v>
      </c>
      <c r="K154" s="519">
        <v>54321</v>
      </c>
      <c r="L154" s="601">
        <v>21115</v>
      </c>
      <c r="M154" s="519">
        <v>19948</v>
      </c>
      <c r="N154" s="601">
        <v>57550</v>
      </c>
      <c r="O154" s="519">
        <v>53630</v>
      </c>
      <c r="P154" s="595">
        <f t="shared" si="54"/>
        <v>134690</v>
      </c>
      <c r="Q154" s="595">
        <f t="shared" si="55"/>
        <v>4489.666666666667</v>
      </c>
      <c r="R154" s="596">
        <f t="shared" si="56"/>
        <v>127899</v>
      </c>
      <c r="S154" s="596">
        <f t="shared" si="57"/>
        <v>4263.3</v>
      </c>
      <c r="T154" s="601">
        <v>26107</v>
      </c>
      <c r="U154" s="519">
        <v>23893</v>
      </c>
      <c r="V154" s="595">
        <f t="shared" si="58"/>
        <v>134690</v>
      </c>
      <c r="W154" s="596">
        <f t="shared" si="59"/>
        <v>127899</v>
      </c>
      <c r="X154" s="601"/>
      <c r="Y154" s="519"/>
      <c r="Z154" s="601"/>
      <c r="AA154" s="519"/>
      <c r="AB154" s="601"/>
      <c r="AC154" s="519"/>
      <c r="AD154" s="601"/>
      <c r="AE154" s="519"/>
      <c r="AF154" s="595">
        <f t="shared" si="60"/>
        <v>0</v>
      </c>
      <c r="AG154" s="595">
        <f t="shared" si="61"/>
        <v>0</v>
      </c>
      <c r="AH154" s="596">
        <f t="shared" si="62"/>
        <v>0</v>
      </c>
      <c r="AI154" s="596">
        <f t="shared" si="63"/>
        <v>0</v>
      </c>
      <c r="AJ154" s="601"/>
      <c r="AK154" s="519"/>
      <c r="AL154" s="595">
        <f t="shared" si="64"/>
        <v>0</v>
      </c>
      <c r="AM154" s="596">
        <f t="shared" si="65"/>
        <v>0</v>
      </c>
      <c r="AN154" s="601"/>
      <c r="AO154" s="519"/>
      <c r="AP154" s="601"/>
      <c r="AQ154" s="519"/>
      <c r="AR154" s="601"/>
      <c r="AS154" s="519"/>
      <c r="AT154" s="601"/>
      <c r="AU154" s="519"/>
      <c r="AV154" s="595">
        <f t="shared" si="66"/>
        <v>0</v>
      </c>
      <c r="AW154" s="595">
        <f t="shared" si="67"/>
        <v>0</v>
      </c>
      <c r="AX154" s="596">
        <f t="shared" si="68"/>
        <v>0</v>
      </c>
      <c r="AY154" s="596">
        <f t="shared" si="69"/>
        <v>0</v>
      </c>
      <c r="AZ154" s="595">
        <f t="shared" si="70"/>
        <v>4489.666666666667</v>
      </c>
      <c r="BA154" s="596">
        <f t="shared" si="71"/>
        <v>4263.3</v>
      </c>
    </row>
    <row r="155" spans="1:55" customFormat="1" ht="12.65" customHeight="1">
      <c r="A155" s="404" t="s">
        <v>158</v>
      </c>
      <c r="B155" s="403" t="s">
        <v>204</v>
      </c>
      <c r="C155" s="403"/>
      <c r="D155" s="404">
        <v>141255</v>
      </c>
      <c r="E155" s="404">
        <v>12</v>
      </c>
      <c r="F155" s="601" t="s">
        <v>74</v>
      </c>
      <c r="G155" s="519" t="s">
        <v>74</v>
      </c>
      <c r="H155" s="601"/>
      <c r="I155" s="519"/>
      <c r="J155" s="601">
        <v>34604</v>
      </c>
      <c r="K155" s="519">
        <v>33759</v>
      </c>
      <c r="L155" s="601">
        <v>13868</v>
      </c>
      <c r="M155" s="519">
        <v>12252</v>
      </c>
      <c r="N155" s="601">
        <v>35821</v>
      </c>
      <c r="O155" s="519">
        <v>28581</v>
      </c>
      <c r="P155" s="595">
        <f t="shared" si="54"/>
        <v>84293</v>
      </c>
      <c r="Q155" s="595">
        <f t="shared" si="55"/>
        <v>2809.7666666666669</v>
      </c>
      <c r="R155" s="596">
        <f t="shared" si="56"/>
        <v>74592</v>
      </c>
      <c r="S155" s="596">
        <f t="shared" si="57"/>
        <v>2486.4</v>
      </c>
      <c r="T155" s="601">
        <v>28513</v>
      </c>
      <c r="U155" s="519">
        <v>21147</v>
      </c>
      <c r="V155" s="595">
        <f t="shared" si="58"/>
        <v>84293</v>
      </c>
      <c r="W155" s="596">
        <f t="shared" si="59"/>
        <v>74592</v>
      </c>
      <c r="X155" s="601"/>
      <c r="Y155" s="519"/>
      <c r="Z155" s="601"/>
      <c r="AA155" s="519"/>
      <c r="AB155" s="601"/>
      <c r="AC155" s="519"/>
      <c r="AD155" s="601"/>
      <c r="AE155" s="519"/>
      <c r="AF155" s="595">
        <f t="shared" si="60"/>
        <v>0</v>
      </c>
      <c r="AG155" s="595">
        <f t="shared" si="61"/>
        <v>0</v>
      </c>
      <c r="AH155" s="596">
        <f t="shared" si="62"/>
        <v>0</v>
      </c>
      <c r="AI155" s="596">
        <f t="shared" si="63"/>
        <v>0</v>
      </c>
      <c r="AJ155" s="601"/>
      <c r="AK155" s="519"/>
      <c r="AL155" s="595">
        <f t="shared" si="64"/>
        <v>0</v>
      </c>
      <c r="AM155" s="596">
        <f t="shared" si="65"/>
        <v>0</v>
      </c>
      <c r="AN155" s="601"/>
      <c r="AO155" s="519"/>
      <c r="AP155" s="601"/>
      <c r="AQ155" s="519"/>
      <c r="AR155" s="601"/>
      <c r="AS155" s="519"/>
      <c r="AT155" s="601"/>
      <c r="AU155" s="519"/>
      <c r="AV155" s="595">
        <f t="shared" si="66"/>
        <v>0</v>
      </c>
      <c r="AW155" s="595">
        <f t="shared" si="67"/>
        <v>0</v>
      </c>
      <c r="AX155" s="596">
        <f t="shared" si="68"/>
        <v>0</v>
      </c>
      <c r="AY155" s="596">
        <f t="shared" si="69"/>
        <v>0</v>
      </c>
      <c r="AZ155" s="595">
        <f t="shared" si="70"/>
        <v>2809.7666666666669</v>
      </c>
      <c r="BA155" s="596">
        <f t="shared" si="71"/>
        <v>2486.4</v>
      </c>
    </row>
    <row r="156" spans="1:55" ht="15.5">
      <c r="A156" s="414" t="s">
        <v>205</v>
      </c>
      <c r="B156" s="412" t="s">
        <v>206</v>
      </c>
      <c r="C156" s="413"/>
      <c r="D156" s="414">
        <v>157085</v>
      </c>
      <c r="E156" s="414">
        <v>1</v>
      </c>
      <c r="F156" s="592"/>
      <c r="G156" s="519"/>
      <c r="H156" s="592"/>
      <c r="I156" s="519"/>
      <c r="J156" s="593">
        <v>270444</v>
      </c>
      <c r="K156" s="594">
        <v>275771</v>
      </c>
      <c r="L156" s="592">
        <v>21426</v>
      </c>
      <c r="M156" s="519">
        <v>30247</v>
      </c>
      <c r="N156" s="592">
        <v>304171</v>
      </c>
      <c r="O156" s="594">
        <v>299390</v>
      </c>
      <c r="P156" s="595">
        <f t="shared" si="54"/>
        <v>596041</v>
      </c>
      <c r="Q156" s="595">
        <f t="shared" si="55"/>
        <v>19868.033333333333</v>
      </c>
      <c r="R156" s="596">
        <f t="shared" si="56"/>
        <v>605408</v>
      </c>
      <c r="S156" s="596">
        <f t="shared" si="57"/>
        <v>20180.266666666666</v>
      </c>
      <c r="T156" s="592">
        <v>633</v>
      </c>
      <c r="U156" s="597">
        <v>1620</v>
      </c>
      <c r="V156" s="595">
        <f t="shared" si="58"/>
        <v>596041</v>
      </c>
      <c r="W156" s="596">
        <f t="shared" si="59"/>
        <v>605408</v>
      </c>
      <c r="X156" s="592"/>
      <c r="Y156" s="519"/>
      <c r="Z156" s="592"/>
      <c r="AA156" s="519"/>
      <c r="AB156" s="592"/>
      <c r="AC156" s="519"/>
      <c r="AD156" s="592"/>
      <c r="AE156" s="519"/>
      <c r="AF156" s="595">
        <f t="shared" si="60"/>
        <v>0</v>
      </c>
      <c r="AG156" s="595">
        <f t="shared" si="61"/>
        <v>0</v>
      </c>
      <c r="AH156" s="596">
        <f t="shared" si="62"/>
        <v>0</v>
      </c>
      <c r="AI156" s="596">
        <f t="shared" si="63"/>
        <v>0</v>
      </c>
      <c r="AJ156" s="592"/>
      <c r="AK156" s="519"/>
      <c r="AL156" s="595">
        <f t="shared" si="64"/>
        <v>0</v>
      </c>
      <c r="AM156" s="596">
        <f t="shared" si="65"/>
        <v>0</v>
      </c>
      <c r="AN156" s="592"/>
      <c r="AO156" s="519"/>
      <c r="AP156" s="593">
        <v>36701</v>
      </c>
      <c r="AQ156" s="598">
        <v>37086</v>
      </c>
      <c r="AR156" s="592">
        <v>5593</v>
      </c>
      <c r="AS156" s="594">
        <v>7637</v>
      </c>
      <c r="AT156" s="592">
        <v>38387</v>
      </c>
      <c r="AU156" s="594">
        <v>42473</v>
      </c>
      <c r="AV156" s="595">
        <f t="shared" si="66"/>
        <v>80681</v>
      </c>
      <c r="AW156" s="595">
        <f t="shared" si="67"/>
        <v>3361.7083333333335</v>
      </c>
      <c r="AX156" s="596">
        <f t="shared" si="68"/>
        <v>87196</v>
      </c>
      <c r="AY156" s="596">
        <f t="shared" si="69"/>
        <v>3633.1666666666665</v>
      </c>
      <c r="AZ156" s="595">
        <f t="shared" si="70"/>
        <v>23229.741666666665</v>
      </c>
      <c r="BA156" s="596">
        <f t="shared" si="71"/>
        <v>23813.433333333334</v>
      </c>
      <c r="BB156" s="409"/>
      <c r="BC156" s="409"/>
    </row>
    <row r="157" spans="1:55">
      <c r="A157" s="414" t="s">
        <v>205</v>
      </c>
      <c r="B157" s="412" t="s">
        <v>207</v>
      </c>
      <c r="C157" s="413"/>
      <c r="D157" s="414">
        <v>157289</v>
      </c>
      <c r="E157" s="414">
        <v>1</v>
      </c>
      <c r="F157" s="592"/>
      <c r="G157" s="519"/>
      <c r="H157" s="592"/>
      <c r="I157" s="519"/>
      <c r="J157" s="593">
        <v>168184</v>
      </c>
      <c r="K157" s="594">
        <v>166769</v>
      </c>
      <c r="L157" s="592">
        <v>31258</v>
      </c>
      <c r="M157" s="519">
        <v>36751</v>
      </c>
      <c r="N157" s="592">
        <v>183361.5</v>
      </c>
      <c r="O157" s="594">
        <v>183918</v>
      </c>
      <c r="P157" s="595">
        <f t="shared" si="54"/>
        <v>382803.5</v>
      </c>
      <c r="Q157" s="595">
        <f t="shared" si="55"/>
        <v>12760.116666666667</v>
      </c>
      <c r="R157" s="596">
        <f t="shared" si="56"/>
        <v>387438</v>
      </c>
      <c r="S157" s="596">
        <f t="shared" si="57"/>
        <v>12914.6</v>
      </c>
      <c r="T157" s="592">
        <v>5128</v>
      </c>
      <c r="U157" s="597">
        <v>6797</v>
      </c>
      <c r="V157" s="595">
        <f t="shared" si="58"/>
        <v>382803.5</v>
      </c>
      <c r="W157" s="596">
        <f t="shared" si="59"/>
        <v>387438</v>
      </c>
      <c r="X157" s="592"/>
      <c r="Y157" s="519"/>
      <c r="Z157" s="592"/>
      <c r="AA157" s="519"/>
      <c r="AB157" s="592"/>
      <c r="AC157" s="519"/>
      <c r="AD157" s="592"/>
      <c r="AE157" s="519"/>
      <c r="AF157" s="595">
        <f t="shared" si="60"/>
        <v>0</v>
      </c>
      <c r="AG157" s="595">
        <f t="shared" si="61"/>
        <v>0</v>
      </c>
      <c r="AH157" s="596">
        <f t="shared" si="62"/>
        <v>0</v>
      </c>
      <c r="AI157" s="596">
        <f t="shared" si="63"/>
        <v>0</v>
      </c>
      <c r="AJ157" s="592"/>
      <c r="AK157" s="519"/>
      <c r="AL157" s="595">
        <f t="shared" si="64"/>
        <v>0</v>
      </c>
      <c r="AM157" s="596">
        <f t="shared" si="65"/>
        <v>0</v>
      </c>
      <c r="AN157" s="592"/>
      <c r="AO157" s="519"/>
      <c r="AP157" s="593">
        <v>32255</v>
      </c>
      <c r="AQ157" s="598">
        <v>32691</v>
      </c>
      <c r="AR157" s="592">
        <v>12325</v>
      </c>
      <c r="AS157" s="594">
        <v>14539</v>
      </c>
      <c r="AT157" s="592">
        <v>33520.5</v>
      </c>
      <c r="AU157" s="594">
        <v>37705</v>
      </c>
      <c r="AV157" s="595">
        <f t="shared" si="66"/>
        <v>78100.5</v>
      </c>
      <c r="AW157" s="595">
        <f t="shared" si="67"/>
        <v>3254.1875</v>
      </c>
      <c r="AX157" s="596">
        <f t="shared" si="68"/>
        <v>84935</v>
      </c>
      <c r="AY157" s="596">
        <f t="shared" si="69"/>
        <v>3538.9583333333335</v>
      </c>
      <c r="AZ157" s="595">
        <f t="shared" si="70"/>
        <v>16014.304166666667</v>
      </c>
      <c r="BA157" s="596">
        <f t="shared" si="71"/>
        <v>16453.558333333334</v>
      </c>
      <c r="BB157" s="1"/>
      <c r="BC157" s="1"/>
    </row>
    <row r="158" spans="1:55">
      <c r="A158" s="414" t="s">
        <v>205</v>
      </c>
      <c r="B158" s="412" t="s">
        <v>208</v>
      </c>
      <c r="C158" s="413"/>
      <c r="D158" s="414">
        <v>156620</v>
      </c>
      <c r="E158" s="414">
        <v>3</v>
      </c>
      <c r="F158" s="592"/>
      <c r="G158" s="519"/>
      <c r="H158" s="592"/>
      <c r="I158" s="519"/>
      <c r="J158" s="593">
        <v>150653</v>
      </c>
      <c r="K158" s="594">
        <v>141295</v>
      </c>
      <c r="L158" s="592">
        <v>16414</v>
      </c>
      <c r="M158" s="519">
        <v>16651</v>
      </c>
      <c r="N158" s="592">
        <v>158165.5</v>
      </c>
      <c r="O158" s="594">
        <v>152426</v>
      </c>
      <c r="P158" s="595">
        <f t="shared" si="54"/>
        <v>325232.5</v>
      </c>
      <c r="Q158" s="595">
        <f t="shared" si="55"/>
        <v>10841.083333333334</v>
      </c>
      <c r="R158" s="596">
        <f t="shared" si="56"/>
        <v>310372</v>
      </c>
      <c r="S158" s="596">
        <f t="shared" si="57"/>
        <v>10345.733333333334</v>
      </c>
      <c r="T158" s="592">
        <v>9280.5</v>
      </c>
      <c r="U158" s="597">
        <v>7642</v>
      </c>
      <c r="V158" s="595">
        <f t="shared" si="58"/>
        <v>325232.5</v>
      </c>
      <c r="W158" s="596">
        <f t="shared" si="59"/>
        <v>310372</v>
      </c>
      <c r="X158" s="592"/>
      <c r="Y158" s="519"/>
      <c r="Z158" s="592"/>
      <c r="AA158" s="519"/>
      <c r="AB158" s="592"/>
      <c r="AC158" s="519"/>
      <c r="AD158" s="592"/>
      <c r="AE158" s="519"/>
      <c r="AF158" s="595">
        <f t="shared" si="60"/>
        <v>0</v>
      </c>
      <c r="AG158" s="595">
        <f t="shared" si="61"/>
        <v>0</v>
      </c>
      <c r="AH158" s="596">
        <f t="shared" si="62"/>
        <v>0</v>
      </c>
      <c r="AI158" s="596">
        <f t="shared" si="63"/>
        <v>0</v>
      </c>
      <c r="AJ158" s="592"/>
      <c r="AK158" s="519"/>
      <c r="AL158" s="595">
        <f t="shared" si="64"/>
        <v>0</v>
      </c>
      <c r="AM158" s="596">
        <f t="shared" si="65"/>
        <v>0</v>
      </c>
      <c r="AN158" s="592"/>
      <c r="AO158" s="519"/>
      <c r="AP158" s="593">
        <v>16521</v>
      </c>
      <c r="AQ158" s="598">
        <v>15295</v>
      </c>
      <c r="AR158" s="592">
        <v>8241.5</v>
      </c>
      <c r="AS158" s="594">
        <v>9177</v>
      </c>
      <c r="AT158" s="592">
        <v>15386</v>
      </c>
      <c r="AU158" s="594">
        <v>15926</v>
      </c>
      <c r="AV158" s="595">
        <f t="shared" si="66"/>
        <v>40148.5</v>
      </c>
      <c r="AW158" s="595">
        <f t="shared" si="67"/>
        <v>1672.8541666666667</v>
      </c>
      <c r="AX158" s="596">
        <f t="shared" si="68"/>
        <v>40398</v>
      </c>
      <c r="AY158" s="596">
        <f t="shared" si="69"/>
        <v>1683.25</v>
      </c>
      <c r="AZ158" s="595">
        <f t="shared" si="70"/>
        <v>12513.9375</v>
      </c>
      <c r="BA158" s="596">
        <f t="shared" si="71"/>
        <v>12028.983333333334</v>
      </c>
      <c r="BB158" s="1"/>
      <c r="BC158" s="1"/>
    </row>
    <row r="159" spans="1:55">
      <c r="A159" s="414" t="s">
        <v>205</v>
      </c>
      <c r="B159" s="412" t="s">
        <v>209</v>
      </c>
      <c r="C159" s="413"/>
      <c r="D159" s="414">
        <v>157386</v>
      </c>
      <c r="E159" s="414">
        <v>3</v>
      </c>
      <c r="F159" s="592"/>
      <c r="G159" s="519"/>
      <c r="H159" s="592"/>
      <c r="I159" s="519"/>
      <c r="J159" s="593">
        <v>89328</v>
      </c>
      <c r="K159" s="594">
        <v>87269</v>
      </c>
      <c r="L159" s="592">
        <v>6198</v>
      </c>
      <c r="M159" s="519">
        <v>5859</v>
      </c>
      <c r="N159" s="592">
        <v>96317</v>
      </c>
      <c r="O159" s="594">
        <v>93643</v>
      </c>
      <c r="P159" s="595">
        <f t="shared" si="54"/>
        <v>191843</v>
      </c>
      <c r="Q159" s="595">
        <f t="shared" si="55"/>
        <v>6394.7666666666664</v>
      </c>
      <c r="R159" s="596">
        <f t="shared" si="56"/>
        <v>186771</v>
      </c>
      <c r="S159" s="596">
        <f t="shared" si="57"/>
        <v>6225.7</v>
      </c>
      <c r="T159" s="592">
        <v>24261</v>
      </c>
      <c r="U159" s="597">
        <v>25179</v>
      </c>
      <c r="V159" s="595">
        <f t="shared" si="58"/>
        <v>191843</v>
      </c>
      <c r="W159" s="596">
        <f t="shared" si="59"/>
        <v>186771</v>
      </c>
      <c r="X159" s="592"/>
      <c r="Y159" s="519"/>
      <c r="Z159" s="592"/>
      <c r="AA159" s="519"/>
      <c r="AB159" s="592"/>
      <c r="AC159" s="519"/>
      <c r="AD159" s="592"/>
      <c r="AE159" s="519"/>
      <c r="AF159" s="595">
        <f t="shared" si="60"/>
        <v>0</v>
      </c>
      <c r="AG159" s="595">
        <f t="shared" si="61"/>
        <v>0</v>
      </c>
      <c r="AH159" s="596">
        <f t="shared" si="62"/>
        <v>0</v>
      </c>
      <c r="AI159" s="596">
        <f t="shared" si="63"/>
        <v>0</v>
      </c>
      <c r="AJ159" s="592"/>
      <c r="AK159" s="519"/>
      <c r="AL159" s="595">
        <f t="shared" si="64"/>
        <v>0</v>
      </c>
      <c r="AM159" s="596">
        <f t="shared" si="65"/>
        <v>0</v>
      </c>
      <c r="AN159" s="592"/>
      <c r="AO159" s="519"/>
      <c r="AP159" s="593">
        <v>4996</v>
      </c>
      <c r="AQ159" s="598">
        <v>4201</v>
      </c>
      <c r="AR159" s="592">
        <v>2257</v>
      </c>
      <c r="AS159" s="594">
        <v>2422</v>
      </c>
      <c r="AT159" s="592">
        <v>4512</v>
      </c>
      <c r="AU159" s="594">
        <v>4395</v>
      </c>
      <c r="AV159" s="595">
        <f t="shared" si="66"/>
        <v>11765</v>
      </c>
      <c r="AW159" s="595">
        <f t="shared" si="67"/>
        <v>490.20833333333331</v>
      </c>
      <c r="AX159" s="596">
        <f t="shared" si="68"/>
        <v>11018</v>
      </c>
      <c r="AY159" s="596">
        <f t="shared" si="69"/>
        <v>459.08333333333331</v>
      </c>
      <c r="AZ159" s="595">
        <f t="shared" si="70"/>
        <v>6884.9749999999995</v>
      </c>
      <c r="BA159" s="596">
        <f t="shared" si="71"/>
        <v>6684.7833333333328</v>
      </c>
      <c r="BB159" s="1"/>
      <c r="BC159" s="1"/>
    </row>
    <row r="160" spans="1:55">
      <c r="A160" s="414" t="s">
        <v>205</v>
      </c>
      <c r="B160" s="412" t="s">
        <v>210</v>
      </c>
      <c r="C160" s="413"/>
      <c r="D160" s="414">
        <v>157401</v>
      </c>
      <c r="E160" s="414">
        <v>3</v>
      </c>
      <c r="F160" s="592"/>
      <c r="G160" s="519"/>
      <c r="H160" s="592"/>
      <c r="I160" s="519"/>
      <c r="J160" s="593">
        <v>92327</v>
      </c>
      <c r="K160" s="594">
        <v>90962</v>
      </c>
      <c r="L160" s="592">
        <v>8202</v>
      </c>
      <c r="M160" s="519">
        <v>9957</v>
      </c>
      <c r="N160" s="592">
        <v>100724</v>
      </c>
      <c r="O160" s="594">
        <v>98947</v>
      </c>
      <c r="P160" s="595">
        <f t="shared" si="54"/>
        <v>201253</v>
      </c>
      <c r="Q160" s="595">
        <f t="shared" si="55"/>
        <v>6708.4333333333334</v>
      </c>
      <c r="R160" s="596">
        <f t="shared" si="56"/>
        <v>199866</v>
      </c>
      <c r="S160" s="596">
        <f t="shared" si="57"/>
        <v>6662.2</v>
      </c>
      <c r="T160" s="592">
        <v>9437</v>
      </c>
      <c r="U160" s="597">
        <v>7946</v>
      </c>
      <c r="V160" s="595">
        <f t="shared" si="58"/>
        <v>201253</v>
      </c>
      <c r="W160" s="596">
        <f t="shared" si="59"/>
        <v>199866</v>
      </c>
      <c r="X160" s="592"/>
      <c r="Y160" s="519"/>
      <c r="Z160" s="592"/>
      <c r="AA160" s="519"/>
      <c r="AB160" s="592"/>
      <c r="AC160" s="519"/>
      <c r="AD160" s="592"/>
      <c r="AE160" s="519"/>
      <c r="AF160" s="595">
        <f t="shared" si="60"/>
        <v>0</v>
      </c>
      <c r="AG160" s="595">
        <f t="shared" si="61"/>
        <v>0</v>
      </c>
      <c r="AH160" s="596">
        <f t="shared" si="62"/>
        <v>0</v>
      </c>
      <c r="AI160" s="596">
        <f t="shared" si="63"/>
        <v>0</v>
      </c>
      <c r="AJ160" s="592"/>
      <c r="AK160" s="519"/>
      <c r="AL160" s="595">
        <f t="shared" si="64"/>
        <v>0</v>
      </c>
      <c r="AM160" s="596">
        <f t="shared" si="65"/>
        <v>0</v>
      </c>
      <c r="AN160" s="592"/>
      <c r="AO160" s="519"/>
      <c r="AP160" s="593">
        <v>8227</v>
      </c>
      <c r="AQ160" s="598">
        <v>8760</v>
      </c>
      <c r="AR160" s="592">
        <v>4168</v>
      </c>
      <c r="AS160" s="594">
        <v>4821</v>
      </c>
      <c r="AT160" s="592">
        <v>8519</v>
      </c>
      <c r="AU160" s="594">
        <v>9499</v>
      </c>
      <c r="AV160" s="595">
        <f t="shared" si="66"/>
        <v>20914</v>
      </c>
      <c r="AW160" s="595">
        <f t="shared" si="67"/>
        <v>871.41666666666663</v>
      </c>
      <c r="AX160" s="596">
        <f t="shared" si="68"/>
        <v>23080</v>
      </c>
      <c r="AY160" s="596">
        <f t="shared" si="69"/>
        <v>961.66666666666663</v>
      </c>
      <c r="AZ160" s="595">
        <f t="shared" si="70"/>
        <v>7579.85</v>
      </c>
      <c r="BA160" s="596">
        <f t="shared" si="71"/>
        <v>7623.8666666666668</v>
      </c>
      <c r="BB160" s="1"/>
      <c r="BC160" s="1"/>
    </row>
    <row r="161" spans="1:55">
      <c r="A161" s="414" t="s">
        <v>205</v>
      </c>
      <c r="B161" s="412" t="s">
        <v>211</v>
      </c>
      <c r="C161" s="415"/>
      <c r="D161" s="414">
        <v>157447</v>
      </c>
      <c r="E161" s="414">
        <v>3</v>
      </c>
      <c r="F161" s="592"/>
      <c r="G161" s="519"/>
      <c r="H161" s="592"/>
      <c r="I161" s="519"/>
      <c r="J161" s="593">
        <v>19261</v>
      </c>
      <c r="K161" s="599">
        <v>130198</v>
      </c>
      <c r="L161" s="592">
        <v>13527</v>
      </c>
      <c r="M161" s="519">
        <v>13441</v>
      </c>
      <c r="N161" s="592">
        <v>143066</v>
      </c>
      <c r="O161" s="599">
        <v>138589</v>
      </c>
      <c r="P161" s="595">
        <f t="shared" si="54"/>
        <v>175854</v>
      </c>
      <c r="Q161" s="595">
        <f t="shared" si="55"/>
        <v>5861.8</v>
      </c>
      <c r="R161" s="596">
        <f t="shared" si="56"/>
        <v>282228</v>
      </c>
      <c r="S161" s="596">
        <f t="shared" si="57"/>
        <v>9407.6</v>
      </c>
      <c r="T161" s="592">
        <v>13849</v>
      </c>
      <c r="U161" s="597">
        <v>15782</v>
      </c>
      <c r="V161" s="595">
        <f t="shared" si="58"/>
        <v>175854</v>
      </c>
      <c r="W161" s="596">
        <f t="shared" si="59"/>
        <v>282228</v>
      </c>
      <c r="X161" s="592"/>
      <c r="Y161" s="519"/>
      <c r="Z161" s="592"/>
      <c r="AA161" s="519"/>
      <c r="AB161" s="592"/>
      <c r="AC161" s="519"/>
      <c r="AD161" s="592"/>
      <c r="AE161" s="519"/>
      <c r="AF161" s="595">
        <f t="shared" si="60"/>
        <v>0</v>
      </c>
      <c r="AG161" s="595">
        <f t="shared" si="61"/>
        <v>0</v>
      </c>
      <c r="AH161" s="596">
        <f t="shared" si="62"/>
        <v>0</v>
      </c>
      <c r="AI161" s="596">
        <f t="shared" si="63"/>
        <v>0</v>
      </c>
      <c r="AJ161" s="592"/>
      <c r="AK161" s="519"/>
      <c r="AL161" s="595">
        <f t="shared" si="64"/>
        <v>0</v>
      </c>
      <c r="AM161" s="596">
        <f t="shared" si="65"/>
        <v>0</v>
      </c>
      <c r="AN161" s="592"/>
      <c r="AO161" s="519"/>
      <c r="AP161" s="600">
        <v>20683</v>
      </c>
      <c r="AQ161" s="598">
        <v>26985</v>
      </c>
      <c r="AR161" s="592">
        <v>12445</v>
      </c>
      <c r="AS161" s="599">
        <v>17449</v>
      </c>
      <c r="AT161" s="592">
        <v>24731</v>
      </c>
      <c r="AU161" s="599">
        <v>29069</v>
      </c>
      <c r="AV161" s="595">
        <f t="shared" si="66"/>
        <v>57859</v>
      </c>
      <c r="AW161" s="595">
        <f t="shared" si="67"/>
        <v>2410.7916666666665</v>
      </c>
      <c r="AX161" s="596">
        <f t="shared" si="68"/>
        <v>73503</v>
      </c>
      <c r="AY161" s="596">
        <f t="shared" si="69"/>
        <v>3062.625</v>
      </c>
      <c r="AZ161" s="595">
        <f t="shared" si="70"/>
        <v>8272.5916666666672</v>
      </c>
      <c r="BA161" s="596">
        <f t="shared" si="71"/>
        <v>12470.225</v>
      </c>
      <c r="BB161" s="1"/>
      <c r="BC161" s="1"/>
    </row>
    <row r="162" spans="1:55">
      <c r="A162" s="414" t="s">
        <v>205</v>
      </c>
      <c r="B162" s="412" t="s">
        <v>212</v>
      </c>
      <c r="C162" s="413"/>
      <c r="D162" s="414">
        <v>157951</v>
      </c>
      <c r="E162" s="414">
        <v>3</v>
      </c>
      <c r="F162" s="592"/>
      <c r="G162" s="519"/>
      <c r="H162" s="592"/>
      <c r="I162" s="519"/>
      <c r="J162" s="593">
        <v>184875</v>
      </c>
      <c r="K162" s="594">
        <v>173682</v>
      </c>
      <c r="L162" s="592">
        <v>20814</v>
      </c>
      <c r="M162" s="519">
        <v>16979</v>
      </c>
      <c r="N162" s="592">
        <v>192870</v>
      </c>
      <c r="O162" s="594">
        <v>190497</v>
      </c>
      <c r="P162" s="595">
        <f t="shared" si="54"/>
        <v>398559</v>
      </c>
      <c r="Q162" s="595">
        <f t="shared" si="55"/>
        <v>13285.3</v>
      </c>
      <c r="R162" s="596">
        <f t="shared" si="56"/>
        <v>381158</v>
      </c>
      <c r="S162" s="596">
        <f t="shared" si="57"/>
        <v>12705.266666666666</v>
      </c>
      <c r="T162" s="592">
        <v>23832</v>
      </c>
      <c r="U162" s="597">
        <v>20757</v>
      </c>
      <c r="V162" s="595">
        <f t="shared" si="58"/>
        <v>398559</v>
      </c>
      <c r="W162" s="596">
        <f t="shared" si="59"/>
        <v>381158</v>
      </c>
      <c r="X162" s="592"/>
      <c r="Y162" s="519"/>
      <c r="Z162" s="592"/>
      <c r="AA162" s="519"/>
      <c r="AB162" s="592"/>
      <c r="AC162" s="519"/>
      <c r="AD162" s="592"/>
      <c r="AE162" s="519"/>
      <c r="AF162" s="595">
        <f t="shared" si="60"/>
        <v>0</v>
      </c>
      <c r="AG162" s="595">
        <f t="shared" si="61"/>
        <v>0</v>
      </c>
      <c r="AH162" s="596">
        <f t="shared" si="62"/>
        <v>0</v>
      </c>
      <c r="AI162" s="596">
        <f t="shared" si="63"/>
        <v>0</v>
      </c>
      <c r="AJ162" s="592"/>
      <c r="AK162" s="519"/>
      <c r="AL162" s="595">
        <f t="shared" si="64"/>
        <v>0</v>
      </c>
      <c r="AM162" s="596">
        <f t="shared" si="65"/>
        <v>0</v>
      </c>
      <c r="AN162" s="592"/>
      <c r="AO162" s="519"/>
      <c r="AP162" s="593">
        <v>14978</v>
      </c>
      <c r="AQ162" s="598">
        <v>14136</v>
      </c>
      <c r="AR162" s="592">
        <v>6234</v>
      </c>
      <c r="AS162" s="594">
        <v>6726</v>
      </c>
      <c r="AT162" s="592">
        <v>13531</v>
      </c>
      <c r="AU162" s="594">
        <v>13723</v>
      </c>
      <c r="AV162" s="595">
        <f t="shared" si="66"/>
        <v>34743</v>
      </c>
      <c r="AW162" s="595">
        <f t="shared" si="67"/>
        <v>1447.625</v>
      </c>
      <c r="AX162" s="596">
        <f t="shared" si="68"/>
        <v>34585</v>
      </c>
      <c r="AY162" s="596">
        <f t="shared" si="69"/>
        <v>1441.0416666666667</v>
      </c>
      <c r="AZ162" s="595">
        <f t="shared" si="70"/>
        <v>14732.924999999999</v>
      </c>
      <c r="BA162" s="596">
        <f t="shared" si="71"/>
        <v>14146.308333333332</v>
      </c>
      <c r="BB162" s="1"/>
      <c r="BC162" s="1"/>
    </row>
    <row r="163" spans="1:55">
      <c r="A163" s="414" t="s">
        <v>205</v>
      </c>
      <c r="B163" s="412" t="s">
        <v>213</v>
      </c>
      <c r="C163" s="539" t="s">
        <v>922</v>
      </c>
      <c r="D163" s="414">
        <v>157058</v>
      </c>
      <c r="E163" s="414">
        <v>4</v>
      </c>
      <c r="F163" s="592"/>
      <c r="G163" s="519"/>
      <c r="H163" s="592"/>
      <c r="I163" s="519"/>
      <c r="J163" s="593">
        <v>19261</v>
      </c>
      <c r="K163" s="594">
        <v>21887</v>
      </c>
      <c r="L163" s="592">
        <v>2253</v>
      </c>
      <c r="M163" s="519">
        <v>2277</v>
      </c>
      <c r="N163" s="592">
        <v>22244.5</v>
      </c>
      <c r="O163" s="594">
        <v>25449</v>
      </c>
      <c r="P163" s="595">
        <f t="shared" si="54"/>
        <v>43758.5</v>
      </c>
      <c r="Q163" s="595">
        <f t="shared" si="55"/>
        <v>1458.6166666666666</v>
      </c>
      <c r="R163" s="596">
        <f t="shared" si="56"/>
        <v>49613</v>
      </c>
      <c r="S163" s="596">
        <f t="shared" si="57"/>
        <v>1653.7666666666667</v>
      </c>
      <c r="T163" s="592">
        <v>6775</v>
      </c>
      <c r="U163" s="597">
        <v>6607</v>
      </c>
      <c r="V163" s="595">
        <f t="shared" si="58"/>
        <v>43758.5</v>
      </c>
      <c r="W163" s="596">
        <f t="shared" si="59"/>
        <v>49613</v>
      </c>
      <c r="X163" s="592"/>
      <c r="Y163" s="519"/>
      <c r="Z163" s="592"/>
      <c r="AA163" s="519"/>
      <c r="AB163" s="592"/>
      <c r="AC163" s="519"/>
      <c r="AD163" s="592"/>
      <c r="AE163" s="519"/>
      <c r="AF163" s="595">
        <f t="shared" si="60"/>
        <v>0</v>
      </c>
      <c r="AG163" s="595">
        <f t="shared" si="61"/>
        <v>0</v>
      </c>
      <c r="AH163" s="596">
        <f t="shared" si="62"/>
        <v>0</v>
      </c>
      <c r="AI163" s="596">
        <f t="shared" si="63"/>
        <v>0</v>
      </c>
      <c r="AJ163" s="592"/>
      <c r="AK163" s="519"/>
      <c r="AL163" s="595">
        <f t="shared" si="64"/>
        <v>0</v>
      </c>
      <c r="AM163" s="596">
        <f t="shared" si="65"/>
        <v>0</v>
      </c>
      <c r="AN163" s="592"/>
      <c r="AO163" s="519"/>
      <c r="AP163" s="593">
        <v>711</v>
      </c>
      <c r="AQ163" s="598">
        <v>857</v>
      </c>
      <c r="AR163" s="592">
        <v>103</v>
      </c>
      <c r="AS163" s="594">
        <v>126</v>
      </c>
      <c r="AT163" s="592">
        <v>889</v>
      </c>
      <c r="AU163" s="594">
        <v>931</v>
      </c>
      <c r="AV163" s="595">
        <f t="shared" si="66"/>
        <v>1703</v>
      </c>
      <c r="AW163" s="595">
        <f t="shared" si="67"/>
        <v>70.958333333333329</v>
      </c>
      <c r="AX163" s="596">
        <f t="shared" si="68"/>
        <v>1914</v>
      </c>
      <c r="AY163" s="596">
        <f t="shared" si="69"/>
        <v>79.75</v>
      </c>
      <c r="AZ163" s="595">
        <f t="shared" si="70"/>
        <v>1529.5749999999998</v>
      </c>
      <c r="BA163" s="596">
        <f t="shared" si="71"/>
        <v>1733.5166666666667</v>
      </c>
      <c r="BB163" s="1"/>
      <c r="BC163" s="1"/>
    </row>
    <row r="164" spans="1:55">
      <c r="A164" s="414" t="s">
        <v>205</v>
      </c>
      <c r="B164" s="412" t="s">
        <v>214</v>
      </c>
      <c r="C164" s="413" t="s">
        <v>856</v>
      </c>
      <c r="D164" s="414">
        <v>156392</v>
      </c>
      <c r="E164" s="414">
        <v>8</v>
      </c>
      <c r="F164" s="592"/>
      <c r="G164" s="519"/>
      <c r="H164" s="592"/>
      <c r="I164" s="519"/>
      <c r="J164" s="593">
        <v>81042</v>
      </c>
      <c r="K164" s="594">
        <v>88616</v>
      </c>
      <c r="L164" s="592">
        <v>17584</v>
      </c>
      <c r="M164" s="519">
        <v>18071</v>
      </c>
      <c r="N164" s="592">
        <v>96875</v>
      </c>
      <c r="O164" s="597">
        <v>95310</v>
      </c>
      <c r="P164" s="595">
        <f t="shared" si="54"/>
        <v>195501</v>
      </c>
      <c r="Q164" s="595">
        <f t="shared" si="55"/>
        <v>6516.7</v>
      </c>
      <c r="R164" s="596">
        <f t="shared" si="56"/>
        <v>201997</v>
      </c>
      <c r="S164" s="596">
        <f t="shared" si="57"/>
        <v>6733.2333333333336</v>
      </c>
      <c r="T164" s="592">
        <v>11685</v>
      </c>
      <c r="U164" s="519">
        <v>14713</v>
      </c>
      <c r="V164" s="595">
        <f t="shared" si="58"/>
        <v>195501</v>
      </c>
      <c r="W164" s="596">
        <f t="shared" si="59"/>
        <v>201997</v>
      </c>
      <c r="X164" s="592"/>
      <c r="Y164" s="519"/>
      <c r="Z164" s="592"/>
      <c r="AA164" s="519"/>
      <c r="AB164" s="592"/>
      <c r="AC164" s="519"/>
      <c r="AD164" s="592"/>
      <c r="AE164" s="519"/>
      <c r="AF164" s="595">
        <f t="shared" si="60"/>
        <v>0</v>
      </c>
      <c r="AG164" s="595">
        <f t="shared" si="61"/>
        <v>0</v>
      </c>
      <c r="AH164" s="596">
        <f t="shared" si="62"/>
        <v>0</v>
      </c>
      <c r="AI164" s="596">
        <f t="shared" si="63"/>
        <v>0</v>
      </c>
      <c r="AJ164" s="592"/>
      <c r="AK164" s="519"/>
      <c r="AL164" s="595">
        <f t="shared" si="64"/>
        <v>0</v>
      </c>
      <c r="AM164" s="596">
        <f t="shared" si="65"/>
        <v>0</v>
      </c>
      <c r="AN164" s="592"/>
      <c r="AO164" s="519"/>
      <c r="AP164" s="592"/>
      <c r="AQ164" s="519"/>
      <c r="AR164" s="592"/>
      <c r="AS164" s="519"/>
      <c r="AT164" s="592"/>
      <c r="AU164" s="519"/>
      <c r="AV164" s="595">
        <f t="shared" si="66"/>
        <v>0</v>
      </c>
      <c r="AW164" s="595">
        <f t="shared" si="67"/>
        <v>0</v>
      </c>
      <c r="AX164" s="596">
        <f t="shared" si="68"/>
        <v>0</v>
      </c>
      <c r="AY164" s="596">
        <f t="shared" si="69"/>
        <v>0</v>
      </c>
      <c r="AZ164" s="595">
        <f t="shared" si="70"/>
        <v>6516.7</v>
      </c>
      <c r="BA164" s="596">
        <f t="shared" si="71"/>
        <v>6733.2333333333336</v>
      </c>
      <c r="BB164" s="1"/>
      <c r="BC164" s="1"/>
    </row>
    <row r="165" spans="1:55">
      <c r="A165" s="414" t="s">
        <v>205</v>
      </c>
      <c r="B165" s="412" t="s">
        <v>215</v>
      </c>
      <c r="C165" s="413"/>
      <c r="D165" s="414">
        <v>156921</v>
      </c>
      <c r="E165" s="414">
        <v>8</v>
      </c>
      <c r="F165" s="592"/>
      <c r="G165" s="519"/>
      <c r="H165" s="592"/>
      <c r="I165" s="519"/>
      <c r="J165" s="593">
        <v>84733</v>
      </c>
      <c r="K165" s="594">
        <v>85730</v>
      </c>
      <c r="L165" s="592">
        <v>13230</v>
      </c>
      <c r="M165" s="519">
        <v>11348</v>
      </c>
      <c r="N165" s="592">
        <v>94065.7</v>
      </c>
      <c r="O165" s="519">
        <v>91709</v>
      </c>
      <c r="P165" s="595">
        <f t="shared" si="54"/>
        <v>192028.7</v>
      </c>
      <c r="Q165" s="595">
        <f t="shared" si="55"/>
        <v>6400.9566666666669</v>
      </c>
      <c r="R165" s="596">
        <f t="shared" si="56"/>
        <v>188787</v>
      </c>
      <c r="S165" s="596">
        <f t="shared" si="57"/>
        <v>6292.9</v>
      </c>
      <c r="T165" s="592">
        <v>27799.5</v>
      </c>
      <c r="U165" s="519">
        <v>32851</v>
      </c>
      <c r="V165" s="595">
        <f t="shared" si="58"/>
        <v>192028.7</v>
      </c>
      <c r="W165" s="596">
        <f t="shared" si="59"/>
        <v>188787</v>
      </c>
      <c r="X165" s="592"/>
      <c r="Y165" s="519"/>
      <c r="Z165" s="592"/>
      <c r="AA165" s="519"/>
      <c r="AB165" s="592"/>
      <c r="AC165" s="519"/>
      <c r="AD165" s="592"/>
      <c r="AE165" s="519"/>
      <c r="AF165" s="595">
        <f t="shared" si="60"/>
        <v>0</v>
      </c>
      <c r="AG165" s="595">
        <f t="shared" si="61"/>
        <v>0</v>
      </c>
      <c r="AH165" s="596">
        <f t="shared" si="62"/>
        <v>0</v>
      </c>
      <c r="AI165" s="596">
        <f t="shared" si="63"/>
        <v>0</v>
      </c>
      <c r="AJ165" s="592"/>
      <c r="AK165" s="519"/>
      <c r="AL165" s="595">
        <f t="shared" si="64"/>
        <v>0</v>
      </c>
      <c r="AM165" s="596">
        <f t="shared" si="65"/>
        <v>0</v>
      </c>
      <c r="AN165" s="592"/>
      <c r="AO165" s="519"/>
      <c r="AP165" s="592"/>
      <c r="AQ165" s="519"/>
      <c r="AR165" s="592"/>
      <c r="AS165" s="519"/>
      <c r="AT165" s="592"/>
      <c r="AU165" s="519"/>
      <c r="AV165" s="595">
        <f t="shared" si="66"/>
        <v>0</v>
      </c>
      <c r="AW165" s="595">
        <f t="shared" si="67"/>
        <v>0</v>
      </c>
      <c r="AX165" s="596">
        <f t="shared" si="68"/>
        <v>0</v>
      </c>
      <c r="AY165" s="596">
        <f t="shared" si="69"/>
        <v>0</v>
      </c>
      <c r="AZ165" s="595">
        <f t="shared" si="70"/>
        <v>6400.9566666666669</v>
      </c>
      <c r="BA165" s="596">
        <f t="shared" si="71"/>
        <v>6292.9</v>
      </c>
      <c r="BB165" s="1"/>
      <c r="BC165" s="1"/>
    </row>
    <row r="166" spans="1:55">
      <c r="A166" s="414" t="s">
        <v>205</v>
      </c>
      <c r="B166" s="412" t="s">
        <v>217</v>
      </c>
      <c r="C166" s="539" t="s">
        <v>923</v>
      </c>
      <c r="D166" s="414">
        <v>157553</v>
      </c>
      <c r="E166" s="414">
        <v>9</v>
      </c>
      <c r="F166" s="592"/>
      <c r="G166" s="519"/>
      <c r="H166" s="592"/>
      <c r="I166" s="519"/>
      <c r="J166" s="593">
        <v>26653</v>
      </c>
      <c r="K166" s="594">
        <v>24953</v>
      </c>
      <c r="L166" s="592">
        <v>3727</v>
      </c>
      <c r="M166" s="519">
        <v>2908</v>
      </c>
      <c r="N166" s="592">
        <v>28954.1</v>
      </c>
      <c r="O166" s="519">
        <v>25611</v>
      </c>
      <c r="P166" s="595">
        <f t="shared" si="54"/>
        <v>59334.1</v>
      </c>
      <c r="Q166" s="595">
        <f t="shared" si="55"/>
        <v>1977.8033333333333</v>
      </c>
      <c r="R166" s="596">
        <f t="shared" si="56"/>
        <v>53472</v>
      </c>
      <c r="S166" s="596">
        <f t="shared" si="57"/>
        <v>1782.4</v>
      </c>
      <c r="T166" s="592">
        <v>3736</v>
      </c>
      <c r="U166" s="519">
        <v>3929</v>
      </c>
      <c r="V166" s="595">
        <f t="shared" si="58"/>
        <v>59334.1</v>
      </c>
      <c r="W166" s="596">
        <f t="shared" si="59"/>
        <v>53472</v>
      </c>
      <c r="X166" s="592"/>
      <c r="Y166" s="519"/>
      <c r="Z166" s="592"/>
      <c r="AA166" s="519"/>
      <c r="AB166" s="592"/>
      <c r="AC166" s="519"/>
      <c r="AD166" s="592"/>
      <c r="AE166" s="519"/>
      <c r="AF166" s="595">
        <f t="shared" si="60"/>
        <v>0</v>
      </c>
      <c r="AG166" s="595">
        <f t="shared" si="61"/>
        <v>0</v>
      </c>
      <c r="AH166" s="596">
        <f t="shared" si="62"/>
        <v>0</v>
      </c>
      <c r="AI166" s="596">
        <f t="shared" si="63"/>
        <v>0</v>
      </c>
      <c r="AJ166" s="592"/>
      <c r="AK166" s="519"/>
      <c r="AL166" s="595">
        <f t="shared" si="64"/>
        <v>0</v>
      </c>
      <c r="AM166" s="596">
        <f t="shared" si="65"/>
        <v>0</v>
      </c>
      <c r="AN166" s="592"/>
      <c r="AO166" s="519"/>
      <c r="AP166" s="592"/>
      <c r="AQ166" s="519"/>
      <c r="AR166" s="592"/>
      <c r="AS166" s="519"/>
      <c r="AT166" s="592"/>
      <c r="AU166" s="519"/>
      <c r="AV166" s="595">
        <f t="shared" si="66"/>
        <v>0</v>
      </c>
      <c r="AW166" s="595">
        <f t="shared" si="67"/>
        <v>0</v>
      </c>
      <c r="AX166" s="596">
        <f t="shared" si="68"/>
        <v>0</v>
      </c>
      <c r="AY166" s="596">
        <f t="shared" si="69"/>
        <v>0</v>
      </c>
      <c r="AZ166" s="595">
        <f t="shared" si="70"/>
        <v>1977.8033333333333</v>
      </c>
      <c r="BA166" s="596">
        <f t="shared" si="71"/>
        <v>1782.4</v>
      </c>
      <c r="BB166" s="1"/>
      <c r="BC166" s="1"/>
    </row>
    <row r="167" spans="1:55">
      <c r="A167" s="414" t="s">
        <v>205</v>
      </c>
      <c r="B167" s="412" t="s">
        <v>218</v>
      </c>
      <c r="C167" s="413"/>
      <c r="D167" s="414">
        <v>156648</v>
      </c>
      <c r="E167" s="414">
        <v>9</v>
      </c>
      <c r="F167" s="592"/>
      <c r="G167" s="519"/>
      <c r="H167" s="592"/>
      <c r="I167" s="519"/>
      <c r="J167" s="593">
        <v>46026</v>
      </c>
      <c r="K167" s="519">
        <v>44961</v>
      </c>
      <c r="L167" s="592">
        <v>8943</v>
      </c>
      <c r="M167" s="519">
        <v>7595</v>
      </c>
      <c r="N167" s="592">
        <v>52319.6</v>
      </c>
      <c r="O167" s="519">
        <v>48880</v>
      </c>
      <c r="P167" s="595">
        <f t="shared" si="54"/>
        <v>107288.6</v>
      </c>
      <c r="Q167" s="595">
        <f t="shared" si="55"/>
        <v>3576.2866666666669</v>
      </c>
      <c r="R167" s="596">
        <f t="shared" si="56"/>
        <v>101436</v>
      </c>
      <c r="S167" s="596">
        <f t="shared" si="57"/>
        <v>3381.2</v>
      </c>
      <c r="T167" s="592">
        <v>14608.6</v>
      </c>
      <c r="U167" s="519">
        <v>16064</v>
      </c>
      <c r="V167" s="595">
        <f t="shared" si="58"/>
        <v>107288.6</v>
      </c>
      <c r="W167" s="596">
        <f t="shared" si="59"/>
        <v>101436</v>
      </c>
      <c r="X167" s="592"/>
      <c r="Y167" s="519"/>
      <c r="Z167" s="592"/>
      <c r="AA167" s="519"/>
      <c r="AB167" s="592"/>
      <c r="AC167" s="519"/>
      <c r="AD167" s="592"/>
      <c r="AE167" s="519"/>
      <c r="AF167" s="595">
        <f t="shared" si="60"/>
        <v>0</v>
      </c>
      <c r="AG167" s="595">
        <f t="shared" si="61"/>
        <v>0</v>
      </c>
      <c r="AH167" s="596">
        <f t="shared" si="62"/>
        <v>0</v>
      </c>
      <c r="AI167" s="596">
        <f t="shared" si="63"/>
        <v>0</v>
      </c>
      <c r="AJ167" s="592"/>
      <c r="AK167" s="519"/>
      <c r="AL167" s="595">
        <f t="shared" si="64"/>
        <v>0</v>
      </c>
      <c r="AM167" s="596">
        <f t="shared" si="65"/>
        <v>0</v>
      </c>
      <c r="AN167" s="592"/>
      <c r="AO167" s="519"/>
      <c r="AP167" s="592"/>
      <c r="AQ167" s="519"/>
      <c r="AR167" s="592"/>
      <c r="AS167" s="519"/>
      <c r="AT167" s="592"/>
      <c r="AU167" s="519"/>
      <c r="AV167" s="595">
        <f t="shared" si="66"/>
        <v>0</v>
      </c>
      <c r="AW167" s="595">
        <f t="shared" si="67"/>
        <v>0</v>
      </c>
      <c r="AX167" s="596">
        <f t="shared" si="68"/>
        <v>0</v>
      </c>
      <c r="AY167" s="596">
        <f t="shared" si="69"/>
        <v>0</v>
      </c>
      <c r="AZ167" s="595">
        <f t="shared" si="70"/>
        <v>3576.2866666666669</v>
      </c>
      <c r="BA167" s="596">
        <f t="shared" si="71"/>
        <v>3381.2</v>
      </c>
      <c r="BB167" s="1"/>
      <c r="BC167" s="1"/>
    </row>
    <row r="168" spans="1:55">
      <c r="A168" s="414" t="s">
        <v>205</v>
      </c>
      <c r="B168" s="412" t="s">
        <v>222</v>
      </c>
      <c r="C168" s="413"/>
      <c r="D168" s="414">
        <v>157331</v>
      </c>
      <c r="E168" s="414">
        <v>9</v>
      </c>
      <c r="F168" s="592"/>
      <c r="G168" s="519"/>
      <c r="H168" s="592"/>
      <c r="I168" s="519"/>
      <c r="J168" s="593">
        <v>28211</v>
      </c>
      <c r="K168" s="519">
        <v>26671</v>
      </c>
      <c r="L168" s="592">
        <v>4064</v>
      </c>
      <c r="M168" s="519">
        <v>4445</v>
      </c>
      <c r="N168" s="592">
        <v>32450.799999999999</v>
      </c>
      <c r="O168" s="519">
        <v>30874</v>
      </c>
      <c r="P168" s="595">
        <f t="shared" si="54"/>
        <v>64725.8</v>
      </c>
      <c r="Q168" s="595">
        <f t="shared" si="55"/>
        <v>2157.5266666666666</v>
      </c>
      <c r="R168" s="596">
        <f t="shared" si="56"/>
        <v>61990</v>
      </c>
      <c r="S168" s="596">
        <f t="shared" si="57"/>
        <v>2066.3333333333335</v>
      </c>
      <c r="T168" s="592">
        <v>10506</v>
      </c>
      <c r="U168" s="519">
        <v>9903</v>
      </c>
      <c r="V168" s="595">
        <f t="shared" si="58"/>
        <v>64725.8</v>
      </c>
      <c r="W168" s="596">
        <f t="shared" si="59"/>
        <v>61990</v>
      </c>
      <c r="X168" s="592"/>
      <c r="Y168" s="519"/>
      <c r="Z168" s="592"/>
      <c r="AA168" s="519"/>
      <c r="AB168" s="592"/>
      <c r="AC168" s="519"/>
      <c r="AD168" s="592"/>
      <c r="AE168" s="519"/>
      <c r="AF168" s="595">
        <f t="shared" si="60"/>
        <v>0</v>
      </c>
      <c r="AG168" s="595">
        <f t="shared" si="61"/>
        <v>0</v>
      </c>
      <c r="AH168" s="596">
        <f t="shared" si="62"/>
        <v>0</v>
      </c>
      <c r="AI168" s="596">
        <f t="shared" si="63"/>
        <v>0</v>
      </c>
      <c r="AJ168" s="592"/>
      <c r="AK168" s="519"/>
      <c r="AL168" s="595">
        <f t="shared" si="64"/>
        <v>0</v>
      </c>
      <c r="AM168" s="596">
        <f t="shared" si="65"/>
        <v>0</v>
      </c>
      <c r="AN168" s="592"/>
      <c r="AO168" s="519"/>
      <c r="AP168" s="592"/>
      <c r="AQ168" s="519"/>
      <c r="AR168" s="592"/>
      <c r="AS168" s="519"/>
      <c r="AT168" s="592"/>
      <c r="AU168" s="519"/>
      <c r="AV168" s="595">
        <f t="shared" si="66"/>
        <v>0</v>
      </c>
      <c r="AW168" s="595">
        <f t="shared" si="67"/>
        <v>0</v>
      </c>
      <c r="AX168" s="596">
        <f t="shared" si="68"/>
        <v>0</v>
      </c>
      <c r="AY168" s="596">
        <f t="shared" si="69"/>
        <v>0</v>
      </c>
      <c r="AZ168" s="595">
        <f t="shared" si="70"/>
        <v>2157.5266666666666</v>
      </c>
      <c r="BA168" s="596">
        <f t="shared" si="71"/>
        <v>2066.3333333333335</v>
      </c>
      <c r="BB168" s="1"/>
      <c r="BC168" s="1"/>
    </row>
    <row r="169" spans="1:55">
      <c r="A169" s="414" t="s">
        <v>205</v>
      </c>
      <c r="B169" s="412" t="s">
        <v>223</v>
      </c>
      <c r="C169" s="413"/>
      <c r="D169" s="414">
        <v>247940</v>
      </c>
      <c r="E169" s="414">
        <v>9</v>
      </c>
      <c r="F169" s="592"/>
      <c r="G169" s="519"/>
      <c r="H169" s="592"/>
      <c r="I169" s="519"/>
      <c r="J169" s="593">
        <v>31436</v>
      </c>
      <c r="K169" s="519">
        <v>32509</v>
      </c>
      <c r="L169" s="592">
        <v>4747</v>
      </c>
      <c r="M169" s="519">
        <v>4580</v>
      </c>
      <c r="N169" s="592">
        <v>35311.699999999997</v>
      </c>
      <c r="O169" s="519">
        <v>32713</v>
      </c>
      <c r="P169" s="595">
        <f t="shared" si="54"/>
        <v>71494.7</v>
      </c>
      <c r="Q169" s="595">
        <f t="shared" si="55"/>
        <v>2383.1566666666668</v>
      </c>
      <c r="R169" s="596">
        <f t="shared" si="56"/>
        <v>69802</v>
      </c>
      <c r="S169" s="596">
        <f t="shared" si="57"/>
        <v>2326.7333333333331</v>
      </c>
      <c r="T169" s="592">
        <v>15123.3</v>
      </c>
      <c r="U169" s="519">
        <v>17253</v>
      </c>
      <c r="V169" s="595">
        <f t="shared" si="58"/>
        <v>71494.7</v>
      </c>
      <c r="W169" s="596">
        <f t="shared" si="59"/>
        <v>69802</v>
      </c>
      <c r="X169" s="592"/>
      <c r="Y169" s="519"/>
      <c r="Z169" s="592"/>
      <c r="AA169" s="519"/>
      <c r="AB169" s="592"/>
      <c r="AC169" s="519"/>
      <c r="AD169" s="592"/>
      <c r="AE169" s="519"/>
      <c r="AF169" s="595">
        <f t="shared" si="60"/>
        <v>0</v>
      </c>
      <c r="AG169" s="595">
        <f t="shared" si="61"/>
        <v>0</v>
      </c>
      <c r="AH169" s="596">
        <f t="shared" si="62"/>
        <v>0</v>
      </c>
      <c r="AI169" s="596">
        <f t="shared" si="63"/>
        <v>0</v>
      </c>
      <c r="AJ169" s="592"/>
      <c r="AK169" s="519"/>
      <c r="AL169" s="595">
        <f t="shared" si="64"/>
        <v>0</v>
      </c>
      <c r="AM169" s="596">
        <f t="shared" si="65"/>
        <v>0</v>
      </c>
      <c r="AN169" s="592"/>
      <c r="AO169" s="519"/>
      <c r="AP169" s="592"/>
      <c r="AQ169" s="519"/>
      <c r="AR169" s="592"/>
      <c r="AS169" s="519"/>
      <c r="AT169" s="592"/>
      <c r="AU169" s="519"/>
      <c r="AV169" s="595">
        <f t="shared" si="66"/>
        <v>0</v>
      </c>
      <c r="AW169" s="595">
        <f t="shared" si="67"/>
        <v>0</v>
      </c>
      <c r="AX169" s="596">
        <f t="shared" si="68"/>
        <v>0</v>
      </c>
      <c r="AY169" s="596">
        <f t="shared" si="69"/>
        <v>0</v>
      </c>
      <c r="AZ169" s="595">
        <f t="shared" si="70"/>
        <v>2383.1566666666668</v>
      </c>
      <c r="BA169" s="596">
        <f t="shared" si="71"/>
        <v>2326.7333333333331</v>
      </c>
      <c r="BB169" s="1"/>
      <c r="BC169" s="1"/>
    </row>
    <row r="170" spans="1:55">
      <c r="A170" s="414" t="s">
        <v>205</v>
      </c>
      <c r="B170" s="412" t="s">
        <v>224</v>
      </c>
      <c r="C170" s="413"/>
      <c r="D170" s="414">
        <v>157711</v>
      </c>
      <c r="E170" s="414">
        <v>9</v>
      </c>
      <c r="F170" s="592"/>
      <c r="G170" s="519"/>
      <c r="H170" s="592"/>
      <c r="I170" s="519"/>
      <c r="J170" s="593">
        <v>45376</v>
      </c>
      <c r="K170" s="594">
        <v>41716</v>
      </c>
      <c r="L170" s="592">
        <v>7765</v>
      </c>
      <c r="M170" s="519">
        <v>6989</v>
      </c>
      <c r="N170" s="592">
        <v>49358.2</v>
      </c>
      <c r="O170" s="519">
        <v>44642</v>
      </c>
      <c r="P170" s="595">
        <f t="shared" si="54"/>
        <v>102499.2</v>
      </c>
      <c r="Q170" s="595">
        <f t="shared" si="55"/>
        <v>3416.64</v>
      </c>
      <c r="R170" s="596">
        <f t="shared" si="56"/>
        <v>93347</v>
      </c>
      <c r="S170" s="596">
        <f t="shared" si="57"/>
        <v>3111.5666666666666</v>
      </c>
      <c r="T170" s="592">
        <v>9303.6</v>
      </c>
      <c r="U170" s="519">
        <v>9267</v>
      </c>
      <c r="V170" s="595">
        <f t="shared" si="58"/>
        <v>102499.2</v>
      </c>
      <c r="W170" s="596">
        <f t="shared" si="59"/>
        <v>93347</v>
      </c>
      <c r="X170" s="592"/>
      <c r="Y170" s="519"/>
      <c r="Z170" s="592"/>
      <c r="AA170" s="519"/>
      <c r="AB170" s="592"/>
      <c r="AC170" s="519"/>
      <c r="AD170" s="592"/>
      <c r="AE170" s="519"/>
      <c r="AF170" s="595">
        <f t="shared" si="60"/>
        <v>0</v>
      </c>
      <c r="AG170" s="595">
        <f t="shared" si="61"/>
        <v>0</v>
      </c>
      <c r="AH170" s="596">
        <f t="shared" si="62"/>
        <v>0</v>
      </c>
      <c r="AI170" s="596">
        <f t="shared" si="63"/>
        <v>0</v>
      </c>
      <c r="AJ170" s="592"/>
      <c r="AK170" s="519"/>
      <c r="AL170" s="595">
        <f t="shared" si="64"/>
        <v>0</v>
      </c>
      <c r="AM170" s="596">
        <f t="shared" si="65"/>
        <v>0</v>
      </c>
      <c r="AN170" s="592"/>
      <c r="AO170" s="519"/>
      <c r="AP170" s="592"/>
      <c r="AQ170" s="519"/>
      <c r="AR170" s="592"/>
      <c r="AS170" s="519"/>
      <c r="AT170" s="592"/>
      <c r="AU170" s="519"/>
      <c r="AV170" s="595">
        <f t="shared" si="66"/>
        <v>0</v>
      </c>
      <c r="AW170" s="595">
        <f t="shared" si="67"/>
        <v>0</v>
      </c>
      <c r="AX170" s="596">
        <f t="shared" si="68"/>
        <v>0</v>
      </c>
      <c r="AY170" s="596">
        <f t="shared" si="69"/>
        <v>0</v>
      </c>
      <c r="AZ170" s="595">
        <f t="shared" si="70"/>
        <v>3416.64</v>
      </c>
      <c r="BA170" s="596">
        <f t="shared" si="71"/>
        <v>3111.5666666666666</v>
      </c>
      <c r="BB170" s="1"/>
      <c r="BC170" s="1"/>
    </row>
    <row r="171" spans="1:55">
      <c r="A171" s="414" t="s">
        <v>205</v>
      </c>
      <c r="B171" s="412" t="s">
        <v>226</v>
      </c>
      <c r="C171" s="413"/>
      <c r="D171" s="414">
        <v>157483</v>
      </c>
      <c r="E171" s="414">
        <v>9</v>
      </c>
      <c r="F171" s="592"/>
      <c r="G171" s="519"/>
      <c r="H171" s="592"/>
      <c r="I171" s="519"/>
      <c r="J171" s="593">
        <v>41729</v>
      </c>
      <c r="K171" s="519">
        <v>39758</v>
      </c>
      <c r="L171" s="592">
        <v>7280</v>
      </c>
      <c r="M171" s="519">
        <v>5990</v>
      </c>
      <c r="N171" s="592">
        <v>45707.9</v>
      </c>
      <c r="O171" s="519">
        <v>40072</v>
      </c>
      <c r="P171" s="595">
        <f t="shared" si="54"/>
        <v>94716.9</v>
      </c>
      <c r="Q171" s="595">
        <f t="shared" si="55"/>
        <v>3157.23</v>
      </c>
      <c r="R171" s="596">
        <f t="shared" si="56"/>
        <v>85820</v>
      </c>
      <c r="S171" s="596">
        <f t="shared" si="57"/>
        <v>2860.6666666666665</v>
      </c>
      <c r="T171" s="592">
        <v>8208.2999999999993</v>
      </c>
      <c r="U171" s="519">
        <v>7738</v>
      </c>
      <c r="V171" s="595">
        <f t="shared" si="58"/>
        <v>94716.9</v>
      </c>
      <c r="W171" s="596">
        <f t="shared" si="59"/>
        <v>85820</v>
      </c>
      <c r="X171" s="592"/>
      <c r="Y171" s="519"/>
      <c r="Z171" s="592"/>
      <c r="AA171" s="519"/>
      <c r="AB171" s="592"/>
      <c r="AC171" s="519"/>
      <c r="AD171" s="592"/>
      <c r="AE171" s="519"/>
      <c r="AF171" s="595">
        <f t="shared" si="60"/>
        <v>0</v>
      </c>
      <c r="AG171" s="595">
        <f t="shared" si="61"/>
        <v>0</v>
      </c>
      <c r="AH171" s="596">
        <f t="shared" si="62"/>
        <v>0</v>
      </c>
      <c r="AI171" s="596">
        <f t="shared" si="63"/>
        <v>0</v>
      </c>
      <c r="AJ171" s="592"/>
      <c r="AK171" s="519"/>
      <c r="AL171" s="595">
        <f t="shared" si="64"/>
        <v>0</v>
      </c>
      <c r="AM171" s="596">
        <f t="shared" si="65"/>
        <v>0</v>
      </c>
      <c r="AN171" s="592"/>
      <c r="AO171" s="519"/>
      <c r="AP171" s="592"/>
      <c r="AQ171" s="519"/>
      <c r="AR171" s="592"/>
      <c r="AS171" s="519"/>
      <c r="AT171" s="592"/>
      <c r="AU171" s="519"/>
      <c r="AV171" s="595">
        <f t="shared" si="66"/>
        <v>0</v>
      </c>
      <c r="AW171" s="595">
        <f t="shared" si="67"/>
        <v>0</v>
      </c>
      <c r="AX171" s="596">
        <f t="shared" si="68"/>
        <v>0</v>
      </c>
      <c r="AY171" s="596">
        <f t="shared" si="69"/>
        <v>0</v>
      </c>
      <c r="AZ171" s="595">
        <f t="shared" si="70"/>
        <v>3157.23</v>
      </c>
      <c r="BA171" s="596">
        <f t="shared" si="71"/>
        <v>2860.6666666666665</v>
      </c>
      <c r="BB171" s="1"/>
      <c r="BC171" s="1"/>
    </row>
    <row r="172" spans="1:55">
      <c r="A172" s="414" t="s">
        <v>205</v>
      </c>
      <c r="B172" s="412" t="s">
        <v>216</v>
      </c>
      <c r="C172" s="415"/>
      <c r="D172" s="414">
        <v>156231</v>
      </c>
      <c r="E172" s="513">
        <v>10</v>
      </c>
      <c r="F172" s="592"/>
      <c r="G172" s="519"/>
      <c r="H172" s="592"/>
      <c r="I172" s="519"/>
      <c r="J172" s="593">
        <v>24064</v>
      </c>
      <c r="K172" s="519">
        <v>24315</v>
      </c>
      <c r="L172" s="592">
        <v>4890</v>
      </c>
      <c r="M172" s="519">
        <v>4606</v>
      </c>
      <c r="N172" s="592">
        <v>26500</v>
      </c>
      <c r="O172" s="519">
        <v>24256</v>
      </c>
      <c r="P172" s="595">
        <f t="shared" si="54"/>
        <v>55454</v>
      </c>
      <c r="Q172" s="595">
        <f t="shared" si="55"/>
        <v>1848.4666666666667</v>
      </c>
      <c r="R172" s="596">
        <f t="shared" si="56"/>
        <v>53177</v>
      </c>
      <c r="S172" s="596">
        <f t="shared" si="57"/>
        <v>1772.5666666666666</v>
      </c>
      <c r="T172" s="592">
        <v>3239</v>
      </c>
      <c r="U172" s="597">
        <v>4137</v>
      </c>
      <c r="V172" s="595">
        <f t="shared" si="58"/>
        <v>55454</v>
      </c>
      <c r="W172" s="596">
        <f t="shared" si="59"/>
        <v>53177</v>
      </c>
      <c r="X172" s="592"/>
      <c r="Y172" s="519"/>
      <c r="Z172" s="592"/>
      <c r="AA172" s="519"/>
      <c r="AB172" s="592"/>
      <c r="AC172" s="519"/>
      <c r="AD172" s="592"/>
      <c r="AE172" s="519"/>
      <c r="AF172" s="595">
        <f t="shared" si="60"/>
        <v>0</v>
      </c>
      <c r="AG172" s="595">
        <f t="shared" si="61"/>
        <v>0</v>
      </c>
      <c r="AH172" s="596">
        <f t="shared" si="62"/>
        <v>0</v>
      </c>
      <c r="AI172" s="596">
        <f t="shared" si="63"/>
        <v>0</v>
      </c>
      <c r="AJ172" s="592"/>
      <c r="AK172" s="519"/>
      <c r="AL172" s="595">
        <f t="shared" si="64"/>
        <v>0</v>
      </c>
      <c r="AM172" s="596">
        <f t="shared" si="65"/>
        <v>0</v>
      </c>
      <c r="AN172" s="592"/>
      <c r="AO172" s="519"/>
      <c r="AP172" s="592"/>
      <c r="AQ172" s="519"/>
      <c r="AR172" s="592"/>
      <c r="AS172" s="519"/>
      <c r="AT172" s="592"/>
      <c r="AU172" s="519"/>
      <c r="AV172" s="595">
        <f t="shared" si="66"/>
        <v>0</v>
      </c>
      <c r="AW172" s="595">
        <f t="shared" si="67"/>
        <v>0</v>
      </c>
      <c r="AX172" s="596">
        <f t="shared" si="68"/>
        <v>0</v>
      </c>
      <c r="AY172" s="596">
        <f t="shared" si="69"/>
        <v>0</v>
      </c>
      <c r="AZ172" s="595">
        <f t="shared" si="70"/>
        <v>1848.4666666666667</v>
      </c>
      <c r="BA172" s="596">
        <f t="shared" si="71"/>
        <v>1772.5666666666666</v>
      </c>
      <c r="BB172" s="1"/>
      <c r="BC172" s="1"/>
    </row>
    <row r="173" spans="1:55">
      <c r="A173" s="414" t="s">
        <v>205</v>
      </c>
      <c r="B173" s="412" t="s">
        <v>219</v>
      </c>
      <c r="C173" s="415"/>
      <c r="D173" s="414">
        <v>156790</v>
      </c>
      <c r="E173" s="414">
        <v>10</v>
      </c>
      <c r="F173" s="592"/>
      <c r="G173" s="519"/>
      <c r="H173" s="592"/>
      <c r="I173" s="519"/>
      <c r="J173" s="593">
        <v>22963</v>
      </c>
      <c r="K173" s="594">
        <v>23361</v>
      </c>
      <c r="L173" s="592">
        <v>5706</v>
      </c>
      <c r="M173" s="519">
        <v>4702</v>
      </c>
      <c r="N173" s="592">
        <v>26283</v>
      </c>
      <c r="O173" s="519">
        <v>23406</v>
      </c>
      <c r="P173" s="595">
        <f t="shared" si="54"/>
        <v>54952</v>
      </c>
      <c r="Q173" s="595">
        <f t="shared" si="55"/>
        <v>1831.7333333333333</v>
      </c>
      <c r="R173" s="596">
        <f t="shared" si="56"/>
        <v>51469</v>
      </c>
      <c r="S173" s="596">
        <f t="shared" si="57"/>
        <v>1715.6333333333334</v>
      </c>
      <c r="T173" s="592">
        <v>8211.7999999999993</v>
      </c>
      <c r="U173" s="519">
        <v>7608</v>
      </c>
      <c r="V173" s="595">
        <f t="shared" si="58"/>
        <v>54952</v>
      </c>
      <c r="W173" s="596">
        <f t="shared" si="59"/>
        <v>51469</v>
      </c>
      <c r="X173" s="592"/>
      <c r="Y173" s="519"/>
      <c r="Z173" s="592"/>
      <c r="AA173" s="519"/>
      <c r="AB173" s="592"/>
      <c r="AC173" s="519"/>
      <c r="AD173" s="592"/>
      <c r="AE173" s="519"/>
      <c r="AF173" s="595">
        <f t="shared" si="60"/>
        <v>0</v>
      </c>
      <c r="AG173" s="595">
        <f t="shared" si="61"/>
        <v>0</v>
      </c>
      <c r="AH173" s="596">
        <f t="shared" si="62"/>
        <v>0</v>
      </c>
      <c r="AI173" s="596">
        <f t="shared" si="63"/>
        <v>0</v>
      </c>
      <c r="AJ173" s="592"/>
      <c r="AK173" s="519"/>
      <c r="AL173" s="595">
        <f t="shared" si="64"/>
        <v>0</v>
      </c>
      <c r="AM173" s="596">
        <f t="shared" si="65"/>
        <v>0</v>
      </c>
      <c r="AN173" s="592"/>
      <c r="AO173" s="519"/>
      <c r="AP173" s="592"/>
      <c r="AQ173" s="519"/>
      <c r="AR173" s="592"/>
      <c r="AS173" s="519"/>
      <c r="AT173" s="592"/>
      <c r="AU173" s="519"/>
      <c r="AV173" s="595">
        <f t="shared" si="66"/>
        <v>0</v>
      </c>
      <c r="AW173" s="595">
        <f t="shared" si="67"/>
        <v>0</v>
      </c>
      <c r="AX173" s="596">
        <f t="shared" si="68"/>
        <v>0</v>
      </c>
      <c r="AY173" s="596">
        <f t="shared" si="69"/>
        <v>0</v>
      </c>
      <c r="AZ173" s="595">
        <f t="shared" si="70"/>
        <v>1831.7333333333333</v>
      </c>
      <c r="BA173" s="596">
        <f t="shared" si="71"/>
        <v>1715.6333333333334</v>
      </c>
      <c r="BB173" s="1"/>
      <c r="BC173" s="1"/>
    </row>
    <row r="174" spans="1:55">
      <c r="A174" s="414" t="s">
        <v>205</v>
      </c>
      <c r="B174" s="412" t="s">
        <v>227</v>
      </c>
      <c r="C174" s="413"/>
      <c r="D174" s="414">
        <v>156851</v>
      </c>
      <c r="E174" s="414">
        <v>10</v>
      </c>
      <c r="F174" s="592"/>
      <c r="G174" s="519"/>
      <c r="H174" s="592"/>
      <c r="I174" s="519"/>
      <c r="J174" s="593">
        <v>11109</v>
      </c>
      <c r="K174" s="594">
        <v>10242</v>
      </c>
      <c r="L174" s="592">
        <v>1722</v>
      </c>
      <c r="M174" s="519">
        <v>1610</v>
      </c>
      <c r="N174" s="592">
        <v>12972</v>
      </c>
      <c r="O174" s="519">
        <v>11426</v>
      </c>
      <c r="P174" s="595">
        <f t="shared" si="54"/>
        <v>25803</v>
      </c>
      <c r="Q174" s="595">
        <f t="shared" si="55"/>
        <v>860.1</v>
      </c>
      <c r="R174" s="596">
        <f t="shared" si="56"/>
        <v>23278</v>
      </c>
      <c r="S174" s="596">
        <f t="shared" si="57"/>
        <v>775.93333333333328</v>
      </c>
      <c r="T174" s="592">
        <v>3690</v>
      </c>
      <c r="U174" s="519">
        <v>3700</v>
      </c>
      <c r="V174" s="595">
        <f t="shared" si="58"/>
        <v>25803</v>
      </c>
      <c r="W174" s="596">
        <f t="shared" si="59"/>
        <v>23278</v>
      </c>
      <c r="X174" s="592"/>
      <c r="Y174" s="519"/>
      <c r="Z174" s="592"/>
      <c r="AA174" s="519"/>
      <c r="AB174" s="592"/>
      <c r="AC174" s="519"/>
      <c r="AD174" s="592"/>
      <c r="AE174" s="519"/>
      <c r="AF174" s="595">
        <f t="shared" si="60"/>
        <v>0</v>
      </c>
      <c r="AG174" s="595">
        <f t="shared" si="61"/>
        <v>0</v>
      </c>
      <c r="AH174" s="596">
        <f t="shared" si="62"/>
        <v>0</v>
      </c>
      <c r="AI174" s="596">
        <f t="shared" si="63"/>
        <v>0</v>
      </c>
      <c r="AJ174" s="592"/>
      <c r="AK174" s="519"/>
      <c r="AL174" s="595">
        <f t="shared" si="64"/>
        <v>0</v>
      </c>
      <c r="AM174" s="596">
        <f t="shared" si="65"/>
        <v>0</v>
      </c>
      <c r="AN174" s="592"/>
      <c r="AO174" s="519"/>
      <c r="AP174" s="592"/>
      <c r="AQ174" s="519"/>
      <c r="AR174" s="592"/>
      <c r="AS174" s="519"/>
      <c r="AT174" s="592"/>
      <c r="AU174" s="519"/>
      <c r="AV174" s="595">
        <f t="shared" si="66"/>
        <v>0</v>
      </c>
      <c r="AW174" s="595">
        <f t="shared" si="67"/>
        <v>0</v>
      </c>
      <c r="AX174" s="596">
        <f t="shared" si="68"/>
        <v>0</v>
      </c>
      <c r="AY174" s="596">
        <f t="shared" si="69"/>
        <v>0</v>
      </c>
      <c r="AZ174" s="595">
        <f t="shared" si="70"/>
        <v>860.1</v>
      </c>
      <c r="BA174" s="596">
        <f t="shared" si="71"/>
        <v>775.93333333333328</v>
      </c>
      <c r="BB174" s="1"/>
      <c r="BC174" s="1"/>
    </row>
    <row r="175" spans="1:55">
      <c r="A175" s="414" t="s">
        <v>205</v>
      </c>
      <c r="B175" s="412" t="s">
        <v>220</v>
      </c>
      <c r="C175" s="415"/>
      <c r="D175" s="414">
        <v>156860</v>
      </c>
      <c r="E175" s="414">
        <v>10</v>
      </c>
      <c r="F175" s="592"/>
      <c r="G175" s="519"/>
      <c r="H175" s="592"/>
      <c r="I175" s="519"/>
      <c r="J175" s="593">
        <v>20978</v>
      </c>
      <c r="K175" s="594">
        <v>19380</v>
      </c>
      <c r="L175" s="592">
        <v>4493</v>
      </c>
      <c r="M175" s="519">
        <v>3800</v>
      </c>
      <c r="N175" s="592">
        <v>21635</v>
      </c>
      <c r="O175" s="519">
        <v>17929</v>
      </c>
      <c r="P175" s="595">
        <f t="shared" si="54"/>
        <v>47106</v>
      </c>
      <c r="Q175" s="595">
        <f t="shared" si="55"/>
        <v>1570.2</v>
      </c>
      <c r="R175" s="596">
        <f t="shared" si="56"/>
        <v>41109</v>
      </c>
      <c r="S175" s="596">
        <f t="shared" si="57"/>
        <v>1370.3</v>
      </c>
      <c r="T175" s="592">
        <v>4355</v>
      </c>
      <c r="U175" s="519">
        <v>4213</v>
      </c>
      <c r="V175" s="595">
        <f t="shared" si="58"/>
        <v>47106</v>
      </c>
      <c r="W175" s="596">
        <f t="shared" si="59"/>
        <v>41109</v>
      </c>
      <c r="X175" s="592"/>
      <c r="Y175" s="519"/>
      <c r="Z175" s="592"/>
      <c r="AA175" s="519"/>
      <c r="AB175" s="592"/>
      <c r="AC175" s="519"/>
      <c r="AD175" s="592"/>
      <c r="AE175" s="519"/>
      <c r="AF175" s="595">
        <f t="shared" si="60"/>
        <v>0</v>
      </c>
      <c r="AG175" s="595">
        <f t="shared" si="61"/>
        <v>0</v>
      </c>
      <c r="AH175" s="596">
        <f t="shared" si="62"/>
        <v>0</v>
      </c>
      <c r="AI175" s="596">
        <f t="shared" si="63"/>
        <v>0</v>
      </c>
      <c r="AJ175" s="592"/>
      <c r="AK175" s="519"/>
      <c r="AL175" s="595">
        <f t="shared" si="64"/>
        <v>0</v>
      </c>
      <c r="AM175" s="596">
        <f t="shared" si="65"/>
        <v>0</v>
      </c>
      <c r="AN175" s="592"/>
      <c r="AO175" s="519"/>
      <c r="AP175" s="592"/>
      <c r="AQ175" s="519"/>
      <c r="AR175" s="592"/>
      <c r="AS175" s="519"/>
      <c r="AT175" s="592"/>
      <c r="AU175" s="519"/>
      <c r="AV175" s="595">
        <f t="shared" si="66"/>
        <v>0</v>
      </c>
      <c r="AW175" s="595">
        <f t="shared" si="67"/>
        <v>0</v>
      </c>
      <c r="AX175" s="596">
        <f t="shared" si="68"/>
        <v>0</v>
      </c>
      <c r="AY175" s="596">
        <f t="shared" si="69"/>
        <v>0</v>
      </c>
      <c r="AZ175" s="595">
        <f t="shared" si="70"/>
        <v>1570.2</v>
      </c>
      <c r="BA175" s="596">
        <f t="shared" si="71"/>
        <v>1370.3</v>
      </c>
      <c r="BB175" s="1"/>
      <c r="BC175" s="1"/>
    </row>
    <row r="176" spans="1:55">
      <c r="A176" s="414" t="s">
        <v>205</v>
      </c>
      <c r="B176" s="412" t="s">
        <v>221</v>
      </c>
      <c r="C176" s="415"/>
      <c r="D176" s="414">
        <v>157304</v>
      </c>
      <c r="E176" s="414">
        <v>10</v>
      </c>
      <c r="F176" s="592"/>
      <c r="G176" s="519"/>
      <c r="H176" s="592"/>
      <c r="I176" s="519"/>
      <c r="J176" s="593">
        <v>20373</v>
      </c>
      <c r="K176" s="519">
        <v>21936</v>
      </c>
      <c r="L176" s="592">
        <v>3624</v>
      </c>
      <c r="M176" s="519">
        <v>3202</v>
      </c>
      <c r="N176" s="592">
        <v>26664.1</v>
      </c>
      <c r="O176" s="519">
        <v>27602</v>
      </c>
      <c r="P176" s="595">
        <f t="shared" si="54"/>
        <v>50661.1</v>
      </c>
      <c r="Q176" s="595">
        <f t="shared" si="55"/>
        <v>1688.7033333333334</v>
      </c>
      <c r="R176" s="596">
        <f t="shared" si="56"/>
        <v>52740</v>
      </c>
      <c r="S176" s="596">
        <f t="shared" si="57"/>
        <v>1758</v>
      </c>
      <c r="T176" s="592">
        <v>9777</v>
      </c>
      <c r="U176" s="519">
        <v>11235</v>
      </c>
      <c r="V176" s="595">
        <f t="shared" si="58"/>
        <v>50661.1</v>
      </c>
      <c r="W176" s="596">
        <f t="shared" si="59"/>
        <v>52740</v>
      </c>
      <c r="X176" s="592"/>
      <c r="Y176" s="519"/>
      <c r="Z176" s="592"/>
      <c r="AA176" s="519"/>
      <c r="AB176" s="592"/>
      <c r="AC176" s="519"/>
      <c r="AD176" s="592"/>
      <c r="AE176" s="519"/>
      <c r="AF176" s="595">
        <f t="shared" si="60"/>
        <v>0</v>
      </c>
      <c r="AG176" s="595">
        <f t="shared" si="61"/>
        <v>0</v>
      </c>
      <c r="AH176" s="596">
        <f t="shared" si="62"/>
        <v>0</v>
      </c>
      <c r="AI176" s="596">
        <f t="shared" si="63"/>
        <v>0</v>
      </c>
      <c r="AJ176" s="592"/>
      <c r="AK176" s="519"/>
      <c r="AL176" s="595">
        <f t="shared" si="64"/>
        <v>0</v>
      </c>
      <c r="AM176" s="596">
        <f t="shared" si="65"/>
        <v>0</v>
      </c>
      <c r="AN176" s="592"/>
      <c r="AO176" s="519"/>
      <c r="AP176" s="592"/>
      <c r="AQ176" s="519"/>
      <c r="AR176" s="592"/>
      <c r="AS176" s="519"/>
      <c r="AT176" s="592"/>
      <c r="AU176" s="519"/>
      <c r="AV176" s="595">
        <f t="shared" si="66"/>
        <v>0</v>
      </c>
      <c r="AW176" s="595">
        <f t="shared" si="67"/>
        <v>0</v>
      </c>
      <c r="AX176" s="596">
        <f t="shared" si="68"/>
        <v>0</v>
      </c>
      <c r="AY176" s="596">
        <f t="shared" si="69"/>
        <v>0</v>
      </c>
      <c r="AZ176" s="595">
        <f t="shared" si="70"/>
        <v>1688.7033333333334</v>
      </c>
      <c r="BA176" s="596">
        <f t="shared" si="71"/>
        <v>1758</v>
      </c>
      <c r="BB176" s="1"/>
      <c r="BC176" s="1"/>
    </row>
    <row r="177" spans="1:55">
      <c r="A177" s="414" t="s">
        <v>205</v>
      </c>
      <c r="B177" s="412" t="s">
        <v>225</v>
      </c>
      <c r="C177" s="415"/>
      <c r="D177" s="414">
        <v>157739</v>
      </c>
      <c r="E177" s="414">
        <v>10</v>
      </c>
      <c r="F177" s="592"/>
      <c r="G177" s="519"/>
      <c r="H177" s="592"/>
      <c r="I177" s="519"/>
      <c r="J177" s="593">
        <v>22553</v>
      </c>
      <c r="K177" s="519">
        <v>21919</v>
      </c>
      <c r="L177" s="592">
        <v>3450</v>
      </c>
      <c r="M177" s="519">
        <v>3797</v>
      </c>
      <c r="N177" s="592">
        <v>27700.3</v>
      </c>
      <c r="O177" s="519">
        <v>22190</v>
      </c>
      <c r="P177" s="595">
        <f t="shared" si="54"/>
        <v>53703.3</v>
      </c>
      <c r="Q177" s="595">
        <f t="shared" si="55"/>
        <v>1790.1100000000001</v>
      </c>
      <c r="R177" s="596">
        <f t="shared" si="56"/>
        <v>47906</v>
      </c>
      <c r="S177" s="596">
        <f t="shared" si="57"/>
        <v>1596.8666666666666</v>
      </c>
      <c r="T177" s="592">
        <v>7467.2</v>
      </c>
      <c r="U177" s="519">
        <v>6372</v>
      </c>
      <c r="V177" s="595">
        <f t="shared" si="58"/>
        <v>53703.3</v>
      </c>
      <c r="W177" s="596">
        <f t="shared" si="59"/>
        <v>47906</v>
      </c>
      <c r="X177" s="592"/>
      <c r="Y177" s="519"/>
      <c r="Z177" s="592"/>
      <c r="AA177" s="519"/>
      <c r="AB177" s="592"/>
      <c r="AC177" s="519"/>
      <c r="AD177" s="592"/>
      <c r="AE177" s="519"/>
      <c r="AF177" s="595">
        <f t="shared" si="60"/>
        <v>0</v>
      </c>
      <c r="AG177" s="595">
        <f t="shared" si="61"/>
        <v>0</v>
      </c>
      <c r="AH177" s="596">
        <f t="shared" si="62"/>
        <v>0</v>
      </c>
      <c r="AI177" s="596">
        <f t="shared" si="63"/>
        <v>0</v>
      </c>
      <c r="AJ177" s="592"/>
      <c r="AK177" s="519"/>
      <c r="AL177" s="595">
        <f t="shared" si="64"/>
        <v>0</v>
      </c>
      <c r="AM177" s="596">
        <f t="shared" si="65"/>
        <v>0</v>
      </c>
      <c r="AN177" s="592"/>
      <c r="AO177" s="519"/>
      <c r="AP177" s="592"/>
      <c r="AQ177" s="519"/>
      <c r="AR177" s="592"/>
      <c r="AS177" s="519"/>
      <c r="AT177" s="592"/>
      <c r="AU177" s="519"/>
      <c r="AV177" s="595">
        <f t="shared" si="66"/>
        <v>0</v>
      </c>
      <c r="AW177" s="595">
        <f t="shared" si="67"/>
        <v>0</v>
      </c>
      <c r="AX177" s="596">
        <f t="shared" si="68"/>
        <v>0</v>
      </c>
      <c r="AY177" s="596">
        <f t="shared" si="69"/>
        <v>0</v>
      </c>
      <c r="AZ177" s="595">
        <f t="shared" si="70"/>
        <v>1790.1100000000001</v>
      </c>
      <c r="BA177" s="596">
        <f t="shared" si="71"/>
        <v>1596.8666666666666</v>
      </c>
      <c r="BB177" s="1"/>
      <c r="BC177" s="1"/>
    </row>
    <row r="178" spans="1:55">
      <c r="A178" s="411" t="s">
        <v>205</v>
      </c>
      <c r="B178" s="412" t="s">
        <v>228</v>
      </c>
      <c r="C178" s="413"/>
      <c r="D178" s="414">
        <v>157438</v>
      </c>
      <c r="E178" s="414">
        <v>12</v>
      </c>
      <c r="F178" s="592"/>
      <c r="G178" s="519"/>
      <c r="H178" s="592"/>
      <c r="I178" s="519"/>
      <c r="J178" s="593">
        <v>31104</v>
      </c>
      <c r="K178" s="594">
        <v>32838</v>
      </c>
      <c r="L178" s="592">
        <v>6496</v>
      </c>
      <c r="M178" s="519">
        <v>5869</v>
      </c>
      <c r="N178" s="592">
        <v>36568.199999999997</v>
      </c>
      <c r="O178" s="519">
        <v>35605</v>
      </c>
      <c r="P178" s="595">
        <f t="shared" si="54"/>
        <v>74168.2</v>
      </c>
      <c r="Q178" s="595">
        <f t="shared" si="55"/>
        <v>2472.2733333333331</v>
      </c>
      <c r="R178" s="596">
        <f t="shared" si="56"/>
        <v>74312</v>
      </c>
      <c r="S178" s="596">
        <f t="shared" si="57"/>
        <v>2477.0666666666666</v>
      </c>
      <c r="T178" s="592">
        <v>11804.5</v>
      </c>
      <c r="U178" s="519">
        <v>16192</v>
      </c>
      <c r="V178" s="595">
        <f t="shared" si="58"/>
        <v>74168.2</v>
      </c>
      <c r="W178" s="596">
        <f t="shared" si="59"/>
        <v>74312</v>
      </c>
      <c r="X178" s="592"/>
      <c r="Y178" s="519"/>
      <c r="Z178" s="592"/>
      <c r="AA178" s="519"/>
      <c r="AB178" s="592"/>
      <c r="AC178" s="519"/>
      <c r="AD178" s="592"/>
      <c r="AE178" s="519"/>
      <c r="AF178" s="595">
        <f t="shared" si="60"/>
        <v>0</v>
      </c>
      <c r="AG178" s="595">
        <f t="shared" si="61"/>
        <v>0</v>
      </c>
      <c r="AH178" s="596">
        <f t="shared" si="62"/>
        <v>0</v>
      </c>
      <c r="AI178" s="596">
        <f t="shared" si="63"/>
        <v>0</v>
      </c>
      <c r="AJ178" s="592"/>
      <c r="AK178" s="519"/>
      <c r="AL178" s="595">
        <f t="shared" si="64"/>
        <v>0</v>
      </c>
      <c r="AM178" s="596">
        <f t="shared" si="65"/>
        <v>0</v>
      </c>
      <c r="AN178" s="592"/>
      <c r="AO178" s="519"/>
      <c r="AP178" s="592"/>
      <c r="AQ178" s="519"/>
      <c r="AR178" s="592"/>
      <c r="AS178" s="519"/>
      <c r="AT178" s="592"/>
      <c r="AU178" s="519"/>
      <c r="AV178" s="595">
        <f t="shared" si="66"/>
        <v>0</v>
      </c>
      <c r="AW178" s="595">
        <f t="shared" si="67"/>
        <v>0</v>
      </c>
      <c r="AX178" s="596">
        <f t="shared" si="68"/>
        <v>0</v>
      </c>
      <c r="AY178" s="596">
        <f t="shared" si="69"/>
        <v>0</v>
      </c>
      <c r="AZ178" s="595">
        <f t="shared" si="70"/>
        <v>2472.2733333333331</v>
      </c>
      <c r="BA178" s="596">
        <f t="shared" si="71"/>
        <v>2477.0666666666666</v>
      </c>
      <c r="BB178" s="1"/>
      <c r="BC178" s="1"/>
    </row>
    <row r="179" spans="1:55">
      <c r="A179" s="411" t="s">
        <v>205</v>
      </c>
      <c r="B179" s="412" t="s">
        <v>229</v>
      </c>
      <c r="C179" s="413"/>
      <c r="D179" s="414">
        <v>156338</v>
      </c>
      <c r="E179" s="414">
        <v>12</v>
      </c>
      <c r="F179" s="592"/>
      <c r="G179" s="519"/>
      <c r="H179" s="592"/>
      <c r="I179" s="519"/>
      <c r="J179" s="600">
        <v>35396</v>
      </c>
      <c r="K179" s="599">
        <v>35020</v>
      </c>
      <c r="L179" s="592">
        <v>5356</v>
      </c>
      <c r="M179" s="519">
        <v>5423</v>
      </c>
      <c r="N179" s="592">
        <v>39600.699999999997</v>
      </c>
      <c r="O179" s="519">
        <v>36466</v>
      </c>
      <c r="P179" s="595">
        <f t="shared" si="54"/>
        <v>80352.7</v>
      </c>
      <c r="Q179" s="595">
        <f t="shared" si="55"/>
        <v>2678.4233333333332</v>
      </c>
      <c r="R179" s="596">
        <f t="shared" si="56"/>
        <v>76909</v>
      </c>
      <c r="S179" s="596">
        <f t="shared" si="57"/>
        <v>2563.6333333333332</v>
      </c>
      <c r="T179" s="592">
        <v>8476</v>
      </c>
      <c r="U179" s="519">
        <v>8568</v>
      </c>
      <c r="V179" s="595">
        <f t="shared" si="58"/>
        <v>80352.7</v>
      </c>
      <c r="W179" s="596">
        <f t="shared" si="59"/>
        <v>76909</v>
      </c>
      <c r="X179" s="592"/>
      <c r="Y179" s="519"/>
      <c r="Z179" s="592"/>
      <c r="AA179" s="519"/>
      <c r="AB179" s="592"/>
      <c r="AC179" s="519"/>
      <c r="AD179" s="592"/>
      <c r="AE179" s="519"/>
      <c r="AF179" s="595">
        <f t="shared" si="60"/>
        <v>0</v>
      </c>
      <c r="AG179" s="595">
        <f t="shared" si="61"/>
        <v>0</v>
      </c>
      <c r="AH179" s="596">
        <f t="shared" si="62"/>
        <v>0</v>
      </c>
      <c r="AI179" s="596">
        <f t="shared" si="63"/>
        <v>0</v>
      </c>
      <c r="AJ179" s="592"/>
      <c r="AK179" s="519"/>
      <c r="AL179" s="595">
        <f t="shared" si="64"/>
        <v>0</v>
      </c>
      <c r="AM179" s="596">
        <f t="shared" si="65"/>
        <v>0</v>
      </c>
      <c r="AN179" s="592"/>
      <c r="AO179" s="519"/>
      <c r="AP179" s="592"/>
      <c r="AQ179" s="519"/>
      <c r="AR179" s="592"/>
      <c r="AS179" s="519"/>
      <c r="AT179" s="592"/>
      <c r="AU179" s="519"/>
      <c r="AV179" s="595">
        <f t="shared" si="66"/>
        <v>0</v>
      </c>
      <c r="AW179" s="595">
        <f t="shared" si="67"/>
        <v>0</v>
      </c>
      <c r="AX179" s="596">
        <f t="shared" si="68"/>
        <v>0</v>
      </c>
      <c r="AY179" s="596">
        <f t="shared" si="69"/>
        <v>0</v>
      </c>
      <c r="AZ179" s="595">
        <f t="shared" si="70"/>
        <v>2678.4233333333332</v>
      </c>
      <c r="BA179" s="596">
        <f t="shared" si="71"/>
        <v>2563.6333333333332</v>
      </c>
      <c r="BB179" s="1"/>
      <c r="BC179" s="1"/>
    </row>
    <row r="180" spans="1:55" s="365" customFormat="1" ht="13.5" customHeight="1">
      <c r="A180" s="434" t="s">
        <v>435</v>
      </c>
      <c r="B180" s="435" t="s">
        <v>436</v>
      </c>
      <c r="C180" s="436"/>
      <c r="D180" s="437">
        <v>159391</v>
      </c>
      <c r="E180" s="437">
        <v>1</v>
      </c>
      <c r="F180" s="592"/>
      <c r="G180" s="519"/>
      <c r="H180" s="592"/>
      <c r="I180" s="519"/>
      <c r="J180" s="592">
        <v>319146</v>
      </c>
      <c r="K180" s="602">
        <v>326452</v>
      </c>
      <c r="L180" s="592">
        <v>28240</v>
      </c>
      <c r="M180" s="602">
        <v>35899</v>
      </c>
      <c r="N180" s="592">
        <v>354136</v>
      </c>
      <c r="O180" s="602">
        <v>383012</v>
      </c>
      <c r="P180" s="595">
        <f t="shared" si="54"/>
        <v>701522</v>
      </c>
      <c r="Q180" s="595">
        <f t="shared" si="55"/>
        <v>23384.066666666666</v>
      </c>
      <c r="R180" s="596">
        <f t="shared" si="56"/>
        <v>745363</v>
      </c>
      <c r="S180" s="596">
        <f t="shared" si="57"/>
        <v>24845.433333333334</v>
      </c>
      <c r="T180" s="592">
        <v>13261</v>
      </c>
      <c r="U180" s="602">
        <v>18051</v>
      </c>
      <c r="V180" s="595">
        <f t="shared" si="58"/>
        <v>701522</v>
      </c>
      <c r="W180" s="596">
        <f t="shared" si="59"/>
        <v>745363</v>
      </c>
      <c r="X180" s="592"/>
      <c r="Y180" s="519"/>
      <c r="Z180" s="592"/>
      <c r="AA180" s="519"/>
      <c r="AB180" s="592"/>
      <c r="AC180" s="519"/>
      <c r="AD180" s="592"/>
      <c r="AE180" s="519"/>
      <c r="AF180" s="595">
        <f t="shared" si="60"/>
        <v>0</v>
      </c>
      <c r="AG180" s="595">
        <f t="shared" si="61"/>
        <v>0</v>
      </c>
      <c r="AH180" s="596">
        <f t="shared" si="62"/>
        <v>0</v>
      </c>
      <c r="AI180" s="596">
        <f t="shared" si="63"/>
        <v>0</v>
      </c>
      <c r="AJ180" s="592"/>
      <c r="AK180" s="519"/>
      <c r="AL180" s="595">
        <f t="shared" si="64"/>
        <v>0</v>
      </c>
      <c r="AM180" s="596">
        <f t="shared" si="65"/>
        <v>0</v>
      </c>
      <c r="AN180" s="592"/>
      <c r="AO180" s="519"/>
      <c r="AP180" s="592">
        <v>60091</v>
      </c>
      <c r="AQ180" s="602">
        <v>61894</v>
      </c>
      <c r="AR180" s="592">
        <v>15984</v>
      </c>
      <c r="AS180" s="602">
        <v>15907</v>
      </c>
      <c r="AT180" s="592">
        <v>67908.5</v>
      </c>
      <c r="AU180" s="602">
        <v>72436</v>
      </c>
      <c r="AV180" s="595">
        <f t="shared" si="66"/>
        <v>143983.5</v>
      </c>
      <c r="AW180" s="595">
        <f t="shared" si="67"/>
        <v>5999.3125</v>
      </c>
      <c r="AX180" s="596">
        <f t="shared" si="68"/>
        <v>150237</v>
      </c>
      <c r="AY180" s="596">
        <f t="shared" si="69"/>
        <v>6259.875</v>
      </c>
      <c r="AZ180" s="595">
        <f t="shared" si="70"/>
        <v>29383.379166666666</v>
      </c>
      <c r="BA180" s="596">
        <f t="shared" si="71"/>
        <v>31105.308333333334</v>
      </c>
    </row>
    <row r="181" spans="1:55" s="1" customFormat="1">
      <c r="A181" s="434" t="s">
        <v>435</v>
      </c>
      <c r="B181" s="435" t="s">
        <v>437</v>
      </c>
      <c r="C181" s="436"/>
      <c r="D181" s="437">
        <v>159647</v>
      </c>
      <c r="E181" s="437">
        <v>2</v>
      </c>
      <c r="F181" s="592"/>
      <c r="G181" s="519"/>
      <c r="H181" s="592">
        <v>78585</v>
      </c>
      <c r="I181" s="546">
        <v>78275</v>
      </c>
      <c r="J181" s="592">
        <v>82208</v>
      </c>
      <c r="K181" s="602">
        <v>79379</v>
      </c>
      <c r="L181" s="592">
        <v>13356</v>
      </c>
      <c r="M181" s="602">
        <v>16240</v>
      </c>
      <c r="N181" s="592">
        <v>92816</v>
      </c>
      <c r="O181" s="602">
        <v>88718</v>
      </c>
      <c r="P181" s="595">
        <f t="shared" si="54"/>
        <v>266965</v>
      </c>
      <c r="Q181" s="595">
        <f t="shared" si="55"/>
        <v>8898.8333333333339</v>
      </c>
      <c r="R181" s="596">
        <f t="shared" si="56"/>
        <v>262612</v>
      </c>
      <c r="S181" s="596">
        <f t="shared" si="57"/>
        <v>8753.7333333333336</v>
      </c>
      <c r="T181" s="592">
        <v>19972</v>
      </c>
      <c r="U181" s="602">
        <v>18238</v>
      </c>
      <c r="V181" s="595">
        <f t="shared" si="58"/>
        <v>266965</v>
      </c>
      <c r="W181" s="596">
        <f t="shared" si="59"/>
        <v>262612</v>
      </c>
      <c r="X181" s="592"/>
      <c r="Y181" s="519"/>
      <c r="Z181" s="592"/>
      <c r="AA181" s="519"/>
      <c r="AB181" s="592"/>
      <c r="AC181" s="519"/>
      <c r="AD181" s="592"/>
      <c r="AE181" s="519"/>
      <c r="AF181" s="595">
        <f t="shared" si="60"/>
        <v>0</v>
      </c>
      <c r="AG181" s="595">
        <f t="shared" si="61"/>
        <v>0</v>
      </c>
      <c r="AH181" s="596">
        <f t="shared" si="62"/>
        <v>0</v>
      </c>
      <c r="AI181" s="596">
        <f t="shared" si="63"/>
        <v>0</v>
      </c>
      <c r="AJ181" s="592"/>
      <c r="AK181" s="519"/>
      <c r="AL181" s="595">
        <f t="shared" si="64"/>
        <v>0</v>
      </c>
      <c r="AM181" s="596">
        <f t="shared" si="65"/>
        <v>0</v>
      </c>
      <c r="AN181" s="592">
        <v>5909</v>
      </c>
      <c r="AO181" s="602">
        <v>5933</v>
      </c>
      <c r="AP181" s="592">
        <v>6127</v>
      </c>
      <c r="AQ181" s="602">
        <v>5693</v>
      </c>
      <c r="AR181" s="592">
        <v>3571</v>
      </c>
      <c r="AS181" s="602">
        <v>4402</v>
      </c>
      <c r="AT181" s="592">
        <v>6431</v>
      </c>
      <c r="AU181" s="602">
        <v>6060</v>
      </c>
      <c r="AV181" s="595">
        <f t="shared" si="66"/>
        <v>22038</v>
      </c>
      <c r="AW181" s="595">
        <f t="shared" si="67"/>
        <v>918.25</v>
      </c>
      <c r="AX181" s="596">
        <f t="shared" si="68"/>
        <v>22088</v>
      </c>
      <c r="AY181" s="596">
        <f t="shared" si="69"/>
        <v>920.33333333333337</v>
      </c>
      <c r="AZ181" s="595">
        <f t="shared" si="70"/>
        <v>9817.0833333333339</v>
      </c>
      <c r="BA181" s="596">
        <f t="shared" si="71"/>
        <v>9674.0666666666675</v>
      </c>
    </row>
    <row r="182" spans="1:55" s="1" customFormat="1">
      <c r="A182" s="434" t="s">
        <v>435</v>
      </c>
      <c r="B182" s="435" t="s">
        <v>438</v>
      </c>
      <c r="C182" s="436"/>
      <c r="D182" s="437">
        <v>160658</v>
      </c>
      <c r="E182" s="437">
        <v>2</v>
      </c>
      <c r="F182" s="592"/>
      <c r="G182" s="519"/>
      <c r="H182" s="592"/>
      <c r="I182" s="519"/>
      <c r="J182" s="592">
        <v>177885</v>
      </c>
      <c r="K182" s="602">
        <v>170777</v>
      </c>
      <c r="L182" s="592">
        <v>17740</v>
      </c>
      <c r="M182" s="602">
        <v>17674</v>
      </c>
      <c r="N182" s="592">
        <v>190623</v>
      </c>
      <c r="O182" s="602">
        <v>179915</v>
      </c>
      <c r="P182" s="595">
        <f t="shared" si="54"/>
        <v>386248</v>
      </c>
      <c r="Q182" s="595">
        <f t="shared" si="55"/>
        <v>12874.933333333332</v>
      </c>
      <c r="R182" s="596">
        <f t="shared" si="56"/>
        <v>368366</v>
      </c>
      <c r="S182" s="596">
        <f t="shared" si="57"/>
        <v>12278.866666666667</v>
      </c>
      <c r="T182" s="592">
        <v>5307</v>
      </c>
      <c r="U182" s="602">
        <v>5666</v>
      </c>
      <c r="V182" s="595">
        <f t="shared" si="58"/>
        <v>386248</v>
      </c>
      <c r="W182" s="596">
        <f t="shared" si="59"/>
        <v>368366</v>
      </c>
      <c r="X182" s="592"/>
      <c r="Y182" s="519"/>
      <c r="Z182" s="592"/>
      <c r="AA182" s="519"/>
      <c r="AB182" s="592"/>
      <c r="AC182" s="519"/>
      <c r="AD182" s="592"/>
      <c r="AE182" s="519"/>
      <c r="AF182" s="595">
        <f t="shared" si="60"/>
        <v>0</v>
      </c>
      <c r="AG182" s="595">
        <f t="shared" si="61"/>
        <v>0</v>
      </c>
      <c r="AH182" s="596">
        <f t="shared" si="62"/>
        <v>0</v>
      </c>
      <c r="AI182" s="596">
        <f t="shared" si="63"/>
        <v>0</v>
      </c>
      <c r="AJ182" s="592"/>
      <c r="AK182" s="519"/>
      <c r="AL182" s="595">
        <f t="shared" si="64"/>
        <v>0</v>
      </c>
      <c r="AM182" s="596">
        <f t="shared" si="65"/>
        <v>0</v>
      </c>
      <c r="AN182" s="592"/>
      <c r="AO182" s="519"/>
      <c r="AP182" s="592">
        <v>15803</v>
      </c>
      <c r="AQ182" s="602">
        <v>17250</v>
      </c>
      <c r="AR182" s="592">
        <v>5192</v>
      </c>
      <c r="AS182" s="602">
        <v>5566</v>
      </c>
      <c r="AT182" s="592">
        <v>17724</v>
      </c>
      <c r="AU182" s="602">
        <v>18139</v>
      </c>
      <c r="AV182" s="595">
        <f t="shared" si="66"/>
        <v>38719</v>
      </c>
      <c r="AW182" s="595">
        <f t="shared" si="67"/>
        <v>1613.2916666666667</v>
      </c>
      <c r="AX182" s="596">
        <f t="shared" si="68"/>
        <v>40955</v>
      </c>
      <c r="AY182" s="596">
        <f t="shared" si="69"/>
        <v>1706.4583333333333</v>
      </c>
      <c r="AZ182" s="595">
        <f t="shared" si="70"/>
        <v>14488.224999999999</v>
      </c>
      <c r="BA182" s="596">
        <f t="shared" si="71"/>
        <v>13985.325000000001</v>
      </c>
    </row>
    <row r="183" spans="1:55" s="1" customFormat="1">
      <c r="A183" s="434" t="s">
        <v>435</v>
      </c>
      <c r="B183" s="435" t="s">
        <v>439</v>
      </c>
      <c r="C183" s="436"/>
      <c r="D183" s="437">
        <v>159939</v>
      </c>
      <c r="E183" s="437">
        <v>2</v>
      </c>
      <c r="F183" s="592"/>
      <c r="G183" s="519"/>
      <c r="H183" s="592"/>
      <c r="I183" s="519"/>
      <c r="J183" s="592">
        <v>72248</v>
      </c>
      <c r="K183" s="602">
        <v>70359</v>
      </c>
      <c r="L183" s="592">
        <v>13044</v>
      </c>
      <c r="M183" s="602">
        <v>12645</v>
      </c>
      <c r="N183" s="592">
        <v>80373</v>
      </c>
      <c r="O183" s="602">
        <v>81430</v>
      </c>
      <c r="P183" s="595">
        <f t="shared" si="54"/>
        <v>165665</v>
      </c>
      <c r="Q183" s="595">
        <f t="shared" si="55"/>
        <v>5522.166666666667</v>
      </c>
      <c r="R183" s="596">
        <f t="shared" si="56"/>
        <v>164434</v>
      </c>
      <c r="S183" s="596">
        <f t="shared" si="57"/>
        <v>5481.1333333333332</v>
      </c>
      <c r="T183" s="592">
        <v>4929</v>
      </c>
      <c r="U183" s="602">
        <v>5721</v>
      </c>
      <c r="V183" s="595">
        <f t="shared" si="58"/>
        <v>165665</v>
      </c>
      <c r="W183" s="596">
        <f t="shared" si="59"/>
        <v>164434</v>
      </c>
      <c r="X183" s="592"/>
      <c r="Y183" s="519"/>
      <c r="Z183" s="592"/>
      <c r="AA183" s="519"/>
      <c r="AB183" s="592"/>
      <c r="AC183" s="519"/>
      <c r="AD183" s="592"/>
      <c r="AE183" s="519"/>
      <c r="AF183" s="595">
        <f t="shared" si="60"/>
        <v>0</v>
      </c>
      <c r="AG183" s="595">
        <f t="shared" si="61"/>
        <v>0</v>
      </c>
      <c r="AH183" s="596">
        <f t="shared" si="62"/>
        <v>0</v>
      </c>
      <c r="AI183" s="596">
        <f t="shared" si="63"/>
        <v>0</v>
      </c>
      <c r="AJ183" s="592"/>
      <c r="AK183" s="519"/>
      <c r="AL183" s="595">
        <f t="shared" si="64"/>
        <v>0</v>
      </c>
      <c r="AM183" s="596">
        <f t="shared" si="65"/>
        <v>0</v>
      </c>
      <c r="AN183" s="592"/>
      <c r="AO183" s="519"/>
      <c r="AP183" s="592">
        <v>10099</v>
      </c>
      <c r="AQ183" s="602">
        <v>9733</v>
      </c>
      <c r="AR183" s="592">
        <v>2402</v>
      </c>
      <c r="AS183" s="602">
        <v>2462</v>
      </c>
      <c r="AT183" s="592">
        <v>10810</v>
      </c>
      <c r="AU183" s="602">
        <v>10909</v>
      </c>
      <c r="AV183" s="595">
        <f t="shared" si="66"/>
        <v>23311</v>
      </c>
      <c r="AW183" s="595">
        <f t="shared" si="67"/>
        <v>971.29166666666663</v>
      </c>
      <c r="AX183" s="596">
        <f t="shared" si="68"/>
        <v>23104</v>
      </c>
      <c r="AY183" s="596">
        <f t="shared" si="69"/>
        <v>962.66666666666663</v>
      </c>
      <c r="AZ183" s="595">
        <f t="shared" si="70"/>
        <v>6493.4583333333339</v>
      </c>
      <c r="BA183" s="596">
        <f t="shared" si="71"/>
        <v>6443.8</v>
      </c>
    </row>
    <row r="184" spans="1:55" s="1" customFormat="1">
      <c r="A184" s="434" t="s">
        <v>435</v>
      </c>
      <c r="B184" s="435" t="s">
        <v>445</v>
      </c>
      <c r="C184" s="438"/>
      <c r="D184" s="437">
        <v>159717</v>
      </c>
      <c r="E184" s="437">
        <v>3</v>
      </c>
      <c r="F184" s="592"/>
      <c r="G184" s="519"/>
      <c r="H184" s="592"/>
      <c r="I184" s="519"/>
      <c r="J184" s="592">
        <v>83295</v>
      </c>
      <c r="K184" s="602">
        <v>80099</v>
      </c>
      <c r="L184" s="592">
        <v>9599</v>
      </c>
      <c r="M184" s="602">
        <v>9788</v>
      </c>
      <c r="N184" s="592">
        <v>89545</v>
      </c>
      <c r="O184" s="602">
        <v>88621</v>
      </c>
      <c r="P184" s="595">
        <f t="shared" si="54"/>
        <v>182439</v>
      </c>
      <c r="Q184" s="595">
        <f t="shared" si="55"/>
        <v>6081.3</v>
      </c>
      <c r="R184" s="596">
        <f t="shared" si="56"/>
        <v>178508</v>
      </c>
      <c r="S184" s="596">
        <f t="shared" si="57"/>
        <v>5950.2666666666664</v>
      </c>
      <c r="T184" s="592">
        <v>10902</v>
      </c>
      <c r="U184" s="602">
        <v>10383</v>
      </c>
      <c r="V184" s="595">
        <f t="shared" si="58"/>
        <v>182439</v>
      </c>
      <c r="W184" s="596">
        <f t="shared" si="59"/>
        <v>178508</v>
      </c>
      <c r="X184" s="592"/>
      <c r="Y184" s="519"/>
      <c r="Z184" s="592"/>
      <c r="AA184" s="519"/>
      <c r="AB184" s="592"/>
      <c r="AC184" s="519"/>
      <c r="AD184" s="592"/>
      <c r="AE184" s="519"/>
      <c r="AF184" s="595">
        <f t="shared" si="60"/>
        <v>0</v>
      </c>
      <c r="AG184" s="595">
        <f t="shared" si="61"/>
        <v>0</v>
      </c>
      <c r="AH184" s="596">
        <f t="shared" si="62"/>
        <v>0</v>
      </c>
      <c r="AI184" s="596">
        <f t="shared" si="63"/>
        <v>0</v>
      </c>
      <c r="AJ184" s="592"/>
      <c r="AK184" s="519"/>
      <c r="AL184" s="595">
        <f t="shared" si="64"/>
        <v>0</v>
      </c>
      <c r="AM184" s="596">
        <f t="shared" si="65"/>
        <v>0</v>
      </c>
      <c r="AN184" s="592"/>
      <c r="AO184" s="519"/>
      <c r="AP184" s="592">
        <v>4575</v>
      </c>
      <c r="AQ184" s="602">
        <v>4822</v>
      </c>
      <c r="AR184" s="592">
        <v>1131</v>
      </c>
      <c r="AS184" s="602">
        <v>1128</v>
      </c>
      <c r="AT184" s="592">
        <v>4897</v>
      </c>
      <c r="AU184" s="602">
        <v>4844</v>
      </c>
      <c r="AV184" s="595">
        <f t="shared" si="66"/>
        <v>10603</v>
      </c>
      <c r="AW184" s="595">
        <f t="shared" si="67"/>
        <v>441.79166666666669</v>
      </c>
      <c r="AX184" s="596">
        <f t="shared" si="68"/>
        <v>10794</v>
      </c>
      <c r="AY184" s="596">
        <f t="shared" si="69"/>
        <v>449.75</v>
      </c>
      <c r="AZ184" s="595">
        <f t="shared" si="70"/>
        <v>6523.0916666666672</v>
      </c>
      <c r="BA184" s="596">
        <f t="shared" si="71"/>
        <v>6400.0166666666664</v>
      </c>
    </row>
    <row r="185" spans="1:55" s="1" customFormat="1">
      <c r="A185" s="434" t="s">
        <v>435</v>
      </c>
      <c r="B185" s="435" t="s">
        <v>440</v>
      </c>
      <c r="C185" s="436"/>
      <c r="D185" s="437">
        <v>160612</v>
      </c>
      <c r="E185" s="437">
        <v>3</v>
      </c>
      <c r="F185" s="592"/>
      <c r="G185" s="519"/>
      <c r="H185" s="592"/>
      <c r="I185" s="519"/>
      <c r="J185" s="592">
        <v>149827</v>
      </c>
      <c r="K185" s="602">
        <v>148193</v>
      </c>
      <c r="L185" s="592">
        <v>17379</v>
      </c>
      <c r="M185" s="602">
        <v>20271</v>
      </c>
      <c r="N185" s="592">
        <v>159246</v>
      </c>
      <c r="O185" s="602">
        <v>159852</v>
      </c>
      <c r="P185" s="595">
        <f t="shared" si="54"/>
        <v>326452</v>
      </c>
      <c r="Q185" s="595">
        <f t="shared" si="55"/>
        <v>10881.733333333334</v>
      </c>
      <c r="R185" s="596">
        <f t="shared" si="56"/>
        <v>328316</v>
      </c>
      <c r="S185" s="596">
        <f t="shared" si="57"/>
        <v>10943.866666666667</v>
      </c>
      <c r="T185" s="592">
        <v>21710</v>
      </c>
      <c r="U185" s="602">
        <v>21118</v>
      </c>
      <c r="V185" s="595">
        <f t="shared" si="58"/>
        <v>326452</v>
      </c>
      <c r="W185" s="596">
        <f t="shared" si="59"/>
        <v>328316</v>
      </c>
      <c r="X185" s="592"/>
      <c r="Y185" s="519"/>
      <c r="Z185" s="592"/>
      <c r="AA185" s="519"/>
      <c r="AB185" s="592"/>
      <c r="AC185" s="519"/>
      <c r="AD185" s="592"/>
      <c r="AE185" s="519"/>
      <c r="AF185" s="595">
        <f t="shared" si="60"/>
        <v>0</v>
      </c>
      <c r="AG185" s="595">
        <f t="shared" si="61"/>
        <v>0</v>
      </c>
      <c r="AH185" s="596">
        <f t="shared" si="62"/>
        <v>0</v>
      </c>
      <c r="AI185" s="596">
        <f t="shared" si="63"/>
        <v>0</v>
      </c>
      <c r="AJ185" s="592"/>
      <c r="AK185" s="519"/>
      <c r="AL185" s="595">
        <f t="shared" si="64"/>
        <v>0</v>
      </c>
      <c r="AM185" s="596">
        <f t="shared" si="65"/>
        <v>0</v>
      </c>
      <c r="AN185" s="592"/>
      <c r="AO185" s="519"/>
      <c r="AP185" s="592">
        <v>6654</v>
      </c>
      <c r="AQ185" s="602">
        <v>6429</v>
      </c>
      <c r="AR185" s="592">
        <v>3221</v>
      </c>
      <c r="AS185" s="602">
        <v>3257</v>
      </c>
      <c r="AT185" s="592">
        <v>6941</v>
      </c>
      <c r="AU185" s="602">
        <v>6864</v>
      </c>
      <c r="AV185" s="595">
        <f t="shared" si="66"/>
        <v>16816</v>
      </c>
      <c r="AW185" s="595">
        <f t="shared" si="67"/>
        <v>700.66666666666663</v>
      </c>
      <c r="AX185" s="596">
        <f t="shared" si="68"/>
        <v>16550</v>
      </c>
      <c r="AY185" s="596">
        <f t="shared" si="69"/>
        <v>689.58333333333337</v>
      </c>
      <c r="AZ185" s="595">
        <f t="shared" si="70"/>
        <v>11582.4</v>
      </c>
      <c r="BA185" s="596">
        <f t="shared" si="71"/>
        <v>11633.45</v>
      </c>
    </row>
    <row r="186" spans="1:55" s="1" customFormat="1">
      <c r="A186" s="434" t="s">
        <v>435</v>
      </c>
      <c r="B186" s="435" t="s">
        <v>441</v>
      </c>
      <c r="C186" s="436"/>
      <c r="D186" s="437">
        <v>160621</v>
      </c>
      <c r="E186" s="437">
        <v>3</v>
      </c>
      <c r="F186" s="592"/>
      <c r="G186" s="519"/>
      <c r="H186" s="592"/>
      <c r="I186" s="519"/>
      <c r="J186" s="592">
        <v>70114</v>
      </c>
      <c r="K186" s="602">
        <v>71066</v>
      </c>
      <c r="L186" s="592">
        <v>9215</v>
      </c>
      <c r="M186" s="602">
        <v>9929</v>
      </c>
      <c r="N186" s="592">
        <v>79480</v>
      </c>
      <c r="O186" s="602">
        <v>75953</v>
      </c>
      <c r="P186" s="595">
        <f t="shared" si="54"/>
        <v>158809</v>
      </c>
      <c r="Q186" s="595">
        <f t="shared" si="55"/>
        <v>5293.6333333333332</v>
      </c>
      <c r="R186" s="596">
        <f t="shared" si="56"/>
        <v>156948</v>
      </c>
      <c r="S186" s="596">
        <f t="shared" si="57"/>
        <v>5231.6000000000004</v>
      </c>
      <c r="T186" s="592">
        <v>2513</v>
      </c>
      <c r="U186" s="602">
        <v>4646</v>
      </c>
      <c r="V186" s="595">
        <f t="shared" si="58"/>
        <v>158809</v>
      </c>
      <c r="W186" s="596">
        <f t="shared" si="59"/>
        <v>156948</v>
      </c>
      <c r="X186" s="592"/>
      <c r="Y186" s="519"/>
      <c r="Z186" s="592"/>
      <c r="AA186" s="519"/>
      <c r="AB186" s="592"/>
      <c r="AC186" s="519"/>
      <c r="AD186" s="592"/>
      <c r="AE186" s="519"/>
      <c r="AF186" s="595">
        <f t="shared" si="60"/>
        <v>0</v>
      </c>
      <c r="AG186" s="595">
        <f t="shared" si="61"/>
        <v>0</v>
      </c>
      <c r="AH186" s="596">
        <f t="shared" si="62"/>
        <v>0</v>
      </c>
      <c r="AI186" s="596">
        <f t="shared" si="63"/>
        <v>0</v>
      </c>
      <c r="AJ186" s="592"/>
      <c r="AK186" s="519"/>
      <c r="AL186" s="595">
        <f t="shared" si="64"/>
        <v>0</v>
      </c>
      <c r="AM186" s="596">
        <f t="shared" si="65"/>
        <v>0</v>
      </c>
      <c r="AN186" s="592"/>
      <c r="AO186" s="519"/>
      <c r="AP186" s="592">
        <v>6976</v>
      </c>
      <c r="AQ186" s="602">
        <v>6492</v>
      </c>
      <c r="AR186" s="592">
        <v>1950</v>
      </c>
      <c r="AS186" s="602">
        <v>1942</v>
      </c>
      <c r="AT186" s="592">
        <v>6845</v>
      </c>
      <c r="AU186" s="602">
        <v>6389</v>
      </c>
      <c r="AV186" s="595">
        <f t="shared" si="66"/>
        <v>15771</v>
      </c>
      <c r="AW186" s="595">
        <f t="shared" si="67"/>
        <v>657.125</v>
      </c>
      <c r="AX186" s="596">
        <f t="shared" si="68"/>
        <v>14823</v>
      </c>
      <c r="AY186" s="596">
        <f t="shared" si="69"/>
        <v>617.625</v>
      </c>
      <c r="AZ186" s="595">
        <f t="shared" si="70"/>
        <v>5950.7583333333332</v>
      </c>
      <c r="BA186" s="596">
        <f t="shared" si="71"/>
        <v>5849.2250000000004</v>
      </c>
    </row>
    <row r="187" spans="1:55" s="1" customFormat="1">
      <c r="A187" s="434" t="s">
        <v>435</v>
      </c>
      <c r="B187" s="435" t="s">
        <v>442</v>
      </c>
      <c r="C187" s="436"/>
      <c r="D187" s="437">
        <v>159993</v>
      </c>
      <c r="E187" s="437">
        <v>3</v>
      </c>
      <c r="F187" s="592"/>
      <c r="G187" s="519"/>
      <c r="H187" s="592"/>
      <c r="I187" s="519"/>
      <c r="J187" s="592">
        <v>85595</v>
      </c>
      <c r="K187" s="602">
        <v>81683</v>
      </c>
      <c r="L187" s="592">
        <v>8257</v>
      </c>
      <c r="M187" s="602">
        <v>8060</v>
      </c>
      <c r="N187" s="592">
        <v>86786</v>
      </c>
      <c r="O187" s="602">
        <v>85933</v>
      </c>
      <c r="P187" s="595">
        <f t="shared" si="54"/>
        <v>180638</v>
      </c>
      <c r="Q187" s="595">
        <f t="shared" si="55"/>
        <v>6021.2666666666664</v>
      </c>
      <c r="R187" s="596">
        <f t="shared" si="56"/>
        <v>175676</v>
      </c>
      <c r="S187" s="596">
        <f t="shared" si="57"/>
        <v>5855.8666666666668</v>
      </c>
      <c r="T187" s="592">
        <v>12605</v>
      </c>
      <c r="U187" s="602">
        <v>12228</v>
      </c>
      <c r="V187" s="595">
        <f t="shared" si="58"/>
        <v>180638</v>
      </c>
      <c r="W187" s="596">
        <f t="shared" si="59"/>
        <v>175676</v>
      </c>
      <c r="X187" s="592"/>
      <c r="Y187" s="519"/>
      <c r="Z187" s="592"/>
      <c r="AA187" s="519"/>
      <c r="AB187" s="592"/>
      <c r="AC187" s="519"/>
      <c r="AD187" s="592"/>
      <c r="AE187" s="519"/>
      <c r="AF187" s="595">
        <f t="shared" si="60"/>
        <v>0</v>
      </c>
      <c r="AG187" s="595">
        <f t="shared" si="61"/>
        <v>0</v>
      </c>
      <c r="AH187" s="596">
        <f t="shared" si="62"/>
        <v>0</v>
      </c>
      <c r="AI187" s="596">
        <f t="shared" si="63"/>
        <v>0</v>
      </c>
      <c r="AJ187" s="592"/>
      <c r="AK187" s="519"/>
      <c r="AL187" s="595">
        <f t="shared" si="64"/>
        <v>0</v>
      </c>
      <c r="AM187" s="596">
        <f t="shared" si="65"/>
        <v>0</v>
      </c>
      <c r="AN187" s="592"/>
      <c r="AO187" s="519"/>
      <c r="AP187" s="592">
        <v>15700</v>
      </c>
      <c r="AQ187" s="602">
        <v>16651</v>
      </c>
      <c r="AR187" s="592">
        <v>5754</v>
      </c>
      <c r="AS187" s="602">
        <v>6409</v>
      </c>
      <c r="AT187" s="592">
        <v>17415</v>
      </c>
      <c r="AU187" s="602">
        <v>19271</v>
      </c>
      <c r="AV187" s="595">
        <f t="shared" si="66"/>
        <v>38869</v>
      </c>
      <c r="AW187" s="595">
        <f t="shared" si="67"/>
        <v>1619.5416666666667</v>
      </c>
      <c r="AX187" s="596">
        <f t="shared" si="68"/>
        <v>42331</v>
      </c>
      <c r="AY187" s="596">
        <f t="shared" si="69"/>
        <v>1763.7916666666667</v>
      </c>
      <c r="AZ187" s="595">
        <f t="shared" si="70"/>
        <v>7640.8083333333334</v>
      </c>
      <c r="BA187" s="596">
        <f t="shared" si="71"/>
        <v>7619.6583333333338</v>
      </c>
    </row>
    <row r="188" spans="1:55" s="1" customFormat="1">
      <c r="A188" s="434" t="s">
        <v>435</v>
      </c>
      <c r="B188" s="435" t="s">
        <v>443</v>
      </c>
      <c r="C188" s="436"/>
      <c r="D188" s="437">
        <v>159009</v>
      </c>
      <c r="E188" s="437">
        <v>4</v>
      </c>
      <c r="F188" s="592"/>
      <c r="G188" s="519"/>
      <c r="H188" s="592"/>
      <c r="I188" s="519"/>
      <c r="J188" s="592">
        <v>52125</v>
      </c>
      <c r="K188" s="602">
        <v>53059</v>
      </c>
      <c r="L188" s="592">
        <v>9509</v>
      </c>
      <c r="M188" s="602">
        <v>10394</v>
      </c>
      <c r="N188" s="592">
        <v>58761</v>
      </c>
      <c r="O188" s="602">
        <v>62849</v>
      </c>
      <c r="P188" s="595">
        <f t="shared" si="54"/>
        <v>120395</v>
      </c>
      <c r="Q188" s="595">
        <f t="shared" si="55"/>
        <v>4013.1666666666665</v>
      </c>
      <c r="R188" s="596">
        <f t="shared" si="56"/>
        <v>126302</v>
      </c>
      <c r="S188" s="596">
        <f t="shared" si="57"/>
        <v>4210.0666666666666</v>
      </c>
      <c r="T188" s="592">
        <v>201</v>
      </c>
      <c r="U188" s="602">
        <v>318</v>
      </c>
      <c r="V188" s="595">
        <f t="shared" si="58"/>
        <v>120395</v>
      </c>
      <c r="W188" s="596">
        <f t="shared" si="59"/>
        <v>126302</v>
      </c>
      <c r="X188" s="592"/>
      <c r="Y188" s="519"/>
      <c r="Z188" s="592"/>
      <c r="AA188" s="519"/>
      <c r="AB188" s="592"/>
      <c r="AC188" s="519"/>
      <c r="AD188" s="592"/>
      <c r="AE188" s="519"/>
      <c r="AF188" s="595">
        <f t="shared" si="60"/>
        <v>0</v>
      </c>
      <c r="AG188" s="595">
        <f t="shared" si="61"/>
        <v>0</v>
      </c>
      <c r="AH188" s="596">
        <f t="shared" si="62"/>
        <v>0</v>
      </c>
      <c r="AI188" s="596">
        <f t="shared" si="63"/>
        <v>0</v>
      </c>
      <c r="AJ188" s="592"/>
      <c r="AK188" s="519"/>
      <c r="AL188" s="595">
        <f t="shared" si="64"/>
        <v>0</v>
      </c>
      <c r="AM188" s="596">
        <f t="shared" si="65"/>
        <v>0</v>
      </c>
      <c r="AN188" s="592"/>
      <c r="AO188" s="519"/>
      <c r="AP188" s="592">
        <v>7289</v>
      </c>
      <c r="AQ188" s="602">
        <v>6996</v>
      </c>
      <c r="AR188" s="592">
        <v>3168</v>
      </c>
      <c r="AS188" s="602">
        <v>2957</v>
      </c>
      <c r="AT188" s="592">
        <v>7639</v>
      </c>
      <c r="AU188" s="602">
        <v>6393</v>
      </c>
      <c r="AV188" s="595">
        <f t="shared" si="66"/>
        <v>18096</v>
      </c>
      <c r="AW188" s="595">
        <f t="shared" si="67"/>
        <v>754</v>
      </c>
      <c r="AX188" s="596">
        <f t="shared" si="68"/>
        <v>16346</v>
      </c>
      <c r="AY188" s="596">
        <f t="shared" si="69"/>
        <v>681.08333333333337</v>
      </c>
      <c r="AZ188" s="595">
        <f t="shared" si="70"/>
        <v>4767.1666666666661</v>
      </c>
      <c r="BA188" s="596">
        <f t="shared" si="71"/>
        <v>4891.1499999999996</v>
      </c>
    </row>
    <row r="189" spans="1:55" s="1" customFormat="1">
      <c r="A189" s="434" t="s">
        <v>435</v>
      </c>
      <c r="B189" s="435" t="s">
        <v>444</v>
      </c>
      <c r="C189" s="436"/>
      <c r="D189" s="437">
        <v>159416</v>
      </c>
      <c r="E189" s="437">
        <v>4</v>
      </c>
      <c r="F189" s="592"/>
      <c r="G189" s="519"/>
      <c r="H189" s="592"/>
      <c r="I189" s="519"/>
      <c r="J189" s="592">
        <v>26007</v>
      </c>
      <c r="K189" s="602">
        <v>26451</v>
      </c>
      <c r="L189" s="592">
        <v>4865</v>
      </c>
      <c r="M189" s="602">
        <v>5165</v>
      </c>
      <c r="N189" s="592">
        <v>28983</v>
      </c>
      <c r="O189" s="602">
        <v>29050</v>
      </c>
      <c r="P189" s="595">
        <f t="shared" si="54"/>
        <v>59855</v>
      </c>
      <c r="Q189" s="595">
        <f t="shared" si="55"/>
        <v>1995.1666666666667</v>
      </c>
      <c r="R189" s="596">
        <f t="shared" si="56"/>
        <v>60666</v>
      </c>
      <c r="S189" s="596">
        <f t="shared" si="57"/>
        <v>2022.2</v>
      </c>
      <c r="T189" s="592">
        <v>2506</v>
      </c>
      <c r="U189" s="602">
        <v>2320</v>
      </c>
      <c r="V189" s="595">
        <f t="shared" si="58"/>
        <v>59855</v>
      </c>
      <c r="W189" s="596">
        <f t="shared" si="59"/>
        <v>60666</v>
      </c>
      <c r="X189" s="592"/>
      <c r="Y189" s="519"/>
      <c r="Z189" s="592"/>
      <c r="AA189" s="519"/>
      <c r="AB189" s="592"/>
      <c r="AC189" s="519"/>
      <c r="AD189" s="592"/>
      <c r="AE189" s="519"/>
      <c r="AF189" s="595">
        <f t="shared" si="60"/>
        <v>0</v>
      </c>
      <c r="AG189" s="595">
        <f t="shared" si="61"/>
        <v>0</v>
      </c>
      <c r="AH189" s="596">
        <f t="shared" si="62"/>
        <v>0</v>
      </c>
      <c r="AI189" s="596">
        <f t="shared" si="63"/>
        <v>0</v>
      </c>
      <c r="AJ189" s="592"/>
      <c r="AK189" s="519"/>
      <c r="AL189" s="595">
        <f t="shared" si="64"/>
        <v>0</v>
      </c>
      <c r="AM189" s="596">
        <f t="shared" si="65"/>
        <v>0</v>
      </c>
      <c r="AN189" s="592"/>
      <c r="AO189" s="519"/>
      <c r="AP189" s="592">
        <v>32137</v>
      </c>
      <c r="AQ189" s="602">
        <v>39491</v>
      </c>
      <c r="AR189" s="592">
        <v>28466</v>
      </c>
      <c r="AS189" s="602">
        <v>37946</v>
      </c>
      <c r="AT189" s="592">
        <v>36813</v>
      </c>
      <c r="AU189" s="602">
        <v>47065</v>
      </c>
      <c r="AV189" s="595">
        <f t="shared" si="66"/>
        <v>97416</v>
      </c>
      <c r="AW189" s="595">
        <f t="shared" si="67"/>
        <v>4059</v>
      </c>
      <c r="AX189" s="596">
        <f t="shared" si="68"/>
        <v>124502</v>
      </c>
      <c r="AY189" s="596">
        <f t="shared" si="69"/>
        <v>5187.583333333333</v>
      </c>
      <c r="AZ189" s="595">
        <f t="shared" si="70"/>
        <v>6054.166666666667</v>
      </c>
      <c r="BA189" s="596">
        <f t="shared" si="71"/>
        <v>7209.7833333333328</v>
      </c>
    </row>
    <row r="190" spans="1:55" s="1" customFormat="1">
      <c r="A190" s="434" t="s">
        <v>435</v>
      </c>
      <c r="B190" s="435" t="s">
        <v>446</v>
      </c>
      <c r="C190" s="436"/>
      <c r="D190" s="437">
        <v>159966</v>
      </c>
      <c r="E190" s="437">
        <v>4</v>
      </c>
      <c r="F190" s="592"/>
      <c r="G190" s="519"/>
      <c r="H190" s="592"/>
      <c r="I190" s="519"/>
      <c r="J190" s="592">
        <v>71653</v>
      </c>
      <c r="K190" s="602">
        <v>72441</v>
      </c>
      <c r="L190" s="592">
        <v>7849</v>
      </c>
      <c r="M190" s="602">
        <v>8204</v>
      </c>
      <c r="N190" s="592">
        <v>79340</v>
      </c>
      <c r="O190" s="602">
        <v>80548</v>
      </c>
      <c r="P190" s="595">
        <f t="shared" si="54"/>
        <v>158842</v>
      </c>
      <c r="Q190" s="595">
        <f t="shared" si="55"/>
        <v>5294.7333333333336</v>
      </c>
      <c r="R190" s="596">
        <f t="shared" si="56"/>
        <v>161193</v>
      </c>
      <c r="S190" s="596">
        <f t="shared" si="57"/>
        <v>5373.1</v>
      </c>
      <c r="T190" s="592">
        <v>1792</v>
      </c>
      <c r="U190" s="602">
        <v>2797</v>
      </c>
      <c r="V190" s="595">
        <f t="shared" si="58"/>
        <v>158842</v>
      </c>
      <c r="W190" s="596">
        <f t="shared" si="59"/>
        <v>161193</v>
      </c>
      <c r="X190" s="592"/>
      <c r="Y190" s="519"/>
      <c r="Z190" s="592"/>
      <c r="AA190" s="519"/>
      <c r="AB190" s="592"/>
      <c r="AC190" s="519"/>
      <c r="AD190" s="592"/>
      <c r="AE190" s="519"/>
      <c r="AF190" s="595">
        <f t="shared" si="60"/>
        <v>0</v>
      </c>
      <c r="AG190" s="595">
        <f t="shared" si="61"/>
        <v>0</v>
      </c>
      <c r="AH190" s="596">
        <f t="shared" si="62"/>
        <v>0</v>
      </c>
      <c r="AI190" s="596">
        <f t="shared" si="63"/>
        <v>0</v>
      </c>
      <c r="AJ190" s="592"/>
      <c r="AK190" s="519"/>
      <c r="AL190" s="595">
        <f t="shared" si="64"/>
        <v>0</v>
      </c>
      <c r="AM190" s="596">
        <f t="shared" si="65"/>
        <v>0</v>
      </c>
      <c r="AN190" s="592"/>
      <c r="AO190" s="519"/>
      <c r="AP190" s="592">
        <v>4247</v>
      </c>
      <c r="AQ190" s="602">
        <v>4521</v>
      </c>
      <c r="AR190" s="592">
        <v>1698</v>
      </c>
      <c r="AS190" s="602">
        <v>2182</v>
      </c>
      <c r="AT190" s="592">
        <v>4363</v>
      </c>
      <c r="AU190" s="602">
        <v>4810</v>
      </c>
      <c r="AV190" s="595">
        <f t="shared" si="66"/>
        <v>10308</v>
      </c>
      <c r="AW190" s="595">
        <f t="shared" si="67"/>
        <v>429.5</v>
      </c>
      <c r="AX190" s="596">
        <f t="shared" si="68"/>
        <v>11513</v>
      </c>
      <c r="AY190" s="596">
        <f t="shared" si="69"/>
        <v>479.70833333333331</v>
      </c>
      <c r="AZ190" s="595">
        <f t="shared" si="70"/>
        <v>5724.2333333333336</v>
      </c>
      <c r="BA190" s="596">
        <f t="shared" si="71"/>
        <v>5852.8083333333334</v>
      </c>
    </row>
    <row r="191" spans="1:55" s="1" customFormat="1">
      <c r="A191" s="434" t="s">
        <v>435</v>
      </c>
      <c r="B191" s="435" t="s">
        <v>447</v>
      </c>
      <c r="C191" s="436"/>
      <c r="D191" s="437">
        <v>160038</v>
      </c>
      <c r="E191" s="437">
        <v>4</v>
      </c>
      <c r="F191" s="592"/>
      <c r="G191" s="519"/>
      <c r="H191" s="592"/>
      <c r="I191" s="519"/>
      <c r="J191" s="592">
        <v>107797</v>
      </c>
      <c r="K191" s="602">
        <v>106047</v>
      </c>
      <c r="L191" s="592">
        <v>15708</v>
      </c>
      <c r="M191" s="602">
        <v>16739</v>
      </c>
      <c r="N191" s="592">
        <v>117171</v>
      </c>
      <c r="O191" s="602">
        <v>116028</v>
      </c>
      <c r="P191" s="595">
        <f t="shared" si="54"/>
        <v>240676</v>
      </c>
      <c r="Q191" s="595">
        <f t="shared" si="55"/>
        <v>8022.5333333333338</v>
      </c>
      <c r="R191" s="596">
        <f t="shared" si="56"/>
        <v>238814</v>
      </c>
      <c r="S191" s="596">
        <f t="shared" si="57"/>
        <v>7960.4666666666662</v>
      </c>
      <c r="T191" s="592">
        <v>18051</v>
      </c>
      <c r="U191" s="602">
        <v>21156</v>
      </c>
      <c r="V191" s="595">
        <f t="shared" si="58"/>
        <v>240676</v>
      </c>
      <c r="W191" s="596">
        <f t="shared" si="59"/>
        <v>238814</v>
      </c>
      <c r="X191" s="592"/>
      <c r="Y191" s="519"/>
      <c r="Z191" s="592"/>
      <c r="AA191" s="519"/>
      <c r="AB191" s="592"/>
      <c r="AC191" s="519"/>
      <c r="AD191" s="592"/>
      <c r="AE191" s="519"/>
      <c r="AF191" s="595">
        <f t="shared" si="60"/>
        <v>0</v>
      </c>
      <c r="AG191" s="595">
        <f t="shared" si="61"/>
        <v>0</v>
      </c>
      <c r="AH191" s="596">
        <f t="shared" si="62"/>
        <v>0</v>
      </c>
      <c r="AI191" s="596">
        <f t="shared" si="63"/>
        <v>0</v>
      </c>
      <c r="AJ191" s="592"/>
      <c r="AK191" s="519"/>
      <c r="AL191" s="595">
        <f t="shared" si="64"/>
        <v>0</v>
      </c>
      <c r="AM191" s="596">
        <f t="shared" si="65"/>
        <v>0</v>
      </c>
      <c r="AN191" s="592"/>
      <c r="AO191" s="519"/>
      <c r="AP191" s="592">
        <v>5408</v>
      </c>
      <c r="AQ191" s="602">
        <v>5694</v>
      </c>
      <c r="AR191" s="592">
        <v>3154</v>
      </c>
      <c r="AS191" s="602">
        <v>3447</v>
      </c>
      <c r="AT191" s="592">
        <v>5967</v>
      </c>
      <c r="AU191" s="602">
        <v>6450</v>
      </c>
      <c r="AV191" s="595">
        <f t="shared" si="66"/>
        <v>14529</v>
      </c>
      <c r="AW191" s="595">
        <f t="shared" si="67"/>
        <v>605.375</v>
      </c>
      <c r="AX191" s="596">
        <f t="shared" si="68"/>
        <v>15591</v>
      </c>
      <c r="AY191" s="596">
        <f t="shared" si="69"/>
        <v>649.625</v>
      </c>
      <c r="AZ191" s="595">
        <f t="shared" si="70"/>
        <v>8627.9083333333328</v>
      </c>
      <c r="BA191" s="596">
        <f t="shared" si="71"/>
        <v>8610.0916666666672</v>
      </c>
    </row>
    <row r="192" spans="1:55" s="1" customFormat="1">
      <c r="A192" s="437" t="s">
        <v>435</v>
      </c>
      <c r="B192" s="435" t="s">
        <v>448</v>
      </c>
      <c r="C192" s="438"/>
      <c r="D192" s="437">
        <v>160630</v>
      </c>
      <c r="E192" s="437">
        <v>5</v>
      </c>
      <c r="F192" s="592"/>
      <c r="G192" s="519"/>
      <c r="H192" s="592"/>
      <c r="I192" s="519"/>
      <c r="J192" s="592">
        <v>22074</v>
      </c>
      <c r="K192" s="602">
        <v>20509</v>
      </c>
      <c r="L192" s="592">
        <v>1939</v>
      </c>
      <c r="M192" s="602">
        <v>1737</v>
      </c>
      <c r="N192" s="592">
        <v>22264</v>
      </c>
      <c r="O192" s="602">
        <v>19350</v>
      </c>
      <c r="P192" s="595">
        <f t="shared" si="54"/>
        <v>46277</v>
      </c>
      <c r="Q192" s="595">
        <f t="shared" si="55"/>
        <v>1542.5666666666666</v>
      </c>
      <c r="R192" s="596">
        <f t="shared" si="56"/>
        <v>41596</v>
      </c>
      <c r="S192" s="596">
        <f t="shared" si="57"/>
        <v>1386.5333333333333</v>
      </c>
      <c r="T192" s="592">
        <v>1494</v>
      </c>
      <c r="U192" s="602">
        <v>2642</v>
      </c>
      <c r="V192" s="595">
        <f t="shared" si="58"/>
        <v>46277</v>
      </c>
      <c r="W192" s="596">
        <f t="shared" si="59"/>
        <v>41596</v>
      </c>
      <c r="X192" s="592"/>
      <c r="Y192" s="519"/>
      <c r="Z192" s="592"/>
      <c r="AA192" s="519"/>
      <c r="AB192" s="592"/>
      <c r="AC192" s="519"/>
      <c r="AD192" s="592"/>
      <c r="AE192" s="519"/>
      <c r="AF192" s="595">
        <f t="shared" si="60"/>
        <v>0</v>
      </c>
      <c r="AG192" s="595">
        <f t="shared" si="61"/>
        <v>0</v>
      </c>
      <c r="AH192" s="596">
        <f t="shared" si="62"/>
        <v>0</v>
      </c>
      <c r="AI192" s="596">
        <f t="shared" si="63"/>
        <v>0</v>
      </c>
      <c r="AJ192" s="592"/>
      <c r="AK192" s="519"/>
      <c r="AL192" s="595">
        <f t="shared" si="64"/>
        <v>0</v>
      </c>
      <c r="AM192" s="596">
        <f t="shared" si="65"/>
        <v>0</v>
      </c>
      <c r="AN192" s="592"/>
      <c r="AO192" s="519"/>
      <c r="AP192" s="592">
        <v>4383</v>
      </c>
      <c r="AQ192" s="602">
        <v>3594</v>
      </c>
      <c r="AR192" s="592">
        <v>651</v>
      </c>
      <c r="AS192" s="602">
        <v>561</v>
      </c>
      <c r="AT192" s="592">
        <v>3840</v>
      </c>
      <c r="AU192" s="602">
        <v>2884</v>
      </c>
      <c r="AV192" s="595">
        <f t="shared" si="66"/>
        <v>8874</v>
      </c>
      <c r="AW192" s="595">
        <f t="shared" si="67"/>
        <v>369.75</v>
      </c>
      <c r="AX192" s="596">
        <f t="shared" si="68"/>
        <v>7039</v>
      </c>
      <c r="AY192" s="596">
        <f t="shared" si="69"/>
        <v>293.29166666666669</v>
      </c>
      <c r="AZ192" s="595">
        <f t="shared" si="70"/>
        <v>1912.3166666666666</v>
      </c>
      <c r="BA192" s="596">
        <f t="shared" si="71"/>
        <v>1679.825</v>
      </c>
    </row>
    <row r="193" spans="1:53" s="1" customFormat="1">
      <c r="A193" s="434" t="s">
        <v>435</v>
      </c>
      <c r="B193" s="435" t="s">
        <v>449</v>
      </c>
      <c r="C193" s="438"/>
      <c r="D193" s="437">
        <v>159382</v>
      </c>
      <c r="E193" s="437">
        <v>6</v>
      </c>
      <c r="F193" s="592"/>
      <c r="G193" s="519"/>
      <c r="H193" s="592"/>
      <c r="I193" s="519"/>
      <c r="J193" s="592">
        <v>30627</v>
      </c>
      <c r="K193" s="602">
        <v>32413</v>
      </c>
      <c r="L193" s="592">
        <v>8421</v>
      </c>
      <c r="M193" s="602">
        <v>10183</v>
      </c>
      <c r="N193" s="592">
        <v>35962</v>
      </c>
      <c r="O193" s="602">
        <v>37939</v>
      </c>
      <c r="P193" s="595">
        <f t="shared" si="54"/>
        <v>75010</v>
      </c>
      <c r="Q193" s="595">
        <f t="shared" si="55"/>
        <v>2500.3333333333335</v>
      </c>
      <c r="R193" s="596">
        <f t="shared" si="56"/>
        <v>80535</v>
      </c>
      <c r="S193" s="596">
        <f t="shared" si="57"/>
        <v>2684.5</v>
      </c>
      <c r="T193" s="592">
        <v>5600</v>
      </c>
      <c r="U193" s="602">
        <v>5643</v>
      </c>
      <c r="V193" s="595">
        <f t="shared" si="58"/>
        <v>75010</v>
      </c>
      <c r="W193" s="596">
        <f t="shared" si="59"/>
        <v>80535</v>
      </c>
      <c r="X193" s="592"/>
      <c r="Y193" s="519"/>
      <c r="Z193" s="592"/>
      <c r="AA193" s="519"/>
      <c r="AB193" s="592"/>
      <c r="AC193" s="519"/>
      <c r="AD193" s="592"/>
      <c r="AE193" s="519"/>
      <c r="AF193" s="595">
        <f t="shared" si="60"/>
        <v>0</v>
      </c>
      <c r="AG193" s="595">
        <f t="shared" si="61"/>
        <v>0</v>
      </c>
      <c r="AH193" s="596">
        <f t="shared" si="62"/>
        <v>0</v>
      </c>
      <c r="AI193" s="596">
        <f t="shared" si="63"/>
        <v>0</v>
      </c>
      <c r="AJ193" s="592"/>
      <c r="AK193" s="519"/>
      <c r="AL193" s="595">
        <f t="shared" si="64"/>
        <v>0</v>
      </c>
      <c r="AM193" s="596">
        <f t="shared" si="65"/>
        <v>0</v>
      </c>
      <c r="AN193" s="592"/>
      <c r="AO193" s="519"/>
      <c r="AP193" s="592">
        <v>0</v>
      </c>
      <c r="AQ193" s="602">
        <v>0</v>
      </c>
      <c r="AR193" s="592">
        <v>0</v>
      </c>
      <c r="AS193" s="602">
        <v>0</v>
      </c>
      <c r="AT193" s="592">
        <v>0</v>
      </c>
      <c r="AU193" s="602">
        <v>0</v>
      </c>
      <c r="AV193" s="595">
        <f t="shared" si="66"/>
        <v>0</v>
      </c>
      <c r="AW193" s="595">
        <f t="shared" si="67"/>
        <v>0</v>
      </c>
      <c r="AX193" s="596">
        <f t="shared" si="68"/>
        <v>0</v>
      </c>
      <c r="AY193" s="596">
        <f t="shared" si="69"/>
        <v>0</v>
      </c>
      <c r="AZ193" s="595">
        <f t="shared" si="70"/>
        <v>2500.3333333333335</v>
      </c>
      <c r="BA193" s="596">
        <f t="shared" si="71"/>
        <v>2684.5</v>
      </c>
    </row>
    <row r="194" spans="1:53" s="1" customFormat="1">
      <c r="A194" s="434" t="s">
        <v>435</v>
      </c>
      <c r="B194" s="435" t="s">
        <v>450</v>
      </c>
      <c r="C194" s="436"/>
      <c r="D194" s="437">
        <v>437103</v>
      </c>
      <c r="E194" s="437">
        <v>8</v>
      </c>
      <c r="F194" s="592"/>
      <c r="G194" s="519"/>
      <c r="H194" s="592"/>
      <c r="I194" s="519"/>
      <c r="J194" s="592">
        <v>72063</v>
      </c>
      <c r="K194" s="602">
        <v>67303</v>
      </c>
      <c r="L194" s="592">
        <v>16546</v>
      </c>
      <c r="M194" s="602">
        <v>15972</v>
      </c>
      <c r="N194" s="592">
        <v>78188</v>
      </c>
      <c r="O194" s="602">
        <v>71622</v>
      </c>
      <c r="P194" s="595">
        <f t="shared" si="54"/>
        <v>166797</v>
      </c>
      <c r="Q194" s="595">
        <f t="shared" si="55"/>
        <v>5559.9</v>
      </c>
      <c r="R194" s="596">
        <f t="shared" si="56"/>
        <v>154897</v>
      </c>
      <c r="S194" s="596">
        <f t="shared" si="57"/>
        <v>5163.2333333333336</v>
      </c>
      <c r="T194" s="592">
        <v>3641</v>
      </c>
      <c r="U194" s="602">
        <v>3860</v>
      </c>
      <c r="V194" s="595">
        <f t="shared" si="58"/>
        <v>166797</v>
      </c>
      <c r="W194" s="596">
        <f t="shared" si="59"/>
        <v>154897</v>
      </c>
      <c r="X194" s="592"/>
      <c r="Y194" s="519"/>
      <c r="Z194" s="592"/>
      <c r="AA194" s="519"/>
      <c r="AB194" s="592"/>
      <c r="AC194" s="519"/>
      <c r="AD194" s="592"/>
      <c r="AE194" s="519"/>
      <c r="AF194" s="595">
        <f t="shared" si="60"/>
        <v>0</v>
      </c>
      <c r="AG194" s="595">
        <f t="shared" si="61"/>
        <v>0</v>
      </c>
      <c r="AH194" s="596">
        <f t="shared" si="62"/>
        <v>0</v>
      </c>
      <c r="AI194" s="596">
        <f t="shared" si="63"/>
        <v>0</v>
      </c>
      <c r="AJ194" s="592"/>
      <c r="AK194" s="519"/>
      <c r="AL194" s="595">
        <f t="shared" si="64"/>
        <v>0</v>
      </c>
      <c r="AM194" s="596">
        <f t="shared" si="65"/>
        <v>0</v>
      </c>
      <c r="AN194" s="592"/>
      <c r="AO194" s="519"/>
      <c r="AP194" s="592">
        <v>0</v>
      </c>
      <c r="AQ194" s="602">
        <v>0</v>
      </c>
      <c r="AR194" s="592">
        <v>0</v>
      </c>
      <c r="AS194" s="602">
        <v>0</v>
      </c>
      <c r="AT194" s="592">
        <v>0</v>
      </c>
      <c r="AU194" s="602">
        <v>0</v>
      </c>
      <c r="AV194" s="595">
        <f t="shared" si="66"/>
        <v>0</v>
      </c>
      <c r="AW194" s="595">
        <f t="shared" si="67"/>
        <v>0</v>
      </c>
      <c r="AX194" s="596">
        <f t="shared" si="68"/>
        <v>0</v>
      </c>
      <c r="AY194" s="596">
        <f t="shared" si="69"/>
        <v>0</v>
      </c>
      <c r="AZ194" s="595">
        <f t="shared" si="70"/>
        <v>5559.9</v>
      </c>
      <c r="BA194" s="596">
        <f t="shared" si="71"/>
        <v>5163.2333333333336</v>
      </c>
    </row>
    <row r="195" spans="1:53" s="1" customFormat="1">
      <c r="A195" s="434" t="s">
        <v>435</v>
      </c>
      <c r="B195" s="435" t="s">
        <v>452</v>
      </c>
      <c r="C195" s="436"/>
      <c r="D195" s="437">
        <v>158662</v>
      </c>
      <c r="E195" s="437">
        <v>8</v>
      </c>
      <c r="F195" s="592"/>
      <c r="G195" s="519"/>
      <c r="H195" s="592"/>
      <c r="I195" s="519"/>
      <c r="J195" s="592">
        <v>119342</v>
      </c>
      <c r="K195" s="602">
        <v>122980</v>
      </c>
      <c r="L195" s="592">
        <v>25668</v>
      </c>
      <c r="M195" s="602">
        <v>29222</v>
      </c>
      <c r="N195" s="592">
        <v>128503</v>
      </c>
      <c r="O195" s="602">
        <v>123416</v>
      </c>
      <c r="P195" s="595">
        <f t="shared" si="54"/>
        <v>273513</v>
      </c>
      <c r="Q195" s="595">
        <f t="shared" si="55"/>
        <v>9117.1</v>
      </c>
      <c r="R195" s="596">
        <f t="shared" si="56"/>
        <v>275618</v>
      </c>
      <c r="S195" s="596">
        <f t="shared" si="57"/>
        <v>9187.2666666666664</v>
      </c>
      <c r="T195" s="592">
        <v>6961</v>
      </c>
      <c r="U195" s="602">
        <v>4595</v>
      </c>
      <c r="V195" s="595">
        <f t="shared" si="58"/>
        <v>273513</v>
      </c>
      <c r="W195" s="596">
        <f t="shared" si="59"/>
        <v>275618</v>
      </c>
      <c r="X195" s="592"/>
      <c r="Y195" s="519"/>
      <c r="Z195" s="592"/>
      <c r="AA195" s="519"/>
      <c r="AB195" s="592"/>
      <c r="AC195" s="519"/>
      <c r="AD195" s="592"/>
      <c r="AE195" s="519"/>
      <c r="AF195" s="595">
        <f t="shared" si="60"/>
        <v>0</v>
      </c>
      <c r="AG195" s="595">
        <f t="shared" si="61"/>
        <v>0</v>
      </c>
      <c r="AH195" s="596">
        <f t="shared" si="62"/>
        <v>0</v>
      </c>
      <c r="AI195" s="596">
        <f t="shared" si="63"/>
        <v>0</v>
      </c>
      <c r="AJ195" s="592"/>
      <c r="AK195" s="519"/>
      <c r="AL195" s="595">
        <f t="shared" si="64"/>
        <v>0</v>
      </c>
      <c r="AM195" s="596">
        <f t="shared" si="65"/>
        <v>0</v>
      </c>
      <c r="AN195" s="592"/>
      <c r="AO195" s="519"/>
      <c r="AP195" s="592">
        <v>0</v>
      </c>
      <c r="AQ195" s="602">
        <v>0</v>
      </c>
      <c r="AR195" s="592">
        <v>0</v>
      </c>
      <c r="AS195" s="602">
        <v>0</v>
      </c>
      <c r="AT195" s="592">
        <v>0</v>
      </c>
      <c r="AU195" s="602">
        <v>0</v>
      </c>
      <c r="AV195" s="595">
        <f t="shared" si="66"/>
        <v>0</v>
      </c>
      <c r="AW195" s="595">
        <f t="shared" si="67"/>
        <v>0</v>
      </c>
      <c r="AX195" s="596">
        <f t="shared" si="68"/>
        <v>0</v>
      </c>
      <c r="AY195" s="596">
        <f t="shared" si="69"/>
        <v>0</v>
      </c>
      <c r="AZ195" s="595">
        <f t="shared" si="70"/>
        <v>9117.1</v>
      </c>
      <c r="BA195" s="596">
        <f t="shared" si="71"/>
        <v>9187.2666666666664</v>
      </c>
    </row>
    <row r="196" spans="1:53" s="1" customFormat="1">
      <c r="A196" s="434" t="s">
        <v>435</v>
      </c>
      <c r="B196" s="435" t="s">
        <v>451</v>
      </c>
      <c r="C196" s="438"/>
      <c r="D196" s="437">
        <v>158431</v>
      </c>
      <c r="E196" s="439">
        <v>9</v>
      </c>
      <c r="F196" s="592"/>
      <c r="G196" s="519"/>
      <c r="H196" s="592">
        <v>0</v>
      </c>
      <c r="I196" s="519"/>
      <c r="J196" s="592">
        <v>59337</v>
      </c>
      <c r="K196" s="602">
        <v>58526</v>
      </c>
      <c r="L196" s="592">
        <v>12059</v>
      </c>
      <c r="M196" s="602">
        <v>12045</v>
      </c>
      <c r="N196" s="592">
        <v>62994</v>
      </c>
      <c r="O196" s="602">
        <v>59479</v>
      </c>
      <c r="P196" s="595">
        <f t="shared" si="54"/>
        <v>134390</v>
      </c>
      <c r="Q196" s="595">
        <f t="shared" si="55"/>
        <v>4479.666666666667</v>
      </c>
      <c r="R196" s="596">
        <f t="shared" si="56"/>
        <v>130050</v>
      </c>
      <c r="S196" s="596">
        <f t="shared" si="57"/>
        <v>4335</v>
      </c>
      <c r="T196" s="592">
        <v>4854</v>
      </c>
      <c r="U196" s="602">
        <v>4988</v>
      </c>
      <c r="V196" s="595">
        <f t="shared" si="58"/>
        <v>134390</v>
      </c>
      <c r="W196" s="596">
        <f t="shared" si="59"/>
        <v>130050</v>
      </c>
      <c r="X196" s="592"/>
      <c r="Y196" s="519"/>
      <c r="Z196" s="592"/>
      <c r="AA196" s="519"/>
      <c r="AB196" s="592"/>
      <c r="AC196" s="519"/>
      <c r="AD196" s="592"/>
      <c r="AE196" s="519"/>
      <c r="AF196" s="595">
        <f t="shared" si="60"/>
        <v>0</v>
      </c>
      <c r="AG196" s="595">
        <f t="shared" si="61"/>
        <v>0</v>
      </c>
      <c r="AH196" s="596">
        <f t="shared" si="62"/>
        <v>0</v>
      </c>
      <c r="AI196" s="596">
        <f t="shared" si="63"/>
        <v>0</v>
      </c>
      <c r="AJ196" s="592"/>
      <c r="AK196" s="519"/>
      <c r="AL196" s="595">
        <f t="shared" si="64"/>
        <v>0</v>
      </c>
      <c r="AM196" s="596">
        <f t="shared" si="65"/>
        <v>0</v>
      </c>
      <c r="AN196" s="592"/>
      <c r="AO196" s="519"/>
      <c r="AP196" s="592">
        <v>0</v>
      </c>
      <c r="AQ196" s="602">
        <v>0</v>
      </c>
      <c r="AR196" s="592">
        <v>0</v>
      </c>
      <c r="AS196" s="602">
        <v>0</v>
      </c>
      <c r="AT196" s="592">
        <v>0</v>
      </c>
      <c r="AU196" s="602">
        <v>0</v>
      </c>
      <c r="AV196" s="595">
        <f t="shared" si="66"/>
        <v>0</v>
      </c>
      <c r="AW196" s="595">
        <f t="shared" si="67"/>
        <v>0</v>
      </c>
      <c r="AX196" s="596">
        <f t="shared" si="68"/>
        <v>0</v>
      </c>
      <c r="AY196" s="596">
        <f t="shared" si="69"/>
        <v>0</v>
      </c>
      <c r="AZ196" s="595">
        <f t="shared" si="70"/>
        <v>4479.666666666667</v>
      </c>
      <c r="BA196" s="596">
        <f t="shared" si="71"/>
        <v>4335</v>
      </c>
    </row>
    <row r="197" spans="1:53" s="1" customFormat="1">
      <c r="A197" s="434" t="s">
        <v>435</v>
      </c>
      <c r="B197" s="435" t="s">
        <v>453</v>
      </c>
      <c r="C197" s="438"/>
      <c r="D197" s="437">
        <v>483212</v>
      </c>
      <c r="E197" s="437">
        <v>9</v>
      </c>
      <c r="F197" s="592"/>
      <c r="G197" s="519"/>
      <c r="H197" s="592"/>
      <c r="I197" s="519"/>
      <c r="J197" s="592">
        <v>37133</v>
      </c>
      <c r="K197" s="602">
        <v>37559.5</v>
      </c>
      <c r="L197" s="592">
        <v>12240</v>
      </c>
      <c r="M197" s="602">
        <v>9550.5</v>
      </c>
      <c r="N197" s="592">
        <v>42692.5</v>
      </c>
      <c r="O197" s="602">
        <v>37352</v>
      </c>
      <c r="P197" s="595">
        <f t="shared" si="54"/>
        <v>92065.5</v>
      </c>
      <c r="Q197" s="595">
        <f t="shared" si="55"/>
        <v>3068.85</v>
      </c>
      <c r="R197" s="596">
        <f t="shared" si="56"/>
        <v>84462</v>
      </c>
      <c r="S197" s="596">
        <f t="shared" si="57"/>
        <v>2815.4</v>
      </c>
      <c r="T197" s="592">
        <v>4869</v>
      </c>
      <c r="U197" s="602">
        <v>5211</v>
      </c>
      <c r="V197" s="595">
        <f t="shared" si="58"/>
        <v>92065.5</v>
      </c>
      <c r="W197" s="596">
        <f t="shared" si="59"/>
        <v>84462</v>
      </c>
      <c r="X197" s="592"/>
      <c r="Y197" s="519"/>
      <c r="Z197" s="592"/>
      <c r="AA197" s="519"/>
      <c r="AB197" s="592"/>
      <c r="AC197" s="519"/>
      <c r="AD197" s="592"/>
      <c r="AE197" s="519"/>
      <c r="AF197" s="595">
        <f t="shared" si="60"/>
        <v>0</v>
      </c>
      <c r="AG197" s="595">
        <f t="shared" si="61"/>
        <v>0</v>
      </c>
      <c r="AH197" s="596">
        <f t="shared" si="62"/>
        <v>0</v>
      </c>
      <c r="AI197" s="596">
        <f t="shared" si="63"/>
        <v>0</v>
      </c>
      <c r="AJ197" s="592"/>
      <c r="AK197" s="519"/>
      <c r="AL197" s="595">
        <f t="shared" si="64"/>
        <v>0</v>
      </c>
      <c r="AM197" s="596">
        <f t="shared" si="65"/>
        <v>0</v>
      </c>
      <c r="AN197" s="592"/>
      <c r="AO197" s="519"/>
      <c r="AP197" s="592">
        <v>0</v>
      </c>
      <c r="AQ197" s="602">
        <v>0</v>
      </c>
      <c r="AR197" s="592">
        <v>0</v>
      </c>
      <c r="AS197" s="602">
        <v>0</v>
      </c>
      <c r="AT197" s="592">
        <v>0</v>
      </c>
      <c r="AU197" s="602">
        <v>0</v>
      </c>
      <c r="AV197" s="595">
        <f t="shared" si="66"/>
        <v>0</v>
      </c>
      <c r="AW197" s="595">
        <f t="shared" si="67"/>
        <v>0</v>
      </c>
      <c r="AX197" s="596">
        <f t="shared" si="68"/>
        <v>0</v>
      </c>
      <c r="AY197" s="596">
        <f t="shared" si="69"/>
        <v>0</v>
      </c>
      <c r="AZ197" s="595">
        <f t="shared" si="70"/>
        <v>3068.85</v>
      </c>
      <c r="BA197" s="596">
        <f t="shared" si="71"/>
        <v>2815.4</v>
      </c>
    </row>
    <row r="198" spans="1:53" s="1" customFormat="1">
      <c r="A198" s="434" t="s">
        <v>435</v>
      </c>
      <c r="B198" s="435" t="s">
        <v>454</v>
      </c>
      <c r="C198" s="436"/>
      <c r="D198" s="437">
        <v>434061</v>
      </c>
      <c r="E198" s="437">
        <v>9</v>
      </c>
      <c r="F198" s="592"/>
      <c r="G198" s="519"/>
      <c r="H198" s="592"/>
      <c r="I198" s="519"/>
      <c r="J198" s="592">
        <v>58167</v>
      </c>
      <c r="K198" s="602">
        <v>60089</v>
      </c>
      <c r="L198" s="592">
        <v>15709</v>
      </c>
      <c r="M198" s="602">
        <v>15748</v>
      </c>
      <c r="N198" s="592">
        <v>69068</v>
      </c>
      <c r="O198" s="602">
        <v>63628</v>
      </c>
      <c r="P198" s="595">
        <f t="shared" si="54"/>
        <v>142944</v>
      </c>
      <c r="Q198" s="595">
        <f t="shared" si="55"/>
        <v>4764.8</v>
      </c>
      <c r="R198" s="596">
        <f t="shared" si="56"/>
        <v>139465</v>
      </c>
      <c r="S198" s="596">
        <f t="shared" si="57"/>
        <v>4648.833333333333</v>
      </c>
      <c r="T198" s="592">
        <v>12335</v>
      </c>
      <c r="U198" s="602">
        <v>10223</v>
      </c>
      <c r="V198" s="595">
        <f t="shared" si="58"/>
        <v>142944</v>
      </c>
      <c r="W198" s="596">
        <f t="shared" si="59"/>
        <v>139465</v>
      </c>
      <c r="X198" s="592"/>
      <c r="Y198" s="519"/>
      <c r="Z198" s="592"/>
      <c r="AA198" s="519"/>
      <c r="AB198" s="592"/>
      <c r="AC198" s="519"/>
      <c r="AD198" s="592"/>
      <c r="AE198" s="519"/>
      <c r="AF198" s="595">
        <f t="shared" si="60"/>
        <v>0</v>
      </c>
      <c r="AG198" s="595">
        <f t="shared" si="61"/>
        <v>0</v>
      </c>
      <c r="AH198" s="596">
        <f t="shared" si="62"/>
        <v>0</v>
      </c>
      <c r="AI198" s="596">
        <f t="shared" si="63"/>
        <v>0</v>
      </c>
      <c r="AJ198" s="592"/>
      <c r="AK198" s="519"/>
      <c r="AL198" s="595">
        <f t="shared" si="64"/>
        <v>0</v>
      </c>
      <c r="AM198" s="596">
        <f t="shared" si="65"/>
        <v>0</v>
      </c>
      <c r="AN198" s="592"/>
      <c r="AO198" s="519"/>
      <c r="AP198" s="592">
        <v>0</v>
      </c>
      <c r="AQ198" s="602">
        <v>0</v>
      </c>
      <c r="AR198" s="592">
        <v>0</v>
      </c>
      <c r="AS198" s="602">
        <v>0</v>
      </c>
      <c r="AT198" s="592">
        <v>0</v>
      </c>
      <c r="AU198" s="602">
        <v>0</v>
      </c>
      <c r="AV198" s="595">
        <f t="shared" si="66"/>
        <v>0</v>
      </c>
      <c r="AW198" s="595">
        <f t="shared" si="67"/>
        <v>0</v>
      </c>
      <c r="AX198" s="596">
        <f t="shared" si="68"/>
        <v>0</v>
      </c>
      <c r="AY198" s="596">
        <f t="shared" si="69"/>
        <v>0</v>
      </c>
      <c r="AZ198" s="595">
        <f t="shared" si="70"/>
        <v>4764.8</v>
      </c>
      <c r="BA198" s="596">
        <f t="shared" si="71"/>
        <v>4648.833333333333</v>
      </c>
    </row>
    <row r="199" spans="1:53" s="1" customFormat="1">
      <c r="A199" s="434" t="s">
        <v>435</v>
      </c>
      <c r="B199" s="435" t="s">
        <v>455</v>
      </c>
      <c r="C199" s="438"/>
      <c r="D199" s="437">
        <v>160649</v>
      </c>
      <c r="E199" s="437">
        <v>9</v>
      </c>
      <c r="F199" s="592"/>
      <c r="G199" s="519"/>
      <c r="H199" s="592"/>
      <c r="I199" s="519"/>
      <c r="J199" s="592">
        <v>24894</v>
      </c>
      <c r="K199" s="602">
        <v>27043</v>
      </c>
      <c r="L199" s="592">
        <v>9753</v>
      </c>
      <c r="M199" s="602">
        <v>6980</v>
      </c>
      <c r="N199" s="592">
        <v>31001</v>
      </c>
      <c r="O199" s="602">
        <v>27360</v>
      </c>
      <c r="P199" s="595">
        <f t="shared" si="54"/>
        <v>65648</v>
      </c>
      <c r="Q199" s="595">
        <f t="shared" si="55"/>
        <v>2188.2666666666669</v>
      </c>
      <c r="R199" s="596">
        <f t="shared" si="56"/>
        <v>61383</v>
      </c>
      <c r="S199" s="596">
        <f t="shared" si="57"/>
        <v>2046.1</v>
      </c>
      <c r="T199" s="592">
        <v>4219</v>
      </c>
      <c r="U199" s="602">
        <v>4190</v>
      </c>
      <c r="V199" s="595">
        <f t="shared" si="58"/>
        <v>65648</v>
      </c>
      <c r="W199" s="596">
        <f t="shared" si="59"/>
        <v>61383</v>
      </c>
      <c r="X199" s="592"/>
      <c r="Y199" s="519"/>
      <c r="Z199" s="592"/>
      <c r="AA199" s="519"/>
      <c r="AB199" s="592"/>
      <c r="AC199" s="519"/>
      <c r="AD199" s="592"/>
      <c r="AE199" s="519"/>
      <c r="AF199" s="595">
        <f t="shared" si="60"/>
        <v>0</v>
      </c>
      <c r="AG199" s="595">
        <f t="shared" si="61"/>
        <v>0</v>
      </c>
      <c r="AH199" s="596">
        <f t="shared" si="62"/>
        <v>0</v>
      </c>
      <c r="AI199" s="596">
        <f t="shared" si="63"/>
        <v>0</v>
      </c>
      <c r="AJ199" s="592"/>
      <c r="AK199" s="519"/>
      <c r="AL199" s="595">
        <f t="shared" si="64"/>
        <v>0</v>
      </c>
      <c r="AM199" s="596">
        <f t="shared" si="65"/>
        <v>0</v>
      </c>
      <c r="AN199" s="592"/>
      <c r="AO199" s="519"/>
      <c r="AP199" s="592">
        <v>0</v>
      </c>
      <c r="AQ199" s="602">
        <v>0</v>
      </c>
      <c r="AR199" s="592">
        <v>0</v>
      </c>
      <c r="AS199" s="602">
        <v>0</v>
      </c>
      <c r="AT199" s="592">
        <v>0</v>
      </c>
      <c r="AU199" s="602">
        <v>0</v>
      </c>
      <c r="AV199" s="595">
        <f t="shared" si="66"/>
        <v>0</v>
      </c>
      <c r="AW199" s="595">
        <f t="shared" si="67"/>
        <v>0</v>
      </c>
      <c r="AX199" s="596">
        <f t="shared" si="68"/>
        <v>0</v>
      </c>
      <c r="AY199" s="596">
        <f t="shared" si="69"/>
        <v>0</v>
      </c>
      <c r="AZ199" s="595">
        <f t="shared" si="70"/>
        <v>2188.2666666666669</v>
      </c>
      <c r="BA199" s="596">
        <f t="shared" si="71"/>
        <v>2046.1</v>
      </c>
    </row>
    <row r="200" spans="1:53" s="1" customFormat="1">
      <c r="A200" s="434" t="s">
        <v>435</v>
      </c>
      <c r="B200" s="435" t="s">
        <v>456</v>
      </c>
      <c r="C200" s="547" t="s">
        <v>913</v>
      </c>
      <c r="D200" s="437">
        <v>159407</v>
      </c>
      <c r="E200" s="548">
        <v>9</v>
      </c>
      <c r="F200" s="592"/>
      <c r="G200" s="519"/>
      <c r="H200" s="592"/>
      <c r="I200" s="519"/>
      <c r="J200" s="592">
        <v>27806</v>
      </c>
      <c r="K200" s="602">
        <v>25546</v>
      </c>
      <c r="L200" s="592">
        <v>3542</v>
      </c>
      <c r="M200" s="602">
        <v>3610</v>
      </c>
      <c r="N200" s="592">
        <v>30533</v>
      </c>
      <c r="O200" s="602">
        <v>31649</v>
      </c>
      <c r="P200" s="595">
        <f t="shared" ref="P200:P263" si="72">SUM(H200,J200,L200,N200)</f>
        <v>61881</v>
      </c>
      <c r="Q200" s="595">
        <f t="shared" ref="Q200:Q263" si="73">+P200/30</f>
        <v>2062.6999999999998</v>
      </c>
      <c r="R200" s="596">
        <f t="shared" ref="R200:R263" si="74">SUM(I200,K200,M200,O200)</f>
        <v>60805</v>
      </c>
      <c r="S200" s="596">
        <f t="shared" ref="S200:S263" si="75">+R200/30</f>
        <v>2026.8333333333333</v>
      </c>
      <c r="T200" s="592">
        <v>5257</v>
      </c>
      <c r="U200" s="602">
        <v>5658</v>
      </c>
      <c r="V200" s="595">
        <f t="shared" ref="V200:V263" si="76">IF(ISBLANK(T200),0,P200)</f>
        <v>61881</v>
      </c>
      <c r="W200" s="596">
        <f t="shared" ref="W200:W263" si="77">IF(ISBLANK(U200),0,R200)</f>
        <v>60805</v>
      </c>
      <c r="X200" s="592"/>
      <c r="Y200" s="519"/>
      <c r="Z200" s="592"/>
      <c r="AA200" s="519"/>
      <c r="AB200" s="592"/>
      <c r="AC200" s="519"/>
      <c r="AD200" s="592"/>
      <c r="AE200" s="519"/>
      <c r="AF200" s="595">
        <f t="shared" ref="AF200:AF263" si="78">SUM(X200,Z200,AB200,AD200)</f>
        <v>0</v>
      </c>
      <c r="AG200" s="595">
        <f t="shared" ref="AG200:AG263" si="79">+AF200/900</f>
        <v>0</v>
      </c>
      <c r="AH200" s="596">
        <f t="shared" ref="AH200:AH263" si="80">SUM(Y200,AA200,AC200,AE200)</f>
        <v>0</v>
      </c>
      <c r="AI200" s="596">
        <f t="shared" ref="AI200:AI263" si="81">+AH200/900</f>
        <v>0</v>
      </c>
      <c r="AJ200" s="592"/>
      <c r="AK200" s="519"/>
      <c r="AL200" s="595">
        <f t="shared" ref="AL200:AL263" si="82">IF(ISBLANK(AJ200),0,AF200)</f>
        <v>0</v>
      </c>
      <c r="AM200" s="596">
        <f t="shared" ref="AM200:AM263" si="83">IF(ISBLANK(AK200),0,AH200)</f>
        <v>0</v>
      </c>
      <c r="AN200" s="592"/>
      <c r="AO200" s="519"/>
      <c r="AP200" s="592">
        <v>0</v>
      </c>
      <c r="AQ200" s="602">
        <v>0</v>
      </c>
      <c r="AR200" s="592">
        <v>0</v>
      </c>
      <c r="AS200" s="602">
        <v>0</v>
      </c>
      <c r="AT200" s="592">
        <v>0</v>
      </c>
      <c r="AU200" s="602">
        <v>0</v>
      </c>
      <c r="AV200" s="595">
        <f t="shared" ref="AV200:AV263" si="84">SUM(AN200,AP200,AR200,AT200)</f>
        <v>0</v>
      </c>
      <c r="AW200" s="595">
        <f t="shared" ref="AW200:AW263" si="85">+AV200/24</f>
        <v>0</v>
      </c>
      <c r="AX200" s="596">
        <f t="shared" ref="AX200:AX263" si="86">SUM(AO200,AQ200,AS200,AU200)</f>
        <v>0</v>
      </c>
      <c r="AY200" s="596">
        <f t="shared" ref="AY200:AY263" si="87">+AX200/24</f>
        <v>0</v>
      </c>
      <c r="AZ200" s="595">
        <f t="shared" ref="AZ200:AZ263" si="88">SUM(Q200,AG200,AW200)</f>
        <v>2062.6999999999998</v>
      </c>
      <c r="BA200" s="596">
        <f t="shared" ref="BA200:BA263" si="89">SUM(S200,AI200,AY200)</f>
        <v>2026.8333333333333</v>
      </c>
    </row>
    <row r="201" spans="1:53" s="1" customFormat="1">
      <c r="A201" s="434" t="s">
        <v>435</v>
      </c>
      <c r="B201" s="435" t="s">
        <v>457</v>
      </c>
      <c r="C201" s="436"/>
      <c r="D201" s="437">
        <v>158884</v>
      </c>
      <c r="E201" s="437">
        <v>10</v>
      </c>
      <c r="F201" s="592"/>
      <c r="G201" s="519"/>
      <c r="H201" s="592"/>
      <c r="I201" s="519"/>
      <c r="J201" s="592">
        <v>19433</v>
      </c>
      <c r="K201" s="602">
        <v>19922</v>
      </c>
      <c r="L201" s="592">
        <v>4101</v>
      </c>
      <c r="M201" s="602">
        <v>4819</v>
      </c>
      <c r="N201" s="592">
        <v>20306</v>
      </c>
      <c r="O201" s="602">
        <v>19862</v>
      </c>
      <c r="P201" s="595">
        <f t="shared" si="72"/>
        <v>43840</v>
      </c>
      <c r="Q201" s="595">
        <f t="shared" si="73"/>
        <v>1461.3333333333333</v>
      </c>
      <c r="R201" s="596">
        <f t="shared" si="74"/>
        <v>44603</v>
      </c>
      <c r="S201" s="596">
        <f t="shared" si="75"/>
        <v>1486.7666666666667</v>
      </c>
      <c r="T201" s="592">
        <v>4571</v>
      </c>
      <c r="U201" s="602">
        <v>4151</v>
      </c>
      <c r="V201" s="595">
        <f t="shared" si="76"/>
        <v>43840</v>
      </c>
      <c r="W201" s="596">
        <f t="shared" si="77"/>
        <v>44603</v>
      </c>
      <c r="X201" s="592"/>
      <c r="Y201" s="519"/>
      <c r="Z201" s="592"/>
      <c r="AA201" s="519"/>
      <c r="AB201" s="592"/>
      <c r="AC201" s="519"/>
      <c r="AD201" s="592"/>
      <c r="AE201" s="519"/>
      <c r="AF201" s="595">
        <f t="shared" si="78"/>
        <v>0</v>
      </c>
      <c r="AG201" s="595">
        <f t="shared" si="79"/>
        <v>0</v>
      </c>
      <c r="AH201" s="596">
        <f t="shared" si="80"/>
        <v>0</v>
      </c>
      <c r="AI201" s="596">
        <f t="shared" si="81"/>
        <v>0</v>
      </c>
      <c r="AJ201" s="592"/>
      <c r="AK201" s="519"/>
      <c r="AL201" s="595">
        <f t="shared" si="82"/>
        <v>0</v>
      </c>
      <c r="AM201" s="596">
        <f t="shared" si="83"/>
        <v>0</v>
      </c>
      <c r="AN201" s="592"/>
      <c r="AO201" s="519"/>
      <c r="AP201" s="592">
        <v>0</v>
      </c>
      <c r="AQ201" s="602">
        <v>0</v>
      </c>
      <c r="AR201" s="592">
        <v>0</v>
      </c>
      <c r="AS201" s="602">
        <v>0</v>
      </c>
      <c r="AT201" s="592">
        <v>0</v>
      </c>
      <c r="AU201" s="602">
        <v>0</v>
      </c>
      <c r="AV201" s="595">
        <f t="shared" si="84"/>
        <v>0</v>
      </c>
      <c r="AW201" s="595">
        <f t="shared" si="85"/>
        <v>0</v>
      </c>
      <c r="AX201" s="596">
        <f t="shared" si="86"/>
        <v>0</v>
      </c>
      <c r="AY201" s="596">
        <f t="shared" si="87"/>
        <v>0</v>
      </c>
      <c r="AZ201" s="595">
        <f t="shared" si="88"/>
        <v>1461.3333333333333</v>
      </c>
      <c r="BA201" s="596">
        <f t="shared" si="89"/>
        <v>1486.7666666666667</v>
      </c>
    </row>
    <row r="202" spans="1:53" s="1" customFormat="1">
      <c r="A202" s="437" t="s">
        <v>435</v>
      </c>
      <c r="B202" s="435" t="s">
        <v>458</v>
      </c>
      <c r="C202" s="436" t="s">
        <v>833</v>
      </c>
      <c r="D202" s="437">
        <v>436304</v>
      </c>
      <c r="E202" s="437">
        <v>10</v>
      </c>
      <c r="F202" s="592"/>
      <c r="G202" s="519"/>
      <c r="H202" s="592"/>
      <c r="I202" s="519"/>
      <c r="J202" s="592">
        <v>26604</v>
      </c>
      <c r="K202" s="602">
        <v>27753</v>
      </c>
      <c r="L202" s="592">
        <v>5434</v>
      </c>
      <c r="M202" s="602">
        <v>4507</v>
      </c>
      <c r="N202" s="592">
        <v>29482</v>
      </c>
      <c r="O202" s="602">
        <v>26308</v>
      </c>
      <c r="P202" s="595">
        <f t="shared" si="72"/>
        <v>61520</v>
      </c>
      <c r="Q202" s="595">
        <f t="shared" si="73"/>
        <v>2050.6666666666665</v>
      </c>
      <c r="R202" s="596">
        <f t="shared" si="74"/>
        <v>58568</v>
      </c>
      <c r="S202" s="596">
        <f t="shared" si="75"/>
        <v>1952.2666666666667</v>
      </c>
      <c r="T202" s="592">
        <v>9243</v>
      </c>
      <c r="U202" s="602">
        <v>9102</v>
      </c>
      <c r="V202" s="595">
        <f t="shared" si="76"/>
        <v>61520</v>
      </c>
      <c r="W202" s="596">
        <f t="shared" si="77"/>
        <v>58568</v>
      </c>
      <c r="X202" s="592"/>
      <c r="Y202" s="519"/>
      <c r="Z202" s="592"/>
      <c r="AA202" s="519"/>
      <c r="AB202" s="592"/>
      <c r="AC202" s="519"/>
      <c r="AD202" s="592"/>
      <c r="AE202" s="519"/>
      <c r="AF202" s="595">
        <f t="shared" si="78"/>
        <v>0</v>
      </c>
      <c r="AG202" s="595">
        <f t="shared" si="79"/>
        <v>0</v>
      </c>
      <c r="AH202" s="596">
        <f t="shared" si="80"/>
        <v>0</v>
      </c>
      <c r="AI202" s="596">
        <f t="shared" si="81"/>
        <v>0</v>
      </c>
      <c r="AJ202" s="592"/>
      <c r="AK202" s="519"/>
      <c r="AL202" s="595">
        <f t="shared" si="82"/>
        <v>0</v>
      </c>
      <c r="AM202" s="596">
        <f t="shared" si="83"/>
        <v>0</v>
      </c>
      <c r="AN202" s="592"/>
      <c r="AO202" s="519"/>
      <c r="AP202" s="592">
        <v>0</v>
      </c>
      <c r="AQ202" s="602">
        <v>0</v>
      </c>
      <c r="AR202" s="592">
        <v>0</v>
      </c>
      <c r="AS202" s="602">
        <v>0</v>
      </c>
      <c r="AT202" s="592">
        <v>0</v>
      </c>
      <c r="AU202" s="602">
        <v>0</v>
      </c>
      <c r="AV202" s="595">
        <f t="shared" si="84"/>
        <v>0</v>
      </c>
      <c r="AW202" s="595">
        <f t="shared" si="85"/>
        <v>0</v>
      </c>
      <c r="AX202" s="596">
        <f t="shared" si="86"/>
        <v>0</v>
      </c>
      <c r="AY202" s="596">
        <f t="shared" si="87"/>
        <v>0</v>
      </c>
      <c r="AZ202" s="595">
        <f t="shared" si="88"/>
        <v>2050.6666666666665</v>
      </c>
      <c r="BA202" s="596">
        <f t="shared" si="89"/>
        <v>1952.2666666666667</v>
      </c>
    </row>
    <row r="203" spans="1:53" s="1" customFormat="1">
      <c r="A203" s="437" t="s">
        <v>435</v>
      </c>
      <c r="B203" s="435" t="s">
        <v>815</v>
      </c>
      <c r="C203" s="436"/>
      <c r="D203" s="437">
        <v>158088</v>
      </c>
      <c r="E203" s="437">
        <v>12</v>
      </c>
      <c r="F203" s="592"/>
      <c r="G203" s="519"/>
      <c r="H203" s="592"/>
      <c r="I203" s="519"/>
      <c r="J203" s="592">
        <v>18799</v>
      </c>
      <c r="K203" s="602">
        <v>20470</v>
      </c>
      <c r="L203" s="592">
        <v>3746</v>
      </c>
      <c r="M203" s="602">
        <v>3164</v>
      </c>
      <c r="N203" s="592">
        <v>22989</v>
      </c>
      <c r="O203" s="602">
        <v>19407</v>
      </c>
      <c r="P203" s="595">
        <f t="shared" si="72"/>
        <v>45534</v>
      </c>
      <c r="Q203" s="595">
        <f t="shared" si="73"/>
        <v>1517.8</v>
      </c>
      <c r="R203" s="596">
        <f t="shared" si="74"/>
        <v>43041</v>
      </c>
      <c r="S203" s="596">
        <f t="shared" si="75"/>
        <v>1434.7</v>
      </c>
      <c r="T203" s="592">
        <v>7479</v>
      </c>
      <c r="U203" s="602">
        <v>7220</v>
      </c>
      <c r="V203" s="595">
        <f t="shared" si="76"/>
        <v>45534</v>
      </c>
      <c r="W203" s="596">
        <f t="shared" si="77"/>
        <v>43041</v>
      </c>
      <c r="X203" s="592"/>
      <c r="Y203" s="519"/>
      <c r="Z203" s="592"/>
      <c r="AA203" s="519"/>
      <c r="AB203" s="592"/>
      <c r="AC203" s="519"/>
      <c r="AD203" s="592"/>
      <c r="AE203" s="519"/>
      <c r="AF203" s="595">
        <f t="shared" si="78"/>
        <v>0</v>
      </c>
      <c r="AG203" s="595">
        <f t="shared" si="79"/>
        <v>0</v>
      </c>
      <c r="AH203" s="596">
        <f t="shared" si="80"/>
        <v>0</v>
      </c>
      <c r="AI203" s="596">
        <f t="shared" si="81"/>
        <v>0</v>
      </c>
      <c r="AJ203" s="592"/>
      <c r="AK203" s="519"/>
      <c r="AL203" s="595">
        <f t="shared" si="82"/>
        <v>0</v>
      </c>
      <c r="AM203" s="596">
        <f t="shared" si="83"/>
        <v>0</v>
      </c>
      <c r="AN203" s="592"/>
      <c r="AO203" s="519"/>
      <c r="AP203" s="592">
        <v>0</v>
      </c>
      <c r="AQ203" s="602">
        <v>0</v>
      </c>
      <c r="AR203" s="592">
        <v>0</v>
      </c>
      <c r="AS203" s="602">
        <v>0</v>
      </c>
      <c r="AT203" s="592">
        <v>0</v>
      </c>
      <c r="AU203" s="602">
        <v>0</v>
      </c>
      <c r="AV203" s="595">
        <f t="shared" si="84"/>
        <v>0</v>
      </c>
      <c r="AW203" s="595">
        <f t="shared" si="85"/>
        <v>0</v>
      </c>
      <c r="AX203" s="596">
        <f t="shared" si="86"/>
        <v>0</v>
      </c>
      <c r="AY203" s="596">
        <f t="shared" si="87"/>
        <v>0</v>
      </c>
      <c r="AZ203" s="595">
        <f t="shared" si="88"/>
        <v>1517.8</v>
      </c>
      <c r="BA203" s="596">
        <f t="shared" si="89"/>
        <v>1434.7</v>
      </c>
    </row>
    <row r="204" spans="1:53" s="1" customFormat="1">
      <c r="A204" s="437" t="s">
        <v>435</v>
      </c>
      <c r="B204" s="435" t="s">
        <v>459</v>
      </c>
      <c r="C204" s="438"/>
      <c r="D204" s="437">
        <v>160481</v>
      </c>
      <c r="E204" s="437">
        <v>12</v>
      </c>
      <c r="F204" s="592"/>
      <c r="G204" s="519"/>
      <c r="H204" s="592"/>
      <c r="I204" s="519"/>
      <c r="J204" s="592">
        <v>20445</v>
      </c>
      <c r="K204" s="602">
        <v>21994</v>
      </c>
      <c r="L204" s="592">
        <v>3635</v>
      </c>
      <c r="M204" s="602">
        <v>3024</v>
      </c>
      <c r="N204" s="592">
        <v>24164</v>
      </c>
      <c r="O204" s="602">
        <v>21844</v>
      </c>
      <c r="P204" s="595">
        <f t="shared" si="72"/>
        <v>48244</v>
      </c>
      <c r="Q204" s="595">
        <f t="shared" si="73"/>
        <v>1608.1333333333334</v>
      </c>
      <c r="R204" s="596">
        <f t="shared" si="74"/>
        <v>46862</v>
      </c>
      <c r="S204" s="596">
        <f t="shared" si="75"/>
        <v>1562.0666666666666</v>
      </c>
      <c r="T204" s="592">
        <v>2390</v>
      </c>
      <c r="U204" s="602">
        <v>2096</v>
      </c>
      <c r="V204" s="595">
        <f t="shared" si="76"/>
        <v>48244</v>
      </c>
      <c r="W204" s="596">
        <f t="shared" si="77"/>
        <v>46862</v>
      </c>
      <c r="X204" s="592"/>
      <c r="Y204" s="519"/>
      <c r="Z204" s="592"/>
      <c r="AA204" s="519"/>
      <c r="AB204" s="592"/>
      <c r="AC204" s="519"/>
      <c r="AD204" s="592"/>
      <c r="AE204" s="519"/>
      <c r="AF204" s="595">
        <f t="shared" si="78"/>
        <v>0</v>
      </c>
      <c r="AG204" s="595">
        <f t="shared" si="79"/>
        <v>0</v>
      </c>
      <c r="AH204" s="596">
        <f t="shared" si="80"/>
        <v>0</v>
      </c>
      <c r="AI204" s="596">
        <f t="shared" si="81"/>
        <v>0</v>
      </c>
      <c r="AJ204" s="592"/>
      <c r="AK204" s="519"/>
      <c r="AL204" s="595">
        <f t="shared" si="82"/>
        <v>0</v>
      </c>
      <c r="AM204" s="596">
        <f t="shared" si="83"/>
        <v>0</v>
      </c>
      <c r="AN204" s="592"/>
      <c r="AO204" s="519"/>
      <c r="AP204" s="592">
        <v>0</v>
      </c>
      <c r="AQ204" s="602">
        <v>0</v>
      </c>
      <c r="AR204" s="592">
        <v>0</v>
      </c>
      <c r="AS204" s="602">
        <v>0</v>
      </c>
      <c r="AT204" s="592">
        <v>0</v>
      </c>
      <c r="AU204" s="602">
        <v>0</v>
      </c>
      <c r="AV204" s="595">
        <f t="shared" si="84"/>
        <v>0</v>
      </c>
      <c r="AW204" s="595">
        <f t="shared" si="85"/>
        <v>0</v>
      </c>
      <c r="AX204" s="596">
        <f t="shared" si="86"/>
        <v>0</v>
      </c>
      <c r="AY204" s="596">
        <f t="shared" si="87"/>
        <v>0</v>
      </c>
      <c r="AZ204" s="595">
        <f t="shared" si="88"/>
        <v>1608.1333333333334</v>
      </c>
      <c r="BA204" s="596">
        <f t="shared" si="89"/>
        <v>1562.0666666666666</v>
      </c>
    </row>
    <row r="205" spans="1:53" s="1" customFormat="1">
      <c r="A205" s="437" t="s">
        <v>435</v>
      </c>
      <c r="B205" s="435" t="s">
        <v>460</v>
      </c>
      <c r="C205" s="436"/>
      <c r="D205" s="437">
        <v>160667</v>
      </c>
      <c r="E205" s="437">
        <v>12</v>
      </c>
      <c r="F205" s="592"/>
      <c r="G205" s="519"/>
      <c r="H205" s="592"/>
      <c r="I205" s="519"/>
      <c r="J205" s="592">
        <v>30112</v>
      </c>
      <c r="K205" s="602">
        <v>30265</v>
      </c>
      <c r="L205" s="592">
        <v>4642</v>
      </c>
      <c r="M205" s="602">
        <v>4747</v>
      </c>
      <c r="N205" s="592">
        <v>33719</v>
      </c>
      <c r="O205" s="602">
        <v>28770</v>
      </c>
      <c r="P205" s="595">
        <f t="shared" si="72"/>
        <v>68473</v>
      </c>
      <c r="Q205" s="595">
        <f t="shared" si="73"/>
        <v>2282.4333333333334</v>
      </c>
      <c r="R205" s="596">
        <f t="shared" si="74"/>
        <v>63782</v>
      </c>
      <c r="S205" s="596">
        <f t="shared" si="75"/>
        <v>2126.0666666666666</v>
      </c>
      <c r="T205" s="592">
        <v>8635</v>
      </c>
      <c r="U205" s="602">
        <v>5489</v>
      </c>
      <c r="V205" s="595">
        <f t="shared" si="76"/>
        <v>68473</v>
      </c>
      <c r="W205" s="596">
        <f t="shared" si="77"/>
        <v>63782</v>
      </c>
      <c r="X205" s="592"/>
      <c r="Y205" s="519"/>
      <c r="Z205" s="592"/>
      <c r="AA205" s="519"/>
      <c r="AB205" s="592"/>
      <c r="AC205" s="519"/>
      <c r="AD205" s="592"/>
      <c r="AE205" s="519"/>
      <c r="AF205" s="595">
        <f t="shared" si="78"/>
        <v>0</v>
      </c>
      <c r="AG205" s="595">
        <f t="shared" si="79"/>
        <v>0</v>
      </c>
      <c r="AH205" s="596">
        <f t="shared" si="80"/>
        <v>0</v>
      </c>
      <c r="AI205" s="596">
        <f t="shared" si="81"/>
        <v>0</v>
      </c>
      <c r="AJ205" s="592"/>
      <c r="AK205" s="519"/>
      <c r="AL205" s="595">
        <f t="shared" si="82"/>
        <v>0</v>
      </c>
      <c r="AM205" s="596">
        <f t="shared" si="83"/>
        <v>0</v>
      </c>
      <c r="AN205" s="592"/>
      <c r="AO205" s="519"/>
      <c r="AP205" s="592">
        <v>0</v>
      </c>
      <c r="AQ205" s="602">
        <v>0</v>
      </c>
      <c r="AR205" s="592">
        <v>0</v>
      </c>
      <c r="AS205" s="602">
        <v>0</v>
      </c>
      <c r="AT205" s="592">
        <v>0</v>
      </c>
      <c r="AU205" s="602">
        <v>0</v>
      </c>
      <c r="AV205" s="595">
        <f t="shared" si="84"/>
        <v>0</v>
      </c>
      <c r="AW205" s="595">
        <f t="shared" si="85"/>
        <v>0</v>
      </c>
      <c r="AX205" s="596">
        <f t="shared" si="86"/>
        <v>0</v>
      </c>
      <c r="AY205" s="596">
        <f t="shared" si="87"/>
        <v>0</v>
      </c>
      <c r="AZ205" s="595">
        <f t="shared" si="88"/>
        <v>2282.4333333333334</v>
      </c>
      <c r="BA205" s="596">
        <f t="shared" si="89"/>
        <v>2126.0666666666666</v>
      </c>
    </row>
    <row r="206" spans="1:53" s="1" customFormat="1">
      <c r="A206" s="437" t="s">
        <v>435</v>
      </c>
      <c r="B206" s="435" t="s">
        <v>462</v>
      </c>
      <c r="C206" s="436"/>
      <c r="D206" s="437">
        <v>160579</v>
      </c>
      <c r="E206" s="437">
        <v>12</v>
      </c>
      <c r="F206" s="592"/>
      <c r="G206" s="519"/>
      <c r="H206" s="592"/>
      <c r="I206" s="519"/>
      <c r="J206" s="592">
        <v>31282</v>
      </c>
      <c r="K206" s="602">
        <v>33539.5</v>
      </c>
      <c r="L206" s="592">
        <v>5870</v>
      </c>
      <c r="M206" s="602">
        <v>5671</v>
      </c>
      <c r="N206" s="592">
        <v>37313.5</v>
      </c>
      <c r="O206" s="602">
        <v>29649.5</v>
      </c>
      <c r="P206" s="595">
        <f t="shared" si="72"/>
        <v>74465.5</v>
      </c>
      <c r="Q206" s="595">
        <f t="shared" si="73"/>
        <v>2482.1833333333334</v>
      </c>
      <c r="R206" s="596">
        <f t="shared" si="74"/>
        <v>68860</v>
      </c>
      <c r="S206" s="596">
        <f t="shared" si="75"/>
        <v>2295.3333333333335</v>
      </c>
      <c r="T206" s="592">
        <v>5305</v>
      </c>
      <c r="U206" s="602">
        <v>3937</v>
      </c>
      <c r="V206" s="595">
        <f t="shared" si="76"/>
        <v>74465.5</v>
      </c>
      <c r="W206" s="596">
        <f t="shared" si="77"/>
        <v>68860</v>
      </c>
      <c r="X206" s="592"/>
      <c r="Y206" s="519"/>
      <c r="Z206" s="592"/>
      <c r="AA206" s="519"/>
      <c r="AB206" s="592"/>
      <c r="AC206" s="519"/>
      <c r="AD206" s="592"/>
      <c r="AE206" s="519"/>
      <c r="AF206" s="595">
        <f t="shared" si="78"/>
        <v>0</v>
      </c>
      <c r="AG206" s="595">
        <f t="shared" si="79"/>
        <v>0</v>
      </c>
      <c r="AH206" s="596">
        <f t="shared" si="80"/>
        <v>0</v>
      </c>
      <c r="AI206" s="596">
        <f t="shared" si="81"/>
        <v>0</v>
      </c>
      <c r="AJ206" s="592"/>
      <c r="AK206" s="519"/>
      <c r="AL206" s="595">
        <f t="shared" si="82"/>
        <v>0</v>
      </c>
      <c r="AM206" s="596">
        <f t="shared" si="83"/>
        <v>0</v>
      </c>
      <c r="AN206" s="592"/>
      <c r="AO206" s="519"/>
      <c r="AP206" s="592"/>
      <c r="AQ206" s="602">
        <v>0</v>
      </c>
      <c r="AR206" s="592"/>
      <c r="AS206" s="602">
        <v>0</v>
      </c>
      <c r="AT206" s="592"/>
      <c r="AU206" s="602">
        <v>0</v>
      </c>
      <c r="AV206" s="595">
        <f t="shared" si="84"/>
        <v>0</v>
      </c>
      <c r="AW206" s="595">
        <f t="shared" si="85"/>
        <v>0</v>
      </c>
      <c r="AX206" s="596">
        <f t="shared" si="86"/>
        <v>0</v>
      </c>
      <c r="AY206" s="596">
        <f t="shared" si="87"/>
        <v>0</v>
      </c>
      <c r="AZ206" s="595">
        <f t="shared" si="88"/>
        <v>2482.1833333333334</v>
      </c>
      <c r="BA206" s="596">
        <f t="shared" si="89"/>
        <v>2295.3333333333335</v>
      </c>
    </row>
    <row r="207" spans="1:53" s="1" customFormat="1">
      <c r="A207" s="437" t="s">
        <v>435</v>
      </c>
      <c r="B207" s="435" t="s">
        <v>461</v>
      </c>
      <c r="C207" s="438"/>
      <c r="D207" s="437">
        <v>160010</v>
      </c>
      <c r="E207" s="439">
        <v>13</v>
      </c>
      <c r="F207" s="592"/>
      <c r="G207" s="519"/>
      <c r="H207" s="592"/>
      <c r="I207" s="519"/>
      <c r="J207" s="592">
        <v>10079</v>
      </c>
      <c r="K207" s="602">
        <v>10324</v>
      </c>
      <c r="L207" s="592">
        <v>3517</v>
      </c>
      <c r="M207" s="602">
        <v>2720</v>
      </c>
      <c r="N207" s="592">
        <v>11022</v>
      </c>
      <c r="O207" s="602">
        <v>9779</v>
      </c>
      <c r="P207" s="595">
        <f t="shared" si="72"/>
        <v>24618</v>
      </c>
      <c r="Q207" s="595">
        <f t="shared" si="73"/>
        <v>820.6</v>
      </c>
      <c r="R207" s="596">
        <f t="shared" si="74"/>
        <v>22823</v>
      </c>
      <c r="S207" s="596">
        <f t="shared" si="75"/>
        <v>760.76666666666665</v>
      </c>
      <c r="T207" s="592">
        <v>1439</v>
      </c>
      <c r="U207" s="602">
        <v>1348</v>
      </c>
      <c r="V207" s="595">
        <f t="shared" si="76"/>
        <v>24618</v>
      </c>
      <c r="W207" s="596">
        <f t="shared" si="77"/>
        <v>22823</v>
      </c>
      <c r="X207" s="592"/>
      <c r="Y207" s="519"/>
      <c r="Z207" s="592"/>
      <c r="AA207" s="519"/>
      <c r="AB207" s="592"/>
      <c r="AC207" s="519"/>
      <c r="AD207" s="592"/>
      <c r="AE207" s="519"/>
      <c r="AF207" s="595">
        <f t="shared" si="78"/>
        <v>0</v>
      </c>
      <c r="AG207" s="595">
        <f t="shared" si="79"/>
        <v>0</v>
      </c>
      <c r="AH207" s="596">
        <f t="shared" si="80"/>
        <v>0</v>
      </c>
      <c r="AI207" s="596">
        <f t="shared" si="81"/>
        <v>0</v>
      </c>
      <c r="AJ207" s="592"/>
      <c r="AK207" s="519"/>
      <c r="AL207" s="595">
        <f t="shared" si="82"/>
        <v>0</v>
      </c>
      <c r="AM207" s="596">
        <f t="shared" si="83"/>
        <v>0</v>
      </c>
      <c r="AN207" s="592"/>
      <c r="AO207" s="519"/>
      <c r="AP207" s="592">
        <v>0</v>
      </c>
      <c r="AQ207" s="602">
        <v>0</v>
      </c>
      <c r="AR207" s="592">
        <v>0</v>
      </c>
      <c r="AS207" s="602">
        <v>0</v>
      </c>
      <c r="AT207" s="592">
        <v>0</v>
      </c>
      <c r="AU207" s="602">
        <v>0</v>
      </c>
      <c r="AV207" s="595">
        <f t="shared" si="84"/>
        <v>0</v>
      </c>
      <c r="AW207" s="595">
        <f t="shared" si="85"/>
        <v>0</v>
      </c>
      <c r="AX207" s="596">
        <f t="shared" si="86"/>
        <v>0</v>
      </c>
      <c r="AY207" s="596">
        <f t="shared" si="87"/>
        <v>0</v>
      </c>
      <c r="AZ207" s="595">
        <f t="shared" si="88"/>
        <v>820.6</v>
      </c>
      <c r="BA207" s="596">
        <f t="shared" si="89"/>
        <v>760.76666666666665</v>
      </c>
    </row>
    <row r="208" spans="1:53" s="1" customFormat="1">
      <c r="A208" s="437" t="s">
        <v>435</v>
      </c>
      <c r="B208" s="440" t="s">
        <v>842</v>
      </c>
      <c r="C208" s="436"/>
      <c r="D208" s="441">
        <v>440916</v>
      </c>
      <c r="E208" s="437">
        <v>15</v>
      </c>
      <c r="F208" s="592"/>
      <c r="G208" s="519"/>
      <c r="H208" s="592"/>
      <c r="I208" s="519"/>
      <c r="J208" s="592"/>
      <c r="K208" s="602">
        <v>0</v>
      </c>
      <c r="L208" s="592"/>
      <c r="M208" s="602">
        <v>0</v>
      </c>
      <c r="N208" s="592"/>
      <c r="O208" s="602">
        <v>0</v>
      </c>
      <c r="P208" s="595">
        <f t="shared" si="72"/>
        <v>0</v>
      </c>
      <c r="Q208" s="595">
        <f t="shared" si="73"/>
        <v>0</v>
      </c>
      <c r="R208" s="596">
        <f t="shared" si="74"/>
        <v>0</v>
      </c>
      <c r="S208" s="596">
        <f t="shared" si="75"/>
        <v>0</v>
      </c>
      <c r="T208" s="592"/>
      <c r="U208" s="519"/>
      <c r="V208" s="595">
        <f t="shared" si="76"/>
        <v>0</v>
      </c>
      <c r="W208" s="596">
        <f t="shared" si="77"/>
        <v>0</v>
      </c>
      <c r="X208" s="592"/>
      <c r="Y208" s="519"/>
      <c r="Z208" s="592"/>
      <c r="AA208" s="519"/>
      <c r="AB208" s="592"/>
      <c r="AC208" s="519"/>
      <c r="AD208" s="592"/>
      <c r="AE208" s="519"/>
      <c r="AF208" s="595">
        <f t="shared" si="78"/>
        <v>0</v>
      </c>
      <c r="AG208" s="595">
        <f t="shared" si="79"/>
        <v>0</v>
      </c>
      <c r="AH208" s="596">
        <f t="shared" si="80"/>
        <v>0</v>
      </c>
      <c r="AI208" s="596">
        <f t="shared" si="81"/>
        <v>0</v>
      </c>
      <c r="AJ208" s="592"/>
      <c r="AK208" s="519"/>
      <c r="AL208" s="595">
        <f t="shared" si="82"/>
        <v>0</v>
      </c>
      <c r="AM208" s="596">
        <f t="shared" si="83"/>
        <v>0</v>
      </c>
      <c r="AN208" s="592"/>
      <c r="AO208" s="519"/>
      <c r="AP208" s="592">
        <v>7299</v>
      </c>
      <c r="AQ208" s="602">
        <v>8126</v>
      </c>
      <c r="AR208" s="592">
        <v>1553</v>
      </c>
      <c r="AS208" s="602">
        <v>1856</v>
      </c>
      <c r="AT208" s="592">
        <v>8936</v>
      </c>
      <c r="AU208" s="602">
        <v>11238</v>
      </c>
      <c r="AV208" s="595">
        <f t="shared" si="84"/>
        <v>17788</v>
      </c>
      <c r="AW208" s="595">
        <f t="shared" si="85"/>
        <v>741.16666666666663</v>
      </c>
      <c r="AX208" s="596">
        <f t="shared" si="86"/>
        <v>21220</v>
      </c>
      <c r="AY208" s="596">
        <f t="shared" si="87"/>
        <v>884.16666666666663</v>
      </c>
      <c r="AZ208" s="595">
        <f t="shared" si="88"/>
        <v>741.16666666666663</v>
      </c>
      <c r="BA208" s="596">
        <f t="shared" si="89"/>
        <v>884.16666666666663</v>
      </c>
    </row>
    <row r="209" spans="1:53" s="365" customFormat="1" ht="13.5" customHeight="1">
      <c r="A209" s="442" t="s">
        <v>463</v>
      </c>
      <c r="B209" s="418" t="s">
        <v>481</v>
      </c>
      <c r="C209" s="420"/>
      <c r="D209" s="417">
        <v>161688</v>
      </c>
      <c r="E209" s="417">
        <v>10</v>
      </c>
      <c r="F209" s="592" t="s">
        <v>74</v>
      </c>
      <c r="G209" s="519" t="s">
        <v>74</v>
      </c>
      <c r="H209" s="603">
        <v>0</v>
      </c>
      <c r="I209" s="519">
        <v>0</v>
      </c>
      <c r="J209" s="603">
        <v>20882</v>
      </c>
      <c r="K209" s="519">
        <v>21157</v>
      </c>
      <c r="L209" s="603">
        <v>3506</v>
      </c>
      <c r="M209" s="519">
        <v>3558</v>
      </c>
      <c r="N209" s="603">
        <v>23347</v>
      </c>
      <c r="O209" s="519">
        <v>22222</v>
      </c>
      <c r="P209" s="595">
        <f t="shared" si="72"/>
        <v>47735</v>
      </c>
      <c r="Q209" s="595">
        <f t="shared" si="73"/>
        <v>1591.1666666666667</v>
      </c>
      <c r="R209" s="596">
        <f t="shared" si="74"/>
        <v>46937</v>
      </c>
      <c r="S209" s="596">
        <f t="shared" si="75"/>
        <v>1564.5666666666666</v>
      </c>
      <c r="T209" s="603"/>
      <c r="U209" s="519"/>
      <c r="V209" s="595">
        <f t="shared" si="76"/>
        <v>0</v>
      </c>
      <c r="W209" s="596">
        <f t="shared" si="77"/>
        <v>0</v>
      </c>
      <c r="X209" s="603"/>
      <c r="Y209" s="519"/>
      <c r="Z209" s="603"/>
      <c r="AA209" s="519"/>
      <c r="AB209" s="603"/>
      <c r="AC209" s="519"/>
      <c r="AD209" s="603"/>
      <c r="AE209" s="519"/>
      <c r="AF209" s="595">
        <f t="shared" si="78"/>
        <v>0</v>
      </c>
      <c r="AG209" s="595">
        <f t="shared" si="79"/>
        <v>0</v>
      </c>
      <c r="AH209" s="596">
        <f t="shared" si="80"/>
        <v>0</v>
      </c>
      <c r="AI209" s="596">
        <f t="shared" si="81"/>
        <v>0</v>
      </c>
      <c r="AJ209" s="603"/>
      <c r="AK209" s="519"/>
      <c r="AL209" s="595">
        <f t="shared" si="82"/>
        <v>0</v>
      </c>
      <c r="AM209" s="596">
        <f t="shared" si="83"/>
        <v>0</v>
      </c>
      <c r="AN209" s="603">
        <v>0</v>
      </c>
      <c r="AO209" s="519">
        <v>0</v>
      </c>
      <c r="AP209" s="603">
        <v>0</v>
      </c>
      <c r="AQ209" s="519">
        <v>0</v>
      </c>
      <c r="AR209" s="603">
        <v>0</v>
      </c>
      <c r="AS209" s="519">
        <v>0</v>
      </c>
      <c r="AT209" s="603">
        <v>0</v>
      </c>
      <c r="AU209" s="519">
        <v>0</v>
      </c>
      <c r="AV209" s="595">
        <f t="shared" si="84"/>
        <v>0</v>
      </c>
      <c r="AW209" s="595">
        <f t="shared" si="85"/>
        <v>0</v>
      </c>
      <c r="AX209" s="596">
        <f t="shared" si="86"/>
        <v>0</v>
      </c>
      <c r="AY209" s="596">
        <f t="shared" si="87"/>
        <v>0</v>
      </c>
      <c r="AZ209" s="595">
        <f t="shared" si="88"/>
        <v>1591.1666666666667</v>
      </c>
      <c r="BA209" s="596">
        <f t="shared" si="89"/>
        <v>1564.5666666666666</v>
      </c>
    </row>
    <row r="210" spans="1:53" s="1" customFormat="1">
      <c r="A210" s="442" t="s">
        <v>463</v>
      </c>
      <c r="B210" s="418" t="s">
        <v>475</v>
      </c>
      <c r="C210" s="419"/>
      <c r="D210" s="417">
        <v>161767</v>
      </c>
      <c r="E210" s="417">
        <v>8</v>
      </c>
      <c r="F210" s="592" t="s">
        <v>74</v>
      </c>
      <c r="G210" s="519" t="s">
        <v>74</v>
      </c>
      <c r="H210" s="603">
        <v>4968</v>
      </c>
      <c r="I210" s="519">
        <v>5210</v>
      </c>
      <c r="J210" s="603">
        <v>93417</v>
      </c>
      <c r="K210" s="519">
        <v>89281</v>
      </c>
      <c r="L210" s="603">
        <v>25001</v>
      </c>
      <c r="M210" s="519">
        <v>28777</v>
      </c>
      <c r="N210" s="603">
        <v>103748</v>
      </c>
      <c r="O210" s="519">
        <v>98900</v>
      </c>
      <c r="P210" s="595">
        <f t="shared" si="72"/>
        <v>227134</v>
      </c>
      <c r="Q210" s="595">
        <f t="shared" si="73"/>
        <v>7571.1333333333332</v>
      </c>
      <c r="R210" s="596">
        <f t="shared" si="74"/>
        <v>222168</v>
      </c>
      <c r="S210" s="596">
        <f t="shared" si="75"/>
        <v>7405.6</v>
      </c>
      <c r="T210" s="603"/>
      <c r="U210" s="519"/>
      <c r="V210" s="595">
        <f t="shared" si="76"/>
        <v>0</v>
      </c>
      <c r="W210" s="596">
        <f t="shared" si="77"/>
        <v>0</v>
      </c>
      <c r="X210" s="603"/>
      <c r="Y210" s="519"/>
      <c r="Z210" s="603"/>
      <c r="AA210" s="519"/>
      <c r="AB210" s="603"/>
      <c r="AC210" s="519"/>
      <c r="AD210" s="603"/>
      <c r="AE210" s="519"/>
      <c r="AF210" s="595">
        <f t="shared" si="78"/>
        <v>0</v>
      </c>
      <c r="AG210" s="595">
        <f t="shared" si="79"/>
        <v>0</v>
      </c>
      <c r="AH210" s="596">
        <f t="shared" si="80"/>
        <v>0</v>
      </c>
      <c r="AI210" s="596">
        <f t="shared" si="81"/>
        <v>0</v>
      </c>
      <c r="AJ210" s="603"/>
      <c r="AK210" s="519"/>
      <c r="AL210" s="595">
        <f t="shared" si="82"/>
        <v>0</v>
      </c>
      <c r="AM210" s="596">
        <f t="shared" si="83"/>
        <v>0</v>
      </c>
      <c r="AN210" s="603">
        <v>0</v>
      </c>
      <c r="AO210" s="519">
        <v>0</v>
      </c>
      <c r="AP210" s="603">
        <v>0</v>
      </c>
      <c r="AQ210" s="519">
        <v>0</v>
      </c>
      <c r="AR210" s="603">
        <v>0</v>
      </c>
      <c r="AS210" s="519">
        <v>0</v>
      </c>
      <c r="AT210" s="603">
        <v>0</v>
      </c>
      <c r="AU210" s="519">
        <v>0</v>
      </c>
      <c r="AV210" s="595">
        <f t="shared" si="84"/>
        <v>0</v>
      </c>
      <c r="AW210" s="595">
        <f t="shared" si="85"/>
        <v>0</v>
      </c>
      <c r="AX210" s="596">
        <f t="shared" si="86"/>
        <v>0</v>
      </c>
      <c r="AY210" s="596">
        <f t="shared" si="87"/>
        <v>0</v>
      </c>
      <c r="AZ210" s="595">
        <f t="shared" si="88"/>
        <v>7571.1333333333332</v>
      </c>
      <c r="BA210" s="596">
        <f t="shared" si="89"/>
        <v>7405.6</v>
      </c>
    </row>
    <row r="211" spans="1:53" s="1" customFormat="1">
      <c r="A211" s="442" t="s">
        <v>463</v>
      </c>
      <c r="B211" s="418" t="s">
        <v>482</v>
      </c>
      <c r="C211" s="419"/>
      <c r="D211" s="417">
        <v>161864</v>
      </c>
      <c r="E211" s="417">
        <v>9</v>
      </c>
      <c r="F211" s="592" t="s">
        <v>74</v>
      </c>
      <c r="G211" s="519" t="s">
        <v>74</v>
      </c>
      <c r="H211" s="603">
        <v>86</v>
      </c>
      <c r="I211" s="519">
        <v>68</v>
      </c>
      <c r="J211" s="603">
        <v>36214</v>
      </c>
      <c r="K211" s="519">
        <v>36965</v>
      </c>
      <c r="L211" s="603">
        <v>7432</v>
      </c>
      <c r="M211" s="519">
        <v>11036</v>
      </c>
      <c r="N211" s="603">
        <v>41555</v>
      </c>
      <c r="O211" s="519">
        <v>33933</v>
      </c>
      <c r="P211" s="595">
        <f t="shared" si="72"/>
        <v>85287</v>
      </c>
      <c r="Q211" s="595">
        <f t="shared" si="73"/>
        <v>2842.9</v>
      </c>
      <c r="R211" s="596">
        <f t="shared" si="74"/>
        <v>82002</v>
      </c>
      <c r="S211" s="596">
        <f t="shared" si="75"/>
        <v>2733.4</v>
      </c>
      <c r="T211" s="603"/>
      <c r="U211" s="519"/>
      <c r="V211" s="595">
        <f t="shared" si="76"/>
        <v>0</v>
      </c>
      <c r="W211" s="596">
        <f t="shared" si="77"/>
        <v>0</v>
      </c>
      <c r="X211" s="603"/>
      <c r="Y211" s="519"/>
      <c r="Z211" s="603"/>
      <c r="AA211" s="519"/>
      <c r="AB211" s="603"/>
      <c r="AC211" s="519"/>
      <c r="AD211" s="603"/>
      <c r="AE211" s="519"/>
      <c r="AF211" s="595">
        <f t="shared" si="78"/>
        <v>0</v>
      </c>
      <c r="AG211" s="595">
        <f t="shared" si="79"/>
        <v>0</v>
      </c>
      <c r="AH211" s="596">
        <f t="shared" si="80"/>
        <v>0</v>
      </c>
      <c r="AI211" s="596">
        <f t="shared" si="81"/>
        <v>0</v>
      </c>
      <c r="AJ211" s="603"/>
      <c r="AK211" s="519"/>
      <c r="AL211" s="595">
        <f t="shared" si="82"/>
        <v>0</v>
      </c>
      <c r="AM211" s="596">
        <f t="shared" si="83"/>
        <v>0</v>
      </c>
      <c r="AN211" s="603">
        <v>0</v>
      </c>
      <c r="AO211" s="519">
        <v>0</v>
      </c>
      <c r="AP211" s="603">
        <v>0</v>
      </c>
      <c r="AQ211" s="519">
        <v>0</v>
      </c>
      <c r="AR211" s="603">
        <v>0</v>
      </c>
      <c r="AS211" s="519">
        <v>0</v>
      </c>
      <c r="AT211" s="603">
        <v>0</v>
      </c>
      <c r="AU211" s="519">
        <v>0</v>
      </c>
      <c r="AV211" s="595">
        <f t="shared" si="84"/>
        <v>0</v>
      </c>
      <c r="AW211" s="595">
        <f t="shared" si="85"/>
        <v>0</v>
      </c>
      <c r="AX211" s="596">
        <f t="shared" si="86"/>
        <v>0</v>
      </c>
      <c r="AY211" s="596">
        <f t="shared" si="87"/>
        <v>0</v>
      </c>
      <c r="AZ211" s="595">
        <f t="shared" si="88"/>
        <v>2842.9</v>
      </c>
      <c r="BA211" s="596">
        <f t="shared" si="89"/>
        <v>2733.4</v>
      </c>
    </row>
    <row r="212" spans="1:53" s="1" customFormat="1">
      <c r="A212" s="442" t="s">
        <v>463</v>
      </c>
      <c r="B212" s="418" t="s">
        <v>483</v>
      </c>
      <c r="C212" s="419" t="s">
        <v>844</v>
      </c>
      <c r="D212" s="417">
        <v>405872</v>
      </c>
      <c r="E212" s="417">
        <v>9</v>
      </c>
      <c r="F212" s="592" t="s">
        <v>74</v>
      </c>
      <c r="G212" s="519" t="s">
        <v>74</v>
      </c>
      <c r="H212" s="603">
        <v>26243</v>
      </c>
      <c r="I212" s="519">
        <v>1914</v>
      </c>
      <c r="J212" s="603">
        <v>22950.5</v>
      </c>
      <c r="K212" s="519">
        <v>22153.5</v>
      </c>
      <c r="L212" s="603">
        <v>4661</v>
      </c>
      <c r="M212" s="519">
        <v>4729</v>
      </c>
      <c r="N212" s="603">
        <v>2178</v>
      </c>
      <c r="O212" s="519">
        <v>24396.5</v>
      </c>
      <c r="P212" s="595">
        <f t="shared" si="72"/>
        <v>56032.5</v>
      </c>
      <c r="Q212" s="595">
        <f t="shared" si="73"/>
        <v>1867.75</v>
      </c>
      <c r="R212" s="596">
        <f t="shared" si="74"/>
        <v>53193</v>
      </c>
      <c r="S212" s="596">
        <f t="shared" si="75"/>
        <v>1773.1</v>
      </c>
      <c r="T212" s="603"/>
      <c r="U212" s="519"/>
      <c r="V212" s="595">
        <f t="shared" si="76"/>
        <v>0</v>
      </c>
      <c r="W212" s="596">
        <f t="shared" si="77"/>
        <v>0</v>
      </c>
      <c r="X212" s="603"/>
      <c r="Y212" s="519"/>
      <c r="Z212" s="603"/>
      <c r="AA212" s="519"/>
      <c r="AB212" s="603"/>
      <c r="AC212" s="519"/>
      <c r="AD212" s="603"/>
      <c r="AE212" s="519"/>
      <c r="AF212" s="595">
        <f t="shared" si="78"/>
        <v>0</v>
      </c>
      <c r="AG212" s="595">
        <f t="shared" si="79"/>
        <v>0</v>
      </c>
      <c r="AH212" s="596">
        <f t="shared" si="80"/>
        <v>0</v>
      </c>
      <c r="AI212" s="596">
        <f t="shared" si="81"/>
        <v>0</v>
      </c>
      <c r="AJ212" s="603"/>
      <c r="AK212" s="519"/>
      <c r="AL212" s="595">
        <f t="shared" si="82"/>
        <v>0</v>
      </c>
      <c r="AM212" s="596">
        <f t="shared" si="83"/>
        <v>0</v>
      </c>
      <c r="AN212" s="603">
        <v>0</v>
      </c>
      <c r="AO212" s="519">
        <v>0</v>
      </c>
      <c r="AP212" s="603">
        <v>0</v>
      </c>
      <c r="AQ212" s="519">
        <v>0</v>
      </c>
      <c r="AR212" s="603">
        <v>0</v>
      </c>
      <c r="AS212" s="519">
        <v>0</v>
      </c>
      <c r="AT212" s="603">
        <v>0</v>
      </c>
      <c r="AU212" s="519">
        <v>0</v>
      </c>
      <c r="AV212" s="595">
        <f t="shared" si="84"/>
        <v>0</v>
      </c>
      <c r="AW212" s="595">
        <f t="shared" si="85"/>
        <v>0</v>
      </c>
      <c r="AX212" s="596">
        <f t="shared" si="86"/>
        <v>0</v>
      </c>
      <c r="AY212" s="596">
        <f t="shared" si="87"/>
        <v>0</v>
      </c>
      <c r="AZ212" s="595">
        <f t="shared" si="88"/>
        <v>1867.75</v>
      </c>
      <c r="BA212" s="596">
        <f t="shared" si="89"/>
        <v>1773.1</v>
      </c>
    </row>
    <row r="213" spans="1:53" s="1" customFormat="1">
      <c r="A213" s="442" t="s">
        <v>463</v>
      </c>
      <c r="B213" s="418" t="s">
        <v>488</v>
      </c>
      <c r="C213" s="419"/>
      <c r="D213" s="417">
        <v>162104</v>
      </c>
      <c r="E213" s="417">
        <v>10</v>
      </c>
      <c r="F213" s="592" t="s">
        <v>74</v>
      </c>
      <c r="G213" s="519" t="s">
        <v>74</v>
      </c>
      <c r="H213" s="603">
        <v>0</v>
      </c>
      <c r="I213" s="519">
        <v>0</v>
      </c>
      <c r="J213" s="603">
        <v>17820</v>
      </c>
      <c r="K213" s="519">
        <v>17396</v>
      </c>
      <c r="L213" s="603">
        <v>2977</v>
      </c>
      <c r="M213" s="519">
        <v>2853</v>
      </c>
      <c r="N213" s="603">
        <v>20137</v>
      </c>
      <c r="O213" s="519">
        <v>17487</v>
      </c>
      <c r="P213" s="595">
        <f t="shared" si="72"/>
        <v>40934</v>
      </c>
      <c r="Q213" s="595">
        <f t="shared" si="73"/>
        <v>1364.4666666666667</v>
      </c>
      <c r="R213" s="596">
        <f t="shared" si="74"/>
        <v>37736</v>
      </c>
      <c r="S213" s="596">
        <f t="shared" si="75"/>
        <v>1257.8666666666666</v>
      </c>
      <c r="T213" s="603"/>
      <c r="U213" s="519"/>
      <c r="V213" s="595">
        <f t="shared" si="76"/>
        <v>0</v>
      </c>
      <c r="W213" s="596">
        <f t="shared" si="77"/>
        <v>0</v>
      </c>
      <c r="X213" s="603"/>
      <c r="Y213" s="519"/>
      <c r="Z213" s="603"/>
      <c r="AA213" s="519"/>
      <c r="AB213" s="603"/>
      <c r="AC213" s="519"/>
      <c r="AD213" s="603"/>
      <c r="AE213" s="519"/>
      <c r="AF213" s="595">
        <f t="shared" si="78"/>
        <v>0</v>
      </c>
      <c r="AG213" s="595">
        <f t="shared" si="79"/>
        <v>0</v>
      </c>
      <c r="AH213" s="596">
        <f t="shared" si="80"/>
        <v>0</v>
      </c>
      <c r="AI213" s="596">
        <f t="shared" si="81"/>
        <v>0</v>
      </c>
      <c r="AJ213" s="603"/>
      <c r="AK213" s="519"/>
      <c r="AL213" s="595">
        <f t="shared" si="82"/>
        <v>0</v>
      </c>
      <c r="AM213" s="596">
        <f t="shared" si="83"/>
        <v>0</v>
      </c>
      <c r="AN213" s="603">
        <v>0</v>
      </c>
      <c r="AO213" s="519">
        <v>0</v>
      </c>
      <c r="AP213" s="603">
        <v>0</v>
      </c>
      <c r="AQ213" s="519">
        <v>0</v>
      </c>
      <c r="AR213" s="603">
        <v>0</v>
      </c>
      <c r="AS213" s="519">
        <v>0</v>
      </c>
      <c r="AT213" s="603">
        <v>0</v>
      </c>
      <c r="AU213" s="519">
        <v>0</v>
      </c>
      <c r="AV213" s="595">
        <f t="shared" si="84"/>
        <v>0</v>
      </c>
      <c r="AW213" s="595">
        <f t="shared" si="85"/>
        <v>0</v>
      </c>
      <c r="AX213" s="596">
        <f t="shared" si="86"/>
        <v>0</v>
      </c>
      <c r="AY213" s="596">
        <f t="shared" si="87"/>
        <v>0</v>
      </c>
      <c r="AZ213" s="595">
        <f t="shared" si="88"/>
        <v>1364.4666666666667</v>
      </c>
      <c r="BA213" s="596">
        <f t="shared" si="89"/>
        <v>1257.8666666666666</v>
      </c>
    </row>
    <row r="214" spans="1:53" s="1" customFormat="1">
      <c r="A214" s="442" t="s">
        <v>463</v>
      </c>
      <c r="B214" s="418" t="s">
        <v>489</v>
      </c>
      <c r="C214" s="420"/>
      <c r="D214" s="417">
        <v>162168</v>
      </c>
      <c r="E214" s="417">
        <v>10</v>
      </c>
      <c r="F214" s="592" t="s">
        <v>74</v>
      </c>
      <c r="G214" s="519" t="s">
        <v>74</v>
      </c>
      <c r="H214" s="603">
        <v>430</v>
      </c>
      <c r="I214" s="519">
        <v>436</v>
      </c>
      <c r="J214" s="603">
        <v>15337</v>
      </c>
      <c r="K214" s="519">
        <v>14898</v>
      </c>
      <c r="L214" s="603">
        <v>2314</v>
      </c>
      <c r="M214" s="519">
        <v>2476</v>
      </c>
      <c r="N214" s="603">
        <v>17460</v>
      </c>
      <c r="O214" s="519">
        <v>15505</v>
      </c>
      <c r="P214" s="595">
        <f t="shared" si="72"/>
        <v>35541</v>
      </c>
      <c r="Q214" s="595">
        <f t="shared" si="73"/>
        <v>1184.7</v>
      </c>
      <c r="R214" s="596">
        <f t="shared" si="74"/>
        <v>33315</v>
      </c>
      <c r="S214" s="596">
        <f t="shared" si="75"/>
        <v>1110.5</v>
      </c>
      <c r="T214" s="603"/>
      <c r="U214" s="519"/>
      <c r="V214" s="595">
        <f t="shared" si="76"/>
        <v>0</v>
      </c>
      <c r="W214" s="596">
        <f t="shared" si="77"/>
        <v>0</v>
      </c>
      <c r="X214" s="603"/>
      <c r="Y214" s="519"/>
      <c r="Z214" s="603"/>
      <c r="AA214" s="519"/>
      <c r="AB214" s="603"/>
      <c r="AC214" s="519"/>
      <c r="AD214" s="603"/>
      <c r="AE214" s="519"/>
      <c r="AF214" s="595">
        <f t="shared" si="78"/>
        <v>0</v>
      </c>
      <c r="AG214" s="595">
        <f t="shared" si="79"/>
        <v>0</v>
      </c>
      <c r="AH214" s="596">
        <f t="shared" si="80"/>
        <v>0</v>
      </c>
      <c r="AI214" s="596">
        <f t="shared" si="81"/>
        <v>0</v>
      </c>
      <c r="AJ214" s="603"/>
      <c r="AK214" s="519"/>
      <c r="AL214" s="595">
        <f t="shared" si="82"/>
        <v>0</v>
      </c>
      <c r="AM214" s="596">
        <f t="shared" si="83"/>
        <v>0</v>
      </c>
      <c r="AN214" s="603">
        <v>0</v>
      </c>
      <c r="AO214" s="519">
        <v>0</v>
      </c>
      <c r="AP214" s="603">
        <v>0</v>
      </c>
      <c r="AQ214" s="519">
        <v>0</v>
      </c>
      <c r="AR214" s="603">
        <v>0</v>
      </c>
      <c r="AS214" s="519">
        <v>0</v>
      </c>
      <c r="AT214" s="603">
        <v>0</v>
      </c>
      <c r="AU214" s="519">
        <v>0</v>
      </c>
      <c r="AV214" s="595">
        <f t="shared" si="84"/>
        <v>0</v>
      </c>
      <c r="AW214" s="595">
        <f t="shared" si="85"/>
        <v>0</v>
      </c>
      <c r="AX214" s="596">
        <f t="shared" si="86"/>
        <v>0</v>
      </c>
      <c r="AY214" s="596">
        <f t="shared" si="87"/>
        <v>0</v>
      </c>
      <c r="AZ214" s="595">
        <f t="shared" si="88"/>
        <v>1184.7</v>
      </c>
      <c r="BA214" s="596">
        <f t="shared" si="89"/>
        <v>1110.5</v>
      </c>
    </row>
    <row r="215" spans="1:53" s="1" customFormat="1">
      <c r="A215" s="442" t="s">
        <v>463</v>
      </c>
      <c r="B215" s="418" t="s">
        <v>476</v>
      </c>
      <c r="C215" s="420"/>
      <c r="D215" s="417">
        <v>162122</v>
      </c>
      <c r="E215" s="443">
        <v>9</v>
      </c>
      <c r="F215" s="592" t="s">
        <v>74</v>
      </c>
      <c r="G215" s="519" t="s">
        <v>74</v>
      </c>
      <c r="H215" s="603">
        <v>0</v>
      </c>
      <c r="I215" s="519">
        <v>1478</v>
      </c>
      <c r="J215" s="603">
        <v>56368</v>
      </c>
      <c r="K215" s="519">
        <v>53974</v>
      </c>
      <c r="L215" s="603">
        <v>11755</v>
      </c>
      <c r="M215" s="519">
        <v>14091</v>
      </c>
      <c r="N215" s="603">
        <v>55258</v>
      </c>
      <c r="O215" s="519">
        <v>55302</v>
      </c>
      <c r="P215" s="595">
        <f t="shared" si="72"/>
        <v>123381</v>
      </c>
      <c r="Q215" s="595">
        <f t="shared" si="73"/>
        <v>4112.7</v>
      </c>
      <c r="R215" s="596">
        <f t="shared" si="74"/>
        <v>124845</v>
      </c>
      <c r="S215" s="596">
        <f t="shared" si="75"/>
        <v>4161.5</v>
      </c>
      <c r="T215" s="603"/>
      <c r="U215" s="519"/>
      <c r="V215" s="595">
        <f t="shared" si="76"/>
        <v>0</v>
      </c>
      <c r="W215" s="596">
        <f t="shared" si="77"/>
        <v>0</v>
      </c>
      <c r="X215" s="603"/>
      <c r="Y215" s="519"/>
      <c r="Z215" s="603"/>
      <c r="AA215" s="519"/>
      <c r="AB215" s="603"/>
      <c r="AC215" s="519"/>
      <c r="AD215" s="603"/>
      <c r="AE215" s="519"/>
      <c r="AF215" s="595">
        <f t="shared" si="78"/>
        <v>0</v>
      </c>
      <c r="AG215" s="595">
        <f t="shared" si="79"/>
        <v>0</v>
      </c>
      <c r="AH215" s="596">
        <f t="shared" si="80"/>
        <v>0</v>
      </c>
      <c r="AI215" s="596">
        <f t="shared" si="81"/>
        <v>0</v>
      </c>
      <c r="AJ215" s="603"/>
      <c r="AK215" s="519"/>
      <c r="AL215" s="595">
        <f t="shared" si="82"/>
        <v>0</v>
      </c>
      <c r="AM215" s="596">
        <f t="shared" si="83"/>
        <v>0</v>
      </c>
      <c r="AN215" s="603">
        <v>0</v>
      </c>
      <c r="AO215" s="519">
        <v>0</v>
      </c>
      <c r="AP215" s="603">
        <v>0</v>
      </c>
      <c r="AQ215" s="519">
        <v>0</v>
      </c>
      <c r="AR215" s="603">
        <v>0</v>
      </c>
      <c r="AS215" s="519">
        <v>0</v>
      </c>
      <c r="AT215" s="603">
        <v>0</v>
      </c>
      <c r="AU215" s="519">
        <v>0</v>
      </c>
      <c r="AV215" s="595">
        <f t="shared" si="84"/>
        <v>0</v>
      </c>
      <c r="AW215" s="595">
        <f t="shared" si="85"/>
        <v>0</v>
      </c>
      <c r="AX215" s="596">
        <f t="shared" si="86"/>
        <v>0</v>
      </c>
      <c r="AY215" s="596">
        <f t="shared" si="87"/>
        <v>0</v>
      </c>
      <c r="AZ215" s="595">
        <f t="shared" si="88"/>
        <v>4112.7</v>
      </c>
      <c r="BA215" s="596">
        <f t="shared" si="89"/>
        <v>4161.5</v>
      </c>
    </row>
    <row r="216" spans="1:53" s="1" customFormat="1">
      <c r="A216" s="442" t="s">
        <v>463</v>
      </c>
      <c r="B216" s="418" t="s">
        <v>477</v>
      </c>
      <c r="C216" s="419"/>
      <c r="D216" s="417">
        <v>434672</v>
      </c>
      <c r="E216" s="417">
        <v>8</v>
      </c>
      <c r="F216" s="592" t="s">
        <v>74</v>
      </c>
      <c r="G216" s="519" t="s">
        <v>74</v>
      </c>
      <c r="H216" s="603">
        <v>9415</v>
      </c>
      <c r="I216" s="519">
        <v>9969</v>
      </c>
      <c r="J216" s="603">
        <v>132304</v>
      </c>
      <c r="K216" s="519">
        <v>126252.5</v>
      </c>
      <c r="L216" s="603">
        <v>30120</v>
      </c>
      <c r="M216" s="519">
        <v>31410</v>
      </c>
      <c r="N216" s="603">
        <v>146813</v>
      </c>
      <c r="O216" s="519">
        <v>145713</v>
      </c>
      <c r="P216" s="595">
        <f t="shared" si="72"/>
        <v>318652</v>
      </c>
      <c r="Q216" s="595">
        <f t="shared" si="73"/>
        <v>10621.733333333334</v>
      </c>
      <c r="R216" s="596">
        <f t="shared" si="74"/>
        <v>313344.5</v>
      </c>
      <c r="S216" s="596">
        <f t="shared" si="75"/>
        <v>10444.816666666668</v>
      </c>
      <c r="T216" s="603"/>
      <c r="U216" s="519"/>
      <c r="V216" s="595">
        <f t="shared" si="76"/>
        <v>0</v>
      </c>
      <c r="W216" s="596">
        <f t="shared" si="77"/>
        <v>0</v>
      </c>
      <c r="X216" s="603"/>
      <c r="Y216" s="519"/>
      <c r="Z216" s="603"/>
      <c r="AA216" s="519"/>
      <c r="AB216" s="603"/>
      <c r="AC216" s="519"/>
      <c r="AD216" s="603"/>
      <c r="AE216" s="519"/>
      <c r="AF216" s="595">
        <f t="shared" si="78"/>
        <v>0</v>
      </c>
      <c r="AG216" s="595">
        <f t="shared" si="79"/>
        <v>0</v>
      </c>
      <c r="AH216" s="596">
        <f t="shared" si="80"/>
        <v>0</v>
      </c>
      <c r="AI216" s="596">
        <f t="shared" si="81"/>
        <v>0</v>
      </c>
      <c r="AJ216" s="603"/>
      <c r="AK216" s="519"/>
      <c r="AL216" s="595">
        <f t="shared" si="82"/>
        <v>0</v>
      </c>
      <c r="AM216" s="596">
        <f t="shared" si="83"/>
        <v>0</v>
      </c>
      <c r="AN216" s="603">
        <v>0</v>
      </c>
      <c r="AO216" s="519">
        <v>0</v>
      </c>
      <c r="AP216" s="603">
        <v>0</v>
      </c>
      <c r="AQ216" s="519">
        <v>0</v>
      </c>
      <c r="AR216" s="603">
        <v>0</v>
      </c>
      <c r="AS216" s="519">
        <v>0</v>
      </c>
      <c r="AT216" s="603">
        <v>0</v>
      </c>
      <c r="AU216" s="519">
        <v>0</v>
      </c>
      <c r="AV216" s="595">
        <f t="shared" si="84"/>
        <v>0</v>
      </c>
      <c r="AW216" s="595">
        <f t="shared" si="85"/>
        <v>0</v>
      </c>
      <c r="AX216" s="596">
        <f t="shared" si="86"/>
        <v>0</v>
      </c>
      <c r="AY216" s="596">
        <f t="shared" si="87"/>
        <v>0</v>
      </c>
      <c r="AZ216" s="595">
        <f t="shared" si="88"/>
        <v>10621.733333333334</v>
      </c>
      <c r="BA216" s="596">
        <f t="shared" si="89"/>
        <v>10444.816666666668</v>
      </c>
    </row>
    <row r="217" spans="1:53" s="1" customFormat="1">
      <c r="A217" s="442" t="s">
        <v>463</v>
      </c>
      <c r="B217" s="418" t="s">
        <v>484</v>
      </c>
      <c r="C217" s="419"/>
      <c r="D217" s="417">
        <v>162557</v>
      </c>
      <c r="E217" s="417">
        <v>9</v>
      </c>
      <c r="F217" s="592" t="s">
        <v>74</v>
      </c>
      <c r="G217" s="519" t="s">
        <v>74</v>
      </c>
      <c r="H217" s="603">
        <v>1389</v>
      </c>
      <c r="I217" s="519">
        <v>0</v>
      </c>
      <c r="J217" s="603">
        <v>46713</v>
      </c>
      <c r="K217" s="519">
        <v>47021</v>
      </c>
      <c r="L217" s="603">
        <v>9000</v>
      </c>
      <c r="M217" s="519">
        <v>9113</v>
      </c>
      <c r="N217" s="603">
        <v>50384</v>
      </c>
      <c r="O217" s="519">
        <v>46640</v>
      </c>
      <c r="P217" s="595">
        <f t="shared" si="72"/>
        <v>107486</v>
      </c>
      <c r="Q217" s="595">
        <f t="shared" si="73"/>
        <v>3582.8666666666668</v>
      </c>
      <c r="R217" s="596">
        <f t="shared" si="74"/>
        <v>102774</v>
      </c>
      <c r="S217" s="596">
        <f t="shared" si="75"/>
        <v>3425.8</v>
      </c>
      <c r="T217" s="603"/>
      <c r="U217" s="519"/>
      <c r="V217" s="595">
        <f t="shared" si="76"/>
        <v>0</v>
      </c>
      <c r="W217" s="596">
        <f t="shared" si="77"/>
        <v>0</v>
      </c>
      <c r="X217" s="603"/>
      <c r="Y217" s="519"/>
      <c r="Z217" s="603"/>
      <c r="AA217" s="519"/>
      <c r="AB217" s="603"/>
      <c r="AC217" s="519"/>
      <c r="AD217" s="603"/>
      <c r="AE217" s="519"/>
      <c r="AF217" s="595">
        <f t="shared" si="78"/>
        <v>0</v>
      </c>
      <c r="AG217" s="595">
        <f t="shared" si="79"/>
        <v>0</v>
      </c>
      <c r="AH217" s="596">
        <f t="shared" si="80"/>
        <v>0</v>
      </c>
      <c r="AI217" s="596">
        <f t="shared" si="81"/>
        <v>0</v>
      </c>
      <c r="AJ217" s="603"/>
      <c r="AK217" s="519"/>
      <c r="AL217" s="595">
        <f t="shared" si="82"/>
        <v>0</v>
      </c>
      <c r="AM217" s="596">
        <f t="shared" si="83"/>
        <v>0</v>
      </c>
      <c r="AN217" s="603">
        <v>0</v>
      </c>
      <c r="AO217" s="519">
        <v>0</v>
      </c>
      <c r="AP217" s="603">
        <v>0</v>
      </c>
      <c r="AQ217" s="519">
        <v>0</v>
      </c>
      <c r="AR217" s="603">
        <v>0</v>
      </c>
      <c r="AS217" s="519">
        <v>0</v>
      </c>
      <c r="AT217" s="603">
        <v>0</v>
      </c>
      <c r="AU217" s="519">
        <v>0</v>
      </c>
      <c r="AV217" s="595">
        <f t="shared" si="84"/>
        <v>0</v>
      </c>
      <c r="AW217" s="595">
        <f t="shared" si="85"/>
        <v>0</v>
      </c>
      <c r="AX217" s="596">
        <f t="shared" si="86"/>
        <v>0</v>
      </c>
      <c r="AY217" s="596">
        <f t="shared" si="87"/>
        <v>0</v>
      </c>
      <c r="AZ217" s="595">
        <f t="shared" si="88"/>
        <v>3582.8666666666668</v>
      </c>
      <c r="BA217" s="596">
        <f t="shared" si="89"/>
        <v>3425.8</v>
      </c>
    </row>
    <row r="218" spans="1:53" s="1" customFormat="1">
      <c r="A218" s="442" t="s">
        <v>463</v>
      </c>
      <c r="B218" s="418" t="s">
        <v>490</v>
      </c>
      <c r="C218" s="419"/>
      <c r="D218" s="417">
        <v>162609</v>
      </c>
      <c r="E218" s="417">
        <v>10</v>
      </c>
      <c r="F218" s="592" t="s">
        <v>74</v>
      </c>
      <c r="G218" s="519" t="s">
        <v>74</v>
      </c>
      <c r="H218" s="603">
        <v>290</v>
      </c>
      <c r="I218" s="519">
        <v>362</v>
      </c>
      <c r="J218" s="603">
        <v>5883.75</v>
      </c>
      <c r="K218" s="519">
        <v>6181</v>
      </c>
      <c r="L218" s="603">
        <v>597</v>
      </c>
      <c r="M218" s="519">
        <v>539</v>
      </c>
      <c r="N218" s="603">
        <v>7275.25</v>
      </c>
      <c r="O218" s="519">
        <v>6422.25</v>
      </c>
      <c r="P218" s="595">
        <f t="shared" si="72"/>
        <v>14046</v>
      </c>
      <c r="Q218" s="595">
        <f t="shared" si="73"/>
        <v>468.2</v>
      </c>
      <c r="R218" s="596">
        <f t="shared" si="74"/>
        <v>13504.25</v>
      </c>
      <c r="S218" s="596">
        <f t="shared" si="75"/>
        <v>450.14166666666665</v>
      </c>
      <c r="T218" s="603"/>
      <c r="U218" s="519"/>
      <c r="V218" s="595">
        <f t="shared" si="76"/>
        <v>0</v>
      </c>
      <c r="W218" s="596">
        <f t="shared" si="77"/>
        <v>0</v>
      </c>
      <c r="X218" s="603"/>
      <c r="Y218" s="519"/>
      <c r="Z218" s="603"/>
      <c r="AA218" s="519"/>
      <c r="AB218" s="603"/>
      <c r="AC218" s="519"/>
      <c r="AD218" s="603"/>
      <c r="AE218" s="519"/>
      <c r="AF218" s="595">
        <f t="shared" si="78"/>
        <v>0</v>
      </c>
      <c r="AG218" s="595">
        <f t="shared" si="79"/>
        <v>0</v>
      </c>
      <c r="AH218" s="596">
        <f t="shared" si="80"/>
        <v>0</v>
      </c>
      <c r="AI218" s="596">
        <f t="shared" si="81"/>
        <v>0</v>
      </c>
      <c r="AJ218" s="603"/>
      <c r="AK218" s="519"/>
      <c r="AL218" s="595">
        <f t="shared" si="82"/>
        <v>0</v>
      </c>
      <c r="AM218" s="596">
        <f t="shared" si="83"/>
        <v>0</v>
      </c>
      <c r="AN218" s="603">
        <v>0</v>
      </c>
      <c r="AO218" s="519">
        <v>0</v>
      </c>
      <c r="AP218" s="603">
        <v>0</v>
      </c>
      <c r="AQ218" s="519">
        <v>0</v>
      </c>
      <c r="AR218" s="603">
        <v>0</v>
      </c>
      <c r="AS218" s="519">
        <v>0</v>
      </c>
      <c r="AT218" s="603">
        <v>0</v>
      </c>
      <c r="AU218" s="519">
        <v>0</v>
      </c>
      <c r="AV218" s="595">
        <f t="shared" si="84"/>
        <v>0</v>
      </c>
      <c r="AW218" s="595">
        <f t="shared" si="85"/>
        <v>0</v>
      </c>
      <c r="AX218" s="596">
        <f t="shared" si="86"/>
        <v>0</v>
      </c>
      <c r="AY218" s="596">
        <f t="shared" si="87"/>
        <v>0</v>
      </c>
      <c r="AZ218" s="595">
        <f t="shared" si="88"/>
        <v>468.2</v>
      </c>
      <c r="BA218" s="596">
        <f t="shared" si="89"/>
        <v>450.14166666666665</v>
      </c>
    </row>
    <row r="219" spans="1:53" s="1" customFormat="1">
      <c r="A219" s="442" t="s">
        <v>463</v>
      </c>
      <c r="B219" s="418" t="s">
        <v>485</v>
      </c>
      <c r="C219" s="419"/>
      <c r="D219" s="417">
        <v>162690</v>
      </c>
      <c r="E219" s="417">
        <v>9</v>
      </c>
      <c r="F219" s="592" t="s">
        <v>74</v>
      </c>
      <c r="G219" s="519" t="s">
        <v>74</v>
      </c>
      <c r="H219" s="603">
        <v>0</v>
      </c>
      <c r="I219" s="519">
        <v>0</v>
      </c>
      <c r="J219" s="603">
        <v>30094</v>
      </c>
      <c r="K219" s="519">
        <v>37471</v>
      </c>
      <c r="L219" s="603">
        <v>9102</v>
      </c>
      <c r="M219" s="519">
        <v>9865</v>
      </c>
      <c r="N219" s="603">
        <v>32333</v>
      </c>
      <c r="O219" s="519">
        <v>35234</v>
      </c>
      <c r="P219" s="595">
        <f t="shared" si="72"/>
        <v>71529</v>
      </c>
      <c r="Q219" s="595">
        <f t="shared" si="73"/>
        <v>2384.3000000000002</v>
      </c>
      <c r="R219" s="596">
        <f t="shared" si="74"/>
        <v>82570</v>
      </c>
      <c r="S219" s="596">
        <f t="shared" si="75"/>
        <v>2752.3333333333335</v>
      </c>
      <c r="T219" s="603"/>
      <c r="U219" s="519"/>
      <c r="V219" s="595">
        <f t="shared" si="76"/>
        <v>0</v>
      </c>
      <c r="W219" s="596">
        <f t="shared" si="77"/>
        <v>0</v>
      </c>
      <c r="X219" s="603"/>
      <c r="Y219" s="519"/>
      <c r="Z219" s="603"/>
      <c r="AA219" s="519"/>
      <c r="AB219" s="603"/>
      <c r="AC219" s="519"/>
      <c r="AD219" s="603"/>
      <c r="AE219" s="519"/>
      <c r="AF219" s="595">
        <f t="shared" si="78"/>
        <v>0</v>
      </c>
      <c r="AG219" s="595">
        <f t="shared" si="79"/>
        <v>0</v>
      </c>
      <c r="AH219" s="596">
        <f t="shared" si="80"/>
        <v>0</v>
      </c>
      <c r="AI219" s="596">
        <f t="shared" si="81"/>
        <v>0</v>
      </c>
      <c r="AJ219" s="603"/>
      <c r="AK219" s="519"/>
      <c r="AL219" s="595">
        <f t="shared" si="82"/>
        <v>0</v>
      </c>
      <c r="AM219" s="596">
        <f t="shared" si="83"/>
        <v>0</v>
      </c>
      <c r="AN219" s="603">
        <v>0</v>
      </c>
      <c r="AO219" s="519">
        <v>0</v>
      </c>
      <c r="AP219" s="603">
        <v>0</v>
      </c>
      <c r="AQ219" s="519">
        <v>0</v>
      </c>
      <c r="AR219" s="603">
        <v>0</v>
      </c>
      <c r="AS219" s="519">
        <v>0</v>
      </c>
      <c r="AT219" s="603">
        <v>0</v>
      </c>
      <c r="AU219" s="519">
        <v>0</v>
      </c>
      <c r="AV219" s="595">
        <f t="shared" si="84"/>
        <v>0</v>
      </c>
      <c r="AW219" s="595">
        <f t="shared" si="85"/>
        <v>0</v>
      </c>
      <c r="AX219" s="596">
        <f t="shared" si="86"/>
        <v>0</v>
      </c>
      <c r="AY219" s="596">
        <f t="shared" si="87"/>
        <v>0</v>
      </c>
      <c r="AZ219" s="595">
        <f t="shared" si="88"/>
        <v>2384.3000000000002</v>
      </c>
      <c r="BA219" s="596">
        <f t="shared" si="89"/>
        <v>2752.3333333333335</v>
      </c>
    </row>
    <row r="220" spans="1:53" s="1" customFormat="1">
      <c r="A220" s="442" t="s">
        <v>463</v>
      </c>
      <c r="B220" s="418" t="s">
        <v>486</v>
      </c>
      <c r="C220" s="420"/>
      <c r="D220" s="417">
        <v>162706</v>
      </c>
      <c r="E220" s="417">
        <v>9</v>
      </c>
      <c r="F220" s="592" t="s">
        <v>74</v>
      </c>
      <c r="G220" s="519" t="s">
        <v>74</v>
      </c>
      <c r="H220" s="603">
        <v>3546</v>
      </c>
      <c r="I220" s="519">
        <v>3020</v>
      </c>
      <c r="J220" s="603">
        <v>44045.5</v>
      </c>
      <c r="K220" s="519">
        <v>42627.5</v>
      </c>
      <c r="L220" s="603">
        <v>9408</v>
      </c>
      <c r="M220" s="519">
        <v>9017</v>
      </c>
      <c r="N220" s="603">
        <v>46258.5</v>
      </c>
      <c r="O220" s="519">
        <v>44853</v>
      </c>
      <c r="P220" s="595">
        <f t="shared" si="72"/>
        <v>103258</v>
      </c>
      <c r="Q220" s="595">
        <f t="shared" si="73"/>
        <v>3441.9333333333334</v>
      </c>
      <c r="R220" s="596">
        <f t="shared" si="74"/>
        <v>99517.5</v>
      </c>
      <c r="S220" s="596">
        <f t="shared" si="75"/>
        <v>3317.25</v>
      </c>
      <c r="T220" s="603"/>
      <c r="U220" s="519"/>
      <c r="V220" s="595">
        <f t="shared" si="76"/>
        <v>0</v>
      </c>
      <c r="W220" s="596">
        <f t="shared" si="77"/>
        <v>0</v>
      </c>
      <c r="X220" s="603"/>
      <c r="Y220" s="519"/>
      <c r="Z220" s="603"/>
      <c r="AA220" s="519"/>
      <c r="AB220" s="603"/>
      <c r="AC220" s="519"/>
      <c r="AD220" s="603"/>
      <c r="AE220" s="519"/>
      <c r="AF220" s="595">
        <f t="shared" si="78"/>
        <v>0</v>
      </c>
      <c r="AG220" s="595">
        <f t="shared" si="79"/>
        <v>0</v>
      </c>
      <c r="AH220" s="596">
        <f t="shared" si="80"/>
        <v>0</v>
      </c>
      <c r="AI220" s="596">
        <f t="shared" si="81"/>
        <v>0</v>
      </c>
      <c r="AJ220" s="603"/>
      <c r="AK220" s="519"/>
      <c r="AL220" s="595">
        <f t="shared" si="82"/>
        <v>0</v>
      </c>
      <c r="AM220" s="596">
        <f t="shared" si="83"/>
        <v>0</v>
      </c>
      <c r="AN220" s="603">
        <v>0</v>
      </c>
      <c r="AO220" s="519">
        <v>0</v>
      </c>
      <c r="AP220" s="603">
        <v>0</v>
      </c>
      <c r="AQ220" s="519">
        <v>0</v>
      </c>
      <c r="AR220" s="603">
        <v>0</v>
      </c>
      <c r="AS220" s="519">
        <v>0</v>
      </c>
      <c r="AT220" s="603">
        <v>0</v>
      </c>
      <c r="AU220" s="519">
        <v>0</v>
      </c>
      <c r="AV220" s="595">
        <f t="shared" si="84"/>
        <v>0</v>
      </c>
      <c r="AW220" s="595">
        <f t="shared" si="85"/>
        <v>0</v>
      </c>
      <c r="AX220" s="596">
        <f t="shared" si="86"/>
        <v>0</v>
      </c>
      <c r="AY220" s="596">
        <f t="shared" si="87"/>
        <v>0</v>
      </c>
      <c r="AZ220" s="595">
        <f t="shared" si="88"/>
        <v>3441.9333333333334</v>
      </c>
      <c r="BA220" s="596">
        <f t="shared" si="89"/>
        <v>3317.25</v>
      </c>
    </row>
    <row r="221" spans="1:53" s="1" customFormat="1">
      <c r="A221" s="442" t="s">
        <v>463</v>
      </c>
      <c r="B221" s="418" t="s">
        <v>478</v>
      </c>
      <c r="C221" s="419"/>
      <c r="D221" s="417">
        <v>162779</v>
      </c>
      <c r="E221" s="417">
        <v>8</v>
      </c>
      <c r="F221" s="592" t="s">
        <v>74</v>
      </c>
      <c r="G221" s="519" t="s">
        <v>74</v>
      </c>
      <c r="H221" s="603">
        <v>5493</v>
      </c>
      <c r="I221" s="519">
        <v>5823</v>
      </c>
      <c r="J221" s="603">
        <v>73747</v>
      </c>
      <c r="K221" s="519">
        <v>63876</v>
      </c>
      <c r="L221" s="603">
        <v>17921</v>
      </c>
      <c r="M221" s="519">
        <v>19706</v>
      </c>
      <c r="N221" s="603">
        <v>77773</v>
      </c>
      <c r="O221" s="519">
        <v>86451</v>
      </c>
      <c r="P221" s="595">
        <f t="shared" si="72"/>
        <v>174934</v>
      </c>
      <c r="Q221" s="595">
        <f t="shared" si="73"/>
        <v>5831.1333333333332</v>
      </c>
      <c r="R221" s="596">
        <f t="shared" si="74"/>
        <v>175856</v>
      </c>
      <c r="S221" s="596">
        <f t="shared" si="75"/>
        <v>5861.8666666666668</v>
      </c>
      <c r="T221" s="603"/>
      <c r="U221" s="519"/>
      <c r="V221" s="595">
        <f t="shared" si="76"/>
        <v>0</v>
      </c>
      <c r="W221" s="596">
        <f t="shared" si="77"/>
        <v>0</v>
      </c>
      <c r="X221" s="603"/>
      <c r="Y221" s="519"/>
      <c r="Z221" s="603"/>
      <c r="AA221" s="519"/>
      <c r="AB221" s="603"/>
      <c r="AC221" s="519"/>
      <c r="AD221" s="603"/>
      <c r="AE221" s="519"/>
      <c r="AF221" s="595">
        <f t="shared" si="78"/>
        <v>0</v>
      </c>
      <c r="AG221" s="595">
        <f t="shared" si="79"/>
        <v>0</v>
      </c>
      <c r="AH221" s="596">
        <f t="shared" si="80"/>
        <v>0</v>
      </c>
      <c r="AI221" s="596">
        <f t="shared" si="81"/>
        <v>0</v>
      </c>
      <c r="AJ221" s="603"/>
      <c r="AK221" s="519"/>
      <c r="AL221" s="595">
        <f t="shared" si="82"/>
        <v>0</v>
      </c>
      <c r="AM221" s="596">
        <f t="shared" si="83"/>
        <v>0</v>
      </c>
      <c r="AN221" s="603">
        <v>0</v>
      </c>
      <c r="AO221" s="519">
        <v>0</v>
      </c>
      <c r="AP221" s="603">
        <v>0</v>
      </c>
      <c r="AQ221" s="519">
        <v>0</v>
      </c>
      <c r="AR221" s="603">
        <v>0</v>
      </c>
      <c r="AS221" s="519">
        <v>0</v>
      </c>
      <c r="AT221" s="603">
        <v>0</v>
      </c>
      <c r="AU221" s="519">
        <v>0</v>
      </c>
      <c r="AV221" s="595">
        <f t="shared" si="84"/>
        <v>0</v>
      </c>
      <c r="AW221" s="595">
        <f t="shared" si="85"/>
        <v>0</v>
      </c>
      <c r="AX221" s="596">
        <f t="shared" si="86"/>
        <v>0</v>
      </c>
      <c r="AY221" s="596">
        <f t="shared" si="87"/>
        <v>0</v>
      </c>
      <c r="AZ221" s="595">
        <f t="shared" si="88"/>
        <v>5831.1333333333332</v>
      </c>
      <c r="BA221" s="596">
        <f t="shared" si="89"/>
        <v>5861.8666666666668</v>
      </c>
    </row>
    <row r="222" spans="1:53" s="1" customFormat="1">
      <c r="A222" s="442" t="s">
        <v>463</v>
      </c>
      <c r="B222" s="418" t="s">
        <v>479</v>
      </c>
      <c r="C222" s="419"/>
      <c r="D222" s="417">
        <v>163426</v>
      </c>
      <c r="E222" s="417">
        <v>8</v>
      </c>
      <c r="F222" s="592" t="s">
        <v>74</v>
      </c>
      <c r="G222" s="519" t="s">
        <v>74</v>
      </c>
      <c r="H222" s="603">
        <v>6715</v>
      </c>
      <c r="I222" s="519">
        <v>6244</v>
      </c>
      <c r="J222" s="603">
        <v>241915.5</v>
      </c>
      <c r="K222" s="519">
        <v>267782</v>
      </c>
      <c r="L222" s="603">
        <v>158532</v>
      </c>
      <c r="M222" s="519">
        <v>125015</v>
      </c>
      <c r="N222" s="603">
        <v>244043</v>
      </c>
      <c r="O222" s="519">
        <v>242579</v>
      </c>
      <c r="P222" s="595">
        <f t="shared" si="72"/>
        <v>651205.5</v>
      </c>
      <c r="Q222" s="595">
        <f t="shared" si="73"/>
        <v>21706.85</v>
      </c>
      <c r="R222" s="596">
        <f t="shared" si="74"/>
        <v>641620</v>
      </c>
      <c r="S222" s="596">
        <f t="shared" si="75"/>
        <v>21387.333333333332</v>
      </c>
      <c r="T222" s="603"/>
      <c r="U222" s="519"/>
      <c r="V222" s="595">
        <f t="shared" si="76"/>
        <v>0</v>
      </c>
      <c r="W222" s="596">
        <f t="shared" si="77"/>
        <v>0</v>
      </c>
      <c r="X222" s="603"/>
      <c r="Y222" s="519"/>
      <c r="Z222" s="603"/>
      <c r="AA222" s="519"/>
      <c r="AB222" s="603"/>
      <c r="AC222" s="519"/>
      <c r="AD222" s="603"/>
      <c r="AE222" s="519"/>
      <c r="AF222" s="595">
        <f t="shared" si="78"/>
        <v>0</v>
      </c>
      <c r="AG222" s="595">
        <f t="shared" si="79"/>
        <v>0</v>
      </c>
      <c r="AH222" s="596">
        <f t="shared" si="80"/>
        <v>0</v>
      </c>
      <c r="AI222" s="596">
        <f t="shared" si="81"/>
        <v>0</v>
      </c>
      <c r="AJ222" s="603"/>
      <c r="AK222" s="519"/>
      <c r="AL222" s="595">
        <f t="shared" si="82"/>
        <v>0</v>
      </c>
      <c r="AM222" s="596">
        <f t="shared" si="83"/>
        <v>0</v>
      </c>
      <c r="AN222" s="603">
        <v>0</v>
      </c>
      <c r="AO222" s="519">
        <v>0</v>
      </c>
      <c r="AP222" s="603">
        <v>0</v>
      </c>
      <c r="AQ222" s="519">
        <v>0</v>
      </c>
      <c r="AR222" s="603">
        <v>0</v>
      </c>
      <c r="AS222" s="519">
        <v>0</v>
      </c>
      <c r="AT222" s="603">
        <v>0</v>
      </c>
      <c r="AU222" s="519">
        <v>0</v>
      </c>
      <c r="AV222" s="595">
        <f t="shared" si="84"/>
        <v>0</v>
      </c>
      <c r="AW222" s="595">
        <f t="shared" si="85"/>
        <v>0</v>
      </c>
      <c r="AX222" s="596">
        <f t="shared" si="86"/>
        <v>0</v>
      </c>
      <c r="AY222" s="596">
        <f t="shared" si="87"/>
        <v>0</v>
      </c>
      <c r="AZ222" s="595">
        <f t="shared" si="88"/>
        <v>21706.85</v>
      </c>
      <c r="BA222" s="596">
        <f t="shared" si="89"/>
        <v>21387.333333333332</v>
      </c>
    </row>
    <row r="223" spans="1:53" s="1" customFormat="1">
      <c r="A223" s="442" t="s">
        <v>463</v>
      </c>
      <c r="B223" s="418" t="s">
        <v>480</v>
      </c>
      <c r="C223" s="419"/>
      <c r="D223" s="417">
        <v>163657</v>
      </c>
      <c r="E223" s="417">
        <v>8</v>
      </c>
      <c r="F223" s="592" t="s">
        <v>74</v>
      </c>
      <c r="G223" s="519" t="s">
        <v>74</v>
      </c>
      <c r="H223" s="603">
        <v>978</v>
      </c>
      <c r="I223" s="519">
        <v>2500</v>
      </c>
      <c r="J223" s="603">
        <v>168618</v>
      </c>
      <c r="K223" s="519">
        <v>137434</v>
      </c>
      <c r="L223" s="603">
        <v>69917</v>
      </c>
      <c r="M223" s="519">
        <v>35633</v>
      </c>
      <c r="N223" s="603">
        <v>164595</v>
      </c>
      <c r="O223" s="519">
        <v>228704</v>
      </c>
      <c r="P223" s="595">
        <f t="shared" si="72"/>
        <v>404108</v>
      </c>
      <c r="Q223" s="595">
        <f t="shared" si="73"/>
        <v>13470.266666666666</v>
      </c>
      <c r="R223" s="596">
        <f t="shared" si="74"/>
        <v>404271</v>
      </c>
      <c r="S223" s="596">
        <f t="shared" si="75"/>
        <v>13475.7</v>
      </c>
      <c r="T223" s="603"/>
      <c r="U223" s="519"/>
      <c r="V223" s="595">
        <f t="shared" si="76"/>
        <v>0</v>
      </c>
      <c r="W223" s="596">
        <f t="shared" si="77"/>
        <v>0</v>
      </c>
      <c r="X223" s="603"/>
      <c r="Y223" s="519"/>
      <c r="Z223" s="603"/>
      <c r="AA223" s="519"/>
      <c r="AB223" s="603"/>
      <c r="AC223" s="519"/>
      <c r="AD223" s="603"/>
      <c r="AE223" s="519"/>
      <c r="AF223" s="595">
        <f t="shared" si="78"/>
        <v>0</v>
      </c>
      <c r="AG223" s="595">
        <f t="shared" si="79"/>
        <v>0</v>
      </c>
      <c r="AH223" s="596">
        <f t="shared" si="80"/>
        <v>0</v>
      </c>
      <c r="AI223" s="596">
        <f t="shared" si="81"/>
        <v>0</v>
      </c>
      <c r="AJ223" s="603"/>
      <c r="AK223" s="519"/>
      <c r="AL223" s="595">
        <f t="shared" si="82"/>
        <v>0</v>
      </c>
      <c r="AM223" s="596">
        <f t="shared" si="83"/>
        <v>0</v>
      </c>
      <c r="AN223" s="603">
        <v>0</v>
      </c>
      <c r="AO223" s="519">
        <v>0</v>
      </c>
      <c r="AP223" s="603">
        <v>0</v>
      </c>
      <c r="AQ223" s="519">
        <v>0</v>
      </c>
      <c r="AR223" s="603">
        <v>0</v>
      </c>
      <c r="AS223" s="519">
        <v>0</v>
      </c>
      <c r="AT223" s="603">
        <v>0</v>
      </c>
      <c r="AU223" s="519">
        <v>0</v>
      </c>
      <c r="AV223" s="595">
        <f t="shared" si="84"/>
        <v>0</v>
      </c>
      <c r="AW223" s="595">
        <f t="shared" si="85"/>
        <v>0</v>
      </c>
      <c r="AX223" s="596">
        <f t="shared" si="86"/>
        <v>0</v>
      </c>
      <c r="AY223" s="596">
        <f t="shared" si="87"/>
        <v>0</v>
      </c>
      <c r="AZ223" s="595">
        <f t="shared" si="88"/>
        <v>13470.266666666666</v>
      </c>
      <c r="BA223" s="596">
        <f t="shared" si="89"/>
        <v>13475.7</v>
      </c>
    </row>
    <row r="224" spans="1:53" s="1" customFormat="1">
      <c r="A224" s="442" t="s">
        <v>463</v>
      </c>
      <c r="B224" s="418" t="s">
        <v>487</v>
      </c>
      <c r="C224" s="420"/>
      <c r="D224" s="417">
        <v>164313</v>
      </c>
      <c r="E224" s="417">
        <v>10</v>
      </c>
      <c r="F224" s="592" t="s">
        <v>74</v>
      </c>
      <c r="G224" s="519" t="s">
        <v>74</v>
      </c>
      <c r="H224" s="603">
        <v>0</v>
      </c>
      <c r="I224" s="519">
        <v>0</v>
      </c>
      <c r="J224" s="603">
        <v>20259.5</v>
      </c>
      <c r="K224" s="519">
        <v>19773.5</v>
      </c>
      <c r="L224" s="603">
        <v>5293.5</v>
      </c>
      <c r="M224" s="519">
        <v>5354</v>
      </c>
      <c r="N224" s="603">
        <v>23601.5</v>
      </c>
      <c r="O224" s="519">
        <v>22199.5</v>
      </c>
      <c r="P224" s="595">
        <f t="shared" si="72"/>
        <v>49154.5</v>
      </c>
      <c r="Q224" s="595">
        <f t="shared" si="73"/>
        <v>1638.4833333333333</v>
      </c>
      <c r="R224" s="596">
        <f t="shared" si="74"/>
        <v>47327</v>
      </c>
      <c r="S224" s="596">
        <f t="shared" si="75"/>
        <v>1577.5666666666666</v>
      </c>
      <c r="T224" s="603"/>
      <c r="U224" s="519"/>
      <c r="V224" s="595">
        <f t="shared" si="76"/>
        <v>0</v>
      </c>
      <c r="W224" s="596">
        <f t="shared" si="77"/>
        <v>0</v>
      </c>
      <c r="X224" s="603"/>
      <c r="Y224" s="519"/>
      <c r="Z224" s="603"/>
      <c r="AA224" s="519"/>
      <c r="AB224" s="603"/>
      <c r="AC224" s="519"/>
      <c r="AD224" s="603"/>
      <c r="AE224" s="519"/>
      <c r="AF224" s="595">
        <f t="shared" si="78"/>
        <v>0</v>
      </c>
      <c r="AG224" s="595">
        <f t="shared" si="79"/>
        <v>0</v>
      </c>
      <c r="AH224" s="596">
        <f t="shared" si="80"/>
        <v>0</v>
      </c>
      <c r="AI224" s="596">
        <f t="shared" si="81"/>
        <v>0</v>
      </c>
      <c r="AJ224" s="603"/>
      <c r="AK224" s="519"/>
      <c r="AL224" s="595">
        <f t="shared" si="82"/>
        <v>0</v>
      </c>
      <c r="AM224" s="596">
        <f t="shared" si="83"/>
        <v>0</v>
      </c>
      <c r="AN224" s="603">
        <v>0</v>
      </c>
      <c r="AO224" s="519">
        <v>0</v>
      </c>
      <c r="AP224" s="603">
        <v>0</v>
      </c>
      <c r="AQ224" s="519">
        <v>0</v>
      </c>
      <c r="AR224" s="603">
        <v>0</v>
      </c>
      <c r="AS224" s="519">
        <v>0</v>
      </c>
      <c r="AT224" s="603">
        <v>0</v>
      </c>
      <c r="AU224" s="519">
        <v>0</v>
      </c>
      <c r="AV224" s="595">
        <f t="shared" si="84"/>
        <v>0</v>
      </c>
      <c r="AW224" s="595">
        <f t="shared" si="85"/>
        <v>0</v>
      </c>
      <c r="AX224" s="596">
        <f t="shared" si="86"/>
        <v>0</v>
      </c>
      <c r="AY224" s="596">
        <f t="shared" si="87"/>
        <v>0</v>
      </c>
      <c r="AZ224" s="595">
        <f t="shared" si="88"/>
        <v>1638.4833333333333</v>
      </c>
      <c r="BA224" s="596">
        <f t="shared" si="89"/>
        <v>1577.5666666666666</v>
      </c>
    </row>
    <row r="225" spans="1:53" s="1" customFormat="1">
      <c r="A225" s="442" t="s">
        <v>463</v>
      </c>
      <c r="B225" s="418" t="s">
        <v>468</v>
      </c>
      <c r="C225" s="419" t="s">
        <v>830</v>
      </c>
      <c r="D225" s="417">
        <v>162007</v>
      </c>
      <c r="E225" s="417">
        <v>4</v>
      </c>
      <c r="F225" s="592" t="s">
        <v>74</v>
      </c>
      <c r="G225" s="519" t="s">
        <v>74</v>
      </c>
      <c r="H225" s="603">
        <v>1608</v>
      </c>
      <c r="I225" s="519">
        <v>1664</v>
      </c>
      <c r="J225" s="603">
        <v>62691</v>
      </c>
      <c r="K225" s="519">
        <v>63747</v>
      </c>
      <c r="L225" s="603">
        <v>7096</v>
      </c>
      <c r="M225" s="519">
        <v>8716</v>
      </c>
      <c r="N225" s="603">
        <v>70243</v>
      </c>
      <c r="O225" s="519">
        <v>71883</v>
      </c>
      <c r="P225" s="595">
        <f t="shared" si="72"/>
        <v>141638</v>
      </c>
      <c r="Q225" s="595">
        <f t="shared" si="73"/>
        <v>4721.2666666666664</v>
      </c>
      <c r="R225" s="596">
        <f t="shared" si="74"/>
        <v>146010</v>
      </c>
      <c r="S225" s="596">
        <f t="shared" si="75"/>
        <v>4867</v>
      </c>
      <c r="T225" s="603"/>
      <c r="U225" s="519"/>
      <c r="V225" s="595">
        <f t="shared" si="76"/>
        <v>0</v>
      </c>
      <c r="W225" s="596">
        <f t="shared" si="77"/>
        <v>0</v>
      </c>
      <c r="X225" s="603"/>
      <c r="Y225" s="519"/>
      <c r="Z225" s="603"/>
      <c r="AA225" s="519"/>
      <c r="AB225" s="603"/>
      <c r="AC225" s="519"/>
      <c r="AD225" s="603"/>
      <c r="AE225" s="519"/>
      <c r="AF225" s="595">
        <f t="shared" si="78"/>
        <v>0</v>
      </c>
      <c r="AG225" s="595">
        <f t="shared" si="79"/>
        <v>0</v>
      </c>
      <c r="AH225" s="596">
        <f t="shared" si="80"/>
        <v>0</v>
      </c>
      <c r="AI225" s="596">
        <f t="shared" si="81"/>
        <v>0</v>
      </c>
      <c r="AJ225" s="603"/>
      <c r="AK225" s="519"/>
      <c r="AL225" s="595">
        <f t="shared" si="82"/>
        <v>0</v>
      </c>
      <c r="AM225" s="596">
        <f t="shared" si="83"/>
        <v>0</v>
      </c>
      <c r="AN225" s="603">
        <v>189</v>
      </c>
      <c r="AO225" s="519">
        <v>150</v>
      </c>
      <c r="AP225" s="603">
        <v>6553</v>
      </c>
      <c r="AQ225" s="519">
        <v>6517</v>
      </c>
      <c r="AR225" s="603">
        <v>1394</v>
      </c>
      <c r="AS225" s="519">
        <v>1848</v>
      </c>
      <c r="AT225" s="603">
        <v>6922</v>
      </c>
      <c r="AU225" s="519">
        <v>6613</v>
      </c>
      <c r="AV225" s="595">
        <f t="shared" si="84"/>
        <v>15058</v>
      </c>
      <c r="AW225" s="595">
        <f t="shared" si="85"/>
        <v>627.41666666666663</v>
      </c>
      <c r="AX225" s="596">
        <f t="shared" si="86"/>
        <v>15128</v>
      </c>
      <c r="AY225" s="596">
        <f t="shared" si="87"/>
        <v>630.33333333333337</v>
      </c>
      <c r="AZ225" s="595">
        <f t="shared" si="88"/>
        <v>5348.6833333333334</v>
      </c>
      <c r="BA225" s="596">
        <f t="shared" si="89"/>
        <v>5497.333333333333</v>
      </c>
    </row>
    <row r="226" spans="1:53" s="1" customFormat="1">
      <c r="A226" s="442" t="s">
        <v>463</v>
      </c>
      <c r="B226" s="418" t="s">
        <v>473</v>
      </c>
      <c r="C226" s="419" t="s">
        <v>843</v>
      </c>
      <c r="D226" s="417">
        <v>162283</v>
      </c>
      <c r="E226" s="417">
        <v>5</v>
      </c>
      <c r="F226" s="592" t="s">
        <v>74</v>
      </c>
      <c r="G226" s="519" t="s">
        <v>74</v>
      </c>
      <c r="H226" s="603">
        <v>213</v>
      </c>
      <c r="I226" s="519">
        <v>342</v>
      </c>
      <c r="J226" s="603">
        <v>27459</v>
      </c>
      <c r="K226" s="519">
        <v>27154</v>
      </c>
      <c r="L226" s="603">
        <v>1349</v>
      </c>
      <c r="M226" s="519">
        <v>1260</v>
      </c>
      <c r="N226" s="603">
        <v>31245</v>
      </c>
      <c r="O226" s="519">
        <v>27425</v>
      </c>
      <c r="P226" s="595">
        <f t="shared" si="72"/>
        <v>60266</v>
      </c>
      <c r="Q226" s="595">
        <f t="shared" si="73"/>
        <v>2008.8666666666666</v>
      </c>
      <c r="R226" s="596">
        <f t="shared" si="74"/>
        <v>56181</v>
      </c>
      <c r="S226" s="596">
        <f t="shared" si="75"/>
        <v>1872.7</v>
      </c>
      <c r="T226" s="603"/>
      <c r="U226" s="519"/>
      <c r="V226" s="595">
        <f t="shared" si="76"/>
        <v>0</v>
      </c>
      <c r="W226" s="596">
        <f t="shared" si="77"/>
        <v>0</v>
      </c>
      <c r="X226" s="603"/>
      <c r="Y226" s="519"/>
      <c r="Z226" s="603"/>
      <c r="AA226" s="519"/>
      <c r="AB226" s="603"/>
      <c r="AC226" s="519"/>
      <c r="AD226" s="603"/>
      <c r="AE226" s="519"/>
      <c r="AF226" s="595">
        <f t="shared" si="78"/>
        <v>0</v>
      </c>
      <c r="AG226" s="595">
        <f t="shared" si="79"/>
        <v>0</v>
      </c>
      <c r="AH226" s="596">
        <f t="shared" si="80"/>
        <v>0</v>
      </c>
      <c r="AI226" s="596">
        <f t="shared" si="81"/>
        <v>0</v>
      </c>
      <c r="AJ226" s="603"/>
      <c r="AK226" s="519"/>
      <c r="AL226" s="595">
        <f t="shared" si="82"/>
        <v>0</v>
      </c>
      <c r="AM226" s="596">
        <f t="shared" si="83"/>
        <v>0</v>
      </c>
      <c r="AN226" s="603">
        <v>27</v>
      </c>
      <c r="AO226" s="519">
        <v>17</v>
      </c>
      <c r="AP226" s="603">
        <v>2375</v>
      </c>
      <c r="AQ226" s="519">
        <v>2134</v>
      </c>
      <c r="AR226" s="603">
        <v>143</v>
      </c>
      <c r="AS226" s="519">
        <v>178</v>
      </c>
      <c r="AT226" s="603">
        <v>2046</v>
      </c>
      <c r="AU226" s="519">
        <v>1447</v>
      </c>
      <c r="AV226" s="595">
        <f t="shared" si="84"/>
        <v>4591</v>
      </c>
      <c r="AW226" s="595">
        <f t="shared" si="85"/>
        <v>191.29166666666666</v>
      </c>
      <c r="AX226" s="596">
        <f t="shared" si="86"/>
        <v>3776</v>
      </c>
      <c r="AY226" s="596">
        <f t="shared" si="87"/>
        <v>157.33333333333334</v>
      </c>
      <c r="AZ226" s="595">
        <f t="shared" si="88"/>
        <v>2200.1583333333333</v>
      </c>
      <c r="BA226" s="596">
        <f t="shared" si="89"/>
        <v>2030.0333333333333</v>
      </c>
    </row>
    <row r="227" spans="1:53" s="1" customFormat="1">
      <c r="A227" s="442" t="s">
        <v>463</v>
      </c>
      <c r="B227" s="418" t="s">
        <v>469</v>
      </c>
      <c r="C227" s="419"/>
      <c r="D227" s="417">
        <v>162584</v>
      </c>
      <c r="E227" s="417">
        <v>4</v>
      </c>
      <c r="F227" s="592" t="s">
        <v>74</v>
      </c>
      <c r="G227" s="519" t="s">
        <v>74</v>
      </c>
      <c r="H227" s="603">
        <v>2368</v>
      </c>
      <c r="I227" s="519">
        <v>1822</v>
      </c>
      <c r="J227" s="603">
        <v>53759</v>
      </c>
      <c r="K227" s="519">
        <v>49571</v>
      </c>
      <c r="L227" s="603">
        <v>8272</v>
      </c>
      <c r="M227" s="519">
        <v>7658</v>
      </c>
      <c r="N227" s="603">
        <v>58494</v>
      </c>
      <c r="O227" s="519">
        <v>52964</v>
      </c>
      <c r="P227" s="595">
        <f t="shared" si="72"/>
        <v>122893</v>
      </c>
      <c r="Q227" s="595">
        <f t="shared" si="73"/>
        <v>4096.4333333333334</v>
      </c>
      <c r="R227" s="596">
        <f t="shared" si="74"/>
        <v>112015</v>
      </c>
      <c r="S227" s="596">
        <f t="shared" si="75"/>
        <v>3733.8333333333335</v>
      </c>
      <c r="T227" s="603"/>
      <c r="U227" s="519"/>
      <c r="V227" s="595">
        <f t="shared" si="76"/>
        <v>0</v>
      </c>
      <c r="W227" s="596">
        <f t="shared" si="77"/>
        <v>0</v>
      </c>
      <c r="X227" s="603"/>
      <c r="Y227" s="519"/>
      <c r="Z227" s="603"/>
      <c r="AA227" s="519"/>
      <c r="AB227" s="603"/>
      <c r="AC227" s="519"/>
      <c r="AD227" s="603"/>
      <c r="AE227" s="519"/>
      <c r="AF227" s="595">
        <f t="shared" si="78"/>
        <v>0</v>
      </c>
      <c r="AG227" s="595">
        <f t="shared" si="79"/>
        <v>0</v>
      </c>
      <c r="AH227" s="596">
        <f t="shared" si="80"/>
        <v>0</v>
      </c>
      <c r="AI227" s="596">
        <f t="shared" si="81"/>
        <v>0</v>
      </c>
      <c r="AJ227" s="603"/>
      <c r="AK227" s="519"/>
      <c r="AL227" s="595">
        <f t="shared" si="82"/>
        <v>0</v>
      </c>
      <c r="AM227" s="596">
        <f t="shared" si="83"/>
        <v>0</v>
      </c>
      <c r="AN227" s="603">
        <v>299</v>
      </c>
      <c r="AO227" s="519">
        <v>401</v>
      </c>
      <c r="AP227" s="603">
        <v>4107</v>
      </c>
      <c r="AQ227" s="519">
        <v>4667</v>
      </c>
      <c r="AR227" s="603">
        <v>2804</v>
      </c>
      <c r="AS227" s="519">
        <v>3165</v>
      </c>
      <c r="AT227" s="603">
        <v>5032</v>
      </c>
      <c r="AU227" s="519">
        <v>5285</v>
      </c>
      <c r="AV227" s="595">
        <f t="shared" si="84"/>
        <v>12242</v>
      </c>
      <c r="AW227" s="595">
        <f t="shared" si="85"/>
        <v>510.08333333333331</v>
      </c>
      <c r="AX227" s="596">
        <f t="shared" si="86"/>
        <v>13518</v>
      </c>
      <c r="AY227" s="596">
        <f t="shared" si="87"/>
        <v>563.25</v>
      </c>
      <c r="AZ227" s="595">
        <f t="shared" si="88"/>
        <v>4606.5166666666664</v>
      </c>
      <c r="BA227" s="596">
        <f t="shared" si="89"/>
        <v>4297.0833333333339</v>
      </c>
    </row>
    <row r="228" spans="1:53" s="1" customFormat="1">
      <c r="A228" s="442" t="s">
        <v>463</v>
      </c>
      <c r="B228" s="418" t="s">
        <v>470</v>
      </c>
      <c r="C228" s="419"/>
      <c r="D228" s="417">
        <v>163851</v>
      </c>
      <c r="E228" s="417">
        <v>4</v>
      </c>
      <c r="F228" s="592" t="s">
        <v>74</v>
      </c>
      <c r="G228" s="519" t="s">
        <v>74</v>
      </c>
      <c r="H228" s="603">
        <v>5199</v>
      </c>
      <c r="I228" s="519">
        <v>4863</v>
      </c>
      <c r="J228" s="603">
        <v>104797</v>
      </c>
      <c r="K228" s="519">
        <v>103583</v>
      </c>
      <c r="L228" s="603">
        <v>6156</v>
      </c>
      <c r="M228" s="519">
        <v>7416</v>
      </c>
      <c r="N228" s="603">
        <v>110435</v>
      </c>
      <c r="O228" s="519">
        <v>103324</v>
      </c>
      <c r="P228" s="595">
        <f t="shared" si="72"/>
        <v>226587</v>
      </c>
      <c r="Q228" s="595">
        <f t="shared" si="73"/>
        <v>7552.9</v>
      </c>
      <c r="R228" s="596">
        <f t="shared" si="74"/>
        <v>219186</v>
      </c>
      <c r="S228" s="596">
        <f t="shared" si="75"/>
        <v>7306.2</v>
      </c>
      <c r="T228" s="603"/>
      <c r="U228" s="519"/>
      <c r="V228" s="595">
        <f t="shared" si="76"/>
        <v>0</v>
      </c>
      <c r="W228" s="596">
        <f t="shared" si="77"/>
        <v>0</v>
      </c>
      <c r="X228" s="603"/>
      <c r="Y228" s="519"/>
      <c r="Z228" s="603"/>
      <c r="AA228" s="519"/>
      <c r="AB228" s="603"/>
      <c r="AC228" s="519"/>
      <c r="AD228" s="603"/>
      <c r="AE228" s="519"/>
      <c r="AF228" s="595">
        <f t="shared" si="78"/>
        <v>0</v>
      </c>
      <c r="AG228" s="595">
        <f t="shared" si="79"/>
        <v>0</v>
      </c>
      <c r="AH228" s="596">
        <f t="shared" si="80"/>
        <v>0</v>
      </c>
      <c r="AI228" s="596">
        <f t="shared" si="81"/>
        <v>0</v>
      </c>
      <c r="AJ228" s="603"/>
      <c r="AK228" s="519"/>
      <c r="AL228" s="595">
        <f t="shared" si="82"/>
        <v>0</v>
      </c>
      <c r="AM228" s="596">
        <f t="shared" si="83"/>
        <v>0</v>
      </c>
      <c r="AN228" s="603">
        <v>266</v>
      </c>
      <c r="AO228" s="519">
        <v>366</v>
      </c>
      <c r="AP228" s="603">
        <v>6385</v>
      </c>
      <c r="AQ228" s="519">
        <v>6706</v>
      </c>
      <c r="AR228" s="603">
        <v>1880</v>
      </c>
      <c r="AS228" s="519">
        <v>2169</v>
      </c>
      <c r="AT228" s="603">
        <v>7038</v>
      </c>
      <c r="AU228" s="519">
        <v>7353</v>
      </c>
      <c r="AV228" s="595">
        <f t="shared" si="84"/>
        <v>15569</v>
      </c>
      <c r="AW228" s="595">
        <f t="shared" si="85"/>
        <v>648.70833333333337</v>
      </c>
      <c r="AX228" s="596">
        <f t="shared" si="86"/>
        <v>16594</v>
      </c>
      <c r="AY228" s="596">
        <f t="shared" si="87"/>
        <v>691.41666666666663</v>
      </c>
      <c r="AZ228" s="595">
        <f t="shared" si="88"/>
        <v>8201.6083333333336</v>
      </c>
      <c r="BA228" s="596">
        <f t="shared" si="89"/>
        <v>7997.6166666666668</v>
      </c>
    </row>
    <row r="229" spans="1:53" s="1" customFormat="1">
      <c r="A229" s="442" t="s">
        <v>463</v>
      </c>
      <c r="B229" s="418" t="s">
        <v>467</v>
      </c>
      <c r="C229" s="419"/>
      <c r="D229" s="417">
        <v>164076</v>
      </c>
      <c r="E229" s="417">
        <v>3</v>
      </c>
      <c r="F229" s="592" t="s">
        <v>74</v>
      </c>
      <c r="G229" s="519" t="s">
        <v>74</v>
      </c>
      <c r="H229" s="603">
        <v>7207</v>
      </c>
      <c r="I229" s="519">
        <v>6713</v>
      </c>
      <c r="J229" s="603">
        <v>251636</v>
      </c>
      <c r="K229" s="519">
        <v>247985.5</v>
      </c>
      <c r="L229" s="603">
        <v>23905</v>
      </c>
      <c r="M229" s="519">
        <v>29132</v>
      </c>
      <c r="N229" s="603">
        <v>266658.5</v>
      </c>
      <c r="O229" s="519">
        <v>255484.5</v>
      </c>
      <c r="P229" s="595">
        <f t="shared" si="72"/>
        <v>549406.5</v>
      </c>
      <c r="Q229" s="595">
        <f t="shared" si="73"/>
        <v>18313.55</v>
      </c>
      <c r="R229" s="596">
        <f t="shared" si="74"/>
        <v>539315</v>
      </c>
      <c r="S229" s="596">
        <f t="shared" si="75"/>
        <v>17977.166666666668</v>
      </c>
      <c r="T229" s="603"/>
      <c r="U229" s="519"/>
      <c r="V229" s="595">
        <f t="shared" si="76"/>
        <v>0</v>
      </c>
      <c r="W229" s="596">
        <f t="shared" si="77"/>
        <v>0</v>
      </c>
      <c r="X229" s="603"/>
      <c r="Y229" s="519"/>
      <c r="Z229" s="603"/>
      <c r="AA229" s="519"/>
      <c r="AB229" s="603"/>
      <c r="AC229" s="519"/>
      <c r="AD229" s="603"/>
      <c r="AE229" s="519"/>
      <c r="AF229" s="595">
        <f t="shared" si="78"/>
        <v>0</v>
      </c>
      <c r="AG229" s="595">
        <f t="shared" si="79"/>
        <v>0</v>
      </c>
      <c r="AH229" s="596">
        <f t="shared" si="80"/>
        <v>0</v>
      </c>
      <c r="AI229" s="596">
        <f t="shared" si="81"/>
        <v>0</v>
      </c>
      <c r="AJ229" s="603"/>
      <c r="AK229" s="519"/>
      <c r="AL229" s="595">
        <f t="shared" si="82"/>
        <v>0</v>
      </c>
      <c r="AM229" s="596">
        <f t="shared" si="83"/>
        <v>0</v>
      </c>
      <c r="AN229" s="603">
        <v>538</v>
      </c>
      <c r="AO229" s="519">
        <v>445</v>
      </c>
      <c r="AP229" s="603">
        <v>18775.5</v>
      </c>
      <c r="AQ229" s="519">
        <v>18295.5</v>
      </c>
      <c r="AR229" s="603">
        <v>6145</v>
      </c>
      <c r="AS229" s="519">
        <v>6511</v>
      </c>
      <c r="AT229" s="603">
        <v>18925.5</v>
      </c>
      <c r="AU229" s="519">
        <v>19690.5</v>
      </c>
      <c r="AV229" s="595">
        <f t="shared" si="84"/>
        <v>44384</v>
      </c>
      <c r="AW229" s="595">
        <f t="shared" si="85"/>
        <v>1849.3333333333333</v>
      </c>
      <c r="AX229" s="596">
        <f t="shared" si="86"/>
        <v>44942</v>
      </c>
      <c r="AY229" s="596">
        <f t="shared" si="87"/>
        <v>1872.5833333333333</v>
      </c>
      <c r="AZ229" s="595">
        <f t="shared" si="88"/>
        <v>20162.883333333331</v>
      </c>
      <c r="BA229" s="596">
        <f t="shared" si="89"/>
        <v>19849.75</v>
      </c>
    </row>
    <row r="230" spans="1:53" s="1" customFormat="1">
      <c r="A230" s="442" t="s">
        <v>463</v>
      </c>
      <c r="B230" s="418" t="s">
        <v>471</v>
      </c>
      <c r="C230" s="420"/>
      <c r="D230" s="417">
        <v>161873</v>
      </c>
      <c r="E230" s="417">
        <v>3</v>
      </c>
      <c r="F230" s="592" t="s">
        <v>74</v>
      </c>
      <c r="G230" s="519" t="s">
        <v>74</v>
      </c>
      <c r="H230" s="603">
        <v>252</v>
      </c>
      <c r="I230" s="519">
        <v>122</v>
      </c>
      <c r="J230" s="603">
        <v>24283</v>
      </c>
      <c r="K230" s="519">
        <v>19317</v>
      </c>
      <c r="L230" s="603">
        <v>2690</v>
      </c>
      <c r="M230" s="519">
        <v>2306</v>
      </c>
      <c r="N230" s="603">
        <v>21925</v>
      </c>
      <c r="O230" s="519">
        <v>19435</v>
      </c>
      <c r="P230" s="595">
        <f t="shared" si="72"/>
        <v>49150</v>
      </c>
      <c r="Q230" s="595">
        <f t="shared" si="73"/>
        <v>1638.3333333333333</v>
      </c>
      <c r="R230" s="596">
        <f t="shared" si="74"/>
        <v>41180</v>
      </c>
      <c r="S230" s="596">
        <f t="shared" si="75"/>
        <v>1372.6666666666667</v>
      </c>
      <c r="T230" s="603"/>
      <c r="U230" s="519"/>
      <c r="V230" s="595">
        <f t="shared" si="76"/>
        <v>0</v>
      </c>
      <c r="W230" s="596">
        <f t="shared" si="77"/>
        <v>0</v>
      </c>
      <c r="X230" s="603"/>
      <c r="Y230" s="519"/>
      <c r="Z230" s="603"/>
      <c r="AA230" s="519"/>
      <c r="AB230" s="603"/>
      <c r="AC230" s="519"/>
      <c r="AD230" s="603"/>
      <c r="AE230" s="519"/>
      <c r="AF230" s="595">
        <f t="shared" si="78"/>
        <v>0</v>
      </c>
      <c r="AG230" s="595">
        <f t="shared" si="79"/>
        <v>0</v>
      </c>
      <c r="AH230" s="596">
        <f t="shared" si="80"/>
        <v>0</v>
      </c>
      <c r="AI230" s="596">
        <f t="shared" si="81"/>
        <v>0</v>
      </c>
      <c r="AJ230" s="603"/>
      <c r="AK230" s="519"/>
      <c r="AL230" s="595">
        <f t="shared" si="82"/>
        <v>0</v>
      </c>
      <c r="AM230" s="596">
        <f t="shared" si="83"/>
        <v>0</v>
      </c>
      <c r="AN230" s="603">
        <v>229</v>
      </c>
      <c r="AO230" s="519">
        <v>117</v>
      </c>
      <c r="AP230" s="603">
        <v>18765.5</v>
      </c>
      <c r="AQ230" s="519">
        <v>17829.5</v>
      </c>
      <c r="AR230" s="603">
        <v>2691.5</v>
      </c>
      <c r="AS230" s="519">
        <v>2501</v>
      </c>
      <c r="AT230" s="603">
        <v>19308.5</v>
      </c>
      <c r="AU230" s="519">
        <v>18972</v>
      </c>
      <c r="AV230" s="595">
        <f t="shared" si="84"/>
        <v>40994.5</v>
      </c>
      <c r="AW230" s="595">
        <f t="shared" si="85"/>
        <v>1708.1041666666667</v>
      </c>
      <c r="AX230" s="596">
        <f t="shared" si="86"/>
        <v>39419.5</v>
      </c>
      <c r="AY230" s="596">
        <f t="shared" si="87"/>
        <v>1642.4791666666667</v>
      </c>
      <c r="AZ230" s="595">
        <f t="shared" si="88"/>
        <v>3346.4375</v>
      </c>
      <c r="BA230" s="596">
        <f t="shared" si="89"/>
        <v>3015.1458333333335</v>
      </c>
    </row>
    <row r="231" spans="1:53" s="1" customFormat="1">
      <c r="A231" s="442" t="s">
        <v>463</v>
      </c>
      <c r="B231" s="418" t="s">
        <v>466</v>
      </c>
      <c r="C231" s="419"/>
      <c r="D231" s="417">
        <v>163268</v>
      </c>
      <c r="E231" s="417">
        <v>2</v>
      </c>
      <c r="F231" s="592" t="s">
        <v>74</v>
      </c>
      <c r="G231" s="519" t="s">
        <v>74</v>
      </c>
      <c r="H231" s="603">
        <v>5503.5</v>
      </c>
      <c r="I231" s="519">
        <v>5485</v>
      </c>
      <c r="J231" s="603">
        <v>142356</v>
      </c>
      <c r="K231" s="519">
        <v>138392</v>
      </c>
      <c r="L231" s="603">
        <v>17117</v>
      </c>
      <c r="M231" s="519">
        <v>22354</v>
      </c>
      <c r="N231" s="603">
        <v>149312</v>
      </c>
      <c r="O231" s="519">
        <v>147993.5</v>
      </c>
      <c r="P231" s="595">
        <f t="shared" si="72"/>
        <v>314288.5</v>
      </c>
      <c r="Q231" s="595">
        <f t="shared" si="73"/>
        <v>10476.283333333333</v>
      </c>
      <c r="R231" s="596">
        <f t="shared" si="74"/>
        <v>314224.5</v>
      </c>
      <c r="S231" s="596">
        <f t="shared" si="75"/>
        <v>10474.15</v>
      </c>
      <c r="T231" s="603"/>
      <c r="U231" s="519"/>
      <c r="V231" s="595">
        <f t="shared" si="76"/>
        <v>0</v>
      </c>
      <c r="W231" s="596">
        <f t="shared" si="77"/>
        <v>0</v>
      </c>
      <c r="X231" s="603"/>
      <c r="Y231" s="519"/>
      <c r="Z231" s="603"/>
      <c r="AA231" s="519"/>
      <c r="AB231" s="603"/>
      <c r="AC231" s="519"/>
      <c r="AD231" s="603"/>
      <c r="AE231" s="519"/>
      <c r="AF231" s="595">
        <f t="shared" si="78"/>
        <v>0</v>
      </c>
      <c r="AG231" s="595">
        <f t="shared" si="79"/>
        <v>0</v>
      </c>
      <c r="AH231" s="596">
        <f t="shared" si="80"/>
        <v>0</v>
      </c>
      <c r="AI231" s="596">
        <f t="shared" si="81"/>
        <v>0</v>
      </c>
      <c r="AJ231" s="603"/>
      <c r="AK231" s="519"/>
      <c r="AL231" s="595">
        <f t="shared" si="82"/>
        <v>0</v>
      </c>
      <c r="AM231" s="596">
        <f t="shared" si="83"/>
        <v>0</v>
      </c>
      <c r="AN231" s="603">
        <v>28</v>
      </c>
      <c r="AO231" s="519">
        <v>82</v>
      </c>
      <c r="AP231" s="603">
        <v>15774</v>
      </c>
      <c r="AQ231" s="519">
        <v>16203</v>
      </c>
      <c r="AR231" s="603">
        <v>2531</v>
      </c>
      <c r="AS231" s="519">
        <v>2916</v>
      </c>
      <c r="AT231" s="603">
        <v>16491</v>
      </c>
      <c r="AU231" s="519">
        <v>17726</v>
      </c>
      <c r="AV231" s="595">
        <f t="shared" si="84"/>
        <v>34824</v>
      </c>
      <c r="AW231" s="595">
        <f t="shared" si="85"/>
        <v>1451</v>
      </c>
      <c r="AX231" s="596">
        <f t="shared" si="86"/>
        <v>36927</v>
      </c>
      <c r="AY231" s="596">
        <f t="shared" si="87"/>
        <v>1538.625</v>
      </c>
      <c r="AZ231" s="595">
        <f t="shared" si="88"/>
        <v>11927.283333333333</v>
      </c>
      <c r="BA231" s="596">
        <f t="shared" si="89"/>
        <v>12012.775</v>
      </c>
    </row>
    <row r="232" spans="1:53" s="1" customFormat="1">
      <c r="A232" s="442" t="s">
        <v>463</v>
      </c>
      <c r="B232" s="418" t="s">
        <v>464</v>
      </c>
      <c r="C232" s="419"/>
      <c r="D232" s="417">
        <v>163286</v>
      </c>
      <c r="E232" s="417">
        <v>1</v>
      </c>
      <c r="F232" s="592" t="s">
        <v>74</v>
      </c>
      <c r="G232" s="519" t="s">
        <v>74</v>
      </c>
      <c r="H232" s="603">
        <v>11515</v>
      </c>
      <c r="I232" s="519">
        <v>12267</v>
      </c>
      <c r="J232" s="603">
        <v>407236</v>
      </c>
      <c r="K232" s="519">
        <v>404774</v>
      </c>
      <c r="L232" s="603">
        <v>33091</v>
      </c>
      <c r="M232" s="519">
        <v>43674</v>
      </c>
      <c r="N232" s="603">
        <v>420148</v>
      </c>
      <c r="O232" s="519">
        <v>422331</v>
      </c>
      <c r="P232" s="595">
        <f t="shared" si="72"/>
        <v>871990</v>
      </c>
      <c r="Q232" s="595">
        <f t="shared" si="73"/>
        <v>29066.333333333332</v>
      </c>
      <c r="R232" s="596">
        <f t="shared" si="74"/>
        <v>883046</v>
      </c>
      <c r="S232" s="596">
        <f t="shared" si="75"/>
        <v>29434.866666666665</v>
      </c>
      <c r="T232" s="603"/>
      <c r="U232" s="519"/>
      <c r="V232" s="595">
        <f t="shared" si="76"/>
        <v>0</v>
      </c>
      <c r="W232" s="596">
        <f t="shared" si="77"/>
        <v>0</v>
      </c>
      <c r="X232" s="603"/>
      <c r="Y232" s="519"/>
      <c r="Z232" s="603"/>
      <c r="AA232" s="519"/>
      <c r="AB232" s="603"/>
      <c r="AC232" s="519"/>
      <c r="AD232" s="603"/>
      <c r="AE232" s="519"/>
      <c r="AF232" s="595">
        <f t="shared" si="78"/>
        <v>0</v>
      </c>
      <c r="AG232" s="595">
        <f t="shared" si="79"/>
        <v>0</v>
      </c>
      <c r="AH232" s="596">
        <f t="shared" si="80"/>
        <v>0</v>
      </c>
      <c r="AI232" s="596">
        <f t="shared" si="81"/>
        <v>0</v>
      </c>
      <c r="AJ232" s="603"/>
      <c r="AK232" s="519"/>
      <c r="AL232" s="595">
        <f t="shared" si="82"/>
        <v>0</v>
      </c>
      <c r="AM232" s="596">
        <f t="shared" si="83"/>
        <v>0</v>
      </c>
      <c r="AN232" s="603">
        <v>3085</v>
      </c>
      <c r="AO232" s="519">
        <v>2897</v>
      </c>
      <c r="AP232" s="603">
        <v>66323</v>
      </c>
      <c r="AQ232" s="519">
        <v>64672</v>
      </c>
      <c r="AR232" s="603">
        <v>11875</v>
      </c>
      <c r="AS232" s="519">
        <v>11822</v>
      </c>
      <c r="AT232" s="603">
        <v>72934</v>
      </c>
      <c r="AU232" s="519">
        <v>70620</v>
      </c>
      <c r="AV232" s="595">
        <f t="shared" si="84"/>
        <v>154217</v>
      </c>
      <c r="AW232" s="595">
        <f t="shared" si="85"/>
        <v>6425.708333333333</v>
      </c>
      <c r="AX232" s="596">
        <f t="shared" si="86"/>
        <v>150011</v>
      </c>
      <c r="AY232" s="596">
        <f t="shared" si="87"/>
        <v>6250.458333333333</v>
      </c>
      <c r="AZ232" s="595">
        <f t="shared" si="88"/>
        <v>35492.041666666664</v>
      </c>
      <c r="BA232" s="596">
        <f t="shared" si="89"/>
        <v>35685.324999999997</v>
      </c>
    </row>
    <row r="233" spans="1:53" s="1" customFormat="1">
      <c r="A233" s="442" t="s">
        <v>463</v>
      </c>
      <c r="B233" s="418" t="s">
        <v>472</v>
      </c>
      <c r="C233" s="419"/>
      <c r="D233" s="417">
        <v>163338</v>
      </c>
      <c r="E233" s="417">
        <v>4</v>
      </c>
      <c r="F233" s="592" t="s">
        <v>74</v>
      </c>
      <c r="G233" s="519" t="s">
        <v>74</v>
      </c>
      <c r="H233" s="603">
        <v>778.5</v>
      </c>
      <c r="I233" s="519">
        <v>573.5</v>
      </c>
      <c r="J233" s="603">
        <v>32036</v>
      </c>
      <c r="K233" s="519">
        <v>28664.5</v>
      </c>
      <c r="L233" s="603">
        <v>2400</v>
      </c>
      <c r="M233" s="519">
        <v>2580</v>
      </c>
      <c r="N233" s="603">
        <v>33546.5</v>
      </c>
      <c r="O233" s="519">
        <v>29848</v>
      </c>
      <c r="P233" s="595">
        <f t="shared" si="72"/>
        <v>68761</v>
      </c>
      <c r="Q233" s="595">
        <f t="shared" si="73"/>
        <v>2292.0333333333333</v>
      </c>
      <c r="R233" s="596">
        <f t="shared" si="74"/>
        <v>61666</v>
      </c>
      <c r="S233" s="596">
        <f t="shared" si="75"/>
        <v>2055.5333333333333</v>
      </c>
      <c r="T233" s="603"/>
      <c r="U233" s="519"/>
      <c r="V233" s="595">
        <f t="shared" si="76"/>
        <v>0</v>
      </c>
      <c r="W233" s="596">
        <f t="shared" si="77"/>
        <v>0</v>
      </c>
      <c r="X233" s="603"/>
      <c r="Y233" s="519"/>
      <c r="Z233" s="603"/>
      <c r="AA233" s="519"/>
      <c r="AB233" s="603"/>
      <c r="AC233" s="519"/>
      <c r="AD233" s="603"/>
      <c r="AE233" s="519"/>
      <c r="AF233" s="595">
        <f t="shared" si="78"/>
        <v>0</v>
      </c>
      <c r="AG233" s="595">
        <f t="shared" si="79"/>
        <v>0</v>
      </c>
      <c r="AH233" s="596">
        <f t="shared" si="80"/>
        <v>0</v>
      </c>
      <c r="AI233" s="596">
        <f t="shared" si="81"/>
        <v>0</v>
      </c>
      <c r="AJ233" s="603"/>
      <c r="AK233" s="519"/>
      <c r="AL233" s="595">
        <f t="shared" si="82"/>
        <v>0</v>
      </c>
      <c r="AM233" s="596">
        <f t="shared" si="83"/>
        <v>0</v>
      </c>
      <c r="AN233" s="603">
        <v>307</v>
      </c>
      <c r="AO233" s="519">
        <v>390</v>
      </c>
      <c r="AP233" s="603">
        <v>6664.5</v>
      </c>
      <c r="AQ233" s="519">
        <v>6485</v>
      </c>
      <c r="AR233" s="603">
        <v>1344</v>
      </c>
      <c r="AS233" s="519">
        <v>1293</v>
      </c>
      <c r="AT233" s="603">
        <v>7096</v>
      </c>
      <c r="AU233" s="519">
        <v>7361.5</v>
      </c>
      <c r="AV233" s="595">
        <f t="shared" si="84"/>
        <v>15411.5</v>
      </c>
      <c r="AW233" s="595">
        <f t="shared" si="85"/>
        <v>642.14583333333337</v>
      </c>
      <c r="AX233" s="596">
        <f t="shared" si="86"/>
        <v>15529.5</v>
      </c>
      <c r="AY233" s="596">
        <f t="shared" si="87"/>
        <v>647.0625</v>
      </c>
      <c r="AZ233" s="595">
        <f t="shared" si="88"/>
        <v>2934.1791666666668</v>
      </c>
      <c r="BA233" s="596">
        <f t="shared" si="89"/>
        <v>2702.5958333333333</v>
      </c>
    </row>
    <row r="234" spans="1:53" s="1" customFormat="1">
      <c r="A234" s="442" t="s">
        <v>463</v>
      </c>
      <c r="B234" s="418" t="s">
        <v>465</v>
      </c>
      <c r="C234" s="420"/>
      <c r="D234" s="417">
        <v>163453</v>
      </c>
      <c r="E234" s="417">
        <v>2</v>
      </c>
      <c r="F234" s="592" t="s">
        <v>74</v>
      </c>
      <c r="G234" s="519" t="s">
        <v>74</v>
      </c>
      <c r="H234" s="603">
        <v>2475</v>
      </c>
      <c r="I234" s="519">
        <v>2195</v>
      </c>
      <c r="J234" s="603">
        <v>83996</v>
      </c>
      <c r="K234" s="519">
        <v>81111</v>
      </c>
      <c r="L234" s="603">
        <v>9125</v>
      </c>
      <c r="M234" s="519">
        <v>9596</v>
      </c>
      <c r="N234" s="603">
        <v>88915</v>
      </c>
      <c r="O234" s="519">
        <v>89187</v>
      </c>
      <c r="P234" s="595">
        <f t="shared" si="72"/>
        <v>184511</v>
      </c>
      <c r="Q234" s="595">
        <f t="shared" si="73"/>
        <v>6150.3666666666668</v>
      </c>
      <c r="R234" s="596">
        <f t="shared" si="74"/>
        <v>182089</v>
      </c>
      <c r="S234" s="596">
        <f t="shared" si="75"/>
        <v>6069.6333333333332</v>
      </c>
      <c r="T234" s="603"/>
      <c r="U234" s="519"/>
      <c r="V234" s="595">
        <f t="shared" si="76"/>
        <v>0</v>
      </c>
      <c r="W234" s="596">
        <f t="shared" si="77"/>
        <v>0</v>
      </c>
      <c r="X234" s="603"/>
      <c r="Y234" s="519"/>
      <c r="Z234" s="603"/>
      <c r="AA234" s="519"/>
      <c r="AB234" s="603"/>
      <c r="AC234" s="519"/>
      <c r="AD234" s="603"/>
      <c r="AE234" s="519"/>
      <c r="AF234" s="595">
        <f t="shared" si="78"/>
        <v>0</v>
      </c>
      <c r="AG234" s="595">
        <f t="shared" si="79"/>
        <v>0</v>
      </c>
      <c r="AH234" s="596">
        <f t="shared" si="80"/>
        <v>0</v>
      </c>
      <c r="AI234" s="596">
        <f t="shared" si="81"/>
        <v>0</v>
      </c>
      <c r="AJ234" s="603"/>
      <c r="AK234" s="519"/>
      <c r="AL234" s="595">
        <f t="shared" si="82"/>
        <v>0</v>
      </c>
      <c r="AM234" s="596">
        <f t="shared" si="83"/>
        <v>0</v>
      </c>
      <c r="AN234" s="603">
        <v>46</v>
      </c>
      <c r="AO234" s="519">
        <v>31</v>
      </c>
      <c r="AP234" s="603">
        <v>11859</v>
      </c>
      <c r="AQ234" s="519">
        <v>11697</v>
      </c>
      <c r="AR234" s="603">
        <v>766</v>
      </c>
      <c r="AS234" s="519">
        <v>906</v>
      </c>
      <c r="AT234" s="603">
        <v>11937</v>
      </c>
      <c r="AU234" s="519">
        <v>12617</v>
      </c>
      <c r="AV234" s="595">
        <f t="shared" si="84"/>
        <v>24608</v>
      </c>
      <c r="AW234" s="595">
        <f t="shared" si="85"/>
        <v>1025.3333333333333</v>
      </c>
      <c r="AX234" s="596">
        <f t="shared" si="86"/>
        <v>25251</v>
      </c>
      <c r="AY234" s="596">
        <f t="shared" si="87"/>
        <v>1052.125</v>
      </c>
      <c r="AZ234" s="595">
        <f t="shared" si="88"/>
        <v>7175.7</v>
      </c>
      <c r="BA234" s="596">
        <f t="shared" si="89"/>
        <v>7121.7583333333332</v>
      </c>
    </row>
    <row r="235" spans="1:53" s="1" customFormat="1">
      <c r="A235" s="442" t="s">
        <v>463</v>
      </c>
      <c r="B235" s="418" t="s">
        <v>474</v>
      </c>
      <c r="C235" s="419"/>
      <c r="D235" s="417">
        <v>163912</v>
      </c>
      <c r="E235" s="417">
        <v>6</v>
      </c>
      <c r="F235" s="592" t="s">
        <v>74</v>
      </c>
      <c r="G235" s="519" t="s">
        <v>74</v>
      </c>
      <c r="H235" s="603">
        <v>0</v>
      </c>
      <c r="I235" s="519">
        <v>0</v>
      </c>
      <c r="J235" s="603">
        <v>22736.5</v>
      </c>
      <c r="K235" s="519">
        <v>21516.5</v>
      </c>
      <c r="L235" s="603">
        <v>1409</v>
      </c>
      <c r="M235" s="519">
        <v>1644</v>
      </c>
      <c r="N235" s="603">
        <v>22716.5</v>
      </c>
      <c r="O235" s="519">
        <v>23251</v>
      </c>
      <c r="P235" s="595">
        <f t="shared" si="72"/>
        <v>46862</v>
      </c>
      <c r="Q235" s="595">
        <f t="shared" si="73"/>
        <v>1562.0666666666666</v>
      </c>
      <c r="R235" s="596">
        <f t="shared" si="74"/>
        <v>46411.5</v>
      </c>
      <c r="S235" s="596">
        <f t="shared" si="75"/>
        <v>1547.05</v>
      </c>
      <c r="T235" s="603"/>
      <c r="U235" s="519"/>
      <c r="V235" s="595">
        <f t="shared" si="76"/>
        <v>0</v>
      </c>
      <c r="W235" s="596">
        <f t="shared" si="77"/>
        <v>0</v>
      </c>
      <c r="X235" s="603"/>
      <c r="Y235" s="519"/>
      <c r="Z235" s="603"/>
      <c r="AA235" s="519"/>
      <c r="AB235" s="603"/>
      <c r="AC235" s="519"/>
      <c r="AD235" s="603"/>
      <c r="AE235" s="519"/>
      <c r="AF235" s="595">
        <f t="shared" si="78"/>
        <v>0</v>
      </c>
      <c r="AG235" s="595">
        <f t="shared" si="79"/>
        <v>0</v>
      </c>
      <c r="AH235" s="596">
        <f t="shared" si="80"/>
        <v>0</v>
      </c>
      <c r="AI235" s="596">
        <f t="shared" si="81"/>
        <v>0</v>
      </c>
      <c r="AJ235" s="603"/>
      <c r="AK235" s="519"/>
      <c r="AL235" s="595">
        <f t="shared" si="82"/>
        <v>0</v>
      </c>
      <c r="AM235" s="596">
        <f t="shared" si="83"/>
        <v>0</v>
      </c>
      <c r="AN235" s="603">
        <v>0</v>
      </c>
      <c r="AO235" s="519">
        <v>0</v>
      </c>
      <c r="AP235" s="603">
        <v>458</v>
      </c>
      <c r="AQ235" s="519">
        <v>292</v>
      </c>
      <c r="AR235" s="603">
        <v>375</v>
      </c>
      <c r="AS235" s="519">
        <v>327</v>
      </c>
      <c r="AT235" s="603">
        <v>289</v>
      </c>
      <c r="AU235" s="519">
        <v>270</v>
      </c>
      <c r="AV235" s="595">
        <f t="shared" si="84"/>
        <v>1122</v>
      </c>
      <c r="AW235" s="595">
        <f t="shared" si="85"/>
        <v>46.75</v>
      </c>
      <c r="AX235" s="596">
        <f t="shared" si="86"/>
        <v>889</v>
      </c>
      <c r="AY235" s="596">
        <f t="shared" si="87"/>
        <v>37.041666666666664</v>
      </c>
      <c r="AZ235" s="595">
        <f t="shared" si="88"/>
        <v>1608.8166666666666</v>
      </c>
      <c r="BA235" s="596">
        <f t="shared" si="89"/>
        <v>1584.0916666666667</v>
      </c>
    </row>
    <row r="236" spans="1:53" s="365" customFormat="1" ht="13.5" customHeight="1">
      <c r="A236" s="444" t="s">
        <v>230</v>
      </c>
      <c r="B236" s="445" t="s">
        <v>231</v>
      </c>
      <c r="C236" s="446"/>
      <c r="D236" s="447">
        <v>176080</v>
      </c>
      <c r="E236" s="447">
        <v>1</v>
      </c>
      <c r="F236" s="592"/>
      <c r="G236" s="519"/>
      <c r="H236" s="592"/>
      <c r="I236" s="519"/>
      <c r="J236" s="592">
        <v>241609</v>
      </c>
      <c r="K236" s="519">
        <v>244205</v>
      </c>
      <c r="L236" s="592">
        <v>30016</v>
      </c>
      <c r="M236" s="519">
        <v>39336</v>
      </c>
      <c r="N236" s="592">
        <v>266429</v>
      </c>
      <c r="O236" s="519">
        <v>265672</v>
      </c>
      <c r="P236" s="595">
        <f t="shared" si="72"/>
        <v>538054</v>
      </c>
      <c r="Q236" s="595">
        <f t="shared" si="73"/>
        <v>17935.133333333335</v>
      </c>
      <c r="R236" s="596">
        <f t="shared" si="74"/>
        <v>549213</v>
      </c>
      <c r="S236" s="596">
        <f t="shared" si="75"/>
        <v>18307.099999999999</v>
      </c>
      <c r="T236" s="592"/>
      <c r="U236" s="519"/>
      <c r="V236" s="595">
        <f t="shared" si="76"/>
        <v>0</v>
      </c>
      <c r="W236" s="596">
        <f t="shared" si="77"/>
        <v>0</v>
      </c>
      <c r="X236" s="592"/>
      <c r="Y236" s="519"/>
      <c r="Z236" s="592"/>
      <c r="AA236" s="519"/>
      <c r="AB236" s="592"/>
      <c r="AC236" s="519"/>
      <c r="AD236" s="592"/>
      <c r="AE236" s="519"/>
      <c r="AF236" s="595">
        <f t="shared" si="78"/>
        <v>0</v>
      </c>
      <c r="AG236" s="595">
        <f t="shared" si="79"/>
        <v>0</v>
      </c>
      <c r="AH236" s="596">
        <f t="shared" si="80"/>
        <v>0</v>
      </c>
      <c r="AI236" s="596">
        <f t="shared" si="81"/>
        <v>0</v>
      </c>
      <c r="AJ236" s="592"/>
      <c r="AK236" s="519"/>
      <c r="AL236" s="595">
        <f t="shared" si="82"/>
        <v>0</v>
      </c>
      <c r="AM236" s="596">
        <f t="shared" si="83"/>
        <v>0</v>
      </c>
      <c r="AN236" s="592"/>
      <c r="AO236" s="519"/>
      <c r="AP236" s="592">
        <v>21608</v>
      </c>
      <c r="AQ236" s="519">
        <v>21219</v>
      </c>
      <c r="AR236" s="592">
        <v>11029</v>
      </c>
      <c r="AS236" s="519">
        <v>14142</v>
      </c>
      <c r="AT236" s="592">
        <v>21605</v>
      </c>
      <c r="AU236" s="519">
        <v>26329</v>
      </c>
      <c r="AV236" s="595">
        <f t="shared" si="84"/>
        <v>54242</v>
      </c>
      <c r="AW236" s="595">
        <f t="shared" si="85"/>
        <v>2260.0833333333335</v>
      </c>
      <c r="AX236" s="596">
        <f t="shared" si="86"/>
        <v>61690</v>
      </c>
      <c r="AY236" s="596">
        <f t="shared" si="87"/>
        <v>2570.4166666666665</v>
      </c>
      <c r="AZ236" s="595">
        <f t="shared" si="88"/>
        <v>20195.216666666667</v>
      </c>
      <c r="BA236" s="596">
        <f t="shared" si="89"/>
        <v>20877.516666666666</v>
      </c>
    </row>
    <row r="237" spans="1:53" s="365" customFormat="1" ht="12.75" customHeight="1">
      <c r="A237" s="444" t="s">
        <v>230</v>
      </c>
      <c r="B237" s="445" t="s">
        <v>234</v>
      </c>
      <c r="C237" s="448"/>
      <c r="D237" s="447">
        <v>176017</v>
      </c>
      <c r="E237" s="447">
        <v>1</v>
      </c>
      <c r="F237" s="592"/>
      <c r="G237" s="519"/>
      <c r="H237" s="592"/>
      <c r="I237" s="519"/>
      <c r="J237" s="592">
        <v>246873</v>
      </c>
      <c r="K237" s="519">
        <v>234713</v>
      </c>
      <c r="L237" s="592">
        <v>39636</v>
      </c>
      <c r="M237" s="519">
        <v>35636</v>
      </c>
      <c r="N237" s="592">
        <v>244471</v>
      </c>
      <c r="O237" s="519">
        <v>231075</v>
      </c>
      <c r="P237" s="595">
        <f t="shared" si="72"/>
        <v>530980</v>
      </c>
      <c r="Q237" s="595">
        <f t="shared" si="73"/>
        <v>17699.333333333332</v>
      </c>
      <c r="R237" s="596">
        <f t="shared" si="74"/>
        <v>501424</v>
      </c>
      <c r="S237" s="596">
        <f t="shared" si="75"/>
        <v>16714.133333333335</v>
      </c>
      <c r="T237" s="592"/>
      <c r="U237" s="519"/>
      <c r="V237" s="595">
        <f t="shared" si="76"/>
        <v>0</v>
      </c>
      <c r="W237" s="596">
        <f t="shared" si="77"/>
        <v>0</v>
      </c>
      <c r="X237" s="592"/>
      <c r="Y237" s="519"/>
      <c r="Z237" s="592"/>
      <c r="AA237" s="519"/>
      <c r="AB237" s="592"/>
      <c r="AC237" s="519"/>
      <c r="AD237" s="592"/>
      <c r="AE237" s="519"/>
      <c r="AF237" s="595">
        <f t="shared" si="78"/>
        <v>0</v>
      </c>
      <c r="AG237" s="595">
        <f t="shared" si="79"/>
        <v>0</v>
      </c>
      <c r="AH237" s="596">
        <f t="shared" si="80"/>
        <v>0</v>
      </c>
      <c r="AI237" s="596">
        <f t="shared" si="81"/>
        <v>0</v>
      </c>
      <c r="AJ237" s="592"/>
      <c r="AK237" s="519"/>
      <c r="AL237" s="595">
        <f t="shared" si="82"/>
        <v>0</v>
      </c>
      <c r="AM237" s="596">
        <f t="shared" si="83"/>
        <v>0</v>
      </c>
      <c r="AN237" s="592"/>
      <c r="AO237" s="519"/>
      <c r="AP237" s="592">
        <v>29090</v>
      </c>
      <c r="AQ237" s="519">
        <v>29440</v>
      </c>
      <c r="AR237" s="592">
        <v>10657</v>
      </c>
      <c r="AS237" s="519">
        <v>11160</v>
      </c>
      <c r="AT237" s="592">
        <v>29912</v>
      </c>
      <c r="AU237" s="519">
        <v>32359</v>
      </c>
      <c r="AV237" s="595">
        <f t="shared" si="84"/>
        <v>69659</v>
      </c>
      <c r="AW237" s="595">
        <f t="shared" si="85"/>
        <v>2902.4583333333335</v>
      </c>
      <c r="AX237" s="596">
        <f t="shared" si="86"/>
        <v>72959</v>
      </c>
      <c r="AY237" s="596">
        <f t="shared" si="87"/>
        <v>3039.9583333333335</v>
      </c>
      <c r="AZ237" s="595">
        <f t="shared" si="88"/>
        <v>20601.791666666664</v>
      </c>
      <c r="BA237" s="596">
        <f t="shared" si="89"/>
        <v>19754.091666666667</v>
      </c>
    </row>
    <row r="238" spans="1:53" s="1" customFormat="1">
      <c r="A238" s="444" t="s">
        <v>230</v>
      </c>
      <c r="B238" s="445" t="s">
        <v>232</v>
      </c>
      <c r="C238" s="446"/>
      <c r="D238" s="447">
        <v>176372</v>
      </c>
      <c r="E238" s="447">
        <v>1</v>
      </c>
      <c r="F238" s="592"/>
      <c r="G238" s="519"/>
      <c r="H238" s="592"/>
      <c r="I238" s="519"/>
      <c r="J238" s="592">
        <v>148324</v>
      </c>
      <c r="K238" s="519">
        <v>147483</v>
      </c>
      <c r="L238" s="592">
        <v>22338</v>
      </c>
      <c r="M238" s="519">
        <v>20645</v>
      </c>
      <c r="N238" s="592">
        <v>163204</v>
      </c>
      <c r="O238" s="519">
        <v>162817</v>
      </c>
      <c r="P238" s="595">
        <f t="shared" si="72"/>
        <v>333866</v>
      </c>
      <c r="Q238" s="595">
        <f t="shared" si="73"/>
        <v>11128.866666666667</v>
      </c>
      <c r="R238" s="596">
        <f t="shared" si="74"/>
        <v>330945</v>
      </c>
      <c r="S238" s="596">
        <f t="shared" si="75"/>
        <v>11031.5</v>
      </c>
      <c r="T238" s="592"/>
      <c r="U238" s="519"/>
      <c r="V238" s="595">
        <f t="shared" si="76"/>
        <v>0</v>
      </c>
      <c r="W238" s="596">
        <f t="shared" si="77"/>
        <v>0</v>
      </c>
      <c r="X238" s="592"/>
      <c r="Y238" s="519"/>
      <c r="Z238" s="592"/>
      <c r="AA238" s="519"/>
      <c r="AB238" s="592"/>
      <c r="AC238" s="519"/>
      <c r="AD238" s="592"/>
      <c r="AE238" s="519"/>
      <c r="AF238" s="595">
        <f t="shared" si="78"/>
        <v>0</v>
      </c>
      <c r="AG238" s="595">
        <f t="shared" si="79"/>
        <v>0</v>
      </c>
      <c r="AH238" s="596">
        <f t="shared" si="80"/>
        <v>0</v>
      </c>
      <c r="AI238" s="596">
        <f t="shared" si="81"/>
        <v>0</v>
      </c>
      <c r="AJ238" s="592"/>
      <c r="AK238" s="519"/>
      <c r="AL238" s="595">
        <f t="shared" si="82"/>
        <v>0</v>
      </c>
      <c r="AM238" s="596">
        <f t="shared" si="83"/>
        <v>0</v>
      </c>
      <c r="AN238" s="592"/>
      <c r="AO238" s="519"/>
      <c r="AP238" s="592">
        <v>19002</v>
      </c>
      <c r="AQ238" s="519">
        <v>19267</v>
      </c>
      <c r="AR238" s="592">
        <v>9270</v>
      </c>
      <c r="AS238" s="519">
        <v>9784</v>
      </c>
      <c r="AT238" s="592">
        <v>20260</v>
      </c>
      <c r="AU238" s="519">
        <v>24636</v>
      </c>
      <c r="AV238" s="595">
        <f t="shared" si="84"/>
        <v>48532</v>
      </c>
      <c r="AW238" s="595">
        <f t="shared" si="85"/>
        <v>2022.1666666666667</v>
      </c>
      <c r="AX238" s="596">
        <f t="shared" si="86"/>
        <v>53687</v>
      </c>
      <c r="AY238" s="596">
        <f t="shared" si="87"/>
        <v>2236.9583333333335</v>
      </c>
      <c r="AZ238" s="595">
        <f t="shared" si="88"/>
        <v>13151.033333333333</v>
      </c>
      <c r="BA238" s="596">
        <f t="shared" si="89"/>
        <v>13268.458333333334</v>
      </c>
    </row>
    <row r="239" spans="1:53" s="365" customFormat="1" ht="15" customHeight="1">
      <c r="A239" s="444" t="s">
        <v>230</v>
      </c>
      <c r="B239" s="445" t="s">
        <v>233</v>
      </c>
      <c r="C239" s="446"/>
      <c r="D239" s="447">
        <v>175856</v>
      </c>
      <c r="E239" s="447">
        <v>2</v>
      </c>
      <c r="F239" s="592"/>
      <c r="G239" s="519"/>
      <c r="H239" s="592"/>
      <c r="I239" s="519"/>
      <c r="J239" s="592">
        <v>65247</v>
      </c>
      <c r="K239" s="519">
        <v>63475</v>
      </c>
      <c r="L239" s="592">
        <v>7951</v>
      </c>
      <c r="M239" s="519">
        <v>6606</v>
      </c>
      <c r="N239" s="592">
        <v>69018</v>
      </c>
      <c r="O239" s="519">
        <v>62207.5</v>
      </c>
      <c r="P239" s="595">
        <f t="shared" si="72"/>
        <v>142216</v>
      </c>
      <c r="Q239" s="595">
        <f t="shared" si="73"/>
        <v>4740.5333333333338</v>
      </c>
      <c r="R239" s="596">
        <f t="shared" si="74"/>
        <v>132288.5</v>
      </c>
      <c r="S239" s="596">
        <f t="shared" si="75"/>
        <v>4409.6166666666668</v>
      </c>
      <c r="T239" s="592"/>
      <c r="U239" s="519"/>
      <c r="V239" s="595">
        <f t="shared" si="76"/>
        <v>0</v>
      </c>
      <c r="W239" s="596">
        <f t="shared" si="77"/>
        <v>0</v>
      </c>
      <c r="X239" s="592"/>
      <c r="Y239" s="519"/>
      <c r="Z239" s="592"/>
      <c r="AA239" s="519"/>
      <c r="AB239" s="592"/>
      <c r="AC239" s="519"/>
      <c r="AD239" s="592"/>
      <c r="AE239" s="519"/>
      <c r="AF239" s="595">
        <f t="shared" si="78"/>
        <v>0</v>
      </c>
      <c r="AG239" s="595">
        <f t="shared" si="79"/>
        <v>0</v>
      </c>
      <c r="AH239" s="596">
        <f t="shared" si="80"/>
        <v>0</v>
      </c>
      <c r="AI239" s="596">
        <f t="shared" si="81"/>
        <v>0</v>
      </c>
      <c r="AJ239" s="592"/>
      <c r="AK239" s="519"/>
      <c r="AL239" s="595">
        <f t="shared" si="82"/>
        <v>0</v>
      </c>
      <c r="AM239" s="596">
        <f t="shared" si="83"/>
        <v>0</v>
      </c>
      <c r="AN239" s="592"/>
      <c r="AO239" s="519"/>
      <c r="AP239" s="592">
        <v>12241</v>
      </c>
      <c r="AQ239" s="519">
        <v>12798.5</v>
      </c>
      <c r="AR239" s="592">
        <v>3972</v>
      </c>
      <c r="AS239" s="519">
        <v>5455</v>
      </c>
      <c r="AT239" s="592">
        <v>13480</v>
      </c>
      <c r="AU239" s="519">
        <v>16197.5</v>
      </c>
      <c r="AV239" s="595">
        <f t="shared" si="84"/>
        <v>29693</v>
      </c>
      <c r="AW239" s="595">
        <f t="shared" si="85"/>
        <v>1237.2083333333333</v>
      </c>
      <c r="AX239" s="596">
        <f t="shared" si="86"/>
        <v>34451</v>
      </c>
      <c r="AY239" s="596">
        <f t="shared" si="87"/>
        <v>1435.4583333333333</v>
      </c>
      <c r="AZ239" s="595">
        <f t="shared" si="88"/>
        <v>5977.7416666666668</v>
      </c>
      <c r="BA239" s="596">
        <f t="shared" si="89"/>
        <v>5845.0749999999998</v>
      </c>
    </row>
    <row r="240" spans="1:53" s="1" customFormat="1">
      <c r="A240" s="444" t="s">
        <v>230</v>
      </c>
      <c r="B240" s="445" t="s">
        <v>235</v>
      </c>
      <c r="C240" s="446"/>
      <c r="D240" s="447">
        <v>175342</v>
      </c>
      <c r="E240" s="447">
        <v>4</v>
      </c>
      <c r="F240" s="592"/>
      <c r="G240" s="519"/>
      <c r="H240" s="592"/>
      <c r="I240" s="519"/>
      <c r="J240" s="592">
        <v>41900</v>
      </c>
      <c r="K240" s="519">
        <v>39137</v>
      </c>
      <c r="L240" s="592">
        <v>7374</v>
      </c>
      <c r="M240" s="519">
        <v>7479</v>
      </c>
      <c r="N240" s="592">
        <v>42875</v>
      </c>
      <c r="O240" s="519">
        <v>36422</v>
      </c>
      <c r="P240" s="595">
        <f t="shared" si="72"/>
        <v>92149</v>
      </c>
      <c r="Q240" s="595">
        <f t="shared" si="73"/>
        <v>3071.6333333333332</v>
      </c>
      <c r="R240" s="596">
        <f t="shared" si="74"/>
        <v>83038</v>
      </c>
      <c r="S240" s="596">
        <f t="shared" si="75"/>
        <v>2767.9333333333334</v>
      </c>
      <c r="T240" s="592"/>
      <c r="U240" s="519"/>
      <c r="V240" s="595">
        <f t="shared" si="76"/>
        <v>0</v>
      </c>
      <c r="W240" s="596">
        <f t="shared" si="77"/>
        <v>0</v>
      </c>
      <c r="X240" s="592"/>
      <c r="Y240" s="519"/>
      <c r="Z240" s="592"/>
      <c r="AA240" s="519"/>
      <c r="AB240" s="592"/>
      <c r="AC240" s="519"/>
      <c r="AD240" s="592"/>
      <c r="AE240" s="519"/>
      <c r="AF240" s="595">
        <f t="shared" si="78"/>
        <v>0</v>
      </c>
      <c r="AG240" s="595">
        <f t="shared" si="79"/>
        <v>0</v>
      </c>
      <c r="AH240" s="596">
        <f t="shared" si="80"/>
        <v>0</v>
      </c>
      <c r="AI240" s="596">
        <f t="shared" si="81"/>
        <v>0</v>
      </c>
      <c r="AJ240" s="592"/>
      <c r="AK240" s="519"/>
      <c r="AL240" s="595">
        <f t="shared" si="82"/>
        <v>0</v>
      </c>
      <c r="AM240" s="596">
        <f t="shared" si="83"/>
        <v>0</v>
      </c>
      <c r="AN240" s="592"/>
      <c r="AO240" s="519"/>
      <c r="AP240" s="592">
        <v>3338</v>
      </c>
      <c r="AQ240" s="519">
        <v>2823</v>
      </c>
      <c r="AR240" s="592">
        <v>1257</v>
      </c>
      <c r="AS240" s="519">
        <v>1533</v>
      </c>
      <c r="AT240" s="592">
        <v>3113</v>
      </c>
      <c r="AU240" s="519">
        <v>3346</v>
      </c>
      <c r="AV240" s="595">
        <f t="shared" si="84"/>
        <v>7708</v>
      </c>
      <c r="AW240" s="595">
        <f t="shared" si="85"/>
        <v>321.16666666666669</v>
      </c>
      <c r="AX240" s="596">
        <f t="shared" si="86"/>
        <v>7702</v>
      </c>
      <c r="AY240" s="596">
        <f t="shared" si="87"/>
        <v>320.91666666666669</v>
      </c>
      <c r="AZ240" s="595">
        <f t="shared" si="88"/>
        <v>3392.7999999999997</v>
      </c>
      <c r="BA240" s="596">
        <f t="shared" si="89"/>
        <v>3088.85</v>
      </c>
    </row>
    <row r="241" spans="1:53" s="1" customFormat="1">
      <c r="A241" s="444" t="s">
        <v>230</v>
      </c>
      <c r="B241" s="445" t="s">
        <v>236</v>
      </c>
      <c r="C241" s="446"/>
      <c r="D241" s="447">
        <v>175616</v>
      </c>
      <c r="E241" s="447">
        <v>4</v>
      </c>
      <c r="F241" s="592"/>
      <c r="G241" s="519"/>
      <c r="H241" s="592"/>
      <c r="I241" s="519"/>
      <c r="J241" s="592">
        <v>33077</v>
      </c>
      <c r="K241" s="519">
        <v>31323</v>
      </c>
      <c r="L241" s="592">
        <v>3185</v>
      </c>
      <c r="M241" s="519">
        <v>3582</v>
      </c>
      <c r="N241" s="592">
        <v>36961</v>
      </c>
      <c r="O241" s="519">
        <v>29214</v>
      </c>
      <c r="P241" s="595">
        <f t="shared" si="72"/>
        <v>73223</v>
      </c>
      <c r="Q241" s="595">
        <f t="shared" si="73"/>
        <v>2440.7666666666669</v>
      </c>
      <c r="R241" s="596">
        <f t="shared" si="74"/>
        <v>64119</v>
      </c>
      <c r="S241" s="596">
        <f t="shared" si="75"/>
        <v>2137.3000000000002</v>
      </c>
      <c r="T241" s="592"/>
      <c r="U241" s="519"/>
      <c r="V241" s="595">
        <f t="shared" si="76"/>
        <v>0</v>
      </c>
      <c r="W241" s="596">
        <f t="shared" si="77"/>
        <v>0</v>
      </c>
      <c r="X241" s="592"/>
      <c r="Y241" s="519"/>
      <c r="Z241" s="592"/>
      <c r="AA241" s="519"/>
      <c r="AB241" s="592"/>
      <c r="AC241" s="519"/>
      <c r="AD241" s="592"/>
      <c r="AE241" s="519"/>
      <c r="AF241" s="595">
        <f t="shared" si="78"/>
        <v>0</v>
      </c>
      <c r="AG241" s="595">
        <f t="shared" si="79"/>
        <v>0</v>
      </c>
      <c r="AH241" s="596">
        <f t="shared" si="80"/>
        <v>0</v>
      </c>
      <c r="AI241" s="596">
        <f t="shared" si="81"/>
        <v>0</v>
      </c>
      <c r="AJ241" s="592"/>
      <c r="AK241" s="519"/>
      <c r="AL241" s="595">
        <f t="shared" si="82"/>
        <v>0</v>
      </c>
      <c r="AM241" s="596">
        <f t="shared" si="83"/>
        <v>0</v>
      </c>
      <c r="AN241" s="592"/>
      <c r="AO241" s="519"/>
      <c r="AP241" s="592">
        <v>4570</v>
      </c>
      <c r="AQ241" s="519">
        <v>4830</v>
      </c>
      <c r="AR241" s="592">
        <v>6334</v>
      </c>
      <c r="AS241" s="519">
        <v>6836</v>
      </c>
      <c r="AT241" s="592">
        <v>4814.5</v>
      </c>
      <c r="AU241" s="519">
        <v>5115</v>
      </c>
      <c r="AV241" s="595">
        <f t="shared" si="84"/>
        <v>15718.5</v>
      </c>
      <c r="AW241" s="595">
        <f t="shared" si="85"/>
        <v>654.9375</v>
      </c>
      <c r="AX241" s="596">
        <f t="shared" si="86"/>
        <v>16781</v>
      </c>
      <c r="AY241" s="596">
        <f t="shared" si="87"/>
        <v>699.20833333333337</v>
      </c>
      <c r="AZ241" s="595">
        <f t="shared" si="88"/>
        <v>3095.7041666666669</v>
      </c>
      <c r="BA241" s="596">
        <f t="shared" si="89"/>
        <v>2836.5083333333337</v>
      </c>
    </row>
    <row r="242" spans="1:53" s="365" customFormat="1" ht="12.75" customHeight="1">
      <c r="A242" s="444" t="s">
        <v>230</v>
      </c>
      <c r="B242" s="445" t="s">
        <v>238</v>
      </c>
      <c r="C242" s="449"/>
      <c r="D242" s="447">
        <v>176035</v>
      </c>
      <c r="E242" s="447">
        <v>4</v>
      </c>
      <c r="F242" s="592"/>
      <c r="G242" s="519"/>
      <c r="H242" s="592"/>
      <c r="I242" s="519"/>
      <c r="J242" s="592">
        <v>30462</v>
      </c>
      <c r="K242" s="519">
        <v>31188</v>
      </c>
      <c r="L242" s="592">
        <v>8644</v>
      </c>
      <c r="M242" s="519">
        <v>9289</v>
      </c>
      <c r="N242" s="592">
        <v>32762</v>
      </c>
      <c r="O242" s="519">
        <v>31398</v>
      </c>
      <c r="P242" s="595">
        <f t="shared" si="72"/>
        <v>71868</v>
      </c>
      <c r="Q242" s="595">
        <f t="shared" si="73"/>
        <v>2395.6</v>
      </c>
      <c r="R242" s="596">
        <f t="shared" si="74"/>
        <v>71875</v>
      </c>
      <c r="S242" s="596">
        <f t="shared" si="75"/>
        <v>2395.8333333333335</v>
      </c>
      <c r="T242" s="592"/>
      <c r="U242" s="519"/>
      <c r="V242" s="595">
        <f t="shared" si="76"/>
        <v>0</v>
      </c>
      <c r="W242" s="596">
        <f t="shared" si="77"/>
        <v>0</v>
      </c>
      <c r="X242" s="592"/>
      <c r="Y242" s="519"/>
      <c r="Z242" s="592"/>
      <c r="AA242" s="519"/>
      <c r="AB242" s="592"/>
      <c r="AC242" s="519"/>
      <c r="AD242" s="592"/>
      <c r="AE242" s="519"/>
      <c r="AF242" s="595">
        <f t="shared" si="78"/>
        <v>0</v>
      </c>
      <c r="AG242" s="595">
        <f t="shared" si="79"/>
        <v>0</v>
      </c>
      <c r="AH242" s="596">
        <f t="shared" si="80"/>
        <v>0</v>
      </c>
      <c r="AI242" s="596">
        <f t="shared" si="81"/>
        <v>0</v>
      </c>
      <c r="AJ242" s="592"/>
      <c r="AK242" s="519"/>
      <c r="AL242" s="595">
        <f t="shared" si="82"/>
        <v>0</v>
      </c>
      <c r="AM242" s="596">
        <f t="shared" si="83"/>
        <v>0</v>
      </c>
      <c r="AN242" s="592"/>
      <c r="AO242" s="519"/>
      <c r="AP242" s="592">
        <v>1634</v>
      </c>
      <c r="AQ242" s="519">
        <v>1896</v>
      </c>
      <c r="AR242" s="592">
        <v>971</v>
      </c>
      <c r="AS242" s="519">
        <v>1262</v>
      </c>
      <c r="AT242" s="592">
        <v>1945</v>
      </c>
      <c r="AU242" s="519">
        <v>2389</v>
      </c>
      <c r="AV242" s="595">
        <f t="shared" si="84"/>
        <v>4550</v>
      </c>
      <c r="AW242" s="595">
        <f t="shared" si="85"/>
        <v>189.58333333333334</v>
      </c>
      <c r="AX242" s="596">
        <f t="shared" si="86"/>
        <v>5547</v>
      </c>
      <c r="AY242" s="596">
        <f t="shared" si="87"/>
        <v>231.125</v>
      </c>
      <c r="AZ242" s="595">
        <f t="shared" si="88"/>
        <v>2585.1833333333334</v>
      </c>
      <c r="BA242" s="596">
        <f t="shared" si="89"/>
        <v>2626.9583333333335</v>
      </c>
    </row>
    <row r="243" spans="1:53" s="1" customFormat="1">
      <c r="A243" s="444" t="s">
        <v>230</v>
      </c>
      <c r="B243" s="445" t="s">
        <v>237</v>
      </c>
      <c r="C243" s="446"/>
      <c r="D243" s="447">
        <v>176044</v>
      </c>
      <c r="E243" s="447">
        <v>4</v>
      </c>
      <c r="F243" s="592"/>
      <c r="G243" s="519"/>
      <c r="H243" s="592"/>
      <c r="I243" s="519"/>
      <c r="J243" s="592">
        <v>21299</v>
      </c>
      <c r="K243" s="519">
        <v>20834</v>
      </c>
      <c r="L243" s="592">
        <v>3971</v>
      </c>
      <c r="M243" s="519">
        <v>2813</v>
      </c>
      <c r="N243" s="592">
        <v>22347.7</v>
      </c>
      <c r="O243" s="519">
        <v>20397</v>
      </c>
      <c r="P243" s="595">
        <f t="shared" si="72"/>
        <v>47617.7</v>
      </c>
      <c r="Q243" s="595">
        <f t="shared" si="73"/>
        <v>1587.2566666666667</v>
      </c>
      <c r="R243" s="596">
        <f t="shared" si="74"/>
        <v>44044</v>
      </c>
      <c r="S243" s="596">
        <f t="shared" si="75"/>
        <v>1468.1333333333334</v>
      </c>
      <c r="T243" s="592"/>
      <c r="U243" s="519"/>
      <c r="V243" s="595">
        <f t="shared" si="76"/>
        <v>0</v>
      </c>
      <c r="W243" s="596">
        <f t="shared" si="77"/>
        <v>0</v>
      </c>
      <c r="X243" s="592"/>
      <c r="Y243" s="519"/>
      <c r="Z243" s="592"/>
      <c r="AA243" s="519"/>
      <c r="AB243" s="592"/>
      <c r="AC243" s="519"/>
      <c r="AD243" s="592"/>
      <c r="AE243" s="519"/>
      <c r="AF243" s="595">
        <f t="shared" si="78"/>
        <v>0</v>
      </c>
      <c r="AG243" s="595">
        <f t="shared" si="79"/>
        <v>0</v>
      </c>
      <c r="AH243" s="596">
        <f t="shared" si="80"/>
        <v>0</v>
      </c>
      <c r="AI243" s="596">
        <f t="shared" si="81"/>
        <v>0</v>
      </c>
      <c r="AJ243" s="592"/>
      <c r="AK243" s="519"/>
      <c r="AL243" s="595">
        <f t="shared" si="82"/>
        <v>0</v>
      </c>
      <c r="AM243" s="596">
        <f t="shared" si="83"/>
        <v>0</v>
      </c>
      <c r="AN243" s="592"/>
      <c r="AO243" s="519"/>
      <c r="AP243" s="592">
        <v>2242</v>
      </c>
      <c r="AQ243" s="519">
        <v>2061</v>
      </c>
      <c r="AR243" s="592">
        <v>573</v>
      </c>
      <c r="AS243" s="519">
        <v>774</v>
      </c>
      <c r="AT243" s="592">
        <v>2163</v>
      </c>
      <c r="AU243" s="519">
        <v>2312</v>
      </c>
      <c r="AV243" s="595">
        <f t="shared" si="84"/>
        <v>4978</v>
      </c>
      <c r="AW243" s="595">
        <f t="shared" si="85"/>
        <v>207.41666666666666</v>
      </c>
      <c r="AX243" s="596">
        <f t="shared" si="86"/>
        <v>5147</v>
      </c>
      <c r="AY243" s="596">
        <f t="shared" si="87"/>
        <v>214.45833333333334</v>
      </c>
      <c r="AZ243" s="595">
        <f t="shared" si="88"/>
        <v>1794.6733333333334</v>
      </c>
      <c r="BA243" s="596">
        <f t="shared" si="89"/>
        <v>1682.5916666666667</v>
      </c>
    </row>
    <row r="244" spans="1:53">
      <c r="A244" s="549" t="s">
        <v>230</v>
      </c>
      <c r="B244" s="550" t="s">
        <v>935</v>
      </c>
      <c r="C244" s="551"/>
      <c r="D244" s="552"/>
      <c r="E244" s="552"/>
      <c r="F244" s="553"/>
      <c r="G244" s="517"/>
      <c r="H244" s="553"/>
      <c r="I244" s="517"/>
      <c r="J244" s="553"/>
      <c r="K244" s="518"/>
      <c r="L244" s="553"/>
      <c r="M244" s="518"/>
      <c r="N244" s="553"/>
      <c r="O244" s="518"/>
      <c r="P244" s="595">
        <f t="shared" si="72"/>
        <v>0</v>
      </c>
      <c r="Q244" s="595">
        <f t="shared" si="73"/>
        <v>0</v>
      </c>
      <c r="R244" s="596">
        <f t="shared" si="74"/>
        <v>0</v>
      </c>
      <c r="S244" s="596">
        <f t="shared" si="75"/>
        <v>0</v>
      </c>
      <c r="T244" s="553"/>
      <c r="U244" s="517"/>
      <c r="V244" s="595">
        <f t="shared" si="76"/>
        <v>0</v>
      </c>
      <c r="W244" s="596">
        <f t="shared" si="77"/>
        <v>0</v>
      </c>
      <c r="X244" s="553"/>
      <c r="Y244" s="517"/>
      <c r="Z244" s="553"/>
      <c r="AA244" s="517"/>
      <c r="AB244" s="553"/>
      <c r="AC244" s="517"/>
      <c r="AD244" s="553"/>
      <c r="AE244" s="517"/>
      <c r="AF244" s="595">
        <f t="shared" si="78"/>
        <v>0</v>
      </c>
      <c r="AG244" s="595">
        <f t="shared" si="79"/>
        <v>0</v>
      </c>
      <c r="AH244" s="596">
        <f t="shared" si="80"/>
        <v>0</v>
      </c>
      <c r="AI244" s="596">
        <f t="shared" si="81"/>
        <v>0</v>
      </c>
      <c r="AJ244" s="553"/>
      <c r="AK244" s="517"/>
      <c r="AL244" s="595">
        <f t="shared" si="82"/>
        <v>0</v>
      </c>
      <c r="AM244" s="596">
        <f t="shared" si="83"/>
        <v>0</v>
      </c>
      <c r="AN244" s="553"/>
      <c r="AO244" s="517"/>
      <c r="AP244" s="553"/>
      <c r="AQ244" s="517"/>
      <c r="AR244" s="553"/>
      <c r="AS244" s="517"/>
      <c r="AT244" s="553"/>
      <c r="AU244" s="517"/>
      <c r="AV244" s="595">
        <f t="shared" si="84"/>
        <v>0</v>
      </c>
      <c r="AW244" s="595">
        <f t="shared" si="85"/>
        <v>0</v>
      </c>
      <c r="AX244" s="596">
        <f t="shared" si="86"/>
        <v>0</v>
      </c>
      <c r="AY244" s="596">
        <f t="shared" si="87"/>
        <v>0</v>
      </c>
      <c r="AZ244" s="595">
        <f t="shared" si="88"/>
        <v>0</v>
      </c>
      <c r="BA244" s="596">
        <f t="shared" si="89"/>
        <v>0</v>
      </c>
    </row>
    <row r="245" spans="1:53" s="365" customFormat="1" ht="13.5" customHeight="1">
      <c r="A245" s="451" t="s">
        <v>239</v>
      </c>
      <c r="B245" s="452" t="s">
        <v>296</v>
      </c>
      <c r="C245" s="453"/>
      <c r="D245" s="454">
        <v>199193</v>
      </c>
      <c r="E245" s="454">
        <v>1</v>
      </c>
      <c r="F245" s="592"/>
      <c r="G245" s="519"/>
      <c r="H245" s="592"/>
      <c r="I245" s="519"/>
      <c r="J245" s="592">
        <v>325566</v>
      </c>
      <c r="K245" s="519">
        <v>330667</v>
      </c>
      <c r="L245" s="592">
        <v>48885</v>
      </c>
      <c r="M245" s="519">
        <v>61576</v>
      </c>
      <c r="N245" s="592">
        <v>354137</v>
      </c>
      <c r="O245" s="519">
        <v>356095</v>
      </c>
      <c r="P245" s="595">
        <f t="shared" si="72"/>
        <v>728588</v>
      </c>
      <c r="Q245" s="595">
        <f t="shared" si="73"/>
        <v>24286.266666666666</v>
      </c>
      <c r="R245" s="596">
        <f t="shared" si="74"/>
        <v>748338</v>
      </c>
      <c r="S245" s="596">
        <f t="shared" si="75"/>
        <v>24944.6</v>
      </c>
      <c r="T245" s="592">
        <v>2123</v>
      </c>
      <c r="U245" s="519">
        <v>2076</v>
      </c>
      <c r="V245" s="595">
        <f t="shared" si="76"/>
        <v>728588</v>
      </c>
      <c r="W245" s="596">
        <f t="shared" si="77"/>
        <v>748338</v>
      </c>
      <c r="X245" s="592"/>
      <c r="Y245" s="519"/>
      <c r="Z245" s="592"/>
      <c r="AA245" s="519"/>
      <c r="AB245" s="592"/>
      <c r="AC245" s="519"/>
      <c r="AD245" s="592"/>
      <c r="AE245" s="519"/>
      <c r="AF245" s="595">
        <f t="shared" si="78"/>
        <v>0</v>
      </c>
      <c r="AG245" s="595">
        <f t="shared" si="79"/>
        <v>0</v>
      </c>
      <c r="AH245" s="596">
        <f t="shared" si="80"/>
        <v>0</v>
      </c>
      <c r="AI245" s="596">
        <f t="shared" si="81"/>
        <v>0</v>
      </c>
      <c r="AJ245" s="592"/>
      <c r="AK245" s="519"/>
      <c r="AL245" s="595">
        <f t="shared" si="82"/>
        <v>0</v>
      </c>
      <c r="AM245" s="596">
        <f t="shared" si="83"/>
        <v>0</v>
      </c>
      <c r="AN245" s="592"/>
      <c r="AO245" s="519"/>
      <c r="AP245" s="592">
        <v>76388.5</v>
      </c>
      <c r="AQ245" s="519">
        <v>75997</v>
      </c>
      <c r="AR245" s="592">
        <v>11500.5</v>
      </c>
      <c r="AS245" s="519">
        <v>11946.5</v>
      </c>
      <c r="AT245" s="592">
        <v>86724.5</v>
      </c>
      <c r="AU245" s="519">
        <v>81406.5</v>
      </c>
      <c r="AV245" s="595">
        <f t="shared" si="84"/>
        <v>174613.5</v>
      </c>
      <c r="AW245" s="595">
        <f t="shared" si="85"/>
        <v>7275.5625</v>
      </c>
      <c r="AX245" s="596">
        <f t="shared" si="86"/>
        <v>169350</v>
      </c>
      <c r="AY245" s="596">
        <f t="shared" si="87"/>
        <v>7056.25</v>
      </c>
      <c r="AZ245" s="595">
        <f t="shared" si="88"/>
        <v>31561.829166666666</v>
      </c>
      <c r="BA245" s="596">
        <f t="shared" si="89"/>
        <v>32000.85</v>
      </c>
    </row>
    <row r="246" spans="1:53" s="1" customFormat="1">
      <c r="A246" s="451" t="s">
        <v>239</v>
      </c>
      <c r="B246" s="452" t="s">
        <v>297</v>
      </c>
      <c r="C246" s="453"/>
      <c r="D246" s="454">
        <v>199120</v>
      </c>
      <c r="E246" s="454">
        <v>1</v>
      </c>
      <c r="F246" s="592"/>
      <c r="G246" s="519"/>
      <c r="H246" s="592"/>
      <c r="I246" s="519"/>
      <c r="J246" s="592">
        <v>249231.5</v>
      </c>
      <c r="K246" s="519">
        <v>245762</v>
      </c>
      <c r="L246" s="592">
        <v>31219</v>
      </c>
      <c r="M246" s="519">
        <v>49262.5</v>
      </c>
      <c r="N246" s="592">
        <v>265142.5</v>
      </c>
      <c r="O246" s="519">
        <v>269367.5</v>
      </c>
      <c r="P246" s="595">
        <f t="shared" si="72"/>
        <v>545593</v>
      </c>
      <c r="Q246" s="595">
        <f t="shared" si="73"/>
        <v>18186.433333333334</v>
      </c>
      <c r="R246" s="596">
        <f t="shared" si="74"/>
        <v>564392</v>
      </c>
      <c r="S246" s="596">
        <f t="shared" si="75"/>
        <v>18813.066666666666</v>
      </c>
      <c r="T246" s="592">
        <v>0</v>
      </c>
      <c r="U246" s="519">
        <v>0</v>
      </c>
      <c r="V246" s="595">
        <f t="shared" si="76"/>
        <v>545593</v>
      </c>
      <c r="W246" s="596">
        <f t="shared" si="77"/>
        <v>564392</v>
      </c>
      <c r="X246" s="592"/>
      <c r="Y246" s="519"/>
      <c r="Z246" s="592"/>
      <c r="AA246" s="519"/>
      <c r="AB246" s="592"/>
      <c r="AC246" s="519"/>
      <c r="AD246" s="592"/>
      <c r="AE246" s="519"/>
      <c r="AF246" s="595">
        <f t="shared" si="78"/>
        <v>0</v>
      </c>
      <c r="AG246" s="595">
        <f t="shared" si="79"/>
        <v>0</v>
      </c>
      <c r="AH246" s="596">
        <f t="shared" si="80"/>
        <v>0</v>
      </c>
      <c r="AI246" s="596">
        <f t="shared" si="81"/>
        <v>0</v>
      </c>
      <c r="AJ246" s="592"/>
      <c r="AK246" s="519"/>
      <c r="AL246" s="595">
        <f t="shared" si="82"/>
        <v>0</v>
      </c>
      <c r="AM246" s="596">
        <f t="shared" si="83"/>
        <v>0</v>
      </c>
      <c r="AN246" s="592"/>
      <c r="AO246" s="519"/>
      <c r="AP246" s="592">
        <v>88392</v>
      </c>
      <c r="AQ246" s="519">
        <v>88367.5</v>
      </c>
      <c r="AR246" s="592">
        <v>16205</v>
      </c>
      <c r="AS246" s="519">
        <v>13142</v>
      </c>
      <c r="AT246" s="592">
        <v>93304.5</v>
      </c>
      <c r="AU246" s="519">
        <v>86959.75</v>
      </c>
      <c r="AV246" s="595">
        <f t="shared" si="84"/>
        <v>197901.5</v>
      </c>
      <c r="AW246" s="595">
        <f t="shared" si="85"/>
        <v>8245.8958333333339</v>
      </c>
      <c r="AX246" s="596">
        <f t="shared" si="86"/>
        <v>188469.25</v>
      </c>
      <c r="AY246" s="596">
        <f t="shared" si="87"/>
        <v>7852.885416666667</v>
      </c>
      <c r="AZ246" s="595">
        <f t="shared" si="88"/>
        <v>26432.32916666667</v>
      </c>
      <c r="BA246" s="596">
        <f t="shared" si="89"/>
        <v>26665.952083333334</v>
      </c>
    </row>
    <row r="247" spans="1:53" s="1" customFormat="1">
      <c r="A247" s="451" t="s">
        <v>239</v>
      </c>
      <c r="B247" s="452" t="s">
        <v>298</v>
      </c>
      <c r="C247" s="455"/>
      <c r="D247" s="454">
        <v>199139</v>
      </c>
      <c r="E247" s="454">
        <v>1</v>
      </c>
      <c r="F247" s="592"/>
      <c r="G247" s="519"/>
      <c r="H247" s="592"/>
      <c r="I247" s="519"/>
      <c r="J247" s="592">
        <v>305219</v>
      </c>
      <c r="K247" s="519">
        <v>296870</v>
      </c>
      <c r="L247" s="592">
        <v>54980</v>
      </c>
      <c r="M247" s="519">
        <v>67105</v>
      </c>
      <c r="N247" s="592">
        <v>322370</v>
      </c>
      <c r="O247" s="519">
        <v>326619</v>
      </c>
      <c r="P247" s="595">
        <f t="shared" si="72"/>
        <v>682569</v>
      </c>
      <c r="Q247" s="595">
        <f t="shared" si="73"/>
        <v>22752.3</v>
      </c>
      <c r="R247" s="596">
        <f t="shared" si="74"/>
        <v>690594</v>
      </c>
      <c r="S247" s="596">
        <f t="shared" si="75"/>
        <v>23019.8</v>
      </c>
      <c r="T247" s="592">
        <v>4226</v>
      </c>
      <c r="U247" s="519">
        <v>4905</v>
      </c>
      <c r="V247" s="595">
        <f t="shared" si="76"/>
        <v>682569</v>
      </c>
      <c r="W247" s="596">
        <f t="shared" si="77"/>
        <v>690594</v>
      </c>
      <c r="X247" s="592"/>
      <c r="Y247" s="519"/>
      <c r="Z247" s="592"/>
      <c r="AA247" s="519"/>
      <c r="AB247" s="592"/>
      <c r="AC247" s="519"/>
      <c r="AD247" s="592"/>
      <c r="AE247" s="519"/>
      <c r="AF247" s="595">
        <f t="shared" si="78"/>
        <v>0</v>
      </c>
      <c r="AG247" s="595">
        <f t="shared" si="79"/>
        <v>0</v>
      </c>
      <c r="AH247" s="596">
        <f t="shared" si="80"/>
        <v>0</v>
      </c>
      <c r="AI247" s="596">
        <f t="shared" si="81"/>
        <v>0</v>
      </c>
      <c r="AJ247" s="592"/>
      <c r="AK247" s="519"/>
      <c r="AL247" s="595">
        <f t="shared" si="82"/>
        <v>0</v>
      </c>
      <c r="AM247" s="596">
        <f t="shared" si="83"/>
        <v>0</v>
      </c>
      <c r="AN247" s="592"/>
      <c r="AO247" s="519"/>
      <c r="AP247" s="592">
        <v>36101</v>
      </c>
      <c r="AQ247" s="519">
        <v>38014</v>
      </c>
      <c r="AR247" s="592">
        <v>10064</v>
      </c>
      <c r="AS247" s="519">
        <v>12625</v>
      </c>
      <c r="AT247" s="592">
        <v>41031</v>
      </c>
      <c r="AU247" s="519">
        <v>43283</v>
      </c>
      <c r="AV247" s="595">
        <f t="shared" si="84"/>
        <v>87196</v>
      </c>
      <c r="AW247" s="595">
        <f t="shared" si="85"/>
        <v>3633.1666666666665</v>
      </c>
      <c r="AX247" s="596">
        <f t="shared" si="86"/>
        <v>93922</v>
      </c>
      <c r="AY247" s="596">
        <f t="shared" si="87"/>
        <v>3913.4166666666665</v>
      </c>
      <c r="AZ247" s="595">
        <f t="shared" si="88"/>
        <v>26385.466666666667</v>
      </c>
      <c r="BA247" s="596">
        <f t="shared" si="89"/>
        <v>26933.216666666667</v>
      </c>
    </row>
    <row r="248" spans="1:53" s="1" customFormat="1">
      <c r="A248" s="451" t="s">
        <v>239</v>
      </c>
      <c r="B248" s="452" t="s">
        <v>299</v>
      </c>
      <c r="C248" s="453"/>
      <c r="D248" s="454">
        <v>199148</v>
      </c>
      <c r="E248" s="454">
        <v>1</v>
      </c>
      <c r="F248" s="592"/>
      <c r="G248" s="519"/>
      <c r="H248" s="592"/>
      <c r="I248" s="519"/>
      <c r="J248" s="592">
        <v>205042</v>
      </c>
      <c r="K248" s="519">
        <v>202606</v>
      </c>
      <c r="L248" s="592">
        <v>36452</v>
      </c>
      <c r="M248" s="519">
        <v>35659</v>
      </c>
      <c r="N248" s="592">
        <v>219953</v>
      </c>
      <c r="O248" s="519">
        <v>213016</v>
      </c>
      <c r="P248" s="595">
        <f t="shared" si="72"/>
        <v>461447</v>
      </c>
      <c r="Q248" s="595">
        <f t="shared" si="73"/>
        <v>15381.566666666668</v>
      </c>
      <c r="R248" s="596">
        <f t="shared" si="74"/>
        <v>451281</v>
      </c>
      <c r="S248" s="596">
        <f t="shared" si="75"/>
        <v>15042.7</v>
      </c>
      <c r="T248" s="592">
        <v>1899</v>
      </c>
      <c r="U248" s="519">
        <v>1940</v>
      </c>
      <c r="V248" s="595">
        <f t="shared" si="76"/>
        <v>461447</v>
      </c>
      <c r="W248" s="596">
        <f t="shared" si="77"/>
        <v>451281</v>
      </c>
      <c r="X248" s="592"/>
      <c r="Y248" s="519"/>
      <c r="Z248" s="592"/>
      <c r="AA248" s="519"/>
      <c r="AB248" s="592"/>
      <c r="AC248" s="519"/>
      <c r="AD248" s="592"/>
      <c r="AE248" s="519"/>
      <c r="AF248" s="595">
        <f t="shared" si="78"/>
        <v>0</v>
      </c>
      <c r="AG248" s="595">
        <f t="shared" si="79"/>
        <v>0</v>
      </c>
      <c r="AH248" s="596">
        <f t="shared" si="80"/>
        <v>0</v>
      </c>
      <c r="AI248" s="596">
        <f t="shared" si="81"/>
        <v>0</v>
      </c>
      <c r="AJ248" s="592"/>
      <c r="AK248" s="519"/>
      <c r="AL248" s="595">
        <f t="shared" si="82"/>
        <v>0</v>
      </c>
      <c r="AM248" s="596">
        <f t="shared" si="83"/>
        <v>0</v>
      </c>
      <c r="AN248" s="592"/>
      <c r="AO248" s="519"/>
      <c r="AP248" s="592">
        <v>26104.5</v>
      </c>
      <c r="AQ248" s="519">
        <v>25588.5</v>
      </c>
      <c r="AR248" s="592">
        <v>7433</v>
      </c>
      <c r="AS248" s="519">
        <v>7213.5</v>
      </c>
      <c r="AT248" s="592">
        <v>27504</v>
      </c>
      <c r="AU248" s="519">
        <v>28521.5</v>
      </c>
      <c r="AV248" s="595">
        <f t="shared" si="84"/>
        <v>61041.5</v>
      </c>
      <c r="AW248" s="595">
        <f t="shared" si="85"/>
        <v>2543.3958333333335</v>
      </c>
      <c r="AX248" s="596">
        <f t="shared" si="86"/>
        <v>61323.5</v>
      </c>
      <c r="AY248" s="596">
        <f t="shared" si="87"/>
        <v>2555.1458333333335</v>
      </c>
      <c r="AZ248" s="595">
        <f t="shared" si="88"/>
        <v>17924.962500000001</v>
      </c>
      <c r="BA248" s="596">
        <f t="shared" si="89"/>
        <v>17597.845833333333</v>
      </c>
    </row>
    <row r="249" spans="1:53" s="1" customFormat="1">
      <c r="A249" s="451" t="s">
        <v>239</v>
      </c>
      <c r="B249" s="452" t="s">
        <v>300</v>
      </c>
      <c r="C249" s="455"/>
      <c r="D249" s="454">
        <v>198464</v>
      </c>
      <c r="E249" s="454">
        <v>2</v>
      </c>
      <c r="F249" s="592"/>
      <c r="G249" s="519"/>
      <c r="H249" s="592"/>
      <c r="I249" s="519"/>
      <c r="J249" s="592">
        <v>282644</v>
      </c>
      <c r="K249" s="519">
        <v>277548</v>
      </c>
      <c r="L249" s="592">
        <v>53646</v>
      </c>
      <c r="M249" s="519">
        <v>50567</v>
      </c>
      <c r="N249" s="592">
        <v>304952</v>
      </c>
      <c r="O249" s="519">
        <v>305077</v>
      </c>
      <c r="P249" s="595">
        <f t="shared" si="72"/>
        <v>641242</v>
      </c>
      <c r="Q249" s="595">
        <f t="shared" si="73"/>
        <v>21374.733333333334</v>
      </c>
      <c r="R249" s="596">
        <f t="shared" si="74"/>
        <v>633192</v>
      </c>
      <c r="S249" s="596">
        <f t="shared" si="75"/>
        <v>21106.400000000001</v>
      </c>
      <c r="T249" s="592">
        <v>302</v>
      </c>
      <c r="U249" s="519">
        <v>762</v>
      </c>
      <c r="V249" s="595">
        <f t="shared" si="76"/>
        <v>641242</v>
      </c>
      <c r="W249" s="596">
        <f t="shared" si="77"/>
        <v>633192</v>
      </c>
      <c r="X249" s="592"/>
      <c r="Y249" s="519"/>
      <c r="Z249" s="592"/>
      <c r="AA249" s="519"/>
      <c r="AB249" s="592"/>
      <c r="AC249" s="519"/>
      <c r="AD249" s="592"/>
      <c r="AE249" s="519"/>
      <c r="AF249" s="595">
        <f t="shared" si="78"/>
        <v>0</v>
      </c>
      <c r="AG249" s="595">
        <f t="shared" si="79"/>
        <v>0</v>
      </c>
      <c r="AH249" s="596">
        <f t="shared" si="80"/>
        <v>0</v>
      </c>
      <c r="AI249" s="596">
        <f t="shared" si="81"/>
        <v>0</v>
      </c>
      <c r="AJ249" s="592"/>
      <c r="AK249" s="519"/>
      <c r="AL249" s="595">
        <f t="shared" si="82"/>
        <v>0</v>
      </c>
      <c r="AM249" s="596">
        <f t="shared" si="83"/>
        <v>0</v>
      </c>
      <c r="AN249" s="592"/>
      <c r="AO249" s="519"/>
      <c r="AP249" s="592">
        <v>33457</v>
      </c>
      <c r="AQ249" s="519">
        <v>34328</v>
      </c>
      <c r="AR249" s="592">
        <v>17078</v>
      </c>
      <c r="AS249" s="519">
        <v>17082</v>
      </c>
      <c r="AT249" s="592">
        <v>36650</v>
      </c>
      <c r="AU249" s="519">
        <v>38053</v>
      </c>
      <c r="AV249" s="595">
        <f t="shared" si="84"/>
        <v>87185</v>
      </c>
      <c r="AW249" s="595">
        <f t="shared" si="85"/>
        <v>3632.7083333333335</v>
      </c>
      <c r="AX249" s="596">
        <f t="shared" si="86"/>
        <v>89463</v>
      </c>
      <c r="AY249" s="596">
        <f t="shared" si="87"/>
        <v>3727.625</v>
      </c>
      <c r="AZ249" s="595">
        <f t="shared" si="88"/>
        <v>25007.441666666666</v>
      </c>
      <c r="BA249" s="596">
        <f t="shared" si="89"/>
        <v>24834.025000000001</v>
      </c>
    </row>
    <row r="250" spans="1:53" s="1" customFormat="1">
      <c r="A250" s="451" t="s">
        <v>239</v>
      </c>
      <c r="B250" s="452" t="s">
        <v>301</v>
      </c>
      <c r="C250" s="453"/>
      <c r="D250" s="454">
        <v>197869</v>
      </c>
      <c r="E250" s="454">
        <v>3</v>
      </c>
      <c r="F250" s="592"/>
      <c r="G250" s="519"/>
      <c r="H250" s="592"/>
      <c r="I250" s="519"/>
      <c r="J250" s="592">
        <v>235523</v>
      </c>
      <c r="K250" s="519">
        <v>235254</v>
      </c>
      <c r="L250" s="592">
        <v>39598</v>
      </c>
      <c r="M250" s="519">
        <v>44610</v>
      </c>
      <c r="N250" s="592">
        <v>252871</v>
      </c>
      <c r="O250" s="519">
        <v>258583</v>
      </c>
      <c r="P250" s="595">
        <f t="shared" si="72"/>
        <v>527992</v>
      </c>
      <c r="Q250" s="595">
        <f t="shared" si="73"/>
        <v>17599.733333333334</v>
      </c>
      <c r="R250" s="596">
        <f t="shared" si="74"/>
        <v>538447</v>
      </c>
      <c r="S250" s="596">
        <f t="shared" si="75"/>
        <v>17948.233333333334</v>
      </c>
      <c r="T250" s="592">
        <v>0</v>
      </c>
      <c r="U250" s="519">
        <v>0</v>
      </c>
      <c r="V250" s="595">
        <f t="shared" si="76"/>
        <v>527992</v>
      </c>
      <c r="W250" s="596">
        <f t="shared" si="77"/>
        <v>538447</v>
      </c>
      <c r="X250" s="592"/>
      <c r="Y250" s="519"/>
      <c r="Z250" s="592"/>
      <c r="AA250" s="519"/>
      <c r="AB250" s="592"/>
      <c r="AC250" s="519"/>
      <c r="AD250" s="592"/>
      <c r="AE250" s="519"/>
      <c r="AF250" s="595">
        <f t="shared" si="78"/>
        <v>0</v>
      </c>
      <c r="AG250" s="595">
        <f t="shared" si="79"/>
        <v>0</v>
      </c>
      <c r="AH250" s="596">
        <f t="shared" si="80"/>
        <v>0</v>
      </c>
      <c r="AI250" s="596">
        <f t="shared" si="81"/>
        <v>0</v>
      </c>
      <c r="AJ250" s="592"/>
      <c r="AK250" s="519"/>
      <c r="AL250" s="595">
        <f t="shared" si="82"/>
        <v>0</v>
      </c>
      <c r="AM250" s="596">
        <f t="shared" si="83"/>
        <v>0</v>
      </c>
      <c r="AN250" s="592"/>
      <c r="AO250" s="519"/>
      <c r="AP250" s="592">
        <v>13190</v>
      </c>
      <c r="AQ250" s="519">
        <v>13147</v>
      </c>
      <c r="AR250" s="592">
        <v>6639</v>
      </c>
      <c r="AS250" s="519">
        <v>7383</v>
      </c>
      <c r="AT250" s="592">
        <v>14148</v>
      </c>
      <c r="AU250" s="519">
        <v>15373</v>
      </c>
      <c r="AV250" s="595">
        <f t="shared" si="84"/>
        <v>33977</v>
      </c>
      <c r="AW250" s="595">
        <f t="shared" si="85"/>
        <v>1415.7083333333333</v>
      </c>
      <c r="AX250" s="596">
        <f t="shared" si="86"/>
        <v>35903</v>
      </c>
      <c r="AY250" s="596">
        <f t="shared" si="87"/>
        <v>1495.9583333333333</v>
      </c>
      <c r="AZ250" s="595">
        <f t="shared" si="88"/>
        <v>19015.441666666666</v>
      </c>
      <c r="BA250" s="596">
        <f t="shared" si="89"/>
        <v>19444.191666666666</v>
      </c>
    </row>
    <row r="251" spans="1:53" s="1" customFormat="1">
      <c r="A251" s="451" t="s">
        <v>239</v>
      </c>
      <c r="B251" s="452" t="s">
        <v>302</v>
      </c>
      <c r="C251" s="554" t="s">
        <v>924</v>
      </c>
      <c r="D251" s="454">
        <v>199102</v>
      </c>
      <c r="E251" s="454">
        <v>3</v>
      </c>
      <c r="F251" s="592"/>
      <c r="G251" s="519"/>
      <c r="H251" s="592"/>
      <c r="I251" s="519"/>
      <c r="J251" s="592">
        <v>136331</v>
      </c>
      <c r="K251" s="519">
        <v>141285</v>
      </c>
      <c r="L251" s="592">
        <v>19972</v>
      </c>
      <c r="M251" s="519">
        <v>22703</v>
      </c>
      <c r="N251" s="592">
        <v>153869</v>
      </c>
      <c r="O251" s="519">
        <v>154813</v>
      </c>
      <c r="P251" s="595">
        <f t="shared" si="72"/>
        <v>310172</v>
      </c>
      <c r="Q251" s="595">
        <f t="shared" si="73"/>
        <v>10339.066666666668</v>
      </c>
      <c r="R251" s="596">
        <f t="shared" si="74"/>
        <v>318801</v>
      </c>
      <c r="S251" s="596">
        <f t="shared" si="75"/>
        <v>10626.7</v>
      </c>
      <c r="T251" s="592">
        <v>843</v>
      </c>
      <c r="U251" s="519">
        <v>2823</v>
      </c>
      <c r="V251" s="595">
        <f t="shared" si="76"/>
        <v>310172</v>
      </c>
      <c r="W251" s="596">
        <f t="shared" si="77"/>
        <v>318801</v>
      </c>
      <c r="X251" s="592"/>
      <c r="Y251" s="519"/>
      <c r="Z251" s="592"/>
      <c r="AA251" s="519"/>
      <c r="AB251" s="592"/>
      <c r="AC251" s="519"/>
      <c r="AD251" s="592"/>
      <c r="AE251" s="519"/>
      <c r="AF251" s="595">
        <f t="shared" si="78"/>
        <v>0</v>
      </c>
      <c r="AG251" s="595">
        <f t="shared" si="79"/>
        <v>0</v>
      </c>
      <c r="AH251" s="596">
        <f t="shared" si="80"/>
        <v>0</v>
      </c>
      <c r="AI251" s="596">
        <f t="shared" si="81"/>
        <v>0</v>
      </c>
      <c r="AJ251" s="592"/>
      <c r="AK251" s="519"/>
      <c r="AL251" s="595">
        <f t="shared" si="82"/>
        <v>0</v>
      </c>
      <c r="AM251" s="596">
        <f t="shared" si="83"/>
        <v>0</v>
      </c>
      <c r="AN251" s="592"/>
      <c r="AO251" s="519"/>
      <c r="AP251" s="592">
        <v>10861</v>
      </c>
      <c r="AQ251" s="519">
        <v>10943</v>
      </c>
      <c r="AR251" s="592">
        <v>2282</v>
      </c>
      <c r="AS251" s="519">
        <v>2430</v>
      </c>
      <c r="AT251" s="592">
        <v>11899</v>
      </c>
      <c r="AU251" s="519">
        <v>12705</v>
      </c>
      <c r="AV251" s="595">
        <f t="shared" si="84"/>
        <v>25042</v>
      </c>
      <c r="AW251" s="595">
        <f t="shared" si="85"/>
        <v>1043.4166666666667</v>
      </c>
      <c r="AX251" s="596">
        <f t="shared" si="86"/>
        <v>26078</v>
      </c>
      <c r="AY251" s="596">
        <f t="shared" si="87"/>
        <v>1086.5833333333333</v>
      </c>
      <c r="AZ251" s="595">
        <f t="shared" si="88"/>
        <v>11382.483333333334</v>
      </c>
      <c r="BA251" s="596">
        <f t="shared" si="89"/>
        <v>11713.283333333335</v>
      </c>
    </row>
    <row r="252" spans="1:53" s="1" customFormat="1">
      <c r="A252" s="451" t="s">
        <v>239</v>
      </c>
      <c r="B252" s="452" t="s">
        <v>303</v>
      </c>
      <c r="C252" s="453"/>
      <c r="D252" s="454">
        <v>199157</v>
      </c>
      <c r="E252" s="454">
        <v>3</v>
      </c>
      <c r="F252" s="592"/>
      <c r="G252" s="519"/>
      <c r="H252" s="592"/>
      <c r="I252" s="519"/>
      <c r="J252" s="592">
        <v>75543</v>
      </c>
      <c r="K252" s="519">
        <v>69458.5</v>
      </c>
      <c r="L252" s="592">
        <v>18097</v>
      </c>
      <c r="M252" s="519">
        <v>19653</v>
      </c>
      <c r="N252" s="592">
        <v>80366</v>
      </c>
      <c r="O252" s="519">
        <v>78102.5</v>
      </c>
      <c r="P252" s="595">
        <f t="shared" si="72"/>
        <v>174006</v>
      </c>
      <c r="Q252" s="595">
        <f t="shared" si="73"/>
        <v>5800.2</v>
      </c>
      <c r="R252" s="596">
        <f t="shared" si="74"/>
        <v>167214</v>
      </c>
      <c r="S252" s="596">
        <f t="shared" si="75"/>
        <v>5573.8</v>
      </c>
      <c r="T252" s="592">
        <v>6206</v>
      </c>
      <c r="U252" s="519">
        <v>6024</v>
      </c>
      <c r="V252" s="595">
        <f t="shared" si="76"/>
        <v>174006</v>
      </c>
      <c r="W252" s="596">
        <f t="shared" si="77"/>
        <v>167214</v>
      </c>
      <c r="X252" s="592"/>
      <c r="Y252" s="519"/>
      <c r="Z252" s="592"/>
      <c r="AA252" s="519"/>
      <c r="AB252" s="592"/>
      <c r="AC252" s="519"/>
      <c r="AD252" s="592"/>
      <c r="AE252" s="519"/>
      <c r="AF252" s="595">
        <f t="shared" si="78"/>
        <v>0</v>
      </c>
      <c r="AG252" s="595">
        <f t="shared" si="79"/>
        <v>0</v>
      </c>
      <c r="AH252" s="596">
        <f t="shared" si="80"/>
        <v>0</v>
      </c>
      <c r="AI252" s="596">
        <f t="shared" si="81"/>
        <v>0</v>
      </c>
      <c r="AJ252" s="592"/>
      <c r="AK252" s="519"/>
      <c r="AL252" s="595">
        <f t="shared" si="82"/>
        <v>0</v>
      </c>
      <c r="AM252" s="596">
        <f t="shared" si="83"/>
        <v>0</v>
      </c>
      <c r="AN252" s="592"/>
      <c r="AO252" s="519"/>
      <c r="AP252" s="592">
        <v>15736</v>
      </c>
      <c r="AQ252" s="519">
        <v>16762.5</v>
      </c>
      <c r="AR252" s="592">
        <v>4822.5</v>
      </c>
      <c r="AS252" s="519">
        <v>5049.5</v>
      </c>
      <c r="AT252" s="592">
        <v>17874</v>
      </c>
      <c r="AU252" s="519">
        <v>18480.5</v>
      </c>
      <c r="AV252" s="595">
        <f t="shared" si="84"/>
        <v>38432.5</v>
      </c>
      <c r="AW252" s="595">
        <f t="shared" si="85"/>
        <v>1601.3541666666667</v>
      </c>
      <c r="AX252" s="596">
        <f t="shared" si="86"/>
        <v>40292.5</v>
      </c>
      <c r="AY252" s="596">
        <f t="shared" si="87"/>
        <v>1678.8541666666667</v>
      </c>
      <c r="AZ252" s="595">
        <f t="shared" si="88"/>
        <v>7401.5541666666668</v>
      </c>
      <c r="BA252" s="596">
        <f t="shared" si="89"/>
        <v>7252.6541666666672</v>
      </c>
    </row>
    <row r="253" spans="1:53" s="1" customFormat="1">
      <c r="A253" s="451" t="s">
        <v>239</v>
      </c>
      <c r="B253" s="452" t="s">
        <v>304</v>
      </c>
      <c r="C253" s="453"/>
      <c r="D253" s="454">
        <v>199218</v>
      </c>
      <c r="E253" s="454">
        <v>3</v>
      </c>
      <c r="F253" s="592"/>
      <c r="G253" s="519"/>
      <c r="H253" s="592"/>
      <c r="I253" s="519"/>
      <c r="J253" s="592">
        <v>179523.5</v>
      </c>
      <c r="K253" s="519">
        <v>183171.5</v>
      </c>
      <c r="L253" s="592">
        <v>40088.5</v>
      </c>
      <c r="M253" s="519">
        <v>46093.5</v>
      </c>
      <c r="N253" s="592">
        <v>195080.5</v>
      </c>
      <c r="O253" s="519">
        <v>190767</v>
      </c>
      <c r="P253" s="595">
        <f t="shared" si="72"/>
        <v>414692.5</v>
      </c>
      <c r="Q253" s="595">
        <f t="shared" si="73"/>
        <v>13823.083333333334</v>
      </c>
      <c r="R253" s="596">
        <f t="shared" si="74"/>
        <v>420032</v>
      </c>
      <c r="S253" s="596">
        <f t="shared" si="75"/>
        <v>14001.066666666668</v>
      </c>
      <c r="T253" s="592">
        <v>2512</v>
      </c>
      <c r="U253" s="519">
        <v>2905</v>
      </c>
      <c r="V253" s="595">
        <f t="shared" si="76"/>
        <v>414692.5</v>
      </c>
      <c r="W253" s="596">
        <f t="shared" si="77"/>
        <v>420032</v>
      </c>
      <c r="X253" s="592"/>
      <c r="Y253" s="519"/>
      <c r="Z253" s="592"/>
      <c r="AA253" s="519"/>
      <c r="AB253" s="592"/>
      <c r="AC253" s="519"/>
      <c r="AD253" s="592"/>
      <c r="AE253" s="519"/>
      <c r="AF253" s="595">
        <f t="shared" si="78"/>
        <v>0</v>
      </c>
      <c r="AG253" s="595">
        <f t="shared" si="79"/>
        <v>0</v>
      </c>
      <c r="AH253" s="596">
        <f t="shared" si="80"/>
        <v>0</v>
      </c>
      <c r="AI253" s="596">
        <f t="shared" si="81"/>
        <v>0</v>
      </c>
      <c r="AJ253" s="592"/>
      <c r="AK253" s="519"/>
      <c r="AL253" s="595">
        <f t="shared" si="82"/>
        <v>0</v>
      </c>
      <c r="AM253" s="596">
        <f t="shared" si="83"/>
        <v>0</v>
      </c>
      <c r="AN253" s="592"/>
      <c r="AO253" s="519"/>
      <c r="AP253" s="592">
        <v>16215</v>
      </c>
      <c r="AQ253" s="519">
        <v>19209</v>
      </c>
      <c r="AR253" s="592">
        <v>7415.5</v>
      </c>
      <c r="AS253" s="519">
        <v>10344</v>
      </c>
      <c r="AT253" s="592">
        <v>20066</v>
      </c>
      <c r="AU253" s="519">
        <v>23629.5</v>
      </c>
      <c r="AV253" s="595">
        <f t="shared" si="84"/>
        <v>43696.5</v>
      </c>
      <c r="AW253" s="595">
        <f t="shared" si="85"/>
        <v>1820.6875</v>
      </c>
      <c r="AX253" s="596">
        <f t="shared" si="86"/>
        <v>53182.5</v>
      </c>
      <c r="AY253" s="596">
        <f t="shared" si="87"/>
        <v>2215.9375</v>
      </c>
      <c r="AZ253" s="595">
        <f t="shared" si="88"/>
        <v>15643.770833333334</v>
      </c>
      <c r="BA253" s="596">
        <f t="shared" si="89"/>
        <v>16217.004166666668</v>
      </c>
    </row>
    <row r="254" spans="1:53" s="1" customFormat="1">
      <c r="A254" s="451" t="s">
        <v>239</v>
      </c>
      <c r="B254" s="452" t="s">
        <v>305</v>
      </c>
      <c r="C254" s="453"/>
      <c r="D254" s="454">
        <v>200004</v>
      </c>
      <c r="E254" s="454">
        <v>3</v>
      </c>
      <c r="F254" s="592"/>
      <c r="G254" s="519"/>
      <c r="H254" s="592"/>
      <c r="I254" s="519"/>
      <c r="J254" s="592">
        <v>127502</v>
      </c>
      <c r="K254" s="519">
        <v>131442</v>
      </c>
      <c r="L254" s="592">
        <v>19115</v>
      </c>
      <c r="M254" s="519">
        <v>17731</v>
      </c>
      <c r="N254" s="592">
        <v>142083</v>
      </c>
      <c r="O254" s="519">
        <v>139881</v>
      </c>
      <c r="P254" s="595">
        <f t="shared" si="72"/>
        <v>288700</v>
      </c>
      <c r="Q254" s="595">
        <f t="shared" si="73"/>
        <v>9623.3333333333339</v>
      </c>
      <c r="R254" s="596">
        <f t="shared" si="74"/>
        <v>289054</v>
      </c>
      <c r="S254" s="596">
        <f t="shared" si="75"/>
        <v>9635.1333333333332</v>
      </c>
      <c r="T254" s="592">
        <v>0</v>
      </c>
      <c r="U254" s="519">
        <v>0</v>
      </c>
      <c r="V254" s="595">
        <f t="shared" si="76"/>
        <v>288700</v>
      </c>
      <c r="W254" s="596">
        <f t="shared" si="77"/>
        <v>289054</v>
      </c>
      <c r="X254" s="592"/>
      <c r="Y254" s="519"/>
      <c r="Z254" s="592"/>
      <c r="AA254" s="519"/>
      <c r="AB254" s="592"/>
      <c r="AC254" s="519"/>
      <c r="AD254" s="592"/>
      <c r="AE254" s="519"/>
      <c r="AF254" s="595">
        <f t="shared" si="78"/>
        <v>0</v>
      </c>
      <c r="AG254" s="595">
        <f t="shared" si="79"/>
        <v>0</v>
      </c>
      <c r="AH254" s="596">
        <f t="shared" si="80"/>
        <v>0</v>
      </c>
      <c r="AI254" s="596">
        <f t="shared" si="81"/>
        <v>0</v>
      </c>
      <c r="AJ254" s="592"/>
      <c r="AK254" s="519"/>
      <c r="AL254" s="595">
        <f t="shared" si="82"/>
        <v>0</v>
      </c>
      <c r="AM254" s="596">
        <f t="shared" si="83"/>
        <v>0</v>
      </c>
      <c r="AN254" s="592"/>
      <c r="AO254" s="519"/>
      <c r="AP254" s="592">
        <v>13036</v>
      </c>
      <c r="AQ254" s="519">
        <v>13332</v>
      </c>
      <c r="AR254" s="592">
        <v>5669</v>
      </c>
      <c r="AS254" s="519">
        <v>5982</v>
      </c>
      <c r="AT254" s="592">
        <v>13967</v>
      </c>
      <c r="AU254" s="519">
        <v>14525</v>
      </c>
      <c r="AV254" s="595">
        <f t="shared" si="84"/>
        <v>32672</v>
      </c>
      <c r="AW254" s="595">
        <f t="shared" si="85"/>
        <v>1361.3333333333333</v>
      </c>
      <c r="AX254" s="596">
        <f t="shared" si="86"/>
        <v>33839</v>
      </c>
      <c r="AY254" s="596">
        <f t="shared" si="87"/>
        <v>1409.9583333333333</v>
      </c>
      <c r="AZ254" s="595">
        <f t="shared" si="88"/>
        <v>10984.666666666668</v>
      </c>
      <c r="BA254" s="596">
        <f t="shared" si="89"/>
        <v>11045.091666666667</v>
      </c>
    </row>
    <row r="255" spans="1:53" s="1" customFormat="1">
      <c r="A255" s="451" t="s">
        <v>239</v>
      </c>
      <c r="B255" s="452" t="s">
        <v>306</v>
      </c>
      <c r="C255" s="453"/>
      <c r="D255" s="454">
        <v>198543</v>
      </c>
      <c r="E255" s="454">
        <v>4</v>
      </c>
      <c r="F255" s="592"/>
      <c r="G255" s="519"/>
      <c r="H255" s="592"/>
      <c r="I255" s="519"/>
      <c r="J255" s="592">
        <v>64237</v>
      </c>
      <c r="K255" s="519">
        <v>64766</v>
      </c>
      <c r="L255" s="592">
        <v>17177</v>
      </c>
      <c r="M255" s="519">
        <v>18429</v>
      </c>
      <c r="N255" s="592">
        <v>68701</v>
      </c>
      <c r="O255" s="519">
        <v>66878</v>
      </c>
      <c r="P255" s="595">
        <f t="shared" si="72"/>
        <v>150115</v>
      </c>
      <c r="Q255" s="595">
        <f t="shared" si="73"/>
        <v>5003.833333333333</v>
      </c>
      <c r="R255" s="596">
        <f t="shared" si="74"/>
        <v>150073</v>
      </c>
      <c r="S255" s="596">
        <f t="shared" si="75"/>
        <v>5002.4333333333334</v>
      </c>
      <c r="T255" s="592">
        <v>7860</v>
      </c>
      <c r="U255" s="519">
        <v>7856</v>
      </c>
      <c r="V255" s="595">
        <f t="shared" si="76"/>
        <v>150115</v>
      </c>
      <c r="W255" s="596">
        <f t="shared" si="77"/>
        <v>150073</v>
      </c>
      <c r="X255" s="592"/>
      <c r="Y255" s="519"/>
      <c r="Z255" s="592"/>
      <c r="AA255" s="519"/>
      <c r="AB255" s="592"/>
      <c r="AC255" s="519"/>
      <c r="AD255" s="592"/>
      <c r="AE255" s="519"/>
      <c r="AF255" s="595">
        <f t="shared" si="78"/>
        <v>0</v>
      </c>
      <c r="AG255" s="595">
        <f t="shared" si="79"/>
        <v>0</v>
      </c>
      <c r="AH255" s="596">
        <f t="shared" si="80"/>
        <v>0</v>
      </c>
      <c r="AI255" s="596">
        <f t="shared" si="81"/>
        <v>0</v>
      </c>
      <c r="AJ255" s="592"/>
      <c r="AK255" s="519"/>
      <c r="AL255" s="595">
        <f t="shared" si="82"/>
        <v>0</v>
      </c>
      <c r="AM255" s="596">
        <f t="shared" si="83"/>
        <v>0</v>
      </c>
      <c r="AN255" s="592"/>
      <c r="AO255" s="519"/>
      <c r="AP255" s="592">
        <v>5694</v>
      </c>
      <c r="AQ255" s="519">
        <v>6006</v>
      </c>
      <c r="AR255" s="592">
        <v>2184</v>
      </c>
      <c r="AS255" s="519">
        <v>3783</v>
      </c>
      <c r="AT255" s="592">
        <v>6460</v>
      </c>
      <c r="AU255" s="519">
        <v>7796</v>
      </c>
      <c r="AV255" s="595">
        <f t="shared" si="84"/>
        <v>14338</v>
      </c>
      <c r="AW255" s="595">
        <f t="shared" si="85"/>
        <v>597.41666666666663</v>
      </c>
      <c r="AX255" s="596">
        <f t="shared" si="86"/>
        <v>17585</v>
      </c>
      <c r="AY255" s="596">
        <f t="shared" si="87"/>
        <v>732.70833333333337</v>
      </c>
      <c r="AZ255" s="595">
        <f t="shared" si="88"/>
        <v>5601.25</v>
      </c>
      <c r="BA255" s="596">
        <f t="shared" si="89"/>
        <v>5735.1416666666664</v>
      </c>
    </row>
    <row r="256" spans="1:53" s="1" customFormat="1">
      <c r="A256" s="451" t="s">
        <v>239</v>
      </c>
      <c r="B256" s="452" t="s">
        <v>307</v>
      </c>
      <c r="C256" s="453"/>
      <c r="D256" s="454">
        <v>199281</v>
      </c>
      <c r="E256" s="454">
        <v>5</v>
      </c>
      <c r="F256" s="592"/>
      <c r="G256" s="519"/>
      <c r="H256" s="592"/>
      <c r="I256" s="519"/>
      <c r="J256" s="592">
        <v>71272</v>
      </c>
      <c r="K256" s="519">
        <v>74554</v>
      </c>
      <c r="L256" s="592">
        <v>17971</v>
      </c>
      <c r="M256" s="519">
        <v>18624</v>
      </c>
      <c r="N256" s="592">
        <v>81177</v>
      </c>
      <c r="O256" s="519">
        <v>80137</v>
      </c>
      <c r="P256" s="595">
        <f t="shared" si="72"/>
        <v>170420</v>
      </c>
      <c r="Q256" s="595">
        <f t="shared" si="73"/>
        <v>5680.666666666667</v>
      </c>
      <c r="R256" s="596">
        <f t="shared" si="74"/>
        <v>173315</v>
      </c>
      <c r="S256" s="596">
        <f t="shared" si="75"/>
        <v>5777.166666666667</v>
      </c>
      <c r="T256" s="592">
        <v>0</v>
      </c>
      <c r="U256" s="519">
        <v>0</v>
      </c>
      <c r="V256" s="595">
        <f t="shared" si="76"/>
        <v>170420</v>
      </c>
      <c r="W256" s="596">
        <f t="shared" si="77"/>
        <v>173315</v>
      </c>
      <c r="X256" s="592"/>
      <c r="Y256" s="519"/>
      <c r="Z256" s="592"/>
      <c r="AA256" s="519"/>
      <c r="AB256" s="592"/>
      <c r="AC256" s="519"/>
      <c r="AD256" s="592"/>
      <c r="AE256" s="519"/>
      <c r="AF256" s="595">
        <f t="shared" si="78"/>
        <v>0</v>
      </c>
      <c r="AG256" s="595">
        <f t="shared" si="79"/>
        <v>0</v>
      </c>
      <c r="AH256" s="596">
        <f t="shared" si="80"/>
        <v>0</v>
      </c>
      <c r="AI256" s="596">
        <f t="shared" si="81"/>
        <v>0</v>
      </c>
      <c r="AJ256" s="592"/>
      <c r="AK256" s="519"/>
      <c r="AL256" s="595">
        <f t="shared" si="82"/>
        <v>0</v>
      </c>
      <c r="AM256" s="596">
        <f t="shared" si="83"/>
        <v>0</v>
      </c>
      <c r="AN256" s="592"/>
      <c r="AO256" s="519"/>
      <c r="AP256" s="592">
        <v>7137</v>
      </c>
      <c r="AQ256" s="519">
        <v>9041</v>
      </c>
      <c r="AR256" s="592">
        <v>5618</v>
      </c>
      <c r="AS256" s="519">
        <v>7839</v>
      </c>
      <c r="AT256" s="592">
        <v>9416</v>
      </c>
      <c r="AU256" s="519">
        <v>12880</v>
      </c>
      <c r="AV256" s="595">
        <f t="shared" si="84"/>
        <v>22171</v>
      </c>
      <c r="AW256" s="595">
        <f t="shared" si="85"/>
        <v>923.79166666666663</v>
      </c>
      <c r="AX256" s="596">
        <f t="shared" si="86"/>
        <v>29760</v>
      </c>
      <c r="AY256" s="596">
        <f t="shared" si="87"/>
        <v>1240</v>
      </c>
      <c r="AZ256" s="595">
        <f t="shared" si="88"/>
        <v>6604.4583333333339</v>
      </c>
      <c r="BA256" s="596">
        <f t="shared" si="89"/>
        <v>7017.166666666667</v>
      </c>
    </row>
    <row r="257" spans="1:53" s="1" customFormat="1">
      <c r="A257" s="451" t="s">
        <v>239</v>
      </c>
      <c r="B257" s="452" t="s">
        <v>308</v>
      </c>
      <c r="C257" s="453"/>
      <c r="D257" s="454">
        <v>199999</v>
      </c>
      <c r="E257" s="454">
        <v>5</v>
      </c>
      <c r="F257" s="592"/>
      <c r="G257" s="519"/>
      <c r="H257" s="592"/>
      <c r="I257" s="519"/>
      <c r="J257" s="592">
        <v>59707</v>
      </c>
      <c r="K257" s="519">
        <v>59980</v>
      </c>
      <c r="L257" s="592">
        <v>8428</v>
      </c>
      <c r="M257" s="519">
        <v>10241</v>
      </c>
      <c r="N257" s="592">
        <v>64295</v>
      </c>
      <c r="O257" s="519">
        <v>64300</v>
      </c>
      <c r="P257" s="595">
        <f t="shared" si="72"/>
        <v>132430</v>
      </c>
      <c r="Q257" s="595">
        <f t="shared" si="73"/>
        <v>4414.333333333333</v>
      </c>
      <c r="R257" s="596">
        <f t="shared" si="74"/>
        <v>134521</v>
      </c>
      <c r="S257" s="596">
        <f t="shared" si="75"/>
        <v>4484.0333333333338</v>
      </c>
      <c r="T257" s="592">
        <v>0</v>
      </c>
      <c r="U257" s="519">
        <v>0</v>
      </c>
      <c r="V257" s="595">
        <f t="shared" si="76"/>
        <v>132430</v>
      </c>
      <c r="W257" s="596">
        <f t="shared" si="77"/>
        <v>134521</v>
      </c>
      <c r="X257" s="592"/>
      <c r="Y257" s="519"/>
      <c r="Z257" s="592"/>
      <c r="AA257" s="519"/>
      <c r="AB257" s="592"/>
      <c r="AC257" s="519"/>
      <c r="AD257" s="592"/>
      <c r="AE257" s="519"/>
      <c r="AF257" s="595">
        <f t="shared" si="78"/>
        <v>0</v>
      </c>
      <c r="AG257" s="595">
        <f t="shared" si="79"/>
        <v>0</v>
      </c>
      <c r="AH257" s="596">
        <f t="shared" si="80"/>
        <v>0</v>
      </c>
      <c r="AI257" s="596">
        <f t="shared" si="81"/>
        <v>0</v>
      </c>
      <c r="AJ257" s="592"/>
      <c r="AK257" s="519"/>
      <c r="AL257" s="595">
        <f t="shared" si="82"/>
        <v>0</v>
      </c>
      <c r="AM257" s="596">
        <f t="shared" si="83"/>
        <v>0</v>
      </c>
      <c r="AN257" s="592"/>
      <c r="AO257" s="519"/>
      <c r="AP257" s="592">
        <v>4309</v>
      </c>
      <c r="AQ257" s="519">
        <v>4174</v>
      </c>
      <c r="AR257" s="592">
        <v>2247</v>
      </c>
      <c r="AS257" s="519">
        <v>2113</v>
      </c>
      <c r="AT257" s="592">
        <v>4457</v>
      </c>
      <c r="AU257" s="519">
        <v>4593</v>
      </c>
      <c r="AV257" s="595">
        <f t="shared" si="84"/>
        <v>11013</v>
      </c>
      <c r="AW257" s="595">
        <f t="shared" si="85"/>
        <v>458.875</v>
      </c>
      <c r="AX257" s="596">
        <f t="shared" si="86"/>
        <v>10880</v>
      </c>
      <c r="AY257" s="596">
        <f t="shared" si="87"/>
        <v>453.33333333333331</v>
      </c>
      <c r="AZ257" s="595">
        <f t="shared" si="88"/>
        <v>4873.208333333333</v>
      </c>
      <c r="BA257" s="596">
        <f t="shared" si="89"/>
        <v>4937.3666666666668</v>
      </c>
    </row>
    <row r="258" spans="1:53" s="1" customFormat="1">
      <c r="A258" s="451" t="s">
        <v>239</v>
      </c>
      <c r="B258" s="452" t="s">
        <v>309</v>
      </c>
      <c r="C258" s="453"/>
      <c r="D258" s="454">
        <v>198507</v>
      </c>
      <c r="E258" s="454">
        <v>6</v>
      </c>
      <c r="F258" s="592"/>
      <c r="G258" s="519"/>
      <c r="H258" s="592"/>
      <c r="I258" s="519"/>
      <c r="J258" s="592">
        <v>20165</v>
      </c>
      <c r="K258" s="519">
        <v>21962</v>
      </c>
      <c r="L258" s="592">
        <v>2453</v>
      </c>
      <c r="M258" s="519">
        <v>3072</v>
      </c>
      <c r="N258" s="592">
        <v>23739</v>
      </c>
      <c r="O258" s="519">
        <v>25637</v>
      </c>
      <c r="P258" s="595">
        <f t="shared" si="72"/>
        <v>46357</v>
      </c>
      <c r="Q258" s="595">
        <f t="shared" si="73"/>
        <v>1545.2333333333333</v>
      </c>
      <c r="R258" s="596">
        <f t="shared" si="74"/>
        <v>50671</v>
      </c>
      <c r="S258" s="596">
        <f t="shared" si="75"/>
        <v>1689.0333333333333</v>
      </c>
      <c r="T258" s="592">
        <v>0</v>
      </c>
      <c r="U258" s="519">
        <v>9</v>
      </c>
      <c r="V258" s="595">
        <f t="shared" si="76"/>
        <v>46357</v>
      </c>
      <c r="W258" s="596">
        <f t="shared" si="77"/>
        <v>50671</v>
      </c>
      <c r="X258" s="592"/>
      <c r="Y258" s="519"/>
      <c r="Z258" s="592"/>
      <c r="AA258" s="519"/>
      <c r="AB258" s="592"/>
      <c r="AC258" s="519"/>
      <c r="AD258" s="592"/>
      <c r="AE258" s="519"/>
      <c r="AF258" s="595">
        <f t="shared" si="78"/>
        <v>0</v>
      </c>
      <c r="AG258" s="595">
        <f t="shared" si="79"/>
        <v>0</v>
      </c>
      <c r="AH258" s="596">
        <f t="shared" si="80"/>
        <v>0</v>
      </c>
      <c r="AI258" s="596">
        <f t="shared" si="81"/>
        <v>0</v>
      </c>
      <c r="AJ258" s="592"/>
      <c r="AK258" s="519"/>
      <c r="AL258" s="595">
        <f t="shared" si="82"/>
        <v>0</v>
      </c>
      <c r="AM258" s="596">
        <f t="shared" si="83"/>
        <v>0</v>
      </c>
      <c r="AN258" s="592"/>
      <c r="AO258" s="519"/>
      <c r="AP258" s="592">
        <v>399</v>
      </c>
      <c r="AQ258" s="519">
        <v>612</v>
      </c>
      <c r="AR258" s="592">
        <v>236</v>
      </c>
      <c r="AS258" s="519">
        <v>330</v>
      </c>
      <c r="AT258" s="592">
        <v>593</v>
      </c>
      <c r="AU258" s="519">
        <v>636</v>
      </c>
      <c r="AV258" s="595">
        <f t="shared" si="84"/>
        <v>1228</v>
      </c>
      <c r="AW258" s="595">
        <f t="shared" si="85"/>
        <v>51.166666666666664</v>
      </c>
      <c r="AX258" s="596">
        <f t="shared" si="86"/>
        <v>1578</v>
      </c>
      <c r="AY258" s="596">
        <f t="shared" si="87"/>
        <v>65.75</v>
      </c>
      <c r="AZ258" s="595">
        <f t="shared" si="88"/>
        <v>1596.4</v>
      </c>
      <c r="BA258" s="596">
        <f t="shared" si="89"/>
        <v>1754.7833333333333</v>
      </c>
    </row>
    <row r="259" spans="1:53" s="1" customFormat="1">
      <c r="A259" s="451" t="s">
        <v>239</v>
      </c>
      <c r="B259" s="452" t="s">
        <v>310</v>
      </c>
      <c r="C259" s="453"/>
      <c r="D259" s="454">
        <v>199111</v>
      </c>
      <c r="E259" s="454">
        <v>6</v>
      </c>
      <c r="F259" s="592"/>
      <c r="G259" s="519"/>
      <c r="H259" s="592"/>
      <c r="I259" s="519"/>
      <c r="J259" s="592">
        <v>46802</v>
      </c>
      <c r="K259" s="519">
        <v>44259</v>
      </c>
      <c r="L259" s="592">
        <v>4228</v>
      </c>
      <c r="M259" s="519">
        <v>6609</v>
      </c>
      <c r="N259" s="592">
        <v>47948</v>
      </c>
      <c r="O259" s="519">
        <v>45271</v>
      </c>
      <c r="P259" s="595">
        <f t="shared" si="72"/>
        <v>98978</v>
      </c>
      <c r="Q259" s="595">
        <f t="shared" si="73"/>
        <v>3299.2666666666669</v>
      </c>
      <c r="R259" s="596">
        <f t="shared" si="74"/>
        <v>96139</v>
      </c>
      <c r="S259" s="596">
        <f t="shared" si="75"/>
        <v>3204.6333333333332</v>
      </c>
      <c r="T259" s="592">
        <v>0</v>
      </c>
      <c r="U259" s="519">
        <v>0</v>
      </c>
      <c r="V259" s="595">
        <f t="shared" si="76"/>
        <v>98978</v>
      </c>
      <c r="W259" s="596">
        <f t="shared" si="77"/>
        <v>96139</v>
      </c>
      <c r="X259" s="592"/>
      <c r="Y259" s="519"/>
      <c r="Z259" s="592"/>
      <c r="AA259" s="519"/>
      <c r="AB259" s="592"/>
      <c r="AC259" s="519"/>
      <c r="AD259" s="592"/>
      <c r="AE259" s="519"/>
      <c r="AF259" s="595">
        <f t="shared" si="78"/>
        <v>0</v>
      </c>
      <c r="AG259" s="595">
        <f t="shared" si="79"/>
        <v>0</v>
      </c>
      <c r="AH259" s="596">
        <f t="shared" si="80"/>
        <v>0</v>
      </c>
      <c r="AI259" s="596">
        <f t="shared" si="81"/>
        <v>0</v>
      </c>
      <c r="AJ259" s="592"/>
      <c r="AK259" s="519"/>
      <c r="AL259" s="595">
        <f t="shared" si="82"/>
        <v>0</v>
      </c>
      <c r="AM259" s="596">
        <f t="shared" si="83"/>
        <v>0</v>
      </c>
      <c r="AN259" s="592"/>
      <c r="AO259" s="519"/>
      <c r="AP259" s="592">
        <v>120</v>
      </c>
      <c r="AQ259" s="519">
        <v>51</v>
      </c>
      <c r="AR259" s="592">
        <v>26</v>
      </c>
      <c r="AS259" s="519">
        <v>12</v>
      </c>
      <c r="AT259" s="592">
        <v>67</v>
      </c>
      <c r="AU259" s="519">
        <v>18</v>
      </c>
      <c r="AV259" s="595">
        <f t="shared" si="84"/>
        <v>213</v>
      </c>
      <c r="AW259" s="595">
        <f t="shared" si="85"/>
        <v>8.875</v>
      </c>
      <c r="AX259" s="596">
        <f t="shared" si="86"/>
        <v>81</v>
      </c>
      <c r="AY259" s="596">
        <f t="shared" si="87"/>
        <v>3.375</v>
      </c>
      <c r="AZ259" s="595">
        <f t="shared" si="88"/>
        <v>3308.1416666666669</v>
      </c>
      <c r="BA259" s="596">
        <f t="shared" si="89"/>
        <v>3208.0083333333332</v>
      </c>
    </row>
    <row r="260" spans="1:53" s="1" customFormat="1">
      <c r="A260" s="454" t="s">
        <v>239</v>
      </c>
      <c r="B260" s="452" t="s">
        <v>816</v>
      </c>
      <c r="C260" s="453"/>
      <c r="D260" s="454">
        <v>199184</v>
      </c>
      <c r="E260" s="454">
        <v>15</v>
      </c>
      <c r="F260" s="592"/>
      <c r="G260" s="519"/>
      <c r="H260" s="592"/>
      <c r="I260" s="519"/>
      <c r="J260" s="592">
        <v>13360</v>
      </c>
      <c r="K260" s="519">
        <v>13093</v>
      </c>
      <c r="L260" s="592">
        <v>230</v>
      </c>
      <c r="M260" s="519">
        <v>294</v>
      </c>
      <c r="N260" s="592">
        <v>13847</v>
      </c>
      <c r="O260" s="519">
        <v>13331</v>
      </c>
      <c r="P260" s="595">
        <f t="shared" si="72"/>
        <v>27437</v>
      </c>
      <c r="Q260" s="595">
        <f t="shared" si="73"/>
        <v>914.56666666666672</v>
      </c>
      <c r="R260" s="596">
        <f t="shared" si="74"/>
        <v>26718</v>
      </c>
      <c r="S260" s="596">
        <f t="shared" si="75"/>
        <v>890.6</v>
      </c>
      <c r="T260" s="592">
        <v>0</v>
      </c>
      <c r="U260" s="519">
        <v>0</v>
      </c>
      <c r="V260" s="595">
        <f t="shared" si="76"/>
        <v>27437</v>
      </c>
      <c r="W260" s="596">
        <f t="shared" si="77"/>
        <v>26718</v>
      </c>
      <c r="X260" s="592"/>
      <c r="Y260" s="519"/>
      <c r="Z260" s="592"/>
      <c r="AA260" s="519"/>
      <c r="AB260" s="592"/>
      <c r="AC260" s="519"/>
      <c r="AD260" s="592"/>
      <c r="AE260" s="519"/>
      <c r="AF260" s="595">
        <f t="shared" si="78"/>
        <v>0</v>
      </c>
      <c r="AG260" s="595">
        <f t="shared" si="79"/>
        <v>0</v>
      </c>
      <c r="AH260" s="596">
        <f t="shared" si="80"/>
        <v>0</v>
      </c>
      <c r="AI260" s="596">
        <f t="shared" si="81"/>
        <v>0</v>
      </c>
      <c r="AJ260" s="592"/>
      <c r="AK260" s="519"/>
      <c r="AL260" s="595">
        <f t="shared" si="82"/>
        <v>0</v>
      </c>
      <c r="AM260" s="596">
        <f t="shared" si="83"/>
        <v>0</v>
      </c>
      <c r="AN260" s="592"/>
      <c r="AO260" s="519"/>
      <c r="AP260" s="592">
        <v>1864</v>
      </c>
      <c r="AQ260" s="519">
        <v>1853</v>
      </c>
      <c r="AR260" s="592">
        <v>0</v>
      </c>
      <c r="AS260" s="519">
        <v>3</v>
      </c>
      <c r="AT260" s="592">
        <v>1958</v>
      </c>
      <c r="AU260" s="519">
        <v>1816</v>
      </c>
      <c r="AV260" s="595">
        <f t="shared" si="84"/>
        <v>3822</v>
      </c>
      <c r="AW260" s="595">
        <f t="shared" si="85"/>
        <v>159.25</v>
      </c>
      <c r="AX260" s="596">
        <f t="shared" si="86"/>
        <v>3672</v>
      </c>
      <c r="AY260" s="596">
        <f t="shared" si="87"/>
        <v>153</v>
      </c>
      <c r="AZ260" s="595">
        <f t="shared" si="88"/>
        <v>1073.8166666666666</v>
      </c>
      <c r="BA260" s="596">
        <f t="shared" si="89"/>
        <v>1043.5999999999999</v>
      </c>
    </row>
    <row r="261" spans="1:53" customFormat="1" ht="15.75" customHeight="1">
      <c r="A261" s="426" t="s">
        <v>239</v>
      </c>
      <c r="B261" s="427" t="s">
        <v>240</v>
      </c>
      <c r="C261" s="428"/>
      <c r="D261" s="430">
        <v>197887</v>
      </c>
      <c r="E261" s="430">
        <v>8</v>
      </c>
      <c r="F261" s="592" t="s">
        <v>74</v>
      </c>
      <c r="G261" s="519"/>
      <c r="H261" s="603"/>
      <c r="I261" s="519"/>
      <c r="J261" s="603">
        <v>55880</v>
      </c>
      <c r="K261" s="604">
        <v>52971</v>
      </c>
      <c r="L261" s="603">
        <v>14802</v>
      </c>
      <c r="M261" s="604">
        <v>16404</v>
      </c>
      <c r="N261" s="603">
        <v>59570</v>
      </c>
      <c r="O261" s="604">
        <v>56401</v>
      </c>
      <c r="P261" s="595">
        <f t="shared" si="72"/>
        <v>130252</v>
      </c>
      <c r="Q261" s="595">
        <f t="shared" si="73"/>
        <v>4341.7333333333336</v>
      </c>
      <c r="R261" s="596">
        <f t="shared" si="74"/>
        <v>125776</v>
      </c>
      <c r="S261" s="596">
        <f t="shared" si="75"/>
        <v>4192.5333333333338</v>
      </c>
      <c r="T261" s="603">
        <v>24622</v>
      </c>
      <c r="U261" s="604">
        <v>24412</v>
      </c>
      <c r="V261" s="595">
        <f t="shared" si="76"/>
        <v>130252</v>
      </c>
      <c r="W261" s="596">
        <f t="shared" si="77"/>
        <v>125776</v>
      </c>
      <c r="X261" s="603"/>
      <c r="Y261" s="519"/>
      <c r="Z261" s="603">
        <v>273043</v>
      </c>
      <c r="AA261" s="604">
        <v>197987</v>
      </c>
      <c r="AB261" s="603">
        <v>175951</v>
      </c>
      <c r="AC261" s="555">
        <v>62087</v>
      </c>
      <c r="AD261" s="603">
        <v>267607</v>
      </c>
      <c r="AE261" s="604">
        <v>135143</v>
      </c>
      <c r="AF261" s="595">
        <f t="shared" si="78"/>
        <v>716601</v>
      </c>
      <c r="AG261" s="595">
        <f t="shared" si="79"/>
        <v>796.22333333333336</v>
      </c>
      <c r="AH261" s="596">
        <f t="shared" si="80"/>
        <v>395217</v>
      </c>
      <c r="AI261" s="596">
        <f t="shared" si="81"/>
        <v>439.13</v>
      </c>
      <c r="AJ261" s="603"/>
      <c r="AK261" s="519"/>
      <c r="AL261" s="595">
        <f t="shared" si="82"/>
        <v>0</v>
      </c>
      <c r="AM261" s="596">
        <f t="shared" si="83"/>
        <v>0</v>
      </c>
      <c r="AN261" s="603"/>
      <c r="AO261" s="519"/>
      <c r="AP261" s="603"/>
      <c r="AQ261" s="519"/>
      <c r="AR261" s="603"/>
      <c r="AS261" s="519"/>
      <c r="AT261" s="603"/>
      <c r="AU261" s="519"/>
      <c r="AV261" s="595">
        <f t="shared" si="84"/>
        <v>0</v>
      </c>
      <c r="AW261" s="595">
        <f t="shared" si="85"/>
        <v>0</v>
      </c>
      <c r="AX261" s="596">
        <f t="shared" si="86"/>
        <v>0</v>
      </c>
      <c r="AY261" s="596">
        <f t="shared" si="87"/>
        <v>0</v>
      </c>
      <c r="AZ261" s="595">
        <f t="shared" si="88"/>
        <v>5137.9566666666669</v>
      </c>
      <c r="BA261" s="596">
        <f t="shared" si="89"/>
        <v>4631.6633333333339</v>
      </c>
    </row>
    <row r="262" spans="1:53" customFormat="1" ht="15" customHeight="1">
      <c r="A262" s="426" t="s">
        <v>239</v>
      </c>
      <c r="B262" s="427" t="s">
        <v>241</v>
      </c>
      <c r="C262" s="428"/>
      <c r="D262" s="430">
        <v>198154</v>
      </c>
      <c r="E262" s="430">
        <v>8</v>
      </c>
      <c r="F262" s="592" t="s">
        <v>74</v>
      </c>
      <c r="G262" s="519"/>
      <c r="H262" s="603"/>
      <c r="I262" s="519"/>
      <c r="J262" s="603">
        <v>73892</v>
      </c>
      <c r="K262" s="604">
        <v>78980</v>
      </c>
      <c r="L262" s="603">
        <v>22097</v>
      </c>
      <c r="M262" s="604">
        <v>25264.5</v>
      </c>
      <c r="N262" s="603">
        <v>84210</v>
      </c>
      <c r="O262" s="604">
        <v>84916</v>
      </c>
      <c r="P262" s="595">
        <f t="shared" si="72"/>
        <v>180199</v>
      </c>
      <c r="Q262" s="595">
        <f t="shared" si="73"/>
        <v>6006.6333333333332</v>
      </c>
      <c r="R262" s="596">
        <f t="shared" si="74"/>
        <v>189160.5</v>
      </c>
      <c r="S262" s="596">
        <f t="shared" si="75"/>
        <v>6305.35</v>
      </c>
      <c r="T262" s="603">
        <v>23372</v>
      </c>
      <c r="U262" s="604">
        <v>27599</v>
      </c>
      <c r="V262" s="595">
        <f t="shared" si="76"/>
        <v>180199</v>
      </c>
      <c r="W262" s="596">
        <f t="shared" si="77"/>
        <v>189160.5</v>
      </c>
      <c r="X262" s="603"/>
      <c r="Y262" s="519"/>
      <c r="Z262" s="603">
        <v>250103</v>
      </c>
      <c r="AA262" s="604">
        <v>231137</v>
      </c>
      <c r="AB262" s="603">
        <v>149085</v>
      </c>
      <c r="AC262" s="604">
        <v>74560</v>
      </c>
      <c r="AD262" s="603">
        <v>292108</v>
      </c>
      <c r="AE262" s="604">
        <v>248246</v>
      </c>
      <c r="AF262" s="595">
        <f t="shared" si="78"/>
        <v>691296</v>
      </c>
      <c r="AG262" s="595">
        <f t="shared" si="79"/>
        <v>768.10666666666668</v>
      </c>
      <c r="AH262" s="596">
        <f t="shared" si="80"/>
        <v>553943</v>
      </c>
      <c r="AI262" s="596">
        <f t="shared" si="81"/>
        <v>615.49222222222227</v>
      </c>
      <c r="AJ262" s="603"/>
      <c r="AK262" s="519"/>
      <c r="AL262" s="595">
        <f t="shared" si="82"/>
        <v>0</v>
      </c>
      <c r="AM262" s="596">
        <f t="shared" si="83"/>
        <v>0</v>
      </c>
      <c r="AN262" s="603"/>
      <c r="AO262" s="519"/>
      <c r="AP262" s="603"/>
      <c r="AQ262" s="519"/>
      <c r="AR262" s="603"/>
      <c r="AS262" s="519"/>
      <c r="AT262" s="603"/>
      <c r="AU262" s="519"/>
      <c r="AV262" s="595">
        <f t="shared" si="84"/>
        <v>0</v>
      </c>
      <c r="AW262" s="595">
        <f t="shared" si="85"/>
        <v>0</v>
      </c>
      <c r="AX262" s="596">
        <f t="shared" si="86"/>
        <v>0</v>
      </c>
      <c r="AY262" s="596">
        <f t="shared" si="87"/>
        <v>0</v>
      </c>
      <c r="AZ262" s="595">
        <f t="shared" si="88"/>
        <v>6774.74</v>
      </c>
      <c r="BA262" s="596">
        <f t="shared" si="89"/>
        <v>6920.8422222222225</v>
      </c>
    </row>
    <row r="263" spans="1:53" customFormat="1" ht="15" customHeight="1">
      <c r="A263" s="426" t="s">
        <v>239</v>
      </c>
      <c r="B263" s="427" t="s">
        <v>242</v>
      </c>
      <c r="C263" s="428"/>
      <c r="D263" s="430">
        <v>198260</v>
      </c>
      <c r="E263" s="430">
        <v>8</v>
      </c>
      <c r="F263" s="592" t="s">
        <v>74</v>
      </c>
      <c r="G263" s="519"/>
      <c r="H263" s="603"/>
      <c r="I263" s="519"/>
      <c r="J263" s="603">
        <v>169269.5</v>
      </c>
      <c r="K263" s="604">
        <v>166754</v>
      </c>
      <c r="L263" s="603">
        <v>46388</v>
      </c>
      <c r="M263" s="604">
        <v>51271.5</v>
      </c>
      <c r="N263" s="603">
        <v>178676</v>
      </c>
      <c r="O263" s="604">
        <v>165091</v>
      </c>
      <c r="P263" s="595">
        <f t="shared" si="72"/>
        <v>394333.5</v>
      </c>
      <c r="Q263" s="595">
        <f t="shared" si="73"/>
        <v>13144.45</v>
      </c>
      <c r="R263" s="596">
        <f t="shared" si="74"/>
        <v>383116.5</v>
      </c>
      <c r="S263" s="596">
        <f t="shared" si="75"/>
        <v>12770.55</v>
      </c>
      <c r="T263" s="603">
        <v>30622.5</v>
      </c>
      <c r="U263" s="604">
        <v>45420</v>
      </c>
      <c r="V263" s="595">
        <f t="shared" si="76"/>
        <v>394333.5</v>
      </c>
      <c r="W263" s="596">
        <f t="shared" si="77"/>
        <v>383116.5</v>
      </c>
      <c r="X263" s="603"/>
      <c r="Y263" s="519"/>
      <c r="Z263" s="603">
        <v>544624</v>
      </c>
      <c r="AA263" s="604">
        <v>356816</v>
      </c>
      <c r="AB263" s="603">
        <v>233382</v>
      </c>
      <c r="AC263" s="604">
        <v>179451</v>
      </c>
      <c r="AD263" s="603">
        <v>502316</v>
      </c>
      <c r="AE263" s="604">
        <v>360847</v>
      </c>
      <c r="AF263" s="595">
        <f t="shared" si="78"/>
        <v>1280322</v>
      </c>
      <c r="AG263" s="595">
        <f t="shared" si="79"/>
        <v>1422.58</v>
      </c>
      <c r="AH263" s="596">
        <f t="shared" si="80"/>
        <v>897114</v>
      </c>
      <c r="AI263" s="596">
        <f t="shared" si="81"/>
        <v>996.79333333333329</v>
      </c>
      <c r="AJ263" s="603"/>
      <c r="AK263" s="519"/>
      <c r="AL263" s="595">
        <f t="shared" si="82"/>
        <v>0</v>
      </c>
      <c r="AM263" s="596">
        <f t="shared" si="83"/>
        <v>0</v>
      </c>
      <c r="AN263" s="603"/>
      <c r="AO263" s="519"/>
      <c r="AP263" s="603"/>
      <c r="AQ263" s="519"/>
      <c r="AR263" s="603"/>
      <c r="AS263" s="519"/>
      <c r="AT263" s="603"/>
      <c r="AU263" s="519"/>
      <c r="AV263" s="595">
        <f t="shared" si="84"/>
        <v>0</v>
      </c>
      <c r="AW263" s="595">
        <f t="shared" si="85"/>
        <v>0</v>
      </c>
      <c r="AX263" s="596">
        <f t="shared" si="86"/>
        <v>0</v>
      </c>
      <c r="AY263" s="596">
        <f t="shared" si="87"/>
        <v>0</v>
      </c>
      <c r="AZ263" s="595">
        <f t="shared" si="88"/>
        <v>14567.03</v>
      </c>
      <c r="BA263" s="596">
        <f t="shared" si="89"/>
        <v>13767.343333333332</v>
      </c>
    </row>
    <row r="264" spans="1:53" customFormat="1" ht="15" customHeight="1">
      <c r="A264" s="426" t="s">
        <v>239</v>
      </c>
      <c r="B264" s="427" t="s">
        <v>243</v>
      </c>
      <c r="C264" s="428"/>
      <c r="D264" s="430">
        <v>198534</v>
      </c>
      <c r="E264" s="430">
        <v>8</v>
      </c>
      <c r="F264" s="592" t="s">
        <v>74</v>
      </c>
      <c r="G264" s="519"/>
      <c r="H264" s="603"/>
      <c r="I264" s="519"/>
      <c r="J264" s="603">
        <v>104030</v>
      </c>
      <c r="K264" s="604">
        <v>104333</v>
      </c>
      <c r="L264" s="603">
        <v>35057</v>
      </c>
      <c r="M264" s="604">
        <v>33835</v>
      </c>
      <c r="N264" s="603">
        <v>113917</v>
      </c>
      <c r="O264" s="604">
        <v>101114</v>
      </c>
      <c r="P264" s="595">
        <f t="shared" ref="P264:P327" si="90">SUM(H264,J264,L264,N264)</f>
        <v>253004</v>
      </c>
      <c r="Q264" s="595">
        <f t="shared" ref="Q264:Q327" si="91">+P264/30</f>
        <v>8433.4666666666672</v>
      </c>
      <c r="R264" s="596">
        <f t="shared" ref="R264:R327" si="92">SUM(I264,K264,M264,O264)</f>
        <v>239282</v>
      </c>
      <c r="S264" s="596">
        <f t="shared" ref="S264:S327" si="93">+R264/30</f>
        <v>7976.0666666666666</v>
      </c>
      <c r="T264" s="603">
        <v>20010</v>
      </c>
      <c r="U264" s="604">
        <v>21290</v>
      </c>
      <c r="V264" s="595">
        <f t="shared" ref="V264:V327" si="94">IF(ISBLANK(T264),0,P264)</f>
        <v>253004</v>
      </c>
      <c r="W264" s="596">
        <f t="shared" ref="W264:W327" si="95">IF(ISBLANK(U264),0,R264)</f>
        <v>239282</v>
      </c>
      <c r="X264" s="603"/>
      <c r="Y264" s="519"/>
      <c r="Z264" s="603">
        <v>727015</v>
      </c>
      <c r="AA264" s="604">
        <v>750212</v>
      </c>
      <c r="AB264" s="603">
        <v>650272</v>
      </c>
      <c r="AC264" s="604">
        <v>439923</v>
      </c>
      <c r="AD264" s="603">
        <v>970233</v>
      </c>
      <c r="AE264" s="604">
        <v>752533</v>
      </c>
      <c r="AF264" s="595">
        <f t="shared" ref="AF264:AF327" si="96">SUM(X264,Z264,AB264,AD264)</f>
        <v>2347520</v>
      </c>
      <c r="AG264" s="595">
        <f t="shared" ref="AG264:AG327" si="97">+AF264/900</f>
        <v>2608.3555555555554</v>
      </c>
      <c r="AH264" s="596">
        <f t="shared" ref="AH264:AH327" si="98">SUM(Y264,AA264,AC264,AE264)</f>
        <v>1942668</v>
      </c>
      <c r="AI264" s="596">
        <f t="shared" ref="AI264:AI327" si="99">+AH264/900</f>
        <v>2158.52</v>
      </c>
      <c r="AJ264" s="603"/>
      <c r="AK264" s="519"/>
      <c r="AL264" s="595">
        <f t="shared" ref="AL264:AL327" si="100">IF(ISBLANK(AJ264),0,AF264)</f>
        <v>0</v>
      </c>
      <c r="AM264" s="596">
        <f t="shared" ref="AM264:AM327" si="101">IF(ISBLANK(AK264),0,AH264)</f>
        <v>0</v>
      </c>
      <c r="AN264" s="603"/>
      <c r="AO264" s="519"/>
      <c r="AP264" s="603"/>
      <c r="AQ264" s="519"/>
      <c r="AR264" s="603"/>
      <c r="AS264" s="519"/>
      <c r="AT264" s="603"/>
      <c r="AU264" s="519"/>
      <c r="AV264" s="595">
        <f t="shared" ref="AV264:AV327" si="102">SUM(AN264,AP264,AR264,AT264)</f>
        <v>0</v>
      </c>
      <c r="AW264" s="595">
        <f t="shared" ref="AW264:AW327" si="103">+AV264/24</f>
        <v>0</v>
      </c>
      <c r="AX264" s="596">
        <f t="shared" ref="AX264:AX327" si="104">SUM(AO264,AQ264,AS264,AU264)</f>
        <v>0</v>
      </c>
      <c r="AY264" s="596">
        <f t="shared" ref="AY264:AY327" si="105">+AX264/24</f>
        <v>0</v>
      </c>
      <c r="AZ264" s="595">
        <f t="shared" ref="AZ264:AZ327" si="106">SUM(Q264,AG264,AW264)</f>
        <v>11041.822222222223</v>
      </c>
      <c r="BA264" s="596">
        <f t="shared" ref="BA264:BA327" si="107">SUM(S264,AI264,AY264)</f>
        <v>10134.586666666666</v>
      </c>
    </row>
    <row r="265" spans="1:53" customFormat="1" ht="15" customHeight="1">
      <c r="A265" s="426" t="s">
        <v>239</v>
      </c>
      <c r="B265" s="427" t="s">
        <v>244</v>
      </c>
      <c r="C265" s="428"/>
      <c r="D265" s="430">
        <v>198552</v>
      </c>
      <c r="E265" s="430">
        <v>8</v>
      </c>
      <c r="F265" s="592" t="s">
        <v>74</v>
      </c>
      <c r="G265" s="519"/>
      <c r="H265" s="603"/>
      <c r="I265" s="519"/>
      <c r="J265" s="603">
        <v>67366</v>
      </c>
      <c r="K265" s="604">
        <v>66978</v>
      </c>
      <c r="L265" s="603">
        <v>23797</v>
      </c>
      <c r="M265" s="604">
        <v>26268</v>
      </c>
      <c r="N265" s="603">
        <v>72616</v>
      </c>
      <c r="O265" s="604">
        <v>70109</v>
      </c>
      <c r="P265" s="595">
        <f t="shared" si="90"/>
        <v>163779</v>
      </c>
      <c r="Q265" s="595">
        <f t="shared" si="91"/>
        <v>5459.3</v>
      </c>
      <c r="R265" s="596">
        <f t="shared" si="92"/>
        <v>163355</v>
      </c>
      <c r="S265" s="596">
        <f t="shared" si="93"/>
        <v>5445.166666666667</v>
      </c>
      <c r="T265" s="603">
        <v>14786</v>
      </c>
      <c r="U265" s="604">
        <v>16202</v>
      </c>
      <c r="V265" s="595">
        <f t="shared" si="94"/>
        <v>163779</v>
      </c>
      <c r="W265" s="596">
        <f t="shared" si="95"/>
        <v>163355</v>
      </c>
      <c r="X265" s="603"/>
      <c r="Y265" s="519"/>
      <c r="Z265" s="603">
        <v>201159</v>
      </c>
      <c r="AA265" s="604">
        <v>161162</v>
      </c>
      <c r="AB265" s="603">
        <v>191527</v>
      </c>
      <c r="AC265" s="604">
        <v>110897</v>
      </c>
      <c r="AD265" s="603">
        <v>239291</v>
      </c>
      <c r="AE265" s="604">
        <v>156381</v>
      </c>
      <c r="AF265" s="595">
        <f t="shared" si="96"/>
        <v>631977</v>
      </c>
      <c r="AG265" s="595">
        <f t="shared" si="97"/>
        <v>702.19666666666672</v>
      </c>
      <c r="AH265" s="596">
        <f t="shared" si="98"/>
        <v>428440</v>
      </c>
      <c r="AI265" s="596">
        <f t="shared" si="99"/>
        <v>476.04444444444442</v>
      </c>
      <c r="AJ265" s="603"/>
      <c r="AK265" s="519"/>
      <c r="AL265" s="595">
        <f t="shared" si="100"/>
        <v>0</v>
      </c>
      <c r="AM265" s="596">
        <f t="shared" si="101"/>
        <v>0</v>
      </c>
      <c r="AN265" s="603"/>
      <c r="AO265" s="519"/>
      <c r="AP265" s="603"/>
      <c r="AQ265" s="519"/>
      <c r="AR265" s="603"/>
      <c r="AS265" s="519"/>
      <c r="AT265" s="603"/>
      <c r="AU265" s="519"/>
      <c r="AV265" s="595">
        <f t="shared" si="102"/>
        <v>0</v>
      </c>
      <c r="AW265" s="595">
        <f t="shared" si="103"/>
        <v>0</v>
      </c>
      <c r="AX265" s="596">
        <f t="shared" si="104"/>
        <v>0</v>
      </c>
      <c r="AY265" s="596">
        <f t="shared" si="105"/>
        <v>0</v>
      </c>
      <c r="AZ265" s="595">
        <f t="shared" si="106"/>
        <v>6161.4966666666669</v>
      </c>
      <c r="BA265" s="596">
        <f t="shared" si="107"/>
        <v>5921.2111111111117</v>
      </c>
    </row>
    <row r="266" spans="1:53" customFormat="1" ht="15" customHeight="1">
      <c r="A266" s="426" t="s">
        <v>239</v>
      </c>
      <c r="B266" s="427" t="s">
        <v>245</v>
      </c>
      <c r="C266" s="428"/>
      <c r="D266" s="430">
        <v>198622</v>
      </c>
      <c r="E266" s="430">
        <v>8</v>
      </c>
      <c r="F266" s="592" t="s">
        <v>74</v>
      </c>
      <c r="G266" s="519"/>
      <c r="H266" s="603"/>
      <c r="I266" s="519"/>
      <c r="J266" s="603">
        <v>90788</v>
      </c>
      <c r="K266" s="604">
        <v>95481.5</v>
      </c>
      <c r="L266" s="603">
        <v>26645</v>
      </c>
      <c r="M266" s="604">
        <v>29489</v>
      </c>
      <c r="N266" s="603">
        <v>105817</v>
      </c>
      <c r="O266" s="604">
        <v>102535</v>
      </c>
      <c r="P266" s="595">
        <f t="shared" si="90"/>
        <v>223250</v>
      </c>
      <c r="Q266" s="595">
        <f t="shared" si="91"/>
        <v>7441.666666666667</v>
      </c>
      <c r="R266" s="596">
        <f t="shared" si="92"/>
        <v>227505.5</v>
      </c>
      <c r="S266" s="596">
        <f t="shared" si="93"/>
        <v>7583.5166666666664</v>
      </c>
      <c r="T266" s="603">
        <v>18352</v>
      </c>
      <c r="U266" s="604">
        <v>22322</v>
      </c>
      <c r="V266" s="595">
        <f t="shared" si="94"/>
        <v>223250</v>
      </c>
      <c r="W266" s="596">
        <f t="shared" si="95"/>
        <v>227505.5</v>
      </c>
      <c r="X266" s="603"/>
      <c r="Y266" s="519"/>
      <c r="Z266" s="603">
        <v>446684</v>
      </c>
      <c r="AA266" s="604">
        <v>289216</v>
      </c>
      <c r="AB266" s="603">
        <v>257759</v>
      </c>
      <c r="AC266" s="604">
        <v>135860</v>
      </c>
      <c r="AD266" s="603">
        <v>375261</v>
      </c>
      <c r="AE266" s="604">
        <v>254166</v>
      </c>
      <c r="AF266" s="595">
        <f t="shared" si="96"/>
        <v>1079704</v>
      </c>
      <c r="AG266" s="595">
        <f t="shared" si="97"/>
        <v>1199.671111111111</v>
      </c>
      <c r="AH266" s="596">
        <f t="shared" si="98"/>
        <v>679242</v>
      </c>
      <c r="AI266" s="596">
        <f t="shared" si="99"/>
        <v>754.71333333333337</v>
      </c>
      <c r="AJ266" s="603"/>
      <c r="AK266" s="519"/>
      <c r="AL266" s="595">
        <f t="shared" si="100"/>
        <v>0</v>
      </c>
      <c r="AM266" s="596">
        <f t="shared" si="101"/>
        <v>0</v>
      </c>
      <c r="AN266" s="603"/>
      <c r="AO266" s="519"/>
      <c r="AP266" s="603"/>
      <c r="AQ266" s="519"/>
      <c r="AR266" s="603"/>
      <c r="AS266" s="519"/>
      <c r="AT266" s="603"/>
      <c r="AU266" s="519"/>
      <c r="AV266" s="595">
        <f t="shared" si="102"/>
        <v>0</v>
      </c>
      <c r="AW266" s="595">
        <f t="shared" si="103"/>
        <v>0</v>
      </c>
      <c r="AX266" s="596">
        <f t="shared" si="104"/>
        <v>0</v>
      </c>
      <c r="AY266" s="596">
        <f t="shared" si="105"/>
        <v>0</v>
      </c>
      <c r="AZ266" s="595">
        <f t="shared" si="106"/>
        <v>8641.3377777777787</v>
      </c>
      <c r="BA266" s="596">
        <f t="shared" si="107"/>
        <v>8338.23</v>
      </c>
    </row>
    <row r="267" spans="1:53" customFormat="1" ht="15" customHeight="1">
      <c r="A267" s="426" t="s">
        <v>239</v>
      </c>
      <c r="B267" s="427" t="s">
        <v>246</v>
      </c>
      <c r="C267" s="428"/>
      <c r="D267" s="430">
        <v>199333</v>
      </c>
      <c r="E267" s="430">
        <v>8</v>
      </c>
      <c r="F267" s="592" t="s">
        <v>74</v>
      </c>
      <c r="G267" s="519"/>
      <c r="H267" s="603"/>
      <c r="I267" s="519"/>
      <c r="J267" s="603">
        <v>73757</v>
      </c>
      <c r="K267" s="604">
        <v>75221</v>
      </c>
      <c r="L267" s="603">
        <v>22997</v>
      </c>
      <c r="M267" s="604">
        <v>25297</v>
      </c>
      <c r="N267" s="603">
        <v>80416</v>
      </c>
      <c r="O267" s="604">
        <v>70867</v>
      </c>
      <c r="P267" s="595">
        <f t="shared" si="90"/>
        <v>177170</v>
      </c>
      <c r="Q267" s="595">
        <f t="shared" si="91"/>
        <v>5905.666666666667</v>
      </c>
      <c r="R267" s="596">
        <f t="shared" si="92"/>
        <v>171385</v>
      </c>
      <c r="S267" s="596">
        <f t="shared" si="93"/>
        <v>5712.833333333333</v>
      </c>
      <c r="T267" s="603">
        <v>18604</v>
      </c>
      <c r="U267" s="604">
        <v>20192</v>
      </c>
      <c r="V267" s="595">
        <f t="shared" si="94"/>
        <v>177170</v>
      </c>
      <c r="W267" s="596">
        <f t="shared" si="95"/>
        <v>171385</v>
      </c>
      <c r="X267" s="603"/>
      <c r="Y267" s="519"/>
      <c r="Z267" s="603">
        <v>187805</v>
      </c>
      <c r="AA267" s="604">
        <v>142069</v>
      </c>
      <c r="AB267" s="603">
        <v>122228</v>
      </c>
      <c r="AC267" s="604">
        <v>110182</v>
      </c>
      <c r="AD267" s="603">
        <v>251602</v>
      </c>
      <c r="AE267" s="604">
        <v>166730</v>
      </c>
      <c r="AF267" s="595">
        <f t="shared" si="96"/>
        <v>561635</v>
      </c>
      <c r="AG267" s="595">
        <f t="shared" si="97"/>
        <v>624.03888888888889</v>
      </c>
      <c r="AH267" s="596">
        <f t="shared" si="98"/>
        <v>418981</v>
      </c>
      <c r="AI267" s="596">
        <f t="shared" si="99"/>
        <v>465.53444444444443</v>
      </c>
      <c r="AJ267" s="603"/>
      <c r="AK267" s="519"/>
      <c r="AL267" s="595">
        <f t="shared" si="100"/>
        <v>0</v>
      </c>
      <c r="AM267" s="596">
        <f t="shared" si="101"/>
        <v>0</v>
      </c>
      <c r="AN267" s="603"/>
      <c r="AO267" s="519"/>
      <c r="AP267" s="603"/>
      <c r="AQ267" s="519"/>
      <c r="AR267" s="603"/>
      <c r="AS267" s="519"/>
      <c r="AT267" s="603"/>
      <c r="AU267" s="519"/>
      <c r="AV267" s="595">
        <f t="shared" si="102"/>
        <v>0</v>
      </c>
      <c r="AW267" s="595">
        <f t="shared" si="103"/>
        <v>0</v>
      </c>
      <c r="AX267" s="596">
        <f t="shared" si="104"/>
        <v>0</v>
      </c>
      <c r="AY267" s="596">
        <f t="shared" si="105"/>
        <v>0</v>
      </c>
      <c r="AZ267" s="595">
        <f t="shared" si="106"/>
        <v>6529.7055555555562</v>
      </c>
      <c r="BA267" s="596">
        <f t="shared" si="107"/>
        <v>6178.3677777777775</v>
      </c>
    </row>
    <row r="268" spans="1:53" customFormat="1" ht="15" customHeight="1">
      <c r="A268" s="426" t="s">
        <v>239</v>
      </c>
      <c r="B268" s="427" t="s">
        <v>247</v>
      </c>
      <c r="C268" s="428"/>
      <c r="D268" s="430">
        <v>199494</v>
      </c>
      <c r="E268" s="430">
        <v>8</v>
      </c>
      <c r="F268" s="592" t="s">
        <v>74</v>
      </c>
      <c r="G268" s="519"/>
      <c r="H268" s="603"/>
      <c r="I268" s="519"/>
      <c r="J268" s="603">
        <v>52491</v>
      </c>
      <c r="K268" s="604">
        <v>55755</v>
      </c>
      <c r="L268" s="603">
        <v>13900</v>
      </c>
      <c r="M268" s="604">
        <v>14869</v>
      </c>
      <c r="N268" s="603">
        <v>61435</v>
      </c>
      <c r="O268" s="604">
        <v>59579</v>
      </c>
      <c r="P268" s="595">
        <f t="shared" si="90"/>
        <v>127826</v>
      </c>
      <c r="Q268" s="595">
        <f t="shared" si="91"/>
        <v>4260.8666666666668</v>
      </c>
      <c r="R268" s="596">
        <f t="shared" si="92"/>
        <v>130203</v>
      </c>
      <c r="S268" s="596">
        <f t="shared" si="93"/>
        <v>4340.1000000000004</v>
      </c>
      <c r="T268" s="603">
        <v>30097</v>
      </c>
      <c r="U268" s="604">
        <v>34082</v>
      </c>
      <c r="V268" s="595">
        <f t="shared" si="94"/>
        <v>127826</v>
      </c>
      <c r="W268" s="596">
        <f t="shared" si="95"/>
        <v>130203</v>
      </c>
      <c r="X268" s="603"/>
      <c r="Y268" s="519"/>
      <c r="Z268" s="603">
        <v>324177</v>
      </c>
      <c r="AA268" s="604">
        <v>242445</v>
      </c>
      <c r="AB268" s="603">
        <v>186892</v>
      </c>
      <c r="AC268" s="604">
        <v>133843</v>
      </c>
      <c r="AD268" s="603">
        <v>416158</v>
      </c>
      <c r="AE268" s="604">
        <v>319390</v>
      </c>
      <c r="AF268" s="595">
        <f t="shared" si="96"/>
        <v>927227</v>
      </c>
      <c r="AG268" s="595">
        <f t="shared" si="97"/>
        <v>1030.2522222222221</v>
      </c>
      <c r="AH268" s="596">
        <f t="shared" si="98"/>
        <v>695678</v>
      </c>
      <c r="AI268" s="596">
        <f t="shared" si="99"/>
        <v>772.9755555555555</v>
      </c>
      <c r="AJ268" s="603"/>
      <c r="AK268" s="519"/>
      <c r="AL268" s="595">
        <f t="shared" si="100"/>
        <v>0</v>
      </c>
      <c r="AM268" s="596">
        <f t="shared" si="101"/>
        <v>0</v>
      </c>
      <c r="AN268" s="603"/>
      <c r="AO268" s="519"/>
      <c r="AP268" s="603"/>
      <c r="AQ268" s="519"/>
      <c r="AR268" s="603"/>
      <c r="AS268" s="519"/>
      <c r="AT268" s="603"/>
      <c r="AU268" s="519"/>
      <c r="AV268" s="595">
        <f t="shared" si="102"/>
        <v>0</v>
      </c>
      <c r="AW268" s="595">
        <f t="shared" si="103"/>
        <v>0</v>
      </c>
      <c r="AX268" s="596">
        <f t="shared" si="104"/>
        <v>0</v>
      </c>
      <c r="AY268" s="596">
        <f t="shared" si="105"/>
        <v>0</v>
      </c>
      <c r="AZ268" s="595">
        <f t="shared" si="106"/>
        <v>5291.1188888888892</v>
      </c>
      <c r="BA268" s="596">
        <f t="shared" si="107"/>
        <v>5113.0755555555561</v>
      </c>
    </row>
    <row r="269" spans="1:53" customFormat="1" ht="15" customHeight="1">
      <c r="A269" s="426" t="s">
        <v>239</v>
      </c>
      <c r="B269" s="427" t="s">
        <v>248</v>
      </c>
      <c r="C269" s="428"/>
      <c r="D269" s="430">
        <v>199856</v>
      </c>
      <c r="E269" s="430">
        <v>8</v>
      </c>
      <c r="F269" s="592" t="s">
        <v>74</v>
      </c>
      <c r="G269" s="519"/>
      <c r="H269" s="603"/>
      <c r="I269" s="519"/>
      <c r="J269" s="603">
        <v>190801</v>
      </c>
      <c r="K269" s="604">
        <v>193599</v>
      </c>
      <c r="L269" s="603">
        <v>51329</v>
      </c>
      <c r="M269" s="604">
        <v>60890</v>
      </c>
      <c r="N269" s="603">
        <v>209683</v>
      </c>
      <c r="O269" s="604">
        <v>206440</v>
      </c>
      <c r="P269" s="595">
        <f t="shared" si="90"/>
        <v>451813</v>
      </c>
      <c r="Q269" s="595">
        <f t="shared" si="91"/>
        <v>15060.433333333332</v>
      </c>
      <c r="R269" s="596">
        <f t="shared" si="92"/>
        <v>460929</v>
      </c>
      <c r="S269" s="596">
        <f t="shared" si="93"/>
        <v>15364.3</v>
      </c>
      <c r="T269" s="603">
        <v>24076</v>
      </c>
      <c r="U269" s="604">
        <v>28340</v>
      </c>
      <c r="V269" s="595">
        <f t="shared" si="94"/>
        <v>451813</v>
      </c>
      <c r="W269" s="596">
        <f t="shared" si="95"/>
        <v>460929</v>
      </c>
      <c r="X269" s="603"/>
      <c r="Y269" s="519"/>
      <c r="Z269" s="603">
        <v>751268</v>
      </c>
      <c r="AA269" s="604">
        <v>645532</v>
      </c>
      <c r="AB269" s="603">
        <v>645131</v>
      </c>
      <c r="AC269" s="555">
        <v>301381</v>
      </c>
      <c r="AD269" s="603">
        <v>1035870</v>
      </c>
      <c r="AE269" s="604">
        <v>603078</v>
      </c>
      <c r="AF269" s="595">
        <f t="shared" si="96"/>
        <v>2432269</v>
      </c>
      <c r="AG269" s="595">
        <f t="shared" si="97"/>
        <v>2702.5211111111112</v>
      </c>
      <c r="AH269" s="596">
        <f t="shared" si="98"/>
        <v>1549991</v>
      </c>
      <c r="AI269" s="596">
        <f t="shared" si="99"/>
        <v>1722.2122222222222</v>
      </c>
      <c r="AJ269" s="603"/>
      <c r="AK269" s="519"/>
      <c r="AL269" s="595">
        <f t="shared" si="100"/>
        <v>0</v>
      </c>
      <c r="AM269" s="596">
        <f t="shared" si="101"/>
        <v>0</v>
      </c>
      <c r="AN269" s="603"/>
      <c r="AO269" s="519"/>
      <c r="AP269" s="603"/>
      <c r="AQ269" s="519"/>
      <c r="AR269" s="603"/>
      <c r="AS269" s="519"/>
      <c r="AT269" s="603"/>
      <c r="AU269" s="519"/>
      <c r="AV269" s="595">
        <f t="shared" si="102"/>
        <v>0</v>
      </c>
      <c r="AW269" s="595">
        <f t="shared" si="103"/>
        <v>0</v>
      </c>
      <c r="AX269" s="596">
        <f t="shared" si="104"/>
        <v>0</v>
      </c>
      <c r="AY269" s="596">
        <f t="shared" si="105"/>
        <v>0</v>
      </c>
      <c r="AZ269" s="595">
        <f t="shared" si="106"/>
        <v>17762.954444444444</v>
      </c>
      <c r="BA269" s="596">
        <f t="shared" si="107"/>
        <v>17086.51222222222</v>
      </c>
    </row>
    <row r="270" spans="1:53" customFormat="1" ht="15" customHeight="1">
      <c r="A270" s="426" t="s">
        <v>239</v>
      </c>
      <c r="B270" s="427" t="s">
        <v>249</v>
      </c>
      <c r="C270" s="428"/>
      <c r="D270" s="430">
        <v>199786</v>
      </c>
      <c r="E270" s="430">
        <v>9</v>
      </c>
      <c r="F270" s="592" t="s">
        <v>74</v>
      </c>
      <c r="G270" s="519"/>
      <c r="H270" s="603"/>
      <c r="I270" s="519"/>
      <c r="J270" s="603">
        <v>35199</v>
      </c>
      <c r="K270" s="604">
        <v>38193</v>
      </c>
      <c r="L270" s="603">
        <v>9644</v>
      </c>
      <c r="M270" s="604">
        <v>10803</v>
      </c>
      <c r="N270" s="603">
        <v>40556.5</v>
      </c>
      <c r="O270" s="604">
        <v>37427.5</v>
      </c>
      <c r="P270" s="595">
        <f t="shared" si="90"/>
        <v>85399.5</v>
      </c>
      <c r="Q270" s="595">
        <f t="shared" si="91"/>
        <v>2846.65</v>
      </c>
      <c r="R270" s="596">
        <f t="shared" si="92"/>
        <v>86423.5</v>
      </c>
      <c r="S270" s="596">
        <f t="shared" si="93"/>
        <v>2880.7833333333333</v>
      </c>
      <c r="T270" s="603">
        <v>17147</v>
      </c>
      <c r="U270" s="604">
        <v>18997</v>
      </c>
      <c r="V270" s="595">
        <f t="shared" si="94"/>
        <v>85399.5</v>
      </c>
      <c r="W270" s="596">
        <f t="shared" si="95"/>
        <v>86423.5</v>
      </c>
      <c r="X270" s="603"/>
      <c r="Y270" s="519"/>
      <c r="Z270" s="603">
        <v>199369</v>
      </c>
      <c r="AA270" s="604">
        <v>160922</v>
      </c>
      <c r="AB270" s="603">
        <v>123966</v>
      </c>
      <c r="AC270" s="604">
        <v>90661</v>
      </c>
      <c r="AD270" s="603">
        <v>261556</v>
      </c>
      <c r="AE270" s="604">
        <v>199375</v>
      </c>
      <c r="AF270" s="595">
        <f t="shared" si="96"/>
        <v>584891</v>
      </c>
      <c r="AG270" s="595">
        <f t="shared" si="97"/>
        <v>649.87888888888892</v>
      </c>
      <c r="AH270" s="596">
        <f t="shared" si="98"/>
        <v>450958</v>
      </c>
      <c r="AI270" s="596">
        <f t="shared" si="99"/>
        <v>501.06444444444446</v>
      </c>
      <c r="AJ270" s="603"/>
      <c r="AK270" s="519"/>
      <c r="AL270" s="595">
        <f t="shared" si="100"/>
        <v>0</v>
      </c>
      <c r="AM270" s="596">
        <f t="shared" si="101"/>
        <v>0</v>
      </c>
      <c r="AN270" s="603"/>
      <c r="AO270" s="519"/>
      <c r="AP270" s="603"/>
      <c r="AQ270" s="519"/>
      <c r="AR270" s="603"/>
      <c r="AS270" s="519"/>
      <c r="AT270" s="603"/>
      <c r="AU270" s="519"/>
      <c r="AV270" s="595">
        <f t="shared" si="102"/>
        <v>0</v>
      </c>
      <c r="AW270" s="595">
        <f t="shared" si="103"/>
        <v>0</v>
      </c>
      <c r="AX270" s="596">
        <f t="shared" si="104"/>
        <v>0</v>
      </c>
      <c r="AY270" s="596">
        <f t="shared" si="105"/>
        <v>0</v>
      </c>
      <c r="AZ270" s="595">
        <f t="shared" si="106"/>
        <v>3496.528888888889</v>
      </c>
      <c r="BA270" s="596">
        <f t="shared" si="107"/>
        <v>3381.847777777778</v>
      </c>
    </row>
    <row r="271" spans="1:53" customFormat="1" ht="15" customHeight="1">
      <c r="A271" s="426" t="s">
        <v>239</v>
      </c>
      <c r="B271" s="427" t="s">
        <v>250</v>
      </c>
      <c r="C271" s="428"/>
      <c r="D271" s="430">
        <v>198118</v>
      </c>
      <c r="E271" s="430">
        <v>9</v>
      </c>
      <c r="F271" s="592" t="s">
        <v>74</v>
      </c>
      <c r="G271" s="519"/>
      <c r="H271" s="603"/>
      <c r="I271" s="519"/>
      <c r="J271" s="603">
        <v>29843</v>
      </c>
      <c r="K271" s="604">
        <v>32473</v>
      </c>
      <c r="L271" s="603">
        <v>7755</v>
      </c>
      <c r="M271" s="604">
        <v>8103</v>
      </c>
      <c r="N271" s="603">
        <v>35505</v>
      </c>
      <c r="O271" s="604">
        <v>36768</v>
      </c>
      <c r="P271" s="595">
        <f t="shared" si="90"/>
        <v>73103</v>
      </c>
      <c r="Q271" s="595">
        <f t="shared" si="91"/>
        <v>2436.7666666666669</v>
      </c>
      <c r="R271" s="596">
        <f t="shared" si="92"/>
        <v>77344</v>
      </c>
      <c r="S271" s="596">
        <f t="shared" si="93"/>
        <v>2578.1333333333332</v>
      </c>
      <c r="T271" s="603">
        <v>19195</v>
      </c>
      <c r="U271" s="604">
        <v>20991</v>
      </c>
      <c r="V271" s="595">
        <f t="shared" si="94"/>
        <v>73103</v>
      </c>
      <c r="W271" s="596">
        <f t="shared" si="95"/>
        <v>77344</v>
      </c>
      <c r="X271" s="603"/>
      <c r="Y271" s="519"/>
      <c r="Z271" s="603">
        <v>148790</v>
      </c>
      <c r="AA271" s="604">
        <v>144511</v>
      </c>
      <c r="AB271" s="603">
        <v>142987</v>
      </c>
      <c r="AC271" s="604">
        <v>78020</v>
      </c>
      <c r="AD271" s="603">
        <v>216626</v>
      </c>
      <c r="AE271" s="604">
        <v>193208</v>
      </c>
      <c r="AF271" s="595">
        <f t="shared" si="96"/>
        <v>508403</v>
      </c>
      <c r="AG271" s="595">
        <f t="shared" si="97"/>
        <v>564.89222222222224</v>
      </c>
      <c r="AH271" s="596">
        <f t="shared" si="98"/>
        <v>415739</v>
      </c>
      <c r="AI271" s="596">
        <f t="shared" si="99"/>
        <v>461.93222222222221</v>
      </c>
      <c r="AJ271" s="603"/>
      <c r="AK271" s="519"/>
      <c r="AL271" s="595">
        <f t="shared" si="100"/>
        <v>0</v>
      </c>
      <c r="AM271" s="596">
        <f t="shared" si="101"/>
        <v>0</v>
      </c>
      <c r="AN271" s="603"/>
      <c r="AO271" s="519"/>
      <c r="AP271" s="603"/>
      <c r="AQ271" s="519"/>
      <c r="AR271" s="603"/>
      <c r="AS271" s="519"/>
      <c r="AT271" s="603"/>
      <c r="AU271" s="519"/>
      <c r="AV271" s="595">
        <f t="shared" si="102"/>
        <v>0</v>
      </c>
      <c r="AW271" s="595">
        <f t="shared" si="103"/>
        <v>0</v>
      </c>
      <c r="AX271" s="596">
        <f t="shared" si="104"/>
        <v>0</v>
      </c>
      <c r="AY271" s="596">
        <f t="shared" si="105"/>
        <v>0</v>
      </c>
      <c r="AZ271" s="595">
        <f t="shared" si="106"/>
        <v>3001.6588888888891</v>
      </c>
      <c r="BA271" s="596">
        <f t="shared" si="107"/>
        <v>3040.0655555555554</v>
      </c>
    </row>
    <row r="272" spans="1:53" customFormat="1" ht="15" customHeight="1">
      <c r="A272" s="426" t="s">
        <v>239</v>
      </c>
      <c r="B272" s="427" t="s">
        <v>251</v>
      </c>
      <c r="C272" s="428"/>
      <c r="D272" s="430">
        <v>198233</v>
      </c>
      <c r="E272" s="430">
        <v>9</v>
      </c>
      <c r="F272" s="592" t="s">
        <v>74</v>
      </c>
      <c r="G272" s="519"/>
      <c r="H272" s="603"/>
      <c r="I272" s="519"/>
      <c r="J272" s="603">
        <v>40042</v>
      </c>
      <c r="K272" s="604">
        <v>42501</v>
      </c>
      <c r="L272" s="603">
        <v>9862</v>
      </c>
      <c r="M272" s="604">
        <v>9680</v>
      </c>
      <c r="N272" s="603">
        <v>45979</v>
      </c>
      <c r="O272" s="604">
        <v>42449</v>
      </c>
      <c r="P272" s="595">
        <f t="shared" si="90"/>
        <v>95883</v>
      </c>
      <c r="Q272" s="595">
        <f t="shared" si="91"/>
        <v>3196.1</v>
      </c>
      <c r="R272" s="596">
        <f t="shared" si="92"/>
        <v>94630</v>
      </c>
      <c r="S272" s="596">
        <f t="shared" si="93"/>
        <v>3154.3333333333335</v>
      </c>
      <c r="T272" s="603">
        <v>22225</v>
      </c>
      <c r="U272" s="604">
        <v>23155</v>
      </c>
      <c r="V272" s="595">
        <f t="shared" si="94"/>
        <v>95883</v>
      </c>
      <c r="W272" s="596">
        <f t="shared" si="95"/>
        <v>94630</v>
      </c>
      <c r="X272" s="603"/>
      <c r="Y272" s="519"/>
      <c r="Z272" s="603">
        <v>185527</v>
      </c>
      <c r="AA272" s="604">
        <v>147723</v>
      </c>
      <c r="AB272" s="603">
        <v>144684</v>
      </c>
      <c r="AC272" s="604">
        <v>90901</v>
      </c>
      <c r="AD272" s="603">
        <v>193300</v>
      </c>
      <c r="AE272" s="604">
        <v>123661</v>
      </c>
      <c r="AF272" s="595">
        <f t="shared" si="96"/>
        <v>523511</v>
      </c>
      <c r="AG272" s="595">
        <f t="shared" si="97"/>
        <v>581.67888888888888</v>
      </c>
      <c r="AH272" s="596">
        <f t="shared" si="98"/>
        <v>362285</v>
      </c>
      <c r="AI272" s="596">
        <f t="shared" si="99"/>
        <v>402.53888888888889</v>
      </c>
      <c r="AJ272" s="603"/>
      <c r="AK272" s="519"/>
      <c r="AL272" s="595">
        <f t="shared" si="100"/>
        <v>0</v>
      </c>
      <c r="AM272" s="596">
        <f t="shared" si="101"/>
        <v>0</v>
      </c>
      <c r="AN272" s="603"/>
      <c r="AO272" s="519"/>
      <c r="AP272" s="603"/>
      <c r="AQ272" s="519"/>
      <c r="AR272" s="603"/>
      <c r="AS272" s="519"/>
      <c r="AT272" s="603"/>
      <c r="AU272" s="519"/>
      <c r="AV272" s="595">
        <f t="shared" si="102"/>
        <v>0</v>
      </c>
      <c r="AW272" s="595">
        <f t="shared" si="103"/>
        <v>0</v>
      </c>
      <c r="AX272" s="596">
        <f t="shared" si="104"/>
        <v>0</v>
      </c>
      <c r="AY272" s="596">
        <f t="shared" si="105"/>
        <v>0</v>
      </c>
      <c r="AZ272" s="595">
        <f t="shared" si="106"/>
        <v>3777.778888888889</v>
      </c>
      <c r="BA272" s="596">
        <f t="shared" si="107"/>
        <v>3556.8722222222223</v>
      </c>
    </row>
    <row r="273" spans="1:53" customFormat="1" ht="15" customHeight="1">
      <c r="A273" s="426" t="s">
        <v>239</v>
      </c>
      <c r="B273" s="427" t="s">
        <v>252</v>
      </c>
      <c r="C273" s="428"/>
      <c r="D273" s="430">
        <v>198251</v>
      </c>
      <c r="E273" s="430">
        <v>9</v>
      </c>
      <c r="F273" s="592" t="s">
        <v>74</v>
      </c>
      <c r="G273" s="519"/>
      <c r="H273" s="603"/>
      <c r="I273" s="519"/>
      <c r="J273" s="603">
        <v>42886</v>
      </c>
      <c r="K273" s="604">
        <v>49765</v>
      </c>
      <c r="L273" s="603">
        <v>9704</v>
      </c>
      <c r="M273" s="604">
        <v>9641</v>
      </c>
      <c r="N273" s="603">
        <v>53472</v>
      </c>
      <c r="O273" s="604">
        <v>50383</v>
      </c>
      <c r="P273" s="595">
        <f t="shared" si="90"/>
        <v>106062</v>
      </c>
      <c r="Q273" s="595">
        <f t="shared" si="91"/>
        <v>3535.4</v>
      </c>
      <c r="R273" s="596">
        <f t="shared" si="92"/>
        <v>109789</v>
      </c>
      <c r="S273" s="596">
        <f t="shared" si="93"/>
        <v>3659.6333333333332</v>
      </c>
      <c r="T273" s="603">
        <v>28678</v>
      </c>
      <c r="U273" s="604">
        <v>30626</v>
      </c>
      <c r="V273" s="595">
        <f t="shared" si="94"/>
        <v>106062</v>
      </c>
      <c r="W273" s="596">
        <f t="shared" si="95"/>
        <v>109789</v>
      </c>
      <c r="X273" s="603"/>
      <c r="Y273" s="519"/>
      <c r="Z273" s="603">
        <v>229757</v>
      </c>
      <c r="AA273" s="604">
        <v>206879</v>
      </c>
      <c r="AB273" s="603">
        <v>183269</v>
      </c>
      <c r="AC273" s="555">
        <v>55568</v>
      </c>
      <c r="AD273" s="603">
        <v>271956</v>
      </c>
      <c r="AE273" s="604">
        <v>148443</v>
      </c>
      <c r="AF273" s="595">
        <f t="shared" si="96"/>
        <v>684982</v>
      </c>
      <c r="AG273" s="595">
        <f t="shared" si="97"/>
        <v>761.0911111111111</v>
      </c>
      <c r="AH273" s="596">
        <f t="shared" si="98"/>
        <v>410890</v>
      </c>
      <c r="AI273" s="596">
        <f t="shared" si="99"/>
        <v>456.54444444444442</v>
      </c>
      <c r="AJ273" s="603"/>
      <c r="AK273" s="519"/>
      <c r="AL273" s="595">
        <f t="shared" si="100"/>
        <v>0</v>
      </c>
      <c r="AM273" s="596">
        <f t="shared" si="101"/>
        <v>0</v>
      </c>
      <c r="AN273" s="603"/>
      <c r="AO273" s="519"/>
      <c r="AP273" s="603"/>
      <c r="AQ273" s="519"/>
      <c r="AR273" s="603"/>
      <c r="AS273" s="519"/>
      <c r="AT273" s="603"/>
      <c r="AU273" s="519"/>
      <c r="AV273" s="595">
        <f t="shared" si="102"/>
        <v>0</v>
      </c>
      <c r="AW273" s="595">
        <f t="shared" si="103"/>
        <v>0</v>
      </c>
      <c r="AX273" s="596">
        <f t="shared" si="104"/>
        <v>0</v>
      </c>
      <c r="AY273" s="596">
        <f t="shared" si="105"/>
        <v>0</v>
      </c>
      <c r="AZ273" s="595">
        <f t="shared" si="106"/>
        <v>4296.4911111111114</v>
      </c>
      <c r="BA273" s="596">
        <f t="shared" si="107"/>
        <v>4116.1777777777779</v>
      </c>
    </row>
    <row r="274" spans="1:53" customFormat="1" ht="15" customHeight="1">
      <c r="A274" s="426" t="s">
        <v>239</v>
      </c>
      <c r="B274" s="427" t="s">
        <v>253</v>
      </c>
      <c r="C274" s="428"/>
      <c r="D274" s="430">
        <v>198321</v>
      </c>
      <c r="E274" s="430">
        <v>9</v>
      </c>
      <c r="F274" s="592" t="s">
        <v>74</v>
      </c>
      <c r="G274" s="519"/>
      <c r="H274" s="603"/>
      <c r="I274" s="519"/>
      <c r="J274" s="603">
        <v>21958</v>
      </c>
      <c r="K274" s="604">
        <v>23419</v>
      </c>
      <c r="L274" s="603">
        <v>6172</v>
      </c>
      <c r="M274" s="604">
        <v>6681</v>
      </c>
      <c r="N274" s="603">
        <v>24771</v>
      </c>
      <c r="O274" s="604">
        <v>23486</v>
      </c>
      <c r="P274" s="595">
        <f t="shared" si="90"/>
        <v>52901</v>
      </c>
      <c r="Q274" s="595">
        <f t="shared" si="91"/>
        <v>1763.3666666666666</v>
      </c>
      <c r="R274" s="596">
        <f t="shared" si="92"/>
        <v>53586</v>
      </c>
      <c r="S274" s="596">
        <f t="shared" si="93"/>
        <v>1786.2</v>
      </c>
      <c r="T274" s="603">
        <v>10085</v>
      </c>
      <c r="U274" s="604">
        <v>8925</v>
      </c>
      <c r="V274" s="595">
        <f t="shared" si="94"/>
        <v>52901</v>
      </c>
      <c r="W274" s="596">
        <f t="shared" si="95"/>
        <v>53586</v>
      </c>
      <c r="X274" s="603"/>
      <c r="Y274" s="519"/>
      <c r="Z274" s="603">
        <v>163622</v>
      </c>
      <c r="AA274" s="604">
        <v>135304</v>
      </c>
      <c r="AB274" s="603">
        <v>100860</v>
      </c>
      <c r="AC274" s="604">
        <v>84510</v>
      </c>
      <c r="AD274" s="603">
        <v>200271</v>
      </c>
      <c r="AE274" s="604">
        <v>158802</v>
      </c>
      <c r="AF274" s="595">
        <f t="shared" si="96"/>
        <v>464753</v>
      </c>
      <c r="AG274" s="595">
        <f t="shared" si="97"/>
        <v>516.39222222222224</v>
      </c>
      <c r="AH274" s="596">
        <f t="shared" si="98"/>
        <v>378616</v>
      </c>
      <c r="AI274" s="596">
        <f t="shared" si="99"/>
        <v>420.68444444444447</v>
      </c>
      <c r="AJ274" s="603"/>
      <c r="AK274" s="519"/>
      <c r="AL274" s="595">
        <f t="shared" si="100"/>
        <v>0</v>
      </c>
      <c r="AM274" s="596">
        <f t="shared" si="101"/>
        <v>0</v>
      </c>
      <c r="AN274" s="603"/>
      <c r="AO274" s="519"/>
      <c r="AP274" s="603"/>
      <c r="AQ274" s="519"/>
      <c r="AR274" s="603"/>
      <c r="AS274" s="519"/>
      <c r="AT274" s="603"/>
      <c r="AU274" s="519"/>
      <c r="AV274" s="595">
        <f t="shared" si="102"/>
        <v>0</v>
      </c>
      <c r="AW274" s="595">
        <f t="shared" si="103"/>
        <v>0</v>
      </c>
      <c r="AX274" s="596">
        <f t="shared" si="104"/>
        <v>0</v>
      </c>
      <c r="AY274" s="596">
        <f t="shared" si="105"/>
        <v>0</v>
      </c>
      <c r="AZ274" s="595">
        <f t="shared" si="106"/>
        <v>2279.7588888888886</v>
      </c>
      <c r="BA274" s="596">
        <f t="shared" si="107"/>
        <v>2206.8844444444444</v>
      </c>
    </row>
    <row r="275" spans="1:53" customFormat="1" ht="15" customHeight="1">
      <c r="A275" s="426" t="s">
        <v>239</v>
      </c>
      <c r="B275" s="427" t="s">
        <v>254</v>
      </c>
      <c r="C275" s="428"/>
      <c r="D275" s="430">
        <v>198330</v>
      </c>
      <c r="E275" s="430">
        <v>9</v>
      </c>
      <c r="F275" s="592" t="s">
        <v>74</v>
      </c>
      <c r="G275" s="519"/>
      <c r="H275" s="603"/>
      <c r="I275" s="519"/>
      <c r="J275" s="603">
        <v>36858</v>
      </c>
      <c r="K275" s="604">
        <v>37420</v>
      </c>
      <c r="L275" s="603">
        <v>13983</v>
      </c>
      <c r="M275" s="604">
        <v>14020</v>
      </c>
      <c r="N275" s="603">
        <v>38743</v>
      </c>
      <c r="O275" s="604">
        <v>36383</v>
      </c>
      <c r="P275" s="595">
        <f t="shared" si="90"/>
        <v>89584</v>
      </c>
      <c r="Q275" s="595">
        <f t="shared" si="91"/>
        <v>2986.1333333333332</v>
      </c>
      <c r="R275" s="596">
        <f t="shared" si="92"/>
        <v>87823</v>
      </c>
      <c r="S275" s="596">
        <f t="shared" si="93"/>
        <v>2927.4333333333334</v>
      </c>
      <c r="T275" s="603">
        <v>4628</v>
      </c>
      <c r="U275" s="555">
        <v>6965</v>
      </c>
      <c r="V275" s="595">
        <f t="shared" si="94"/>
        <v>89584</v>
      </c>
      <c r="W275" s="596">
        <f t="shared" si="95"/>
        <v>87823</v>
      </c>
      <c r="X275" s="603"/>
      <c r="Y275" s="519"/>
      <c r="Z275" s="603">
        <v>147800</v>
      </c>
      <c r="AA275" s="604">
        <v>127907</v>
      </c>
      <c r="AB275" s="603">
        <v>122831</v>
      </c>
      <c r="AC275" s="604">
        <v>105324</v>
      </c>
      <c r="AD275" s="603">
        <v>182776</v>
      </c>
      <c r="AE275" s="604">
        <v>160242</v>
      </c>
      <c r="AF275" s="595">
        <f t="shared" si="96"/>
        <v>453407</v>
      </c>
      <c r="AG275" s="595">
        <f t="shared" si="97"/>
        <v>503.78555555555556</v>
      </c>
      <c r="AH275" s="596">
        <f t="shared" si="98"/>
        <v>393473</v>
      </c>
      <c r="AI275" s="596">
        <f t="shared" si="99"/>
        <v>437.1922222222222</v>
      </c>
      <c r="AJ275" s="603"/>
      <c r="AK275" s="519"/>
      <c r="AL275" s="595">
        <f t="shared" si="100"/>
        <v>0</v>
      </c>
      <c r="AM275" s="596">
        <f t="shared" si="101"/>
        <v>0</v>
      </c>
      <c r="AN275" s="603"/>
      <c r="AO275" s="519"/>
      <c r="AP275" s="603"/>
      <c r="AQ275" s="519"/>
      <c r="AR275" s="603"/>
      <c r="AS275" s="519"/>
      <c r="AT275" s="603"/>
      <c r="AU275" s="519"/>
      <c r="AV275" s="595">
        <f t="shared" si="102"/>
        <v>0</v>
      </c>
      <c r="AW275" s="595">
        <f t="shared" si="103"/>
        <v>0</v>
      </c>
      <c r="AX275" s="596">
        <f t="shared" si="104"/>
        <v>0</v>
      </c>
      <c r="AY275" s="596">
        <f t="shared" si="105"/>
        <v>0</v>
      </c>
      <c r="AZ275" s="595">
        <f t="shared" si="106"/>
        <v>3489.9188888888889</v>
      </c>
      <c r="BA275" s="596">
        <f t="shared" si="107"/>
        <v>3364.6255555555554</v>
      </c>
    </row>
    <row r="276" spans="1:53" customFormat="1" ht="15" customHeight="1">
      <c r="A276" s="426" t="s">
        <v>239</v>
      </c>
      <c r="B276" s="427" t="s">
        <v>255</v>
      </c>
      <c r="C276" s="428"/>
      <c r="D276" s="430">
        <v>198367</v>
      </c>
      <c r="E276" s="430">
        <v>9</v>
      </c>
      <c r="F276" s="592" t="s">
        <v>74</v>
      </c>
      <c r="G276" s="519"/>
      <c r="H276" s="603"/>
      <c r="I276" s="519"/>
      <c r="J276" s="603">
        <v>24679</v>
      </c>
      <c r="K276" s="604">
        <v>25928</v>
      </c>
      <c r="L276" s="603">
        <v>7619</v>
      </c>
      <c r="M276" s="604">
        <v>7329</v>
      </c>
      <c r="N276" s="603">
        <v>26985</v>
      </c>
      <c r="O276" s="604">
        <v>25101</v>
      </c>
      <c r="P276" s="595">
        <f t="shared" si="90"/>
        <v>59283</v>
      </c>
      <c r="Q276" s="595">
        <f t="shared" si="91"/>
        <v>1976.1</v>
      </c>
      <c r="R276" s="596">
        <f t="shared" si="92"/>
        <v>58358</v>
      </c>
      <c r="S276" s="596">
        <f t="shared" si="93"/>
        <v>1945.2666666666667</v>
      </c>
      <c r="T276" s="603">
        <v>11001</v>
      </c>
      <c r="U276" s="604">
        <v>12139</v>
      </c>
      <c r="V276" s="595">
        <f t="shared" si="94"/>
        <v>59283</v>
      </c>
      <c r="W276" s="596">
        <f t="shared" si="95"/>
        <v>58358</v>
      </c>
      <c r="X276" s="603"/>
      <c r="Y276" s="519"/>
      <c r="Z276" s="603">
        <v>136265</v>
      </c>
      <c r="AA276" s="604">
        <v>116163</v>
      </c>
      <c r="AB276" s="603">
        <v>74267</v>
      </c>
      <c r="AC276" s="604">
        <v>97566</v>
      </c>
      <c r="AD276" s="603">
        <v>130383</v>
      </c>
      <c r="AE276" s="604">
        <v>131897</v>
      </c>
      <c r="AF276" s="595">
        <f t="shared" si="96"/>
        <v>340915</v>
      </c>
      <c r="AG276" s="595">
        <f t="shared" si="97"/>
        <v>378.79444444444442</v>
      </c>
      <c r="AH276" s="596">
        <f t="shared" si="98"/>
        <v>345626</v>
      </c>
      <c r="AI276" s="596">
        <f t="shared" si="99"/>
        <v>384.0288888888889</v>
      </c>
      <c r="AJ276" s="603"/>
      <c r="AK276" s="519"/>
      <c r="AL276" s="595">
        <f t="shared" si="100"/>
        <v>0</v>
      </c>
      <c r="AM276" s="596">
        <f t="shared" si="101"/>
        <v>0</v>
      </c>
      <c r="AN276" s="603"/>
      <c r="AO276" s="519"/>
      <c r="AP276" s="603"/>
      <c r="AQ276" s="519"/>
      <c r="AR276" s="603"/>
      <c r="AS276" s="519"/>
      <c r="AT276" s="603"/>
      <c r="AU276" s="519"/>
      <c r="AV276" s="595">
        <f t="shared" si="102"/>
        <v>0</v>
      </c>
      <c r="AW276" s="595">
        <f t="shared" si="103"/>
        <v>0</v>
      </c>
      <c r="AX276" s="596">
        <f t="shared" si="104"/>
        <v>0</v>
      </c>
      <c r="AY276" s="596">
        <f t="shared" si="105"/>
        <v>0</v>
      </c>
      <c r="AZ276" s="595">
        <f t="shared" si="106"/>
        <v>2354.8944444444442</v>
      </c>
      <c r="BA276" s="596">
        <f t="shared" si="107"/>
        <v>2329.2955555555554</v>
      </c>
    </row>
    <row r="277" spans="1:53" customFormat="1" ht="15" customHeight="1">
      <c r="A277" s="426" t="s">
        <v>239</v>
      </c>
      <c r="B277" s="427" t="s">
        <v>857</v>
      </c>
      <c r="C277" s="428"/>
      <c r="D277" s="430">
        <v>198376</v>
      </c>
      <c r="E277" s="430">
        <v>9</v>
      </c>
      <c r="F277" s="592" t="s">
        <v>74</v>
      </c>
      <c r="G277" s="519"/>
      <c r="H277" s="603"/>
      <c r="I277" s="519"/>
      <c r="J277" s="603">
        <v>31138</v>
      </c>
      <c r="K277" s="604">
        <v>32227</v>
      </c>
      <c r="L277" s="603">
        <v>7170</v>
      </c>
      <c r="M277" s="604">
        <v>7864</v>
      </c>
      <c r="N277" s="603">
        <v>34883</v>
      </c>
      <c r="O277" s="604">
        <v>36661</v>
      </c>
      <c r="P277" s="595">
        <f t="shared" si="90"/>
        <v>73191</v>
      </c>
      <c r="Q277" s="595">
        <f t="shared" si="91"/>
        <v>2439.6999999999998</v>
      </c>
      <c r="R277" s="596">
        <f t="shared" si="92"/>
        <v>76752</v>
      </c>
      <c r="S277" s="596">
        <f t="shared" si="93"/>
        <v>2558.4</v>
      </c>
      <c r="T277" s="603">
        <v>16692</v>
      </c>
      <c r="U277" s="604">
        <v>18473</v>
      </c>
      <c r="V277" s="595">
        <f t="shared" si="94"/>
        <v>73191</v>
      </c>
      <c r="W277" s="596">
        <f t="shared" si="95"/>
        <v>76752</v>
      </c>
      <c r="X277" s="603"/>
      <c r="Y277" s="519"/>
      <c r="Z277" s="603">
        <v>157079</v>
      </c>
      <c r="AA277" s="604">
        <v>108232</v>
      </c>
      <c r="AB277" s="603">
        <v>86379</v>
      </c>
      <c r="AC277" s="604">
        <v>61383</v>
      </c>
      <c r="AD277" s="603">
        <v>130508</v>
      </c>
      <c r="AE277" s="604">
        <v>146469</v>
      </c>
      <c r="AF277" s="595">
        <f t="shared" si="96"/>
        <v>373966</v>
      </c>
      <c r="AG277" s="595">
        <f t="shared" si="97"/>
        <v>415.51777777777778</v>
      </c>
      <c r="AH277" s="596">
        <f t="shared" si="98"/>
        <v>316084</v>
      </c>
      <c r="AI277" s="596">
        <f t="shared" si="99"/>
        <v>351.20444444444445</v>
      </c>
      <c r="AJ277" s="603"/>
      <c r="AK277" s="519"/>
      <c r="AL277" s="595">
        <f t="shared" si="100"/>
        <v>0</v>
      </c>
      <c r="AM277" s="596">
        <f t="shared" si="101"/>
        <v>0</v>
      </c>
      <c r="AN277" s="603"/>
      <c r="AO277" s="519"/>
      <c r="AP277" s="603"/>
      <c r="AQ277" s="519"/>
      <c r="AR277" s="603"/>
      <c r="AS277" s="519"/>
      <c r="AT277" s="603"/>
      <c r="AU277" s="519"/>
      <c r="AV277" s="595">
        <f t="shared" si="102"/>
        <v>0</v>
      </c>
      <c r="AW277" s="595">
        <f t="shared" si="103"/>
        <v>0</v>
      </c>
      <c r="AX277" s="596">
        <f t="shared" si="104"/>
        <v>0</v>
      </c>
      <c r="AY277" s="596">
        <f t="shared" si="105"/>
        <v>0</v>
      </c>
      <c r="AZ277" s="595">
        <f t="shared" si="106"/>
        <v>2855.2177777777774</v>
      </c>
      <c r="BA277" s="596">
        <f t="shared" si="107"/>
        <v>2909.6044444444447</v>
      </c>
    </row>
    <row r="278" spans="1:53" customFormat="1" ht="15" customHeight="1">
      <c r="A278" s="426" t="s">
        <v>239</v>
      </c>
      <c r="B278" s="427" t="s">
        <v>256</v>
      </c>
      <c r="C278" s="428"/>
      <c r="D278" s="430">
        <v>198455</v>
      </c>
      <c r="E278" s="430">
        <v>9</v>
      </c>
      <c r="F278" s="592" t="s">
        <v>74</v>
      </c>
      <c r="G278" s="519"/>
      <c r="H278" s="603"/>
      <c r="I278" s="519"/>
      <c r="J278" s="603">
        <v>44361</v>
      </c>
      <c r="K278" s="604">
        <v>46492</v>
      </c>
      <c r="L278" s="603">
        <v>12334</v>
      </c>
      <c r="M278" s="604">
        <v>14368</v>
      </c>
      <c r="N278" s="603">
        <v>47570</v>
      </c>
      <c r="O278" s="604">
        <v>45250</v>
      </c>
      <c r="P278" s="595">
        <f t="shared" si="90"/>
        <v>104265</v>
      </c>
      <c r="Q278" s="595">
        <f t="shared" si="91"/>
        <v>3475.5</v>
      </c>
      <c r="R278" s="596">
        <f t="shared" si="92"/>
        <v>106110</v>
      </c>
      <c r="S278" s="596">
        <f t="shared" si="93"/>
        <v>3537</v>
      </c>
      <c r="T278" s="603">
        <v>12114</v>
      </c>
      <c r="U278" s="604">
        <v>13275</v>
      </c>
      <c r="V278" s="595">
        <f t="shared" si="94"/>
        <v>104265</v>
      </c>
      <c r="W278" s="596">
        <f t="shared" si="95"/>
        <v>106110</v>
      </c>
      <c r="X278" s="603"/>
      <c r="Y278" s="519"/>
      <c r="Z278" s="603">
        <v>192831</v>
      </c>
      <c r="AA278" s="604">
        <v>162693</v>
      </c>
      <c r="AB278" s="603">
        <v>126157</v>
      </c>
      <c r="AC278" s="604">
        <v>69115</v>
      </c>
      <c r="AD278" s="603">
        <v>234484</v>
      </c>
      <c r="AE278" s="604">
        <v>174799</v>
      </c>
      <c r="AF278" s="595">
        <f t="shared" si="96"/>
        <v>553472</v>
      </c>
      <c r="AG278" s="595">
        <f t="shared" si="97"/>
        <v>614.96888888888884</v>
      </c>
      <c r="AH278" s="596">
        <f t="shared" si="98"/>
        <v>406607</v>
      </c>
      <c r="AI278" s="596">
        <f t="shared" si="99"/>
        <v>451.78555555555556</v>
      </c>
      <c r="AJ278" s="603"/>
      <c r="AK278" s="519"/>
      <c r="AL278" s="595">
        <f t="shared" si="100"/>
        <v>0</v>
      </c>
      <c r="AM278" s="596">
        <f t="shared" si="101"/>
        <v>0</v>
      </c>
      <c r="AN278" s="603"/>
      <c r="AO278" s="519"/>
      <c r="AP278" s="603"/>
      <c r="AQ278" s="519"/>
      <c r="AR278" s="603"/>
      <c r="AS278" s="519"/>
      <c r="AT278" s="603"/>
      <c r="AU278" s="519"/>
      <c r="AV278" s="595">
        <f t="shared" si="102"/>
        <v>0</v>
      </c>
      <c r="AW278" s="595">
        <f t="shared" si="103"/>
        <v>0</v>
      </c>
      <c r="AX278" s="596">
        <f t="shared" si="104"/>
        <v>0</v>
      </c>
      <c r="AY278" s="596">
        <f t="shared" si="105"/>
        <v>0</v>
      </c>
      <c r="AZ278" s="595">
        <f t="shared" si="106"/>
        <v>4090.4688888888886</v>
      </c>
      <c r="BA278" s="596">
        <f t="shared" si="107"/>
        <v>3988.7855555555557</v>
      </c>
    </row>
    <row r="279" spans="1:53" customFormat="1" ht="15" customHeight="1">
      <c r="A279" s="426" t="s">
        <v>239</v>
      </c>
      <c r="B279" s="427" t="s">
        <v>258</v>
      </c>
      <c r="C279" s="428"/>
      <c r="D279" s="430">
        <v>198570</v>
      </c>
      <c r="E279" s="430">
        <v>9</v>
      </c>
      <c r="F279" s="592" t="s">
        <v>74</v>
      </c>
      <c r="G279" s="519"/>
      <c r="H279" s="603"/>
      <c r="I279" s="519"/>
      <c r="J279" s="603">
        <v>43385</v>
      </c>
      <c r="K279" s="604">
        <v>44501</v>
      </c>
      <c r="L279" s="603">
        <v>14197</v>
      </c>
      <c r="M279" s="604">
        <v>16117</v>
      </c>
      <c r="N279" s="603">
        <v>48852.5</v>
      </c>
      <c r="O279" s="604">
        <v>45980</v>
      </c>
      <c r="P279" s="595">
        <f t="shared" si="90"/>
        <v>106434.5</v>
      </c>
      <c r="Q279" s="595">
        <f t="shared" si="91"/>
        <v>3547.8166666666666</v>
      </c>
      <c r="R279" s="596">
        <f t="shared" si="92"/>
        <v>106598</v>
      </c>
      <c r="S279" s="596">
        <f t="shared" si="93"/>
        <v>3553.2666666666669</v>
      </c>
      <c r="T279" s="603">
        <v>19137</v>
      </c>
      <c r="U279" s="604">
        <v>22994</v>
      </c>
      <c r="V279" s="595">
        <f t="shared" si="94"/>
        <v>106434.5</v>
      </c>
      <c r="W279" s="596">
        <f t="shared" si="95"/>
        <v>106598</v>
      </c>
      <c r="X279" s="603"/>
      <c r="Y279" s="519"/>
      <c r="Z279" s="603">
        <v>121757</v>
      </c>
      <c r="AA279" s="604">
        <v>104423</v>
      </c>
      <c r="AB279" s="603">
        <v>106318</v>
      </c>
      <c r="AC279" s="604">
        <v>60308</v>
      </c>
      <c r="AD279" s="603">
        <v>180479</v>
      </c>
      <c r="AE279" s="604">
        <v>105440</v>
      </c>
      <c r="AF279" s="595">
        <f t="shared" si="96"/>
        <v>408554</v>
      </c>
      <c r="AG279" s="595">
        <f t="shared" si="97"/>
        <v>453.94888888888892</v>
      </c>
      <c r="AH279" s="596">
        <f t="shared" si="98"/>
        <v>270171</v>
      </c>
      <c r="AI279" s="596">
        <f t="shared" si="99"/>
        <v>300.19</v>
      </c>
      <c r="AJ279" s="603"/>
      <c r="AK279" s="519"/>
      <c r="AL279" s="595">
        <f t="shared" si="100"/>
        <v>0</v>
      </c>
      <c r="AM279" s="596">
        <f t="shared" si="101"/>
        <v>0</v>
      </c>
      <c r="AN279" s="603"/>
      <c r="AO279" s="519"/>
      <c r="AP279" s="603"/>
      <c r="AQ279" s="519"/>
      <c r="AR279" s="603"/>
      <c r="AS279" s="519"/>
      <c r="AT279" s="603"/>
      <c r="AU279" s="519"/>
      <c r="AV279" s="595">
        <f t="shared" si="102"/>
        <v>0</v>
      </c>
      <c r="AW279" s="595">
        <f t="shared" si="103"/>
        <v>0</v>
      </c>
      <c r="AX279" s="596">
        <f t="shared" si="104"/>
        <v>0</v>
      </c>
      <c r="AY279" s="596">
        <f t="shared" si="105"/>
        <v>0</v>
      </c>
      <c r="AZ279" s="595">
        <f t="shared" si="106"/>
        <v>4001.7655555555557</v>
      </c>
      <c r="BA279" s="596">
        <f t="shared" si="107"/>
        <v>3853.4566666666669</v>
      </c>
    </row>
    <row r="280" spans="1:53" customFormat="1" ht="15" customHeight="1">
      <c r="A280" s="426" t="s">
        <v>239</v>
      </c>
      <c r="B280" s="427" t="s">
        <v>259</v>
      </c>
      <c r="C280" s="428"/>
      <c r="D280" s="430">
        <v>198774</v>
      </c>
      <c r="E280" s="430">
        <v>9</v>
      </c>
      <c r="F280" s="592" t="s">
        <v>74</v>
      </c>
      <c r="G280" s="519"/>
      <c r="H280" s="603"/>
      <c r="I280" s="519"/>
      <c r="J280" s="603">
        <v>33471</v>
      </c>
      <c r="K280" s="604">
        <v>36885</v>
      </c>
      <c r="L280" s="603">
        <v>8428</v>
      </c>
      <c r="M280" s="604">
        <v>9470</v>
      </c>
      <c r="N280" s="603">
        <v>38913</v>
      </c>
      <c r="O280" s="604">
        <v>39730</v>
      </c>
      <c r="P280" s="595">
        <f t="shared" si="90"/>
        <v>80812</v>
      </c>
      <c r="Q280" s="595">
        <f t="shared" si="91"/>
        <v>2693.7333333333331</v>
      </c>
      <c r="R280" s="596">
        <f t="shared" si="92"/>
        <v>86085</v>
      </c>
      <c r="S280" s="596">
        <f t="shared" si="93"/>
        <v>2869.5</v>
      </c>
      <c r="T280" s="603">
        <v>16070</v>
      </c>
      <c r="U280" s="604">
        <v>19723</v>
      </c>
      <c r="V280" s="595">
        <f t="shared" si="94"/>
        <v>80812</v>
      </c>
      <c r="W280" s="596">
        <f t="shared" si="95"/>
        <v>86085</v>
      </c>
      <c r="X280" s="603"/>
      <c r="Y280" s="519"/>
      <c r="Z280" s="603">
        <v>159182</v>
      </c>
      <c r="AA280" s="604">
        <v>97894</v>
      </c>
      <c r="AB280" s="603">
        <v>112947</v>
      </c>
      <c r="AC280" s="604">
        <v>112156</v>
      </c>
      <c r="AD280" s="603">
        <v>207217</v>
      </c>
      <c r="AE280" s="604">
        <v>142881</v>
      </c>
      <c r="AF280" s="595">
        <f t="shared" si="96"/>
        <v>479346</v>
      </c>
      <c r="AG280" s="595">
        <f t="shared" si="97"/>
        <v>532.60666666666668</v>
      </c>
      <c r="AH280" s="596">
        <f t="shared" si="98"/>
        <v>352931</v>
      </c>
      <c r="AI280" s="596">
        <f t="shared" si="99"/>
        <v>392.14555555555557</v>
      </c>
      <c r="AJ280" s="603"/>
      <c r="AK280" s="519"/>
      <c r="AL280" s="595">
        <f t="shared" si="100"/>
        <v>0</v>
      </c>
      <c r="AM280" s="596">
        <f t="shared" si="101"/>
        <v>0</v>
      </c>
      <c r="AN280" s="603"/>
      <c r="AO280" s="519"/>
      <c r="AP280" s="603"/>
      <c r="AQ280" s="519"/>
      <c r="AR280" s="603"/>
      <c r="AS280" s="519"/>
      <c r="AT280" s="603"/>
      <c r="AU280" s="519"/>
      <c r="AV280" s="595">
        <f t="shared" si="102"/>
        <v>0</v>
      </c>
      <c r="AW280" s="595">
        <f t="shared" si="103"/>
        <v>0</v>
      </c>
      <c r="AX280" s="596">
        <f t="shared" si="104"/>
        <v>0</v>
      </c>
      <c r="AY280" s="596">
        <f t="shared" si="105"/>
        <v>0</v>
      </c>
      <c r="AZ280" s="595">
        <f t="shared" si="106"/>
        <v>3226.3399999999997</v>
      </c>
      <c r="BA280" s="596">
        <f t="shared" si="107"/>
        <v>3261.6455555555558</v>
      </c>
    </row>
    <row r="281" spans="1:53" customFormat="1" ht="15" customHeight="1">
      <c r="A281" s="426" t="s">
        <v>239</v>
      </c>
      <c r="B281" s="427" t="s">
        <v>260</v>
      </c>
      <c r="C281" s="428"/>
      <c r="D281" s="430">
        <v>198817</v>
      </c>
      <c r="E281" s="430">
        <v>9</v>
      </c>
      <c r="F281" s="592" t="s">
        <v>74</v>
      </c>
      <c r="G281" s="519"/>
      <c r="H281" s="603"/>
      <c r="I281" s="519"/>
      <c r="J281" s="603">
        <v>21097</v>
      </c>
      <c r="K281" s="604">
        <v>21263</v>
      </c>
      <c r="L281" s="603">
        <v>7110</v>
      </c>
      <c r="M281" s="604">
        <v>6856</v>
      </c>
      <c r="N281" s="603">
        <v>25208</v>
      </c>
      <c r="O281" s="604">
        <v>23172</v>
      </c>
      <c r="P281" s="595">
        <f t="shared" si="90"/>
        <v>53415</v>
      </c>
      <c r="Q281" s="595">
        <f t="shared" si="91"/>
        <v>1780.5</v>
      </c>
      <c r="R281" s="596">
        <f t="shared" si="92"/>
        <v>51291</v>
      </c>
      <c r="S281" s="596">
        <f t="shared" si="93"/>
        <v>1709.7</v>
      </c>
      <c r="T281" s="603">
        <v>14425</v>
      </c>
      <c r="U281" s="604">
        <v>13474</v>
      </c>
      <c r="V281" s="595">
        <f t="shared" si="94"/>
        <v>53415</v>
      </c>
      <c r="W281" s="596">
        <f t="shared" si="95"/>
        <v>51291</v>
      </c>
      <c r="X281" s="603"/>
      <c r="Y281" s="519"/>
      <c r="Z281" s="603">
        <v>524717</v>
      </c>
      <c r="AA281" s="604">
        <v>469211</v>
      </c>
      <c r="AB281" s="603">
        <v>231659</v>
      </c>
      <c r="AC281" s="604">
        <v>199905</v>
      </c>
      <c r="AD281" s="603">
        <v>475893</v>
      </c>
      <c r="AE281" s="604">
        <v>383076</v>
      </c>
      <c r="AF281" s="595">
        <f t="shared" si="96"/>
        <v>1232269</v>
      </c>
      <c r="AG281" s="595">
        <f t="shared" si="97"/>
        <v>1369.1877777777777</v>
      </c>
      <c r="AH281" s="596">
        <f t="shared" si="98"/>
        <v>1052192</v>
      </c>
      <c r="AI281" s="596">
        <f t="shared" si="99"/>
        <v>1169.1022222222223</v>
      </c>
      <c r="AJ281" s="603"/>
      <c r="AK281" s="519"/>
      <c r="AL281" s="595">
        <f t="shared" si="100"/>
        <v>0</v>
      </c>
      <c r="AM281" s="596">
        <f t="shared" si="101"/>
        <v>0</v>
      </c>
      <c r="AN281" s="603"/>
      <c r="AO281" s="519"/>
      <c r="AP281" s="603"/>
      <c r="AQ281" s="519"/>
      <c r="AR281" s="603"/>
      <c r="AS281" s="519"/>
      <c r="AT281" s="603"/>
      <c r="AU281" s="519"/>
      <c r="AV281" s="595">
        <f t="shared" si="102"/>
        <v>0</v>
      </c>
      <c r="AW281" s="595">
        <f t="shared" si="103"/>
        <v>0</v>
      </c>
      <c r="AX281" s="596">
        <f t="shared" si="104"/>
        <v>0</v>
      </c>
      <c r="AY281" s="596">
        <f t="shared" si="105"/>
        <v>0</v>
      </c>
      <c r="AZ281" s="595">
        <f t="shared" si="106"/>
        <v>3149.6877777777777</v>
      </c>
      <c r="BA281" s="596">
        <f t="shared" si="107"/>
        <v>2878.8022222222226</v>
      </c>
    </row>
    <row r="282" spans="1:53" customFormat="1" ht="15" customHeight="1">
      <c r="A282" s="426" t="s">
        <v>239</v>
      </c>
      <c r="B282" s="427" t="s">
        <v>261</v>
      </c>
      <c r="C282" s="428"/>
      <c r="D282" s="430">
        <v>198987</v>
      </c>
      <c r="E282" s="430">
        <v>9</v>
      </c>
      <c r="F282" s="592" t="s">
        <v>74</v>
      </c>
      <c r="G282" s="519"/>
      <c r="H282" s="603"/>
      <c r="I282" s="519"/>
      <c r="J282" s="603">
        <v>24349</v>
      </c>
      <c r="K282" s="604">
        <v>25868</v>
      </c>
      <c r="L282" s="603">
        <v>5727</v>
      </c>
      <c r="M282" s="604">
        <v>6864</v>
      </c>
      <c r="N282" s="603">
        <v>27407</v>
      </c>
      <c r="O282" s="604">
        <v>27460.799999999999</v>
      </c>
      <c r="P282" s="595">
        <f t="shared" si="90"/>
        <v>57483</v>
      </c>
      <c r="Q282" s="595">
        <f t="shared" si="91"/>
        <v>1916.1</v>
      </c>
      <c r="R282" s="596">
        <f t="shared" si="92"/>
        <v>60192.800000000003</v>
      </c>
      <c r="S282" s="596">
        <f t="shared" si="93"/>
        <v>2006.4266666666667</v>
      </c>
      <c r="T282" s="603">
        <v>13147</v>
      </c>
      <c r="U282" s="604">
        <v>15931</v>
      </c>
      <c r="V282" s="595">
        <f t="shared" si="94"/>
        <v>57483</v>
      </c>
      <c r="W282" s="596">
        <f t="shared" si="95"/>
        <v>60192.800000000003</v>
      </c>
      <c r="X282" s="603"/>
      <c r="Y282" s="519"/>
      <c r="Z282" s="603">
        <v>88157</v>
      </c>
      <c r="AA282" s="604">
        <v>45508</v>
      </c>
      <c r="AB282" s="603">
        <v>73960</v>
      </c>
      <c r="AC282" s="604">
        <v>61352</v>
      </c>
      <c r="AD282" s="603">
        <v>128261</v>
      </c>
      <c r="AE282" s="604">
        <v>116334</v>
      </c>
      <c r="AF282" s="595">
        <f t="shared" si="96"/>
        <v>290378</v>
      </c>
      <c r="AG282" s="595">
        <f t="shared" si="97"/>
        <v>322.64222222222224</v>
      </c>
      <c r="AH282" s="596">
        <f t="shared" si="98"/>
        <v>223194</v>
      </c>
      <c r="AI282" s="596">
        <f t="shared" si="99"/>
        <v>247.99333333333334</v>
      </c>
      <c r="AJ282" s="603"/>
      <c r="AK282" s="519"/>
      <c r="AL282" s="595">
        <f t="shared" si="100"/>
        <v>0</v>
      </c>
      <c r="AM282" s="596">
        <f t="shared" si="101"/>
        <v>0</v>
      </c>
      <c r="AN282" s="603"/>
      <c r="AO282" s="519"/>
      <c r="AP282" s="603"/>
      <c r="AQ282" s="519"/>
      <c r="AR282" s="603"/>
      <c r="AS282" s="519"/>
      <c r="AT282" s="603"/>
      <c r="AU282" s="519"/>
      <c r="AV282" s="595">
        <f t="shared" si="102"/>
        <v>0</v>
      </c>
      <c r="AW282" s="595">
        <f t="shared" si="103"/>
        <v>0</v>
      </c>
      <c r="AX282" s="596">
        <f t="shared" si="104"/>
        <v>0</v>
      </c>
      <c r="AY282" s="596">
        <f t="shared" si="105"/>
        <v>0</v>
      </c>
      <c r="AZ282" s="595">
        <f t="shared" si="106"/>
        <v>2238.7422222222222</v>
      </c>
      <c r="BA282" s="596">
        <f t="shared" si="107"/>
        <v>2254.42</v>
      </c>
    </row>
    <row r="283" spans="1:53" customFormat="1" ht="15" customHeight="1">
      <c r="A283" s="426" t="s">
        <v>239</v>
      </c>
      <c r="B283" s="427" t="s">
        <v>262</v>
      </c>
      <c r="C283" s="428"/>
      <c r="D283" s="430">
        <v>199087</v>
      </c>
      <c r="E283" s="430">
        <v>9</v>
      </c>
      <c r="F283" s="592" t="s">
        <v>74</v>
      </c>
      <c r="G283" s="519"/>
      <c r="H283" s="603"/>
      <c r="I283" s="519"/>
      <c r="J283" s="603">
        <v>26627</v>
      </c>
      <c r="K283" s="604">
        <v>26628</v>
      </c>
      <c r="L283" s="603">
        <v>7150</v>
      </c>
      <c r="M283" s="604">
        <v>5772</v>
      </c>
      <c r="N283" s="603">
        <v>27571</v>
      </c>
      <c r="O283" s="604">
        <v>23633</v>
      </c>
      <c r="P283" s="595">
        <f t="shared" si="90"/>
        <v>61348</v>
      </c>
      <c r="Q283" s="595">
        <f t="shared" si="91"/>
        <v>2044.9333333333334</v>
      </c>
      <c r="R283" s="596">
        <f t="shared" si="92"/>
        <v>56033</v>
      </c>
      <c r="S283" s="596">
        <f t="shared" si="93"/>
        <v>1867.7666666666667</v>
      </c>
      <c r="T283" s="603">
        <v>9921</v>
      </c>
      <c r="U283" s="604">
        <v>12109</v>
      </c>
      <c r="V283" s="595">
        <f t="shared" si="94"/>
        <v>61348</v>
      </c>
      <c r="W283" s="596">
        <f t="shared" si="95"/>
        <v>56033</v>
      </c>
      <c r="X283" s="603"/>
      <c r="Y283" s="519"/>
      <c r="Z283" s="603">
        <v>145232</v>
      </c>
      <c r="AA283" s="604">
        <v>88034</v>
      </c>
      <c r="AB283" s="603">
        <v>101848</v>
      </c>
      <c r="AC283" s="604">
        <v>68974</v>
      </c>
      <c r="AD283" s="603">
        <v>138111</v>
      </c>
      <c r="AE283" s="604">
        <v>94224</v>
      </c>
      <c r="AF283" s="595">
        <f t="shared" si="96"/>
        <v>385191</v>
      </c>
      <c r="AG283" s="595">
        <f t="shared" si="97"/>
        <v>427.99</v>
      </c>
      <c r="AH283" s="596">
        <f t="shared" si="98"/>
        <v>251232</v>
      </c>
      <c r="AI283" s="596">
        <f t="shared" si="99"/>
        <v>279.14666666666665</v>
      </c>
      <c r="AJ283" s="603"/>
      <c r="AK283" s="519"/>
      <c r="AL283" s="595">
        <f t="shared" si="100"/>
        <v>0</v>
      </c>
      <c r="AM283" s="596">
        <f t="shared" si="101"/>
        <v>0</v>
      </c>
      <c r="AN283" s="603"/>
      <c r="AO283" s="519"/>
      <c r="AP283" s="603"/>
      <c r="AQ283" s="519"/>
      <c r="AR283" s="603"/>
      <c r="AS283" s="519"/>
      <c r="AT283" s="603"/>
      <c r="AU283" s="519"/>
      <c r="AV283" s="595">
        <f t="shared" si="102"/>
        <v>0</v>
      </c>
      <c r="AW283" s="595">
        <f t="shared" si="103"/>
        <v>0</v>
      </c>
      <c r="AX283" s="596">
        <f t="shared" si="104"/>
        <v>0</v>
      </c>
      <c r="AY283" s="596">
        <f t="shared" si="105"/>
        <v>0</v>
      </c>
      <c r="AZ283" s="595">
        <f t="shared" si="106"/>
        <v>2472.9233333333332</v>
      </c>
      <c r="BA283" s="596">
        <f t="shared" si="107"/>
        <v>2146.9133333333334</v>
      </c>
    </row>
    <row r="284" spans="1:53" customFormat="1" ht="15" customHeight="1">
      <c r="A284" s="426" t="s">
        <v>239</v>
      </c>
      <c r="B284" s="427" t="s">
        <v>263</v>
      </c>
      <c r="C284" s="428"/>
      <c r="D284" s="430">
        <v>199421</v>
      </c>
      <c r="E284" s="430">
        <v>9</v>
      </c>
      <c r="F284" s="592" t="s">
        <v>74</v>
      </c>
      <c r="G284" s="519"/>
      <c r="H284" s="603"/>
      <c r="I284" s="519"/>
      <c r="J284" s="603">
        <v>22952.5</v>
      </c>
      <c r="K284" s="604">
        <v>24067</v>
      </c>
      <c r="L284" s="603">
        <v>5376</v>
      </c>
      <c r="M284" s="604">
        <v>5759</v>
      </c>
      <c r="N284" s="603">
        <v>25623.5</v>
      </c>
      <c r="O284" s="604">
        <v>23317</v>
      </c>
      <c r="P284" s="595">
        <f t="shared" si="90"/>
        <v>53952</v>
      </c>
      <c r="Q284" s="595">
        <f t="shared" si="91"/>
        <v>1798.4</v>
      </c>
      <c r="R284" s="596">
        <f t="shared" si="92"/>
        <v>53143</v>
      </c>
      <c r="S284" s="596">
        <f t="shared" si="93"/>
        <v>1771.4333333333334</v>
      </c>
      <c r="T284" s="603">
        <v>14270.5</v>
      </c>
      <c r="U284" s="604">
        <v>15007</v>
      </c>
      <c r="V284" s="595">
        <f t="shared" si="94"/>
        <v>53952</v>
      </c>
      <c r="W284" s="596">
        <f t="shared" si="95"/>
        <v>53143</v>
      </c>
      <c r="X284" s="603"/>
      <c r="Y284" s="519"/>
      <c r="Z284" s="603">
        <v>161999</v>
      </c>
      <c r="AA284" s="604">
        <v>119407</v>
      </c>
      <c r="AB284" s="603">
        <v>83262</v>
      </c>
      <c r="AC284" s="604">
        <v>67788</v>
      </c>
      <c r="AD284" s="603">
        <v>163364</v>
      </c>
      <c r="AE284" s="604">
        <v>135564</v>
      </c>
      <c r="AF284" s="595">
        <f t="shared" si="96"/>
        <v>408625</v>
      </c>
      <c r="AG284" s="595">
        <f t="shared" si="97"/>
        <v>454.02777777777777</v>
      </c>
      <c r="AH284" s="596">
        <f t="shared" si="98"/>
        <v>322759</v>
      </c>
      <c r="AI284" s="596">
        <f t="shared" si="99"/>
        <v>358.62111111111113</v>
      </c>
      <c r="AJ284" s="603"/>
      <c r="AK284" s="519"/>
      <c r="AL284" s="595">
        <f t="shared" si="100"/>
        <v>0</v>
      </c>
      <c r="AM284" s="596">
        <f t="shared" si="101"/>
        <v>0</v>
      </c>
      <c r="AN284" s="603"/>
      <c r="AO284" s="519"/>
      <c r="AP284" s="603"/>
      <c r="AQ284" s="519"/>
      <c r="AR284" s="603"/>
      <c r="AS284" s="519"/>
      <c r="AT284" s="603"/>
      <c r="AU284" s="519"/>
      <c r="AV284" s="595">
        <f t="shared" si="102"/>
        <v>0</v>
      </c>
      <c r="AW284" s="595">
        <f t="shared" si="103"/>
        <v>0</v>
      </c>
      <c r="AX284" s="596">
        <f t="shared" si="104"/>
        <v>0</v>
      </c>
      <c r="AY284" s="596">
        <f t="shared" si="105"/>
        <v>0</v>
      </c>
      <c r="AZ284" s="595">
        <f t="shared" si="106"/>
        <v>2252.4277777777779</v>
      </c>
      <c r="BA284" s="596">
        <f t="shared" si="107"/>
        <v>2130.0544444444445</v>
      </c>
    </row>
    <row r="285" spans="1:53" customFormat="1" ht="15" customHeight="1">
      <c r="A285" s="426" t="s">
        <v>239</v>
      </c>
      <c r="B285" s="427" t="s">
        <v>264</v>
      </c>
      <c r="C285" s="432"/>
      <c r="D285" s="430">
        <v>199449</v>
      </c>
      <c r="E285" s="430">
        <v>9</v>
      </c>
      <c r="F285" s="592" t="s">
        <v>74</v>
      </c>
      <c r="G285" s="519"/>
      <c r="H285" s="603"/>
      <c r="I285" s="519"/>
      <c r="J285" s="603">
        <v>22110</v>
      </c>
      <c r="K285" s="604">
        <v>21215.5</v>
      </c>
      <c r="L285" s="603">
        <v>6268</v>
      </c>
      <c r="M285" s="604">
        <v>5658</v>
      </c>
      <c r="N285" s="603">
        <v>24445</v>
      </c>
      <c r="O285" s="604">
        <v>21125</v>
      </c>
      <c r="P285" s="595">
        <f t="shared" si="90"/>
        <v>52823</v>
      </c>
      <c r="Q285" s="595">
        <f t="shared" si="91"/>
        <v>1760.7666666666667</v>
      </c>
      <c r="R285" s="596">
        <f t="shared" si="92"/>
        <v>47998.5</v>
      </c>
      <c r="S285" s="596">
        <f t="shared" si="93"/>
        <v>1599.95</v>
      </c>
      <c r="T285" s="603">
        <v>15911</v>
      </c>
      <c r="U285" s="604">
        <v>14377.5</v>
      </c>
      <c r="V285" s="595">
        <f t="shared" si="94"/>
        <v>52823</v>
      </c>
      <c r="W285" s="596">
        <f t="shared" si="95"/>
        <v>47998.5</v>
      </c>
      <c r="X285" s="603"/>
      <c r="Y285" s="519"/>
      <c r="Z285" s="603">
        <v>219076</v>
      </c>
      <c r="AA285" s="604">
        <v>149337</v>
      </c>
      <c r="AB285" s="603">
        <v>153743</v>
      </c>
      <c r="AC285" s="555">
        <v>73004</v>
      </c>
      <c r="AD285" s="603">
        <v>171919</v>
      </c>
      <c r="AE285" s="604">
        <v>156330</v>
      </c>
      <c r="AF285" s="595">
        <f t="shared" si="96"/>
        <v>544738</v>
      </c>
      <c r="AG285" s="595">
        <f t="shared" si="97"/>
        <v>605.26444444444439</v>
      </c>
      <c r="AH285" s="596">
        <f t="shared" si="98"/>
        <v>378671</v>
      </c>
      <c r="AI285" s="596">
        <f t="shared" si="99"/>
        <v>420.74555555555554</v>
      </c>
      <c r="AJ285" s="603"/>
      <c r="AK285" s="519"/>
      <c r="AL285" s="595">
        <f t="shared" si="100"/>
        <v>0</v>
      </c>
      <c r="AM285" s="596">
        <f t="shared" si="101"/>
        <v>0</v>
      </c>
      <c r="AN285" s="603"/>
      <c r="AO285" s="519"/>
      <c r="AP285" s="603"/>
      <c r="AQ285" s="519"/>
      <c r="AR285" s="603"/>
      <c r="AS285" s="519"/>
      <c r="AT285" s="603"/>
      <c r="AU285" s="519"/>
      <c r="AV285" s="595">
        <f t="shared" si="102"/>
        <v>0</v>
      </c>
      <c r="AW285" s="595">
        <f t="shared" si="103"/>
        <v>0</v>
      </c>
      <c r="AX285" s="596">
        <f t="shared" si="104"/>
        <v>0</v>
      </c>
      <c r="AY285" s="596">
        <f t="shared" si="105"/>
        <v>0</v>
      </c>
      <c r="AZ285" s="595">
        <f t="shared" si="106"/>
        <v>2366.0311111111109</v>
      </c>
      <c r="BA285" s="596">
        <f t="shared" si="107"/>
        <v>2020.6955555555555</v>
      </c>
    </row>
    <row r="286" spans="1:53" customFormat="1" ht="15" customHeight="1">
      <c r="A286" s="426" t="s">
        <v>239</v>
      </c>
      <c r="B286" s="427" t="s">
        <v>266</v>
      </c>
      <c r="C286" s="428"/>
      <c r="D286" s="430">
        <v>199634</v>
      </c>
      <c r="E286" s="430">
        <v>9</v>
      </c>
      <c r="F286" s="592" t="s">
        <v>74</v>
      </c>
      <c r="G286" s="519"/>
      <c r="H286" s="603"/>
      <c r="I286" s="519"/>
      <c r="J286" s="603">
        <v>34894</v>
      </c>
      <c r="K286" s="604">
        <v>36297</v>
      </c>
      <c r="L286" s="603">
        <v>9892</v>
      </c>
      <c r="M286" s="604">
        <v>11379</v>
      </c>
      <c r="N286" s="603">
        <v>37409</v>
      </c>
      <c r="O286" s="604">
        <v>35549</v>
      </c>
      <c r="P286" s="595">
        <f t="shared" si="90"/>
        <v>82195</v>
      </c>
      <c r="Q286" s="595">
        <f t="shared" si="91"/>
        <v>2739.8333333333335</v>
      </c>
      <c r="R286" s="596">
        <f t="shared" si="92"/>
        <v>83225</v>
      </c>
      <c r="S286" s="596">
        <f t="shared" si="93"/>
        <v>2774.1666666666665</v>
      </c>
      <c r="T286" s="603">
        <v>17117</v>
      </c>
      <c r="U286" s="604">
        <v>17868</v>
      </c>
      <c r="V286" s="595">
        <f t="shared" si="94"/>
        <v>82195</v>
      </c>
      <c r="W286" s="596">
        <f t="shared" si="95"/>
        <v>83225</v>
      </c>
      <c r="X286" s="603"/>
      <c r="Y286" s="519"/>
      <c r="Z286" s="603">
        <v>171493</v>
      </c>
      <c r="AA286" s="604">
        <v>124591</v>
      </c>
      <c r="AB286" s="603">
        <v>106169</v>
      </c>
      <c r="AC286" s="604">
        <v>75037</v>
      </c>
      <c r="AD286" s="603">
        <v>158096</v>
      </c>
      <c r="AE286" s="604">
        <v>122591</v>
      </c>
      <c r="AF286" s="595">
        <f t="shared" si="96"/>
        <v>435758</v>
      </c>
      <c r="AG286" s="595">
        <f t="shared" si="97"/>
        <v>484.17555555555555</v>
      </c>
      <c r="AH286" s="596">
        <f t="shared" si="98"/>
        <v>322219</v>
      </c>
      <c r="AI286" s="596">
        <f t="shared" si="99"/>
        <v>358.02111111111111</v>
      </c>
      <c r="AJ286" s="603"/>
      <c r="AK286" s="519"/>
      <c r="AL286" s="595">
        <f t="shared" si="100"/>
        <v>0</v>
      </c>
      <c r="AM286" s="596">
        <f t="shared" si="101"/>
        <v>0</v>
      </c>
      <c r="AN286" s="603"/>
      <c r="AO286" s="519"/>
      <c r="AP286" s="603"/>
      <c r="AQ286" s="519"/>
      <c r="AR286" s="603"/>
      <c r="AS286" s="519"/>
      <c r="AT286" s="603"/>
      <c r="AU286" s="519"/>
      <c r="AV286" s="595">
        <f t="shared" si="102"/>
        <v>0</v>
      </c>
      <c r="AW286" s="595">
        <f t="shared" si="103"/>
        <v>0</v>
      </c>
      <c r="AX286" s="596">
        <f t="shared" si="104"/>
        <v>0</v>
      </c>
      <c r="AY286" s="596">
        <f t="shared" si="105"/>
        <v>0</v>
      </c>
      <c r="AZ286" s="595">
        <f t="shared" si="106"/>
        <v>3224.008888888889</v>
      </c>
      <c r="BA286" s="596">
        <f t="shared" si="107"/>
        <v>3132.1877777777777</v>
      </c>
    </row>
    <row r="287" spans="1:53" customFormat="1" ht="15" customHeight="1">
      <c r="A287" s="426" t="s">
        <v>239</v>
      </c>
      <c r="B287" s="427" t="s">
        <v>291</v>
      </c>
      <c r="C287" s="432"/>
      <c r="D287" s="430">
        <v>197850</v>
      </c>
      <c r="E287" s="430">
        <v>9</v>
      </c>
      <c r="F287" s="592" t="s">
        <v>74</v>
      </c>
      <c r="G287" s="519"/>
      <c r="H287" s="603"/>
      <c r="I287" s="519"/>
      <c r="J287" s="603">
        <v>20994</v>
      </c>
      <c r="K287" s="604">
        <v>22449</v>
      </c>
      <c r="L287" s="603">
        <v>4600</v>
      </c>
      <c r="M287" s="604">
        <v>5482</v>
      </c>
      <c r="N287" s="603">
        <v>24636</v>
      </c>
      <c r="O287" s="604">
        <v>23675</v>
      </c>
      <c r="P287" s="595">
        <f t="shared" si="90"/>
        <v>50230</v>
      </c>
      <c r="Q287" s="595">
        <f t="shared" si="91"/>
        <v>1674.3333333333333</v>
      </c>
      <c r="R287" s="596">
        <f t="shared" si="92"/>
        <v>51606</v>
      </c>
      <c r="S287" s="596">
        <f t="shared" si="93"/>
        <v>1720.2</v>
      </c>
      <c r="T287" s="603">
        <v>21316</v>
      </c>
      <c r="U287" s="604">
        <v>21593</v>
      </c>
      <c r="V287" s="595">
        <f t="shared" si="94"/>
        <v>50230</v>
      </c>
      <c r="W287" s="596">
        <f t="shared" si="95"/>
        <v>51606</v>
      </c>
      <c r="X287" s="603"/>
      <c r="Y287" s="519"/>
      <c r="Z287" s="603">
        <v>162744</v>
      </c>
      <c r="AA287" s="604">
        <v>165595</v>
      </c>
      <c r="AB287" s="603">
        <v>133834</v>
      </c>
      <c r="AC287" s="604">
        <v>104372</v>
      </c>
      <c r="AD287" s="603">
        <v>213700</v>
      </c>
      <c r="AE287" s="604">
        <v>186417</v>
      </c>
      <c r="AF287" s="595">
        <f t="shared" si="96"/>
        <v>510278</v>
      </c>
      <c r="AG287" s="595">
        <f t="shared" si="97"/>
        <v>566.9755555555555</v>
      </c>
      <c r="AH287" s="596">
        <f t="shared" si="98"/>
        <v>456384</v>
      </c>
      <c r="AI287" s="596">
        <f t="shared" si="99"/>
        <v>507.09333333333331</v>
      </c>
      <c r="AJ287" s="603"/>
      <c r="AK287" s="519"/>
      <c r="AL287" s="595">
        <f t="shared" si="100"/>
        <v>0</v>
      </c>
      <c r="AM287" s="596">
        <f t="shared" si="101"/>
        <v>0</v>
      </c>
      <c r="AN287" s="603"/>
      <c r="AO287" s="519"/>
      <c r="AP287" s="603"/>
      <c r="AQ287" s="519"/>
      <c r="AR287" s="603"/>
      <c r="AS287" s="519"/>
      <c r="AT287" s="603"/>
      <c r="AU287" s="519"/>
      <c r="AV287" s="595">
        <f t="shared" si="102"/>
        <v>0</v>
      </c>
      <c r="AW287" s="595">
        <f t="shared" si="103"/>
        <v>0</v>
      </c>
      <c r="AX287" s="596">
        <f t="shared" si="104"/>
        <v>0</v>
      </c>
      <c r="AY287" s="596">
        <f t="shared" si="105"/>
        <v>0</v>
      </c>
      <c r="AZ287" s="595">
        <f t="shared" si="106"/>
        <v>2241.3088888888888</v>
      </c>
      <c r="BA287" s="596">
        <f t="shared" si="107"/>
        <v>2227.2933333333335</v>
      </c>
    </row>
    <row r="288" spans="1:53" customFormat="1" ht="15" customHeight="1">
      <c r="A288" s="426" t="s">
        <v>239</v>
      </c>
      <c r="B288" s="427" t="s">
        <v>267</v>
      </c>
      <c r="C288" s="428"/>
      <c r="D288" s="430">
        <v>199740</v>
      </c>
      <c r="E288" s="430">
        <v>9</v>
      </c>
      <c r="F288" s="592" t="s">
        <v>74</v>
      </c>
      <c r="G288" s="519"/>
      <c r="H288" s="603"/>
      <c r="I288" s="519"/>
      <c r="J288" s="603">
        <v>20496</v>
      </c>
      <c r="K288" s="604">
        <v>20340</v>
      </c>
      <c r="L288" s="603">
        <v>6444</v>
      </c>
      <c r="M288" s="604">
        <v>6245</v>
      </c>
      <c r="N288" s="603">
        <v>23769</v>
      </c>
      <c r="O288" s="604">
        <v>21729</v>
      </c>
      <c r="P288" s="595">
        <f t="shared" si="90"/>
        <v>50709</v>
      </c>
      <c r="Q288" s="595">
        <f t="shared" si="91"/>
        <v>1690.3</v>
      </c>
      <c r="R288" s="596">
        <f t="shared" si="92"/>
        <v>48314</v>
      </c>
      <c r="S288" s="596">
        <f t="shared" si="93"/>
        <v>1610.4666666666667</v>
      </c>
      <c r="T288" s="603">
        <v>9552</v>
      </c>
      <c r="U288" s="604">
        <v>9776</v>
      </c>
      <c r="V288" s="595">
        <f t="shared" si="94"/>
        <v>50709</v>
      </c>
      <c r="W288" s="596">
        <f t="shared" si="95"/>
        <v>48314</v>
      </c>
      <c r="X288" s="603"/>
      <c r="Y288" s="519"/>
      <c r="Z288" s="603">
        <v>209966</v>
      </c>
      <c r="AA288" s="604">
        <v>178692</v>
      </c>
      <c r="AB288" s="603">
        <v>111625</v>
      </c>
      <c r="AC288" s="604">
        <v>76853</v>
      </c>
      <c r="AD288" s="603">
        <v>208612</v>
      </c>
      <c r="AE288" s="604">
        <v>169719</v>
      </c>
      <c r="AF288" s="595">
        <f t="shared" si="96"/>
        <v>530203</v>
      </c>
      <c r="AG288" s="595">
        <f t="shared" si="97"/>
        <v>589.11444444444442</v>
      </c>
      <c r="AH288" s="596">
        <f t="shared" si="98"/>
        <v>425264</v>
      </c>
      <c r="AI288" s="596">
        <f t="shared" si="99"/>
        <v>472.51555555555558</v>
      </c>
      <c r="AJ288" s="603"/>
      <c r="AK288" s="519"/>
      <c r="AL288" s="595">
        <f t="shared" si="100"/>
        <v>0</v>
      </c>
      <c r="AM288" s="596">
        <f t="shared" si="101"/>
        <v>0</v>
      </c>
      <c r="AN288" s="603"/>
      <c r="AO288" s="519"/>
      <c r="AP288" s="603"/>
      <c r="AQ288" s="519"/>
      <c r="AR288" s="603"/>
      <c r="AS288" s="519"/>
      <c r="AT288" s="603"/>
      <c r="AU288" s="519"/>
      <c r="AV288" s="595">
        <f t="shared" si="102"/>
        <v>0</v>
      </c>
      <c r="AW288" s="595">
        <f t="shared" si="103"/>
        <v>0</v>
      </c>
      <c r="AX288" s="596">
        <f t="shared" si="104"/>
        <v>0</v>
      </c>
      <c r="AY288" s="596">
        <f t="shared" si="105"/>
        <v>0</v>
      </c>
      <c r="AZ288" s="595">
        <f t="shared" si="106"/>
        <v>2279.4144444444446</v>
      </c>
      <c r="BA288" s="596">
        <f t="shared" si="107"/>
        <v>2082.9822222222224</v>
      </c>
    </row>
    <row r="289" spans="1:53" customFormat="1" ht="15" customHeight="1">
      <c r="A289" s="426" t="s">
        <v>239</v>
      </c>
      <c r="B289" s="427" t="s">
        <v>268</v>
      </c>
      <c r="C289" s="428"/>
      <c r="D289" s="430">
        <v>199768</v>
      </c>
      <c r="E289" s="430">
        <v>9</v>
      </c>
      <c r="F289" s="592" t="s">
        <v>74</v>
      </c>
      <c r="G289" s="519"/>
      <c r="H289" s="603"/>
      <c r="I289" s="519"/>
      <c r="J289" s="603">
        <v>26048</v>
      </c>
      <c r="K289" s="604">
        <v>28354</v>
      </c>
      <c r="L289" s="603">
        <v>6589</v>
      </c>
      <c r="M289" s="604">
        <v>6105</v>
      </c>
      <c r="N289" s="603">
        <v>30466</v>
      </c>
      <c r="O289" s="604">
        <v>29348</v>
      </c>
      <c r="P289" s="595">
        <f t="shared" si="90"/>
        <v>63103</v>
      </c>
      <c r="Q289" s="595">
        <f t="shared" si="91"/>
        <v>2103.4333333333334</v>
      </c>
      <c r="R289" s="596">
        <f t="shared" si="92"/>
        <v>63807</v>
      </c>
      <c r="S289" s="596">
        <f t="shared" si="93"/>
        <v>2126.9</v>
      </c>
      <c r="T289" s="603">
        <v>17989</v>
      </c>
      <c r="U289" s="604">
        <v>18623</v>
      </c>
      <c r="V289" s="595">
        <f t="shared" si="94"/>
        <v>63103</v>
      </c>
      <c r="W289" s="596">
        <f t="shared" si="95"/>
        <v>63807</v>
      </c>
      <c r="X289" s="603"/>
      <c r="Y289" s="519"/>
      <c r="Z289" s="603">
        <v>125076</v>
      </c>
      <c r="AA289" s="604">
        <v>98114</v>
      </c>
      <c r="AB289" s="603">
        <v>108747</v>
      </c>
      <c r="AC289" s="604">
        <v>58414</v>
      </c>
      <c r="AD289" s="603">
        <v>174284</v>
      </c>
      <c r="AE289" s="604">
        <v>105255</v>
      </c>
      <c r="AF289" s="595">
        <f t="shared" si="96"/>
        <v>408107</v>
      </c>
      <c r="AG289" s="595">
        <f t="shared" si="97"/>
        <v>453.45222222222225</v>
      </c>
      <c r="AH289" s="596">
        <f t="shared" si="98"/>
        <v>261783</v>
      </c>
      <c r="AI289" s="596">
        <f t="shared" si="99"/>
        <v>290.87</v>
      </c>
      <c r="AJ289" s="603"/>
      <c r="AK289" s="519"/>
      <c r="AL289" s="595">
        <f t="shared" si="100"/>
        <v>0</v>
      </c>
      <c r="AM289" s="596">
        <f t="shared" si="101"/>
        <v>0</v>
      </c>
      <c r="AN289" s="603"/>
      <c r="AO289" s="519"/>
      <c r="AP289" s="603"/>
      <c r="AQ289" s="519"/>
      <c r="AR289" s="603"/>
      <c r="AS289" s="519"/>
      <c r="AT289" s="603"/>
      <c r="AU289" s="519"/>
      <c r="AV289" s="595">
        <f t="shared" si="102"/>
        <v>0</v>
      </c>
      <c r="AW289" s="595">
        <f t="shared" si="103"/>
        <v>0</v>
      </c>
      <c r="AX289" s="596">
        <f t="shared" si="104"/>
        <v>0</v>
      </c>
      <c r="AY289" s="596">
        <f t="shared" si="105"/>
        <v>0</v>
      </c>
      <c r="AZ289" s="595">
        <f t="shared" si="106"/>
        <v>2556.8855555555556</v>
      </c>
      <c r="BA289" s="596">
        <f t="shared" si="107"/>
        <v>2417.77</v>
      </c>
    </row>
    <row r="290" spans="1:53" customFormat="1" ht="15" customHeight="1">
      <c r="A290" s="426" t="s">
        <v>239</v>
      </c>
      <c r="B290" s="427" t="s">
        <v>269</v>
      </c>
      <c r="C290" s="428"/>
      <c r="D290" s="430">
        <v>199838</v>
      </c>
      <c r="E290" s="430">
        <v>9</v>
      </c>
      <c r="F290" s="592" t="s">
        <v>74</v>
      </c>
      <c r="G290" s="519"/>
      <c r="H290" s="603"/>
      <c r="I290" s="519"/>
      <c r="J290" s="603">
        <v>23329</v>
      </c>
      <c r="K290" s="604">
        <v>25208</v>
      </c>
      <c r="L290" s="603">
        <v>5309</v>
      </c>
      <c r="M290" s="604">
        <v>6710</v>
      </c>
      <c r="N290" s="603">
        <v>27722</v>
      </c>
      <c r="O290" s="604">
        <v>25676</v>
      </c>
      <c r="P290" s="595">
        <f t="shared" si="90"/>
        <v>56360</v>
      </c>
      <c r="Q290" s="595">
        <f t="shared" si="91"/>
        <v>1878.6666666666667</v>
      </c>
      <c r="R290" s="596">
        <f t="shared" si="92"/>
        <v>57594</v>
      </c>
      <c r="S290" s="596">
        <f t="shared" si="93"/>
        <v>1919.8</v>
      </c>
      <c r="T290" s="603">
        <v>15388</v>
      </c>
      <c r="U290" s="604">
        <v>16015</v>
      </c>
      <c r="V290" s="595">
        <f t="shared" si="94"/>
        <v>56360</v>
      </c>
      <c r="W290" s="596">
        <f t="shared" si="95"/>
        <v>57594</v>
      </c>
      <c r="X290" s="603"/>
      <c r="Y290" s="519"/>
      <c r="Z290" s="603">
        <v>145264</v>
      </c>
      <c r="AA290" s="604">
        <v>116554</v>
      </c>
      <c r="AB290" s="603">
        <v>98682</v>
      </c>
      <c r="AC290" s="555">
        <v>43951</v>
      </c>
      <c r="AD290" s="603">
        <v>152433</v>
      </c>
      <c r="AE290" s="604">
        <v>119489</v>
      </c>
      <c r="AF290" s="595">
        <f t="shared" si="96"/>
        <v>396379</v>
      </c>
      <c r="AG290" s="595">
        <f t="shared" si="97"/>
        <v>440.42111111111109</v>
      </c>
      <c r="AH290" s="596">
        <f t="shared" si="98"/>
        <v>279994</v>
      </c>
      <c r="AI290" s="596">
        <f t="shared" si="99"/>
        <v>311.10444444444443</v>
      </c>
      <c r="AJ290" s="603"/>
      <c r="AK290" s="519"/>
      <c r="AL290" s="595">
        <f t="shared" si="100"/>
        <v>0</v>
      </c>
      <c r="AM290" s="596">
        <f t="shared" si="101"/>
        <v>0</v>
      </c>
      <c r="AN290" s="603"/>
      <c r="AO290" s="519"/>
      <c r="AP290" s="603"/>
      <c r="AQ290" s="519"/>
      <c r="AR290" s="603"/>
      <c r="AS290" s="519"/>
      <c r="AT290" s="603"/>
      <c r="AU290" s="519"/>
      <c r="AV290" s="595">
        <f t="shared" si="102"/>
        <v>0</v>
      </c>
      <c r="AW290" s="595">
        <f t="shared" si="103"/>
        <v>0</v>
      </c>
      <c r="AX290" s="596">
        <f t="shared" si="104"/>
        <v>0</v>
      </c>
      <c r="AY290" s="596">
        <f t="shared" si="105"/>
        <v>0</v>
      </c>
      <c r="AZ290" s="595">
        <f t="shared" si="106"/>
        <v>2319.0877777777778</v>
      </c>
      <c r="BA290" s="596">
        <f t="shared" si="107"/>
        <v>2230.9044444444444</v>
      </c>
    </row>
    <row r="291" spans="1:53" customFormat="1" ht="15" customHeight="1">
      <c r="A291" s="426" t="s">
        <v>239</v>
      </c>
      <c r="B291" s="427" t="s">
        <v>270</v>
      </c>
      <c r="C291" s="428"/>
      <c r="D291" s="430">
        <v>199892</v>
      </c>
      <c r="E291" s="430">
        <v>9</v>
      </c>
      <c r="F291" s="592" t="s">
        <v>74</v>
      </c>
      <c r="G291" s="519"/>
      <c r="H291" s="603"/>
      <c r="I291" s="519"/>
      <c r="J291" s="603">
        <v>30073</v>
      </c>
      <c r="K291" s="604">
        <v>29647</v>
      </c>
      <c r="L291" s="603">
        <v>9353</v>
      </c>
      <c r="M291" s="604">
        <v>10209</v>
      </c>
      <c r="N291" s="603">
        <v>31252</v>
      </c>
      <c r="O291" s="604">
        <v>29159</v>
      </c>
      <c r="P291" s="595">
        <f t="shared" si="90"/>
        <v>70678</v>
      </c>
      <c r="Q291" s="595">
        <f t="shared" si="91"/>
        <v>2355.9333333333334</v>
      </c>
      <c r="R291" s="596">
        <f t="shared" si="92"/>
        <v>69015</v>
      </c>
      <c r="S291" s="596">
        <f t="shared" si="93"/>
        <v>2300.5</v>
      </c>
      <c r="T291" s="603">
        <v>11618.5</v>
      </c>
      <c r="U291" s="604">
        <v>11072</v>
      </c>
      <c r="V291" s="595">
        <f t="shared" si="94"/>
        <v>70678</v>
      </c>
      <c r="W291" s="596">
        <f t="shared" si="95"/>
        <v>69015</v>
      </c>
      <c r="X291" s="603"/>
      <c r="Y291" s="519"/>
      <c r="Z291" s="603">
        <v>171551</v>
      </c>
      <c r="AA291" s="604">
        <v>115650</v>
      </c>
      <c r="AB291" s="603">
        <v>113241</v>
      </c>
      <c r="AC291" s="555">
        <v>41313</v>
      </c>
      <c r="AD291" s="603">
        <v>181076</v>
      </c>
      <c r="AE291" s="555">
        <v>89156</v>
      </c>
      <c r="AF291" s="595">
        <f t="shared" si="96"/>
        <v>465868</v>
      </c>
      <c r="AG291" s="595">
        <f t="shared" si="97"/>
        <v>517.63111111111107</v>
      </c>
      <c r="AH291" s="596">
        <f t="shared" si="98"/>
        <v>246119</v>
      </c>
      <c r="AI291" s="596">
        <f t="shared" si="99"/>
        <v>273.46555555555557</v>
      </c>
      <c r="AJ291" s="603"/>
      <c r="AK291" s="519"/>
      <c r="AL291" s="595">
        <f t="shared" si="100"/>
        <v>0</v>
      </c>
      <c r="AM291" s="596">
        <f t="shared" si="101"/>
        <v>0</v>
      </c>
      <c r="AN291" s="603"/>
      <c r="AO291" s="519"/>
      <c r="AP291" s="603"/>
      <c r="AQ291" s="519"/>
      <c r="AR291" s="603"/>
      <c r="AS291" s="519"/>
      <c r="AT291" s="603"/>
      <c r="AU291" s="519"/>
      <c r="AV291" s="595">
        <f t="shared" si="102"/>
        <v>0</v>
      </c>
      <c r="AW291" s="595">
        <f t="shared" si="103"/>
        <v>0</v>
      </c>
      <c r="AX291" s="596">
        <f t="shared" si="104"/>
        <v>0</v>
      </c>
      <c r="AY291" s="596">
        <f t="shared" si="105"/>
        <v>0</v>
      </c>
      <c r="AZ291" s="595">
        <f t="shared" si="106"/>
        <v>2873.5644444444442</v>
      </c>
      <c r="BA291" s="596">
        <f t="shared" si="107"/>
        <v>2573.9655555555555</v>
      </c>
    </row>
    <row r="292" spans="1:53" customFormat="1" ht="15" customHeight="1">
      <c r="A292" s="426" t="s">
        <v>239</v>
      </c>
      <c r="B292" s="427" t="s">
        <v>272</v>
      </c>
      <c r="C292" s="428"/>
      <c r="D292" s="430">
        <v>199926</v>
      </c>
      <c r="E292" s="430">
        <v>9</v>
      </c>
      <c r="F292" s="592" t="s">
        <v>74</v>
      </c>
      <c r="G292" s="519"/>
      <c r="H292" s="603"/>
      <c r="I292" s="519"/>
      <c r="J292" s="603">
        <v>22176</v>
      </c>
      <c r="K292" s="604">
        <v>24135</v>
      </c>
      <c r="L292" s="603">
        <v>4870</v>
      </c>
      <c r="M292" s="604">
        <v>5171</v>
      </c>
      <c r="N292" s="603">
        <v>26412</v>
      </c>
      <c r="O292" s="604">
        <v>24048</v>
      </c>
      <c r="P292" s="595">
        <f t="shared" si="90"/>
        <v>53458</v>
      </c>
      <c r="Q292" s="595">
        <f t="shared" si="91"/>
        <v>1781.9333333333334</v>
      </c>
      <c r="R292" s="596">
        <f t="shared" si="92"/>
        <v>53354</v>
      </c>
      <c r="S292" s="596">
        <f t="shared" si="93"/>
        <v>1778.4666666666667</v>
      </c>
      <c r="T292" s="603">
        <v>12773</v>
      </c>
      <c r="U292" s="604">
        <v>13955</v>
      </c>
      <c r="V292" s="595">
        <f t="shared" si="94"/>
        <v>53458</v>
      </c>
      <c r="W292" s="596">
        <f t="shared" si="95"/>
        <v>53354</v>
      </c>
      <c r="X292" s="603"/>
      <c r="Y292" s="519"/>
      <c r="Z292" s="603">
        <v>158768</v>
      </c>
      <c r="AA292" s="604">
        <v>102177</v>
      </c>
      <c r="AB292" s="603">
        <v>97618</v>
      </c>
      <c r="AC292" s="555">
        <v>43914</v>
      </c>
      <c r="AD292" s="603">
        <v>158870</v>
      </c>
      <c r="AE292" s="604">
        <v>92856</v>
      </c>
      <c r="AF292" s="595">
        <f t="shared" si="96"/>
        <v>415256</v>
      </c>
      <c r="AG292" s="595">
        <f t="shared" si="97"/>
        <v>461.39555555555557</v>
      </c>
      <c r="AH292" s="596">
        <f t="shared" si="98"/>
        <v>238947</v>
      </c>
      <c r="AI292" s="596">
        <f t="shared" si="99"/>
        <v>265.49666666666667</v>
      </c>
      <c r="AJ292" s="603"/>
      <c r="AK292" s="519"/>
      <c r="AL292" s="595">
        <f t="shared" si="100"/>
        <v>0</v>
      </c>
      <c r="AM292" s="596">
        <f t="shared" si="101"/>
        <v>0</v>
      </c>
      <c r="AN292" s="603"/>
      <c r="AO292" s="519"/>
      <c r="AP292" s="603"/>
      <c r="AQ292" s="519"/>
      <c r="AR292" s="603"/>
      <c r="AS292" s="519"/>
      <c r="AT292" s="603"/>
      <c r="AU292" s="519"/>
      <c r="AV292" s="595">
        <f t="shared" si="102"/>
        <v>0</v>
      </c>
      <c r="AW292" s="595">
        <f t="shared" si="103"/>
        <v>0</v>
      </c>
      <c r="AX292" s="596">
        <f t="shared" si="104"/>
        <v>0</v>
      </c>
      <c r="AY292" s="596">
        <f t="shared" si="105"/>
        <v>0</v>
      </c>
      <c r="AZ292" s="595">
        <f t="shared" si="106"/>
        <v>2243.3288888888892</v>
      </c>
      <c r="BA292" s="596">
        <f t="shared" si="107"/>
        <v>2043.9633333333334</v>
      </c>
    </row>
    <row r="293" spans="1:53" customFormat="1" ht="15" customHeight="1">
      <c r="A293" s="426" t="s">
        <v>239</v>
      </c>
      <c r="B293" s="427" t="s">
        <v>273</v>
      </c>
      <c r="C293" s="428"/>
      <c r="D293" s="430">
        <v>197966</v>
      </c>
      <c r="E293" s="430">
        <v>10</v>
      </c>
      <c r="F293" s="592" t="s">
        <v>74</v>
      </c>
      <c r="G293" s="519"/>
      <c r="H293" s="603"/>
      <c r="I293" s="519"/>
      <c r="J293" s="603">
        <v>13450</v>
      </c>
      <c r="K293" s="604">
        <v>14040</v>
      </c>
      <c r="L293" s="603">
        <v>2974</v>
      </c>
      <c r="M293" s="604">
        <v>3187</v>
      </c>
      <c r="N293" s="603">
        <v>14559</v>
      </c>
      <c r="O293" s="604">
        <v>13100</v>
      </c>
      <c r="P293" s="595">
        <f t="shared" si="90"/>
        <v>30983</v>
      </c>
      <c r="Q293" s="595">
        <f t="shared" si="91"/>
        <v>1032.7666666666667</v>
      </c>
      <c r="R293" s="596">
        <f t="shared" si="92"/>
        <v>30327</v>
      </c>
      <c r="S293" s="596">
        <f t="shared" si="93"/>
        <v>1010.9</v>
      </c>
      <c r="T293" s="603">
        <v>11145</v>
      </c>
      <c r="U293" s="604">
        <v>11008</v>
      </c>
      <c r="V293" s="595">
        <f t="shared" si="94"/>
        <v>30983</v>
      </c>
      <c r="W293" s="596">
        <f t="shared" si="95"/>
        <v>30327</v>
      </c>
      <c r="X293" s="603"/>
      <c r="Y293" s="519"/>
      <c r="Z293" s="603">
        <v>98836</v>
      </c>
      <c r="AA293" s="604">
        <v>76361</v>
      </c>
      <c r="AB293" s="603">
        <v>65875</v>
      </c>
      <c r="AC293" s="555">
        <v>31315</v>
      </c>
      <c r="AD293" s="603">
        <v>95865</v>
      </c>
      <c r="AE293" s="604">
        <v>62347</v>
      </c>
      <c r="AF293" s="595">
        <f t="shared" si="96"/>
        <v>260576</v>
      </c>
      <c r="AG293" s="595">
        <f t="shared" si="97"/>
        <v>289.5288888888889</v>
      </c>
      <c r="AH293" s="596">
        <f t="shared" si="98"/>
        <v>170023</v>
      </c>
      <c r="AI293" s="596">
        <f t="shared" si="99"/>
        <v>188.91444444444446</v>
      </c>
      <c r="AJ293" s="603"/>
      <c r="AK293" s="519"/>
      <c r="AL293" s="595">
        <f t="shared" si="100"/>
        <v>0</v>
      </c>
      <c r="AM293" s="596">
        <f t="shared" si="101"/>
        <v>0</v>
      </c>
      <c r="AN293" s="603"/>
      <c r="AO293" s="519"/>
      <c r="AP293" s="603"/>
      <c r="AQ293" s="519"/>
      <c r="AR293" s="603"/>
      <c r="AS293" s="519"/>
      <c r="AT293" s="603"/>
      <c r="AU293" s="519"/>
      <c r="AV293" s="595">
        <f t="shared" si="102"/>
        <v>0</v>
      </c>
      <c r="AW293" s="595">
        <f t="shared" si="103"/>
        <v>0</v>
      </c>
      <c r="AX293" s="596">
        <f t="shared" si="104"/>
        <v>0</v>
      </c>
      <c r="AY293" s="596">
        <f t="shared" si="105"/>
        <v>0</v>
      </c>
      <c r="AZ293" s="595">
        <f t="shared" si="106"/>
        <v>1322.2955555555554</v>
      </c>
      <c r="BA293" s="596">
        <f t="shared" si="107"/>
        <v>1199.8144444444445</v>
      </c>
    </row>
    <row r="294" spans="1:53" customFormat="1" ht="15" customHeight="1">
      <c r="A294" s="426" t="s">
        <v>239</v>
      </c>
      <c r="B294" s="427" t="s">
        <v>274</v>
      </c>
      <c r="C294" s="428"/>
      <c r="D294" s="430">
        <v>198011</v>
      </c>
      <c r="E294" s="430">
        <v>10</v>
      </c>
      <c r="F294" s="592" t="s">
        <v>74</v>
      </c>
      <c r="G294" s="519"/>
      <c r="H294" s="603"/>
      <c r="I294" s="519"/>
      <c r="J294" s="603">
        <v>10947</v>
      </c>
      <c r="K294" s="604">
        <v>11007</v>
      </c>
      <c r="L294" s="603">
        <v>3487</v>
      </c>
      <c r="M294" s="604">
        <v>3049</v>
      </c>
      <c r="N294" s="603">
        <v>13181</v>
      </c>
      <c r="O294" s="604">
        <v>11122</v>
      </c>
      <c r="P294" s="595">
        <f t="shared" si="90"/>
        <v>27615</v>
      </c>
      <c r="Q294" s="595">
        <f t="shared" si="91"/>
        <v>920.5</v>
      </c>
      <c r="R294" s="596">
        <f t="shared" si="92"/>
        <v>25178</v>
      </c>
      <c r="S294" s="596">
        <f t="shared" si="93"/>
        <v>839.26666666666665</v>
      </c>
      <c r="T294" s="603">
        <v>7348</v>
      </c>
      <c r="U294" s="604">
        <v>7121</v>
      </c>
      <c r="V294" s="595">
        <f t="shared" si="94"/>
        <v>27615</v>
      </c>
      <c r="W294" s="596">
        <f t="shared" si="95"/>
        <v>25178</v>
      </c>
      <c r="X294" s="603"/>
      <c r="Y294" s="519"/>
      <c r="Z294" s="603">
        <v>68047</v>
      </c>
      <c r="AA294" s="604">
        <v>46628</v>
      </c>
      <c r="AB294" s="603">
        <v>29827</v>
      </c>
      <c r="AC294" s="604">
        <v>26715</v>
      </c>
      <c r="AD294" s="603">
        <v>51214</v>
      </c>
      <c r="AE294" s="604">
        <v>46528</v>
      </c>
      <c r="AF294" s="595">
        <f t="shared" si="96"/>
        <v>149088</v>
      </c>
      <c r="AG294" s="595">
        <f t="shared" si="97"/>
        <v>165.65333333333334</v>
      </c>
      <c r="AH294" s="596">
        <f t="shared" si="98"/>
        <v>119871</v>
      </c>
      <c r="AI294" s="596">
        <f t="shared" si="99"/>
        <v>133.19</v>
      </c>
      <c r="AJ294" s="603"/>
      <c r="AK294" s="519"/>
      <c r="AL294" s="595">
        <f t="shared" si="100"/>
        <v>0</v>
      </c>
      <c r="AM294" s="596">
        <f t="shared" si="101"/>
        <v>0</v>
      </c>
      <c r="AN294" s="603"/>
      <c r="AO294" s="519"/>
      <c r="AP294" s="603"/>
      <c r="AQ294" s="519"/>
      <c r="AR294" s="603"/>
      <c r="AS294" s="519"/>
      <c r="AT294" s="603"/>
      <c r="AU294" s="519"/>
      <c r="AV294" s="595">
        <f t="shared" si="102"/>
        <v>0</v>
      </c>
      <c r="AW294" s="595">
        <f t="shared" si="103"/>
        <v>0</v>
      </c>
      <c r="AX294" s="596">
        <f t="shared" si="104"/>
        <v>0</v>
      </c>
      <c r="AY294" s="596">
        <f t="shared" si="105"/>
        <v>0</v>
      </c>
      <c r="AZ294" s="595">
        <f t="shared" si="106"/>
        <v>1086.1533333333334</v>
      </c>
      <c r="BA294" s="596">
        <f t="shared" si="107"/>
        <v>972.45666666666671</v>
      </c>
    </row>
    <row r="295" spans="1:53" customFormat="1" ht="15" customHeight="1">
      <c r="A295" s="426" t="s">
        <v>239</v>
      </c>
      <c r="B295" s="427" t="s">
        <v>275</v>
      </c>
      <c r="C295" s="428"/>
      <c r="D295" s="430">
        <v>198039</v>
      </c>
      <c r="E295" s="430">
        <v>10</v>
      </c>
      <c r="F295" s="592" t="s">
        <v>74</v>
      </c>
      <c r="G295" s="519"/>
      <c r="H295" s="603"/>
      <c r="I295" s="519"/>
      <c r="J295" s="603">
        <v>17518</v>
      </c>
      <c r="K295" s="604">
        <v>19551</v>
      </c>
      <c r="L295" s="603">
        <v>4467</v>
      </c>
      <c r="M295" s="604">
        <v>5563</v>
      </c>
      <c r="N295" s="603">
        <v>20352</v>
      </c>
      <c r="O295" s="604">
        <v>20823</v>
      </c>
      <c r="P295" s="595">
        <f t="shared" si="90"/>
        <v>42337</v>
      </c>
      <c r="Q295" s="595">
        <f t="shared" si="91"/>
        <v>1411.2333333333333</v>
      </c>
      <c r="R295" s="596">
        <f t="shared" si="92"/>
        <v>45937</v>
      </c>
      <c r="S295" s="596">
        <f t="shared" si="93"/>
        <v>1531.2333333333333</v>
      </c>
      <c r="T295" s="603">
        <v>8750</v>
      </c>
      <c r="U295" s="604">
        <v>9859</v>
      </c>
      <c r="V295" s="595">
        <f t="shared" si="94"/>
        <v>42337</v>
      </c>
      <c r="W295" s="596">
        <f t="shared" si="95"/>
        <v>45937</v>
      </c>
      <c r="X295" s="603"/>
      <c r="Y295" s="519"/>
      <c r="Z295" s="603">
        <v>130669</v>
      </c>
      <c r="AA295" s="604">
        <v>104786</v>
      </c>
      <c r="AB295" s="603">
        <v>97604</v>
      </c>
      <c r="AC295" s="604">
        <v>72045</v>
      </c>
      <c r="AD295" s="603">
        <v>169076</v>
      </c>
      <c r="AE295" s="604">
        <v>112368</v>
      </c>
      <c r="AF295" s="595">
        <f t="shared" si="96"/>
        <v>397349</v>
      </c>
      <c r="AG295" s="595">
        <f t="shared" si="97"/>
        <v>441.49888888888887</v>
      </c>
      <c r="AH295" s="596">
        <f t="shared" si="98"/>
        <v>289199</v>
      </c>
      <c r="AI295" s="596">
        <f t="shared" si="99"/>
        <v>321.33222222222224</v>
      </c>
      <c r="AJ295" s="603"/>
      <c r="AK295" s="519"/>
      <c r="AL295" s="595">
        <f t="shared" si="100"/>
        <v>0</v>
      </c>
      <c r="AM295" s="596">
        <f t="shared" si="101"/>
        <v>0</v>
      </c>
      <c r="AN295" s="603"/>
      <c r="AO295" s="519"/>
      <c r="AP295" s="603"/>
      <c r="AQ295" s="519"/>
      <c r="AR295" s="603"/>
      <c r="AS295" s="519"/>
      <c r="AT295" s="603"/>
      <c r="AU295" s="519"/>
      <c r="AV295" s="595">
        <f t="shared" si="102"/>
        <v>0</v>
      </c>
      <c r="AW295" s="595">
        <f t="shared" si="103"/>
        <v>0</v>
      </c>
      <c r="AX295" s="596">
        <f t="shared" si="104"/>
        <v>0</v>
      </c>
      <c r="AY295" s="596">
        <f t="shared" si="105"/>
        <v>0</v>
      </c>
      <c r="AZ295" s="595">
        <f t="shared" si="106"/>
        <v>1852.7322222222222</v>
      </c>
      <c r="BA295" s="596">
        <f t="shared" si="107"/>
        <v>1852.5655555555556</v>
      </c>
    </row>
    <row r="296" spans="1:53" customFormat="1" ht="15" customHeight="1">
      <c r="A296" s="426" t="s">
        <v>239</v>
      </c>
      <c r="B296" s="427" t="s">
        <v>276</v>
      </c>
      <c r="C296" s="428"/>
      <c r="D296" s="430">
        <v>198084</v>
      </c>
      <c r="E296" s="430">
        <v>10</v>
      </c>
      <c r="F296" s="592" t="s">
        <v>74</v>
      </c>
      <c r="G296" s="519"/>
      <c r="H296" s="603"/>
      <c r="I296" s="519"/>
      <c r="J296" s="603">
        <v>13710</v>
      </c>
      <c r="K296" s="604">
        <v>14458</v>
      </c>
      <c r="L296" s="603">
        <v>2932</v>
      </c>
      <c r="M296" s="604">
        <v>3010</v>
      </c>
      <c r="N296" s="603">
        <v>15937</v>
      </c>
      <c r="O296" s="604">
        <v>15746</v>
      </c>
      <c r="P296" s="595">
        <f t="shared" si="90"/>
        <v>32579</v>
      </c>
      <c r="Q296" s="595">
        <f t="shared" si="91"/>
        <v>1085.9666666666667</v>
      </c>
      <c r="R296" s="596">
        <f t="shared" si="92"/>
        <v>33214</v>
      </c>
      <c r="S296" s="596">
        <f t="shared" si="93"/>
        <v>1107.1333333333334</v>
      </c>
      <c r="T296" s="603">
        <v>8052</v>
      </c>
      <c r="U296" s="604">
        <v>8923</v>
      </c>
      <c r="V296" s="595">
        <f t="shared" si="94"/>
        <v>32579</v>
      </c>
      <c r="W296" s="596">
        <f t="shared" si="95"/>
        <v>33214</v>
      </c>
      <c r="X296" s="603"/>
      <c r="Y296" s="519"/>
      <c r="Z296" s="603">
        <v>135062</v>
      </c>
      <c r="AA296" s="604">
        <v>112726</v>
      </c>
      <c r="AB296" s="603">
        <v>74404</v>
      </c>
      <c r="AC296" s="555">
        <v>29097</v>
      </c>
      <c r="AD296" s="603">
        <v>137533</v>
      </c>
      <c r="AE296" s="604">
        <v>87635</v>
      </c>
      <c r="AF296" s="595">
        <f t="shared" si="96"/>
        <v>346999</v>
      </c>
      <c r="AG296" s="595">
        <f t="shared" si="97"/>
        <v>385.55444444444447</v>
      </c>
      <c r="AH296" s="596">
        <f t="shared" si="98"/>
        <v>229458</v>
      </c>
      <c r="AI296" s="596">
        <f t="shared" si="99"/>
        <v>254.95333333333335</v>
      </c>
      <c r="AJ296" s="603"/>
      <c r="AK296" s="519"/>
      <c r="AL296" s="595">
        <f t="shared" si="100"/>
        <v>0</v>
      </c>
      <c r="AM296" s="596">
        <f t="shared" si="101"/>
        <v>0</v>
      </c>
      <c r="AN296" s="603"/>
      <c r="AO296" s="519"/>
      <c r="AP296" s="603"/>
      <c r="AQ296" s="519"/>
      <c r="AR296" s="603"/>
      <c r="AS296" s="519"/>
      <c r="AT296" s="603"/>
      <c r="AU296" s="519"/>
      <c r="AV296" s="595">
        <f t="shared" si="102"/>
        <v>0</v>
      </c>
      <c r="AW296" s="595">
        <f t="shared" si="103"/>
        <v>0</v>
      </c>
      <c r="AX296" s="596">
        <f t="shared" si="104"/>
        <v>0</v>
      </c>
      <c r="AY296" s="596">
        <f t="shared" si="105"/>
        <v>0</v>
      </c>
      <c r="AZ296" s="595">
        <f t="shared" si="106"/>
        <v>1471.5211111111112</v>
      </c>
      <c r="BA296" s="596">
        <f t="shared" si="107"/>
        <v>1362.0866666666668</v>
      </c>
    </row>
    <row r="297" spans="1:53" customFormat="1" ht="15" customHeight="1">
      <c r="A297" s="426" t="s">
        <v>239</v>
      </c>
      <c r="B297" s="427" t="s">
        <v>277</v>
      </c>
      <c r="C297" s="428"/>
      <c r="D297" s="430">
        <v>198206</v>
      </c>
      <c r="E297" s="430">
        <v>10</v>
      </c>
      <c r="F297" s="592" t="s">
        <v>74</v>
      </c>
      <c r="G297" s="519"/>
      <c r="H297" s="603"/>
      <c r="I297" s="519"/>
      <c r="J297" s="603">
        <v>14081</v>
      </c>
      <c r="K297" s="604">
        <v>13274.5</v>
      </c>
      <c r="L297" s="603">
        <v>3268</v>
      </c>
      <c r="M297" s="604">
        <v>3030</v>
      </c>
      <c r="N297" s="603">
        <v>14339</v>
      </c>
      <c r="O297" s="604">
        <v>13024</v>
      </c>
      <c r="P297" s="595">
        <f t="shared" si="90"/>
        <v>31688</v>
      </c>
      <c r="Q297" s="595">
        <f t="shared" si="91"/>
        <v>1056.2666666666667</v>
      </c>
      <c r="R297" s="596">
        <f t="shared" si="92"/>
        <v>29328.5</v>
      </c>
      <c r="S297" s="596">
        <f t="shared" si="93"/>
        <v>977.61666666666667</v>
      </c>
      <c r="T297" s="603">
        <v>4940</v>
      </c>
      <c r="U297" s="604">
        <v>4951</v>
      </c>
      <c r="V297" s="595">
        <f t="shared" si="94"/>
        <v>31688</v>
      </c>
      <c r="W297" s="596">
        <f t="shared" si="95"/>
        <v>29328.5</v>
      </c>
      <c r="X297" s="603"/>
      <c r="Y297" s="519"/>
      <c r="Z297" s="603">
        <v>102684</v>
      </c>
      <c r="AA297" s="604">
        <v>86927</v>
      </c>
      <c r="AB297" s="603">
        <v>51691</v>
      </c>
      <c r="AC297" s="604">
        <v>27585</v>
      </c>
      <c r="AD297" s="603">
        <v>113582</v>
      </c>
      <c r="AE297" s="604">
        <v>77078</v>
      </c>
      <c r="AF297" s="595">
        <f t="shared" si="96"/>
        <v>267957</v>
      </c>
      <c r="AG297" s="595">
        <f t="shared" si="97"/>
        <v>297.73</v>
      </c>
      <c r="AH297" s="596">
        <f t="shared" si="98"/>
        <v>191590</v>
      </c>
      <c r="AI297" s="596">
        <f t="shared" si="99"/>
        <v>212.87777777777777</v>
      </c>
      <c r="AJ297" s="603"/>
      <c r="AK297" s="519"/>
      <c r="AL297" s="595">
        <f t="shared" si="100"/>
        <v>0</v>
      </c>
      <c r="AM297" s="596">
        <f t="shared" si="101"/>
        <v>0</v>
      </c>
      <c r="AN297" s="603"/>
      <c r="AO297" s="519"/>
      <c r="AP297" s="603"/>
      <c r="AQ297" s="519"/>
      <c r="AR297" s="603"/>
      <c r="AS297" s="519"/>
      <c r="AT297" s="603"/>
      <c r="AU297" s="519"/>
      <c r="AV297" s="595">
        <f t="shared" si="102"/>
        <v>0</v>
      </c>
      <c r="AW297" s="595">
        <f t="shared" si="103"/>
        <v>0</v>
      </c>
      <c r="AX297" s="596">
        <f t="shared" si="104"/>
        <v>0</v>
      </c>
      <c r="AY297" s="596">
        <f t="shared" si="105"/>
        <v>0</v>
      </c>
      <c r="AZ297" s="595">
        <f t="shared" si="106"/>
        <v>1353.9966666666667</v>
      </c>
      <c r="BA297" s="596">
        <f t="shared" si="107"/>
        <v>1190.4944444444445</v>
      </c>
    </row>
    <row r="298" spans="1:53" customFormat="1" ht="15" customHeight="1">
      <c r="A298" s="426" t="s">
        <v>239</v>
      </c>
      <c r="B298" s="427" t="s">
        <v>858</v>
      </c>
      <c r="C298" s="428" t="s">
        <v>845</v>
      </c>
      <c r="D298" s="430">
        <v>197814</v>
      </c>
      <c r="E298" s="430">
        <v>10</v>
      </c>
      <c r="F298" s="592" t="s">
        <v>74</v>
      </c>
      <c r="G298" s="519"/>
      <c r="H298" s="603"/>
      <c r="I298" s="519"/>
      <c r="J298" s="603">
        <v>22451</v>
      </c>
      <c r="K298" s="604">
        <v>23073</v>
      </c>
      <c r="L298" s="603">
        <v>5668</v>
      </c>
      <c r="M298" s="604">
        <v>5724</v>
      </c>
      <c r="N298" s="603">
        <v>25236</v>
      </c>
      <c r="O298" s="604">
        <v>23783</v>
      </c>
      <c r="P298" s="595">
        <f t="shared" si="90"/>
        <v>53355</v>
      </c>
      <c r="Q298" s="595">
        <f t="shared" si="91"/>
        <v>1778.5</v>
      </c>
      <c r="R298" s="596">
        <f t="shared" si="92"/>
        <v>52580</v>
      </c>
      <c r="S298" s="596">
        <f t="shared" si="93"/>
        <v>1752.6666666666667</v>
      </c>
      <c r="T298" s="603">
        <v>370</v>
      </c>
      <c r="U298" s="556">
        <v>20454</v>
      </c>
      <c r="V298" s="595">
        <f t="shared" si="94"/>
        <v>53355</v>
      </c>
      <c r="W298" s="596">
        <f t="shared" si="95"/>
        <v>52580</v>
      </c>
      <c r="X298" s="603"/>
      <c r="Y298" s="519"/>
      <c r="Z298" s="603">
        <v>87138</v>
      </c>
      <c r="AA298" s="604">
        <v>47353</v>
      </c>
      <c r="AB298" s="603">
        <v>80347</v>
      </c>
      <c r="AC298" s="604">
        <v>75707</v>
      </c>
      <c r="AD298" s="603">
        <v>117365</v>
      </c>
      <c r="AE298" s="604">
        <v>79283</v>
      </c>
      <c r="AF298" s="595">
        <f t="shared" si="96"/>
        <v>284850</v>
      </c>
      <c r="AG298" s="595">
        <f t="shared" si="97"/>
        <v>316.5</v>
      </c>
      <c r="AH298" s="596">
        <f t="shared" si="98"/>
        <v>202343</v>
      </c>
      <c r="AI298" s="596">
        <f t="shared" si="99"/>
        <v>224.82555555555555</v>
      </c>
      <c r="AJ298" s="603"/>
      <c r="AK298" s="519"/>
      <c r="AL298" s="595">
        <f t="shared" si="100"/>
        <v>0</v>
      </c>
      <c r="AM298" s="596">
        <f t="shared" si="101"/>
        <v>0</v>
      </c>
      <c r="AN298" s="603"/>
      <c r="AO298" s="519"/>
      <c r="AP298" s="603"/>
      <c r="AQ298" s="519"/>
      <c r="AR298" s="603"/>
      <c r="AS298" s="519"/>
      <c r="AT298" s="603"/>
      <c r="AU298" s="519"/>
      <c r="AV298" s="595">
        <f t="shared" si="102"/>
        <v>0</v>
      </c>
      <c r="AW298" s="595">
        <f t="shared" si="103"/>
        <v>0</v>
      </c>
      <c r="AX298" s="596">
        <f t="shared" si="104"/>
        <v>0</v>
      </c>
      <c r="AY298" s="596">
        <f t="shared" si="105"/>
        <v>0</v>
      </c>
      <c r="AZ298" s="595">
        <f t="shared" si="106"/>
        <v>2095</v>
      </c>
      <c r="BA298" s="596">
        <f t="shared" si="107"/>
        <v>1977.4922222222224</v>
      </c>
    </row>
    <row r="299" spans="1:53" customFormat="1" ht="15" customHeight="1">
      <c r="A299" s="426" t="s">
        <v>239</v>
      </c>
      <c r="B299" s="427" t="s">
        <v>257</v>
      </c>
      <c r="C299" s="432"/>
      <c r="D299" s="430">
        <v>198491</v>
      </c>
      <c r="E299" s="430">
        <v>10</v>
      </c>
      <c r="F299" s="592" t="s">
        <v>74</v>
      </c>
      <c r="G299" s="519"/>
      <c r="H299" s="603"/>
      <c r="I299" s="519"/>
      <c r="J299" s="603">
        <v>17360</v>
      </c>
      <c r="K299" s="604">
        <v>16049</v>
      </c>
      <c r="L299" s="603">
        <v>5594</v>
      </c>
      <c r="M299" s="604">
        <v>4869</v>
      </c>
      <c r="N299" s="603">
        <v>17476</v>
      </c>
      <c r="O299" s="604">
        <v>13587</v>
      </c>
      <c r="P299" s="595">
        <f t="shared" si="90"/>
        <v>40430</v>
      </c>
      <c r="Q299" s="595">
        <f t="shared" si="91"/>
        <v>1347.6666666666667</v>
      </c>
      <c r="R299" s="596">
        <f t="shared" si="92"/>
        <v>34505</v>
      </c>
      <c r="S299" s="596">
        <f t="shared" si="93"/>
        <v>1150.1666666666667</v>
      </c>
      <c r="T299" s="603">
        <v>5804</v>
      </c>
      <c r="U299" s="604">
        <v>5640</v>
      </c>
      <c r="V299" s="595">
        <f t="shared" si="94"/>
        <v>40430</v>
      </c>
      <c r="W299" s="596">
        <f t="shared" si="95"/>
        <v>34505</v>
      </c>
      <c r="X299" s="603"/>
      <c r="Y299" s="519"/>
      <c r="Z299" s="603">
        <v>88887</v>
      </c>
      <c r="AA299" s="604">
        <v>62483</v>
      </c>
      <c r="AB299" s="603">
        <v>49548</v>
      </c>
      <c r="AC299" s="604">
        <v>46493</v>
      </c>
      <c r="AD299" s="603">
        <v>114821</v>
      </c>
      <c r="AE299" s="604">
        <v>72317</v>
      </c>
      <c r="AF299" s="595">
        <f t="shared" si="96"/>
        <v>253256</v>
      </c>
      <c r="AG299" s="595">
        <f t="shared" si="97"/>
        <v>281.39555555555557</v>
      </c>
      <c r="AH299" s="596">
        <f t="shared" si="98"/>
        <v>181293</v>
      </c>
      <c r="AI299" s="596">
        <f t="shared" si="99"/>
        <v>201.43666666666667</v>
      </c>
      <c r="AJ299" s="603"/>
      <c r="AK299" s="519"/>
      <c r="AL299" s="595">
        <f t="shared" si="100"/>
        <v>0</v>
      </c>
      <c r="AM299" s="596">
        <f t="shared" si="101"/>
        <v>0</v>
      </c>
      <c r="AN299" s="603"/>
      <c r="AO299" s="519"/>
      <c r="AP299" s="603"/>
      <c r="AQ299" s="519"/>
      <c r="AR299" s="603"/>
      <c r="AS299" s="519"/>
      <c r="AT299" s="603"/>
      <c r="AU299" s="519"/>
      <c r="AV299" s="595">
        <f t="shared" si="102"/>
        <v>0</v>
      </c>
      <c r="AW299" s="595">
        <f t="shared" si="103"/>
        <v>0</v>
      </c>
      <c r="AX299" s="596">
        <f t="shared" si="104"/>
        <v>0</v>
      </c>
      <c r="AY299" s="596">
        <f t="shared" si="105"/>
        <v>0</v>
      </c>
      <c r="AZ299" s="595">
        <f t="shared" si="106"/>
        <v>1629.0622222222223</v>
      </c>
      <c r="BA299" s="596">
        <f t="shared" si="107"/>
        <v>1351.6033333333335</v>
      </c>
    </row>
    <row r="300" spans="1:53" customFormat="1" ht="15" customHeight="1">
      <c r="A300" s="426" t="s">
        <v>239</v>
      </c>
      <c r="B300" s="427" t="s">
        <v>278</v>
      </c>
      <c r="C300" s="428"/>
      <c r="D300" s="430">
        <v>198640</v>
      </c>
      <c r="E300" s="430">
        <v>10</v>
      </c>
      <c r="F300" s="592" t="s">
        <v>74</v>
      </c>
      <c r="G300" s="519"/>
      <c r="H300" s="603"/>
      <c r="I300" s="519"/>
      <c r="J300" s="603">
        <v>8809</v>
      </c>
      <c r="K300" s="604">
        <v>9578</v>
      </c>
      <c r="L300" s="603">
        <v>2022</v>
      </c>
      <c r="M300" s="604">
        <v>1785</v>
      </c>
      <c r="N300" s="603">
        <v>9890</v>
      </c>
      <c r="O300" s="604">
        <v>8088</v>
      </c>
      <c r="P300" s="595">
        <f t="shared" si="90"/>
        <v>20721</v>
      </c>
      <c r="Q300" s="595">
        <f t="shared" si="91"/>
        <v>690.7</v>
      </c>
      <c r="R300" s="596">
        <f t="shared" si="92"/>
        <v>19451</v>
      </c>
      <c r="S300" s="596">
        <f t="shared" si="93"/>
        <v>648.36666666666667</v>
      </c>
      <c r="T300" s="603">
        <v>6644</v>
      </c>
      <c r="U300" s="604">
        <v>7253</v>
      </c>
      <c r="V300" s="595">
        <f t="shared" si="94"/>
        <v>20721</v>
      </c>
      <c r="W300" s="596">
        <f t="shared" si="95"/>
        <v>19451</v>
      </c>
      <c r="X300" s="603"/>
      <c r="Y300" s="519"/>
      <c r="Z300" s="603">
        <v>89360</v>
      </c>
      <c r="AA300" s="604">
        <v>60942</v>
      </c>
      <c r="AB300" s="603">
        <v>35940</v>
      </c>
      <c r="AC300" s="555">
        <v>16440</v>
      </c>
      <c r="AD300" s="603">
        <v>90181</v>
      </c>
      <c r="AE300" s="604">
        <v>46401</v>
      </c>
      <c r="AF300" s="595">
        <f t="shared" si="96"/>
        <v>215481</v>
      </c>
      <c r="AG300" s="595">
        <f t="shared" si="97"/>
        <v>239.42333333333335</v>
      </c>
      <c r="AH300" s="596">
        <f t="shared" si="98"/>
        <v>123783</v>
      </c>
      <c r="AI300" s="596">
        <f t="shared" si="99"/>
        <v>137.53666666666666</v>
      </c>
      <c r="AJ300" s="603"/>
      <c r="AK300" s="519"/>
      <c r="AL300" s="595">
        <f t="shared" si="100"/>
        <v>0</v>
      </c>
      <c r="AM300" s="596">
        <f t="shared" si="101"/>
        <v>0</v>
      </c>
      <c r="AN300" s="603"/>
      <c r="AO300" s="519"/>
      <c r="AP300" s="603"/>
      <c r="AQ300" s="519"/>
      <c r="AR300" s="603"/>
      <c r="AS300" s="519"/>
      <c r="AT300" s="603"/>
      <c r="AU300" s="519"/>
      <c r="AV300" s="595">
        <f t="shared" si="102"/>
        <v>0</v>
      </c>
      <c r="AW300" s="595">
        <f t="shared" si="103"/>
        <v>0</v>
      </c>
      <c r="AX300" s="596">
        <f t="shared" si="104"/>
        <v>0</v>
      </c>
      <c r="AY300" s="596">
        <f t="shared" si="105"/>
        <v>0</v>
      </c>
      <c r="AZ300" s="595">
        <f t="shared" si="106"/>
        <v>930.12333333333345</v>
      </c>
      <c r="BA300" s="596">
        <f t="shared" si="107"/>
        <v>785.90333333333331</v>
      </c>
    </row>
    <row r="301" spans="1:53" customFormat="1" ht="15" customHeight="1">
      <c r="A301" s="426" t="s">
        <v>239</v>
      </c>
      <c r="B301" s="427" t="s">
        <v>279</v>
      </c>
      <c r="C301" s="432"/>
      <c r="D301" s="430">
        <v>198668</v>
      </c>
      <c r="E301" s="430">
        <v>10</v>
      </c>
      <c r="F301" s="592" t="s">
        <v>74</v>
      </c>
      <c r="G301" s="519"/>
      <c r="H301" s="603"/>
      <c r="I301" s="519"/>
      <c r="J301" s="603">
        <v>13637</v>
      </c>
      <c r="K301" s="604">
        <v>13779</v>
      </c>
      <c r="L301" s="603">
        <v>3073</v>
      </c>
      <c r="M301" s="604">
        <v>3087</v>
      </c>
      <c r="N301" s="603">
        <v>15363</v>
      </c>
      <c r="O301" s="604">
        <v>13908</v>
      </c>
      <c r="P301" s="595">
        <f t="shared" si="90"/>
        <v>32073</v>
      </c>
      <c r="Q301" s="595">
        <f t="shared" si="91"/>
        <v>1069.0999999999999</v>
      </c>
      <c r="R301" s="596">
        <f t="shared" si="92"/>
        <v>30774</v>
      </c>
      <c r="S301" s="596">
        <f t="shared" si="93"/>
        <v>1025.8</v>
      </c>
      <c r="T301" s="603">
        <v>6550</v>
      </c>
      <c r="U301" s="604">
        <v>6380</v>
      </c>
      <c r="V301" s="595">
        <f t="shared" si="94"/>
        <v>32073</v>
      </c>
      <c r="W301" s="596">
        <f t="shared" si="95"/>
        <v>30774</v>
      </c>
      <c r="X301" s="603"/>
      <c r="Y301" s="519"/>
      <c r="Z301" s="603">
        <v>74561</v>
      </c>
      <c r="AA301" s="604">
        <v>54841</v>
      </c>
      <c r="AB301" s="603">
        <v>36455</v>
      </c>
      <c r="AC301" s="604">
        <v>38593</v>
      </c>
      <c r="AD301" s="603">
        <v>71796</v>
      </c>
      <c r="AE301" s="604">
        <v>61555</v>
      </c>
      <c r="AF301" s="595">
        <f t="shared" si="96"/>
        <v>182812</v>
      </c>
      <c r="AG301" s="595">
        <f t="shared" si="97"/>
        <v>203.12444444444444</v>
      </c>
      <c r="AH301" s="596">
        <f t="shared" si="98"/>
        <v>154989</v>
      </c>
      <c r="AI301" s="596">
        <f t="shared" si="99"/>
        <v>172.21</v>
      </c>
      <c r="AJ301" s="603"/>
      <c r="AK301" s="519"/>
      <c r="AL301" s="595">
        <f t="shared" si="100"/>
        <v>0</v>
      </c>
      <c r="AM301" s="596">
        <f t="shared" si="101"/>
        <v>0</v>
      </c>
      <c r="AN301" s="603"/>
      <c r="AO301" s="519"/>
      <c r="AP301" s="603"/>
      <c r="AQ301" s="519"/>
      <c r="AR301" s="603"/>
      <c r="AS301" s="519"/>
      <c r="AT301" s="603"/>
      <c r="AU301" s="519"/>
      <c r="AV301" s="595">
        <f t="shared" si="102"/>
        <v>0</v>
      </c>
      <c r="AW301" s="595">
        <f t="shared" si="103"/>
        <v>0</v>
      </c>
      <c r="AX301" s="596">
        <f t="shared" si="104"/>
        <v>0</v>
      </c>
      <c r="AY301" s="596">
        <f t="shared" si="105"/>
        <v>0</v>
      </c>
      <c r="AZ301" s="595">
        <f t="shared" si="106"/>
        <v>1272.2244444444443</v>
      </c>
      <c r="BA301" s="596">
        <f t="shared" si="107"/>
        <v>1198.01</v>
      </c>
    </row>
    <row r="302" spans="1:53" customFormat="1" ht="15" customHeight="1">
      <c r="A302" s="426" t="s">
        <v>239</v>
      </c>
      <c r="B302" s="427" t="s">
        <v>280</v>
      </c>
      <c r="C302" s="432"/>
      <c r="D302" s="430">
        <v>198710</v>
      </c>
      <c r="E302" s="430">
        <v>10</v>
      </c>
      <c r="F302" s="592" t="s">
        <v>74</v>
      </c>
      <c r="G302" s="519"/>
      <c r="H302" s="603"/>
      <c r="I302" s="519"/>
      <c r="J302" s="603">
        <v>17832</v>
      </c>
      <c r="K302" s="604">
        <v>19862</v>
      </c>
      <c r="L302" s="603">
        <v>5883</v>
      </c>
      <c r="M302" s="604">
        <v>5672</v>
      </c>
      <c r="N302" s="603">
        <v>19920</v>
      </c>
      <c r="O302" s="604">
        <v>20169</v>
      </c>
      <c r="P302" s="595">
        <f t="shared" si="90"/>
        <v>43635</v>
      </c>
      <c r="Q302" s="595">
        <f t="shared" si="91"/>
        <v>1454.5</v>
      </c>
      <c r="R302" s="596">
        <f t="shared" si="92"/>
        <v>45703</v>
      </c>
      <c r="S302" s="596">
        <f t="shared" si="93"/>
        <v>1523.4333333333334</v>
      </c>
      <c r="T302" s="603">
        <v>13343</v>
      </c>
      <c r="U302" s="604">
        <v>13992</v>
      </c>
      <c r="V302" s="595">
        <f t="shared" si="94"/>
        <v>43635</v>
      </c>
      <c r="W302" s="596">
        <f t="shared" si="95"/>
        <v>45703</v>
      </c>
      <c r="X302" s="603"/>
      <c r="Y302" s="519"/>
      <c r="Z302" s="603">
        <v>71947</v>
      </c>
      <c r="AA302" s="604">
        <v>54050</v>
      </c>
      <c r="AB302" s="603">
        <v>38187</v>
      </c>
      <c r="AC302" s="604">
        <v>27141</v>
      </c>
      <c r="AD302" s="603">
        <v>64682</v>
      </c>
      <c r="AE302" s="604">
        <v>50967</v>
      </c>
      <c r="AF302" s="595">
        <f t="shared" si="96"/>
        <v>174816</v>
      </c>
      <c r="AG302" s="595">
        <f t="shared" si="97"/>
        <v>194.24</v>
      </c>
      <c r="AH302" s="596">
        <f t="shared" si="98"/>
        <v>132158</v>
      </c>
      <c r="AI302" s="596">
        <f t="shared" si="99"/>
        <v>146.84222222222223</v>
      </c>
      <c r="AJ302" s="603"/>
      <c r="AK302" s="519"/>
      <c r="AL302" s="595">
        <f t="shared" si="100"/>
        <v>0</v>
      </c>
      <c r="AM302" s="596">
        <f t="shared" si="101"/>
        <v>0</v>
      </c>
      <c r="AN302" s="603"/>
      <c r="AO302" s="519"/>
      <c r="AP302" s="603"/>
      <c r="AQ302" s="519"/>
      <c r="AR302" s="603"/>
      <c r="AS302" s="519"/>
      <c r="AT302" s="603"/>
      <c r="AU302" s="519"/>
      <c r="AV302" s="595">
        <f t="shared" si="102"/>
        <v>0</v>
      </c>
      <c r="AW302" s="595">
        <f t="shared" si="103"/>
        <v>0</v>
      </c>
      <c r="AX302" s="596">
        <f t="shared" si="104"/>
        <v>0</v>
      </c>
      <c r="AY302" s="596">
        <f t="shared" si="105"/>
        <v>0</v>
      </c>
      <c r="AZ302" s="595">
        <f t="shared" si="106"/>
        <v>1648.74</v>
      </c>
      <c r="BA302" s="596">
        <f t="shared" si="107"/>
        <v>1670.2755555555557</v>
      </c>
    </row>
    <row r="303" spans="1:53" customFormat="1" ht="15" customHeight="1">
      <c r="A303" s="426" t="s">
        <v>239</v>
      </c>
      <c r="B303" s="427" t="s">
        <v>281</v>
      </c>
      <c r="C303" s="428"/>
      <c r="D303" s="430">
        <v>198729</v>
      </c>
      <c r="E303" s="430">
        <v>10</v>
      </c>
      <c r="F303" s="592" t="s">
        <v>74</v>
      </c>
      <c r="G303" s="519"/>
      <c r="H303" s="603"/>
      <c r="I303" s="519"/>
      <c r="J303" s="603">
        <v>10442</v>
      </c>
      <c r="K303" s="604">
        <v>11187</v>
      </c>
      <c r="L303" s="603">
        <v>3403</v>
      </c>
      <c r="M303" s="604">
        <v>3558</v>
      </c>
      <c r="N303" s="603">
        <v>11671</v>
      </c>
      <c r="O303" s="604">
        <v>10933</v>
      </c>
      <c r="P303" s="595">
        <f t="shared" si="90"/>
        <v>25516</v>
      </c>
      <c r="Q303" s="595">
        <f t="shared" si="91"/>
        <v>850.5333333333333</v>
      </c>
      <c r="R303" s="596">
        <f t="shared" si="92"/>
        <v>25678</v>
      </c>
      <c r="S303" s="596">
        <f t="shared" si="93"/>
        <v>855.93333333333328</v>
      </c>
      <c r="T303" s="603">
        <v>7506</v>
      </c>
      <c r="U303" s="604">
        <v>7655</v>
      </c>
      <c r="V303" s="595">
        <f t="shared" si="94"/>
        <v>25516</v>
      </c>
      <c r="W303" s="596">
        <f t="shared" si="95"/>
        <v>25678</v>
      </c>
      <c r="X303" s="603"/>
      <c r="Y303" s="519"/>
      <c r="Z303" s="603">
        <v>41421</v>
      </c>
      <c r="AA303" s="556">
        <v>85460</v>
      </c>
      <c r="AB303" s="603">
        <v>39164</v>
      </c>
      <c r="AC303" s="604">
        <v>46374</v>
      </c>
      <c r="AD303" s="603">
        <v>62795</v>
      </c>
      <c r="AE303" s="604">
        <v>89255</v>
      </c>
      <c r="AF303" s="595">
        <f t="shared" si="96"/>
        <v>143380</v>
      </c>
      <c r="AG303" s="595">
        <f t="shared" si="97"/>
        <v>159.3111111111111</v>
      </c>
      <c r="AH303" s="596">
        <f t="shared" si="98"/>
        <v>221089</v>
      </c>
      <c r="AI303" s="596">
        <f t="shared" si="99"/>
        <v>245.65444444444444</v>
      </c>
      <c r="AJ303" s="603"/>
      <c r="AK303" s="519"/>
      <c r="AL303" s="595">
        <f t="shared" si="100"/>
        <v>0</v>
      </c>
      <c r="AM303" s="596">
        <f t="shared" si="101"/>
        <v>0</v>
      </c>
      <c r="AN303" s="603"/>
      <c r="AO303" s="519"/>
      <c r="AP303" s="603"/>
      <c r="AQ303" s="519"/>
      <c r="AR303" s="603"/>
      <c r="AS303" s="519"/>
      <c r="AT303" s="603"/>
      <c r="AU303" s="519"/>
      <c r="AV303" s="595">
        <f t="shared" si="102"/>
        <v>0</v>
      </c>
      <c r="AW303" s="595">
        <f t="shared" si="103"/>
        <v>0</v>
      </c>
      <c r="AX303" s="596">
        <f t="shared" si="104"/>
        <v>0</v>
      </c>
      <c r="AY303" s="596">
        <f t="shared" si="105"/>
        <v>0</v>
      </c>
      <c r="AZ303" s="595">
        <f t="shared" si="106"/>
        <v>1009.8444444444444</v>
      </c>
      <c r="BA303" s="596">
        <f t="shared" si="107"/>
        <v>1101.5877777777778</v>
      </c>
    </row>
    <row r="304" spans="1:53" customFormat="1" ht="15" customHeight="1">
      <c r="A304" s="426" t="s">
        <v>239</v>
      </c>
      <c r="B304" s="427" t="s">
        <v>282</v>
      </c>
      <c r="C304" s="428"/>
      <c r="D304" s="430">
        <v>198905</v>
      </c>
      <c r="E304" s="430">
        <v>10</v>
      </c>
      <c r="F304" s="592" t="s">
        <v>74</v>
      </c>
      <c r="G304" s="519"/>
      <c r="H304" s="603"/>
      <c r="I304" s="519"/>
      <c r="J304" s="603">
        <v>6437</v>
      </c>
      <c r="K304" s="604">
        <v>7961</v>
      </c>
      <c r="L304" s="603">
        <v>1381</v>
      </c>
      <c r="M304" s="604">
        <v>1646</v>
      </c>
      <c r="N304" s="603">
        <v>7864</v>
      </c>
      <c r="O304" s="604">
        <v>8062</v>
      </c>
      <c r="P304" s="595">
        <f t="shared" si="90"/>
        <v>15682</v>
      </c>
      <c r="Q304" s="595">
        <f t="shared" si="91"/>
        <v>522.73333333333335</v>
      </c>
      <c r="R304" s="596">
        <f t="shared" si="92"/>
        <v>17669</v>
      </c>
      <c r="S304" s="596">
        <f t="shared" si="93"/>
        <v>588.9666666666667</v>
      </c>
      <c r="T304" s="603">
        <v>8637</v>
      </c>
      <c r="U304" s="604">
        <v>9788</v>
      </c>
      <c r="V304" s="595">
        <f t="shared" si="94"/>
        <v>15682</v>
      </c>
      <c r="W304" s="596">
        <f t="shared" si="95"/>
        <v>17669</v>
      </c>
      <c r="X304" s="603"/>
      <c r="Y304" s="519"/>
      <c r="Z304" s="603">
        <v>50245</v>
      </c>
      <c r="AA304" s="604">
        <v>43282</v>
      </c>
      <c r="AB304" s="603">
        <v>14794</v>
      </c>
      <c r="AC304" s="604">
        <v>8406</v>
      </c>
      <c r="AD304" s="603">
        <v>45630</v>
      </c>
      <c r="AE304" s="604">
        <v>31625</v>
      </c>
      <c r="AF304" s="595">
        <f t="shared" si="96"/>
        <v>110669</v>
      </c>
      <c r="AG304" s="595">
        <f t="shared" si="97"/>
        <v>122.96555555555555</v>
      </c>
      <c r="AH304" s="596">
        <f t="shared" si="98"/>
        <v>83313</v>
      </c>
      <c r="AI304" s="596">
        <f t="shared" si="99"/>
        <v>92.57</v>
      </c>
      <c r="AJ304" s="603"/>
      <c r="AK304" s="519"/>
      <c r="AL304" s="595">
        <f t="shared" si="100"/>
        <v>0</v>
      </c>
      <c r="AM304" s="596">
        <f t="shared" si="101"/>
        <v>0</v>
      </c>
      <c r="AN304" s="603"/>
      <c r="AO304" s="519"/>
      <c r="AP304" s="603"/>
      <c r="AQ304" s="519"/>
      <c r="AR304" s="603"/>
      <c r="AS304" s="519"/>
      <c r="AT304" s="603"/>
      <c r="AU304" s="519"/>
      <c r="AV304" s="595">
        <f t="shared" si="102"/>
        <v>0</v>
      </c>
      <c r="AW304" s="595">
        <f t="shared" si="103"/>
        <v>0</v>
      </c>
      <c r="AX304" s="596">
        <f t="shared" si="104"/>
        <v>0</v>
      </c>
      <c r="AY304" s="596">
        <f t="shared" si="105"/>
        <v>0</v>
      </c>
      <c r="AZ304" s="595">
        <f t="shared" si="106"/>
        <v>645.69888888888886</v>
      </c>
      <c r="BA304" s="596">
        <f t="shared" si="107"/>
        <v>681.53666666666663</v>
      </c>
    </row>
    <row r="305" spans="1:53" customFormat="1" ht="15" customHeight="1">
      <c r="A305" s="426" t="s">
        <v>239</v>
      </c>
      <c r="B305" s="427" t="s">
        <v>283</v>
      </c>
      <c r="C305" s="428"/>
      <c r="D305" s="430">
        <v>198914</v>
      </c>
      <c r="E305" s="430">
        <v>10</v>
      </c>
      <c r="F305" s="592" t="s">
        <v>74</v>
      </c>
      <c r="G305" s="519"/>
      <c r="H305" s="603"/>
      <c r="I305" s="519"/>
      <c r="J305" s="603">
        <v>8903</v>
      </c>
      <c r="K305" s="604">
        <v>8257</v>
      </c>
      <c r="L305" s="603">
        <v>1261</v>
      </c>
      <c r="M305" s="604">
        <v>1338</v>
      </c>
      <c r="N305" s="603">
        <v>9077</v>
      </c>
      <c r="O305" s="604">
        <v>8309</v>
      </c>
      <c r="P305" s="595">
        <f t="shared" si="90"/>
        <v>19241</v>
      </c>
      <c r="Q305" s="595">
        <f t="shared" si="91"/>
        <v>641.36666666666667</v>
      </c>
      <c r="R305" s="596">
        <f t="shared" si="92"/>
        <v>17904</v>
      </c>
      <c r="S305" s="596">
        <f t="shared" si="93"/>
        <v>596.79999999999995</v>
      </c>
      <c r="T305" s="603">
        <v>7964</v>
      </c>
      <c r="U305" s="604">
        <v>7003</v>
      </c>
      <c r="V305" s="595">
        <f t="shared" si="94"/>
        <v>19241</v>
      </c>
      <c r="W305" s="596">
        <f t="shared" si="95"/>
        <v>17904</v>
      </c>
      <c r="X305" s="603"/>
      <c r="Y305" s="519"/>
      <c r="Z305" s="603">
        <v>141236</v>
      </c>
      <c r="AA305" s="604">
        <v>104456</v>
      </c>
      <c r="AB305" s="603">
        <v>96025</v>
      </c>
      <c r="AC305" s="555">
        <v>17529</v>
      </c>
      <c r="AD305" s="603">
        <v>148269</v>
      </c>
      <c r="AE305" s="555">
        <v>45222</v>
      </c>
      <c r="AF305" s="595">
        <f t="shared" si="96"/>
        <v>385530</v>
      </c>
      <c r="AG305" s="595">
        <f t="shared" si="97"/>
        <v>428.36666666666667</v>
      </c>
      <c r="AH305" s="596">
        <f t="shared" si="98"/>
        <v>167207</v>
      </c>
      <c r="AI305" s="596">
        <f t="shared" si="99"/>
        <v>185.78555555555556</v>
      </c>
      <c r="AJ305" s="603"/>
      <c r="AK305" s="519"/>
      <c r="AL305" s="595">
        <f t="shared" si="100"/>
        <v>0</v>
      </c>
      <c r="AM305" s="596">
        <f t="shared" si="101"/>
        <v>0</v>
      </c>
      <c r="AN305" s="603"/>
      <c r="AO305" s="519"/>
      <c r="AP305" s="603"/>
      <c r="AQ305" s="519"/>
      <c r="AR305" s="603"/>
      <c r="AS305" s="519"/>
      <c r="AT305" s="603"/>
      <c r="AU305" s="519"/>
      <c r="AV305" s="595">
        <f t="shared" si="102"/>
        <v>0</v>
      </c>
      <c r="AW305" s="595">
        <f t="shared" si="103"/>
        <v>0</v>
      </c>
      <c r="AX305" s="596">
        <f t="shared" si="104"/>
        <v>0</v>
      </c>
      <c r="AY305" s="596">
        <f t="shared" si="105"/>
        <v>0</v>
      </c>
      <c r="AZ305" s="595">
        <f t="shared" si="106"/>
        <v>1069.7333333333333</v>
      </c>
      <c r="BA305" s="596">
        <f t="shared" si="107"/>
        <v>782.58555555555552</v>
      </c>
    </row>
    <row r="306" spans="1:53" customFormat="1" ht="15" customHeight="1">
      <c r="A306" s="426" t="s">
        <v>239</v>
      </c>
      <c r="B306" s="427" t="s">
        <v>284</v>
      </c>
      <c r="C306" s="428"/>
      <c r="D306" s="430">
        <v>198923</v>
      </c>
      <c r="E306" s="430">
        <v>10</v>
      </c>
      <c r="F306" s="592" t="s">
        <v>74</v>
      </c>
      <c r="G306" s="519"/>
      <c r="H306" s="603"/>
      <c r="I306" s="519"/>
      <c r="J306" s="603">
        <v>8237</v>
      </c>
      <c r="K306" s="604">
        <v>8875</v>
      </c>
      <c r="L306" s="603">
        <v>2528</v>
      </c>
      <c r="M306" s="604">
        <v>2503</v>
      </c>
      <c r="N306" s="603">
        <v>10208</v>
      </c>
      <c r="O306" s="604">
        <v>9287</v>
      </c>
      <c r="P306" s="595">
        <f t="shared" si="90"/>
        <v>20973</v>
      </c>
      <c r="Q306" s="595">
        <f t="shared" si="91"/>
        <v>699.1</v>
      </c>
      <c r="R306" s="596">
        <f t="shared" si="92"/>
        <v>20665</v>
      </c>
      <c r="S306" s="596">
        <f t="shared" si="93"/>
        <v>688.83333333333337</v>
      </c>
      <c r="T306" s="603">
        <v>8208</v>
      </c>
      <c r="U306" s="604">
        <v>8251</v>
      </c>
      <c r="V306" s="595">
        <f t="shared" si="94"/>
        <v>20973</v>
      </c>
      <c r="W306" s="596">
        <f t="shared" si="95"/>
        <v>20665</v>
      </c>
      <c r="X306" s="603"/>
      <c r="Y306" s="519"/>
      <c r="Z306" s="603">
        <v>78787</v>
      </c>
      <c r="AA306" s="555">
        <v>34558</v>
      </c>
      <c r="AB306" s="603">
        <v>55161</v>
      </c>
      <c r="AC306" s="555">
        <v>22287</v>
      </c>
      <c r="AD306" s="603">
        <v>60480</v>
      </c>
      <c r="AE306" s="604">
        <v>34915</v>
      </c>
      <c r="AF306" s="595">
        <f t="shared" si="96"/>
        <v>194428</v>
      </c>
      <c r="AG306" s="595">
        <f t="shared" si="97"/>
        <v>216.0311111111111</v>
      </c>
      <c r="AH306" s="596">
        <f t="shared" si="98"/>
        <v>91760</v>
      </c>
      <c r="AI306" s="596">
        <f t="shared" si="99"/>
        <v>101.95555555555555</v>
      </c>
      <c r="AJ306" s="603"/>
      <c r="AK306" s="519"/>
      <c r="AL306" s="595">
        <f t="shared" si="100"/>
        <v>0</v>
      </c>
      <c r="AM306" s="596">
        <f t="shared" si="101"/>
        <v>0</v>
      </c>
      <c r="AN306" s="603"/>
      <c r="AO306" s="519"/>
      <c r="AP306" s="603"/>
      <c r="AQ306" s="519"/>
      <c r="AR306" s="603"/>
      <c r="AS306" s="519"/>
      <c r="AT306" s="603"/>
      <c r="AU306" s="519"/>
      <c r="AV306" s="595">
        <f t="shared" si="102"/>
        <v>0</v>
      </c>
      <c r="AW306" s="595">
        <f t="shared" si="103"/>
        <v>0</v>
      </c>
      <c r="AX306" s="596">
        <f t="shared" si="104"/>
        <v>0</v>
      </c>
      <c r="AY306" s="596">
        <f t="shared" si="105"/>
        <v>0</v>
      </c>
      <c r="AZ306" s="595">
        <f t="shared" si="106"/>
        <v>915.13111111111107</v>
      </c>
      <c r="BA306" s="596">
        <f t="shared" si="107"/>
        <v>790.78888888888889</v>
      </c>
    </row>
    <row r="307" spans="1:53" customFormat="1" ht="15" customHeight="1">
      <c r="A307" s="426" t="s">
        <v>239</v>
      </c>
      <c r="B307" s="427" t="s">
        <v>285</v>
      </c>
      <c r="C307" s="428"/>
      <c r="D307" s="430">
        <v>199023</v>
      </c>
      <c r="E307" s="430">
        <v>10</v>
      </c>
      <c r="F307" s="592" t="s">
        <v>74</v>
      </c>
      <c r="G307" s="519"/>
      <c r="H307" s="603"/>
      <c r="I307" s="519"/>
      <c r="J307" s="603">
        <v>7125</v>
      </c>
      <c r="K307" s="604">
        <v>8348.5</v>
      </c>
      <c r="L307" s="603">
        <v>1412</v>
      </c>
      <c r="M307" s="604">
        <v>1322</v>
      </c>
      <c r="N307" s="603">
        <v>9553</v>
      </c>
      <c r="O307" s="604">
        <v>7721.5</v>
      </c>
      <c r="P307" s="595">
        <f t="shared" si="90"/>
        <v>18090</v>
      </c>
      <c r="Q307" s="595">
        <f t="shared" si="91"/>
        <v>603</v>
      </c>
      <c r="R307" s="596">
        <f t="shared" si="92"/>
        <v>17392</v>
      </c>
      <c r="S307" s="596">
        <f t="shared" si="93"/>
        <v>579.73333333333335</v>
      </c>
      <c r="T307" s="603">
        <v>5998</v>
      </c>
      <c r="U307" s="604">
        <v>5766</v>
      </c>
      <c r="V307" s="595">
        <f t="shared" si="94"/>
        <v>18090</v>
      </c>
      <c r="W307" s="596">
        <f t="shared" si="95"/>
        <v>17392</v>
      </c>
      <c r="X307" s="603"/>
      <c r="Y307" s="519"/>
      <c r="Z307" s="603">
        <v>49962</v>
      </c>
      <c r="AA307" s="604">
        <v>47705</v>
      </c>
      <c r="AB307" s="603">
        <v>26048</v>
      </c>
      <c r="AC307" s="604">
        <v>20038</v>
      </c>
      <c r="AD307" s="603">
        <v>48729</v>
      </c>
      <c r="AE307" s="604">
        <v>53986</v>
      </c>
      <c r="AF307" s="595">
        <f t="shared" si="96"/>
        <v>124739</v>
      </c>
      <c r="AG307" s="595">
        <f t="shared" si="97"/>
        <v>138.59888888888889</v>
      </c>
      <c r="AH307" s="596">
        <f t="shared" si="98"/>
        <v>121729</v>
      </c>
      <c r="AI307" s="596">
        <f t="shared" si="99"/>
        <v>135.25444444444443</v>
      </c>
      <c r="AJ307" s="603"/>
      <c r="AK307" s="519"/>
      <c r="AL307" s="595">
        <f t="shared" si="100"/>
        <v>0</v>
      </c>
      <c r="AM307" s="596">
        <f t="shared" si="101"/>
        <v>0</v>
      </c>
      <c r="AN307" s="603"/>
      <c r="AO307" s="519"/>
      <c r="AP307" s="603"/>
      <c r="AQ307" s="519"/>
      <c r="AR307" s="603"/>
      <c r="AS307" s="519"/>
      <c r="AT307" s="603"/>
      <c r="AU307" s="519"/>
      <c r="AV307" s="595">
        <f t="shared" si="102"/>
        <v>0</v>
      </c>
      <c r="AW307" s="595">
        <f t="shared" si="103"/>
        <v>0</v>
      </c>
      <c r="AX307" s="596">
        <f t="shared" si="104"/>
        <v>0</v>
      </c>
      <c r="AY307" s="596">
        <f t="shared" si="105"/>
        <v>0</v>
      </c>
      <c r="AZ307" s="595">
        <f t="shared" si="106"/>
        <v>741.59888888888895</v>
      </c>
      <c r="BA307" s="596">
        <f t="shared" si="107"/>
        <v>714.98777777777775</v>
      </c>
    </row>
    <row r="308" spans="1:53" customFormat="1" ht="15" customHeight="1">
      <c r="A308" s="426" t="s">
        <v>239</v>
      </c>
      <c r="B308" s="427" t="s">
        <v>286</v>
      </c>
      <c r="C308" s="428"/>
      <c r="D308" s="430">
        <v>199263</v>
      </c>
      <c r="E308" s="430">
        <v>10</v>
      </c>
      <c r="F308" s="592" t="s">
        <v>74</v>
      </c>
      <c r="G308" s="519"/>
      <c r="H308" s="603"/>
      <c r="I308" s="519"/>
      <c r="J308" s="603">
        <v>3609</v>
      </c>
      <c r="K308" s="555">
        <v>5565</v>
      </c>
      <c r="L308" s="603">
        <v>1982</v>
      </c>
      <c r="M308" s="604">
        <v>1853</v>
      </c>
      <c r="N308" s="603">
        <v>5045</v>
      </c>
      <c r="O308" s="604">
        <v>3637</v>
      </c>
      <c r="P308" s="595">
        <f t="shared" si="90"/>
        <v>10636</v>
      </c>
      <c r="Q308" s="595">
        <f t="shared" si="91"/>
        <v>354.53333333333336</v>
      </c>
      <c r="R308" s="596">
        <f t="shared" si="92"/>
        <v>11055</v>
      </c>
      <c r="S308" s="596">
        <f t="shared" si="93"/>
        <v>368.5</v>
      </c>
      <c r="T308" s="603">
        <v>1864</v>
      </c>
      <c r="U308" s="604">
        <v>1817</v>
      </c>
      <c r="V308" s="595">
        <f t="shared" si="94"/>
        <v>10636</v>
      </c>
      <c r="W308" s="596">
        <f t="shared" si="95"/>
        <v>11055</v>
      </c>
      <c r="X308" s="603"/>
      <c r="Y308" s="519"/>
      <c r="Z308" s="603">
        <v>23452</v>
      </c>
      <c r="AA308" s="604">
        <v>27143</v>
      </c>
      <c r="AB308" s="603">
        <v>19331</v>
      </c>
      <c r="AC308" s="604">
        <v>17117</v>
      </c>
      <c r="AD308" s="603">
        <v>28806</v>
      </c>
      <c r="AE308" s="604">
        <v>34509</v>
      </c>
      <c r="AF308" s="595">
        <f t="shared" si="96"/>
        <v>71589</v>
      </c>
      <c r="AG308" s="595">
        <f t="shared" si="97"/>
        <v>79.543333333333337</v>
      </c>
      <c r="AH308" s="596">
        <f t="shared" si="98"/>
        <v>78769</v>
      </c>
      <c r="AI308" s="596">
        <f t="shared" si="99"/>
        <v>87.521111111111111</v>
      </c>
      <c r="AJ308" s="603"/>
      <c r="AK308" s="519"/>
      <c r="AL308" s="595">
        <f t="shared" si="100"/>
        <v>0</v>
      </c>
      <c r="AM308" s="596">
        <f t="shared" si="101"/>
        <v>0</v>
      </c>
      <c r="AN308" s="603"/>
      <c r="AO308" s="519"/>
      <c r="AP308" s="603"/>
      <c r="AQ308" s="519"/>
      <c r="AR308" s="603"/>
      <c r="AS308" s="519"/>
      <c r="AT308" s="603"/>
      <c r="AU308" s="519"/>
      <c r="AV308" s="595">
        <f t="shared" si="102"/>
        <v>0</v>
      </c>
      <c r="AW308" s="595">
        <f t="shared" si="103"/>
        <v>0</v>
      </c>
      <c r="AX308" s="596">
        <f t="shared" si="104"/>
        <v>0</v>
      </c>
      <c r="AY308" s="596">
        <f t="shared" si="105"/>
        <v>0</v>
      </c>
      <c r="AZ308" s="595">
        <f t="shared" si="106"/>
        <v>434.07666666666671</v>
      </c>
      <c r="BA308" s="596">
        <f t="shared" si="107"/>
        <v>456.02111111111111</v>
      </c>
    </row>
    <row r="309" spans="1:53" customFormat="1" ht="15" customHeight="1">
      <c r="A309" s="426" t="s">
        <v>239</v>
      </c>
      <c r="B309" s="427" t="s">
        <v>287</v>
      </c>
      <c r="C309" s="428"/>
      <c r="D309" s="430">
        <v>199324</v>
      </c>
      <c r="E309" s="430">
        <v>10</v>
      </c>
      <c r="F309" s="592" t="s">
        <v>74</v>
      </c>
      <c r="G309" s="519"/>
      <c r="H309" s="603"/>
      <c r="I309" s="519"/>
      <c r="J309" s="603">
        <v>9488.5</v>
      </c>
      <c r="K309" s="604">
        <v>11116.5</v>
      </c>
      <c r="L309" s="603">
        <v>1949</v>
      </c>
      <c r="M309" s="604">
        <v>1927.5</v>
      </c>
      <c r="N309" s="603">
        <v>12298.5</v>
      </c>
      <c r="O309" s="604">
        <v>11416.5</v>
      </c>
      <c r="P309" s="595">
        <f t="shared" si="90"/>
        <v>23736</v>
      </c>
      <c r="Q309" s="595">
        <f t="shared" si="91"/>
        <v>791.2</v>
      </c>
      <c r="R309" s="596">
        <f t="shared" si="92"/>
        <v>24460.5</v>
      </c>
      <c r="S309" s="596">
        <f t="shared" si="93"/>
        <v>815.35</v>
      </c>
      <c r="T309" s="603">
        <v>6194</v>
      </c>
      <c r="U309" s="604">
        <v>7899.5</v>
      </c>
      <c r="V309" s="595">
        <f t="shared" si="94"/>
        <v>23736</v>
      </c>
      <c r="W309" s="596">
        <f t="shared" si="95"/>
        <v>24460.5</v>
      </c>
      <c r="X309" s="603"/>
      <c r="Y309" s="519"/>
      <c r="Z309" s="603">
        <v>141940</v>
      </c>
      <c r="AA309" s="604">
        <v>103711</v>
      </c>
      <c r="AB309" s="603">
        <v>74694</v>
      </c>
      <c r="AC309" s="555">
        <v>29473</v>
      </c>
      <c r="AD309" s="603">
        <v>129261</v>
      </c>
      <c r="AE309" s="555">
        <v>56753</v>
      </c>
      <c r="AF309" s="595">
        <f t="shared" si="96"/>
        <v>345895</v>
      </c>
      <c r="AG309" s="595">
        <f t="shared" si="97"/>
        <v>384.32777777777778</v>
      </c>
      <c r="AH309" s="596">
        <f t="shared" si="98"/>
        <v>189937</v>
      </c>
      <c r="AI309" s="596">
        <f t="shared" si="99"/>
        <v>211.04111111111112</v>
      </c>
      <c r="AJ309" s="603"/>
      <c r="AK309" s="519"/>
      <c r="AL309" s="595">
        <f t="shared" si="100"/>
        <v>0</v>
      </c>
      <c r="AM309" s="596">
        <f t="shared" si="101"/>
        <v>0</v>
      </c>
      <c r="AN309" s="603"/>
      <c r="AO309" s="519"/>
      <c r="AP309" s="603"/>
      <c r="AQ309" s="519"/>
      <c r="AR309" s="603"/>
      <c r="AS309" s="519"/>
      <c r="AT309" s="603"/>
      <c r="AU309" s="519"/>
      <c r="AV309" s="595">
        <f t="shared" si="102"/>
        <v>0</v>
      </c>
      <c r="AW309" s="595">
        <f t="shared" si="103"/>
        <v>0</v>
      </c>
      <c r="AX309" s="596">
        <f t="shared" si="104"/>
        <v>0</v>
      </c>
      <c r="AY309" s="596">
        <f t="shared" si="105"/>
        <v>0</v>
      </c>
      <c r="AZ309" s="595">
        <f t="shared" si="106"/>
        <v>1175.5277777777778</v>
      </c>
      <c r="BA309" s="596">
        <f t="shared" si="107"/>
        <v>1026.3911111111111</v>
      </c>
    </row>
    <row r="310" spans="1:53" customFormat="1" ht="15" customHeight="1">
      <c r="A310" s="426" t="s">
        <v>239</v>
      </c>
      <c r="B310" s="427" t="s">
        <v>288</v>
      </c>
      <c r="C310" s="428"/>
      <c r="D310" s="430">
        <v>199467</v>
      </c>
      <c r="E310" s="430">
        <v>10</v>
      </c>
      <c r="F310" s="592" t="s">
        <v>74</v>
      </c>
      <c r="G310" s="519"/>
      <c r="H310" s="603"/>
      <c r="I310" s="519"/>
      <c r="J310" s="603">
        <v>5831</v>
      </c>
      <c r="K310" s="604">
        <v>4848</v>
      </c>
      <c r="L310" s="603">
        <v>851</v>
      </c>
      <c r="M310" s="604">
        <v>1106</v>
      </c>
      <c r="N310" s="603">
        <v>5901</v>
      </c>
      <c r="O310" s="604">
        <v>4398</v>
      </c>
      <c r="P310" s="595">
        <f t="shared" si="90"/>
        <v>12583</v>
      </c>
      <c r="Q310" s="595">
        <f t="shared" si="91"/>
        <v>419.43333333333334</v>
      </c>
      <c r="R310" s="596">
        <f t="shared" si="92"/>
        <v>10352</v>
      </c>
      <c r="S310" s="596">
        <f t="shared" si="93"/>
        <v>345.06666666666666</v>
      </c>
      <c r="T310" s="603">
        <v>4747</v>
      </c>
      <c r="U310" s="604">
        <v>4751</v>
      </c>
      <c r="V310" s="595">
        <f t="shared" si="94"/>
        <v>12583</v>
      </c>
      <c r="W310" s="596">
        <f t="shared" si="95"/>
        <v>10352</v>
      </c>
      <c r="X310" s="603"/>
      <c r="Y310" s="519"/>
      <c r="Z310" s="603">
        <v>56374</v>
      </c>
      <c r="AA310" s="555">
        <v>27585</v>
      </c>
      <c r="AB310" s="603">
        <v>38707</v>
      </c>
      <c r="AC310" s="555">
        <v>14430</v>
      </c>
      <c r="AD310" s="603">
        <v>40985</v>
      </c>
      <c r="AE310" s="604">
        <v>23466</v>
      </c>
      <c r="AF310" s="595">
        <f t="shared" si="96"/>
        <v>136066</v>
      </c>
      <c r="AG310" s="595">
        <f t="shared" si="97"/>
        <v>151.18444444444444</v>
      </c>
      <c r="AH310" s="596">
        <f t="shared" si="98"/>
        <v>65481</v>
      </c>
      <c r="AI310" s="596">
        <f t="shared" si="99"/>
        <v>72.756666666666661</v>
      </c>
      <c r="AJ310" s="603"/>
      <c r="AK310" s="519"/>
      <c r="AL310" s="595">
        <f t="shared" si="100"/>
        <v>0</v>
      </c>
      <c r="AM310" s="596">
        <f t="shared" si="101"/>
        <v>0</v>
      </c>
      <c r="AN310" s="603"/>
      <c r="AO310" s="519"/>
      <c r="AP310" s="603"/>
      <c r="AQ310" s="519"/>
      <c r="AR310" s="603"/>
      <c r="AS310" s="519"/>
      <c r="AT310" s="603"/>
      <c r="AU310" s="519"/>
      <c r="AV310" s="595">
        <f t="shared" si="102"/>
        <v>0</v>
      </c>
      <c r="AW310" s="595">
        <f t="shared" si="103"/>
        <v>0</v>
      </c>
      <c r="AX310" s="596">
        <f t="shared" si="104"/>
        <v>0</v>
      </c>
      <c r="AY310" s="596">
        <f t="shared" si="105"/>
        <v>0</v>
      </c>
      <c r="AZ310" s="595">
        <f t="shared" si="106"/>
        <v>570.61777777777775</v>
      </c>
      <c r="BA310" s="596">
        <f t="shared" si="107"/>
        <v>417.82333333333332</v>
      </c>
    </row>
    <row r="311" spans="1:53" customFormat="1" ht="15" customHeight="1">
      <c r="A311" s="426" t="s">
        <v>239</v>
      </c>
      <c r="B311" s="427" t="s">
        <v>265</v>
      </c>
      <c r="C311" s="557" t="s">
        <v>920</v>
      </c>
      <c r="D311" s="430">
        <v>199476</v>
      </c>
      <c r="E311" s="430">
        <v>10</v>
      </c>
      <c r="F311" s="592" t="s">
        <v>74</v>
      </c>
      <c r="G311" s="519"/>
      <c r="H311" s="603"/>
      <c r="I311" s="519"/>
      <c r="J311" s="603">
        <v>15113</v>
      </c>
      <c r="K311" s="604">
        <v>17552</v>
      </c>
      <c r="L311" s="603">
        <v>4020</v>
      </c>
      <c r="M311" s="604">
        <v>4955</v>
      </c>
      <c r="N311" s="603">
        <v>18785</v>
      </c>
      <c r="O311" s="604">
        <v>18778</v>
      </c>
      <c r="P311" s="595">
        <f t="shared" si="90"/>
        <v>37918</v>
      </c>
      <c r="Q311" s="595">
        <f t="shared" si="91"/>
        <v>1263.9333333333334</v>
      </c>
      <c r="R311" s="596">
        <f t="shared" si="92"/>
        <v>41285</v>
      </c>
      <c r="S311" s="596">
        <f t="shared" si="93"/>
        <v>1376.1666666666667</v>
      </c>
      <c r="T311" s="603">
        <v>7579</v>
      </c>
      <c r="U311" s="604">
        <v>8337</v>
      </c>
      <c r="V311" s="595">
        <f t="shared" si="94"/>
        <v>37918</v>
      </c>
      <c r="W311" s="596">
        <f t="shared" si="95"/>
        <v>41285</v>
      </c>
      <c r="X311" s="603"/>
      <c r="Y311" s="519"/>
      <c r="Z311" s="603">
        <v>198412</v>
      </c>
      <c r="AA311" s="604">
        <v>238790</v>
      </c>
      <c r="AB311" s="603">
        <v>155409</v>
      </c>
      <c r="AC311" s="604">
        <v>124766</v>
      </c>
      <c r="AD311" s="603">
        <v>306481</v>
      </c>
      <c r="AE311" s="604">
        <v>211115</v>
      </c>
      <c r="AF311" s="595">
        <f t="shared" si="96"/>
        <v>660302</v>
      </c>
      <c r="AG311" s="595">
        <f t="shared" si="97"/>
        <v>733.66888888888889</v>
      </c>
      <c r="AH311" s="596">
        <f t="shared" si="98"/>
        <v>574671</v>
      </c>
      <c r="AI311" s="596">
        <f t="shared" si="99"/>
        <v>638.52333333333331</v>
      </c>
      <c r="AJ311" s="603"/>
      <c r="AK311" s="519"/>
      <c r="AL311" s="595">
        <f t="shared" si="100"/>
        <v>0</v>
      </c>
      <c r="AM311" s="596">
        <f t="shared" si="101"/>
        <v>0</v>
      </c>
      <c r="AN311" s="603"/>
      <c r="AO311" s="519"/>
      <c r="AP311" s="603"/>
      <c r="AQ311" s="519"/>
      <c r="AR311" s="603"/>
      <c r="AS311" s="519"/>
      <c r="AT311" s="603"/>
      <c r="AU311" s="519"/>
      <c r="AV311" s="595">
        <f t="shared" si="102"/>
        <v>0</v>
      </c>
      <c r="AW311" s="595">
        <f t="shared" si="103"/>
        <v>0</v>
      </c>
      <c r="AX311" s="596">
        <f t="shared" si="104"/>
        <v>0</v>
      </c>
      <c r="AY311" s="596">
        <f t="shared" si="105"/>
        <v>0</v>
      </c>
      <c r="AZ311" s="595">
        <f t="shared" si="106"/>
        <v>1997.6022222222223</v>
      </c>
      <c r="BA311" s="596">
        <f t="shared" si="107"/>
        <v>2014.69</v>
      </c>
    </row>
    <row r="312" spans="1:53" customFormat="1" ht="15" customHeight="1">
      <c r="A312" s="426" t="s">
        <v>239</v>
      </c>
      <c r="B312" s="427" t="s">
        <v>289</v>
      </c>
      <c r="C312" s="428"/>
      <c r="D312" s="430">
        <v>199485</v>
      </c>
      <c r="E312" s="430">
        <v>10</v>
      </c>
      <c r="F312" s="592" t="s">
        <v>74</v>
      </c>
      <c r="G312" s="519"/>
      <c r="H312" s="603"/>
      <c r="I312" s="519"/>
      <c r="J312" s="603">
        <v>14219</v>
      </c>
      <c r="K312" s="604">
        <v>15679</v>
      </c>
      <c r="L312" s="603">
        <v>3748</v>
      </c>
      <c r="M312" s="604">
        <v>4532</v>
      </c>
      <c r="N312" s="603">
        <v>18163</v>
      </c>
      <c r="O312" s="604">
        <v>16697</v>
      </c>
      <c r="P312" s="595">
        <f t="shared" si="90"/>
        <v>36130</v>
      </c>
      <c r="Q312" s="595">
        <f t="shared" si="91"/>
        <v>1204.3333333333333</v>
      </c>
      <c r="R312" s="596">
        <f t="shared" si="92"/>
        <v>36908</v>
      </c>
      <c r="S312" s="596">
        <f t="shared" si="93"/>
        <v>1230.2666666666667</v>
      </c>
      <c r="T312" s="603">
        <v>7625</v>
      </c>
      <c r="U312" s="604">
        <v>8885</v>
      </c>
      <c r="V312" s="595">
        <f t="shared" si="94"/>
        <v>36130</v>
      </c>
      <c r="W312" s="596">
        <f t="shared" si="95"/>
        <v>36908</v>
      </c>
      <c r="X312" s="603"/>
      <c r="Y312" s="519"/>
      <c r="Z312" s="603">
        <v>81892</v>
      </c>
      <c r="AA312" s="604">
        <v>59555</v>
      </c>
      <c r="AB312" s="603">
        <v>45586</v>
      </c>
      <c r="AC312" s="604">
        <v>27044</v>
      </c>
      <c r="AD312" s="603">
        <v>75754</v>
      </c>
      <c r="AE312" s="604">
        <v>68711</v>
      </c>
      <c r="AF312" s="595">
        <f t="shared" si="96"/>
        <v>203232</v>
      </c>
      <c r="AG312" s="595">
        <f t="shared" si="97"/>
        <v>225.81333333333333</v>
      </c>
      <c r="AH312" s="596">
        <f t="shared" si="98"/>
        <v>155310</v>
      </c>
      <c r="AI312" s="596">
        <f t="shared" si="99"/>
        <v>172.56666666666666</v>
      </c>
      <c r="AJ312" s="603"/>
      <c r="AK312" s="519"/>
      <c r="AL312" s="595">
        <f t="shared" si="100"/>
        <v>0</v>
      </c>
      <c r="AM312" s="596">
        <f t="shared" si="101"/>
        <v>0</v>
      </c>
      <c r="AN312" s="603"/>
      <c r="AO312" s="519"/>
      <c r="AP312" s="603"/>
      <c r="AQ312" s="519"/>
      <c r="AR312" s="603"/>
      <c r="AS312" s="519"/>
      <c r="AT312" s="603"/>
      <c r="AU312" s="519"/>
      <c r="AV312" s="595">
        <f t="shared" si="102"/>
        <v>0</v>
      </c>
      <c r="AW312" s="595">
        <f t="shared" si="103"/>
        <v>0</v>
      </c>
      <c r="AX312" s="596">
        <f t="shared" si="104"/>
        <v>0</v>
      </c>
      <c r="AY312" s="596">
        <f t="shared" si="105"/>
        <v>0</v>
      </c>
      <c r="AZ312" s="595">
        <f t="shared" si="106"/>
        <v>1430.1466666666665</v>
      </c>
      <c r="BA312" s="596">
        <f t="shared" si="107"/>
        <v>1402.8333333333333</v>
      </c>
    </row>
    <row r="313" spans="1:53" customFormat="1" ht="15" customHeight="1">
      <c r="A313" s="426" t="s">
        <v>239</v>
      </c>
      <c r="B313" s="427" t="s">
        <v>290</v>
      </c>
      <c r="C313" s="428"/>
      <c r="D313" s="430">
        <v>199625</v>
      </c>
      <c r="E313" s="430">
        <v>10</v>
      </c>
      <c r="F313" s="592" t="s">
        <v>74</v>
      </c>
      <c r="G313" s="519"/>
      <c r="H313" s="603"/>
      <c r="I313" s="519"/>
      <c r="J313" s="603">
        <v>15052</v>
      </c>
      <c r="K313" s="604">
        <v>15637</v>
      </c>
      <c r="L313" s="603">
        <v>4467</v>
      </c>
      <c r="M313" s="604">
        <v>5483</v>
      </c>
      <c r="N313" s="603">
        <v>16850</v>
      </c>
      <c r="O313" s="604">
        <v>16424</v>
      </c>
      <c r="P313" s="595">
        <f t="shared" si="90"/>
        <v>36369</v>
      </c>
      <c r="Q313" s="595">
        <f t="shared" si="91"/>
        <v>1212.3</v>
      </c>
      <c r="R313" s="596">
        <f t="shared" si="92"/>
        <v>37544</v>
      </c>
      <c r="S313" s="596">
        <f t="shared" si="93"/>
        <v>1251.4666666666667</v>
      </c>
      <c r="T313" s="603">
        <v>13371</v>
      </c>
      <c r="U313" s="604">
        <v>14222</v>
      </c>
      <c r="V313" s="595">
        <f t="shared" si="94"/>
        <v>36369</v>
      </c>
      <c r="W313" s="596">
        <f t="shared" si="95"/>
        <v>37544</v>
      </c>
      <c r="X313" s="603"/>
      <c r="Y313" s="519"/>
      <c r="Z313" s="603">
        <v>145114</v>
      </c>
      <c r="AA313" s="604">
        <v>99937</v>
      </c>
      <c r="AB313" s="603">
        <v>82577</v>
      </c>
      <c r="AC313" s="555">
        <v>37012</v>
      </c>
      <c r="AD313" s="603">
        <v>166374</v>
      </c>
      <c r="AE313" s="604">
        <v>111220</v>
      </c>
      <c r="AF313" s="595">
        <f t="shared" si="96"/>
        <v>394065</v>
      </c>
      <c r="AG313" s="595">
        <f t="shared" si="97"/>
        <v>437.85</v>
      </c>
      <c r="AH313" s="596">
        <f t="shared" si="98"/>
        <v>248169</v>
      </c>
      <c r="AI313" s="596">
        <f t="shared" si="99"/>
        <v>275.74333333333334</v>
      </c>
      <c r="AJ313" s="603"/>
      <c r="AK313" s="519"/>
      <c r="AL313" s="595">
        <f t="shared" si="100"/>
        <v>0</v>
      </c>
      <c r="AM313" s="596">
        <f t="shared" si="101"/>
        <v>0</v>
      </c>
      <c r="AN313" s="603"/>
      <c r="AO313" s="519"/>
      <c r="AP313" s="603"/>
      <c r="AQ313" s="519"/>
      <c r="AR313" s="603"/>
      <c r="AS313" s="519"/>
      <c r="AT313" s="603"/>
      <c r="AU313" s="519"/>
      <c r="AV313" s="595">
        <f t="shared" si="102"/>
        <v>0</v>
      </c>
      <c r="AW313" s="595">
        <f t="shared" si="103"/>
        <v>0</v>
      </c>
      <c r="AX313" s="596">
        <f t="shared" si="104"/>
        <v>0</v>
      </c>
      <c r="AY313" s="596">
        <f t="shared" si="105"/>
        <v>0</v>
      </c>
      <c r="AZ313" s="595">
        <f t="shared" si="106"/>
        <v>1650.15</v>
      </c>
      <c r="BA313" s="596">
        <f t="shared" si="107"/>
        <v>1527.21</v>
      </c>
    </row>
    <row r="314" spans="1:53" customFormat="1" ht="15" customHeight="1">
      <c r="A314" s="426" t="s">
        <v>239</v>
      </c>
      <c r="B314" s="427" t="s">
        <v>292</v>
      </c>
      <c r="C314" s="428"/>
      <c r="D314" s="430">
        <v>199722</v>
      </c>
      <c r="E314" s="430">
        <v>10</v>
      </c>
      <c r="F314" s="592" t="s">
        <v>74</v>
      </c>
      <c r="G314" s="519"/>
      <c r="H314" s="603"/>
      <c r="I314" s="519"/>
      <c r="J314" s="603">
        <v>13618</v>
      </c>
      <c r="K314" s="604">
        <v>13388</v>
      </c>
      <c r="L314" s="603">
        <v>3762</v>
      </c>
      <c r="M314" s="604">
        <v>4072</v>
      </c>
      <c r="N314" s="603">
        <v>14168</v>
      </c>
      <c r="O314" s="604">
        <v>12428</v>
      </c>
      <c r="P314" s="595">
        <f t="shared" si="90"/>
        <v>31548</v>
      </c>
      <c r="Q314" s="595">
        <f t="shared" si="91"/>
        <v>1051.5999999999999</v>
      </c>
      <c r="R314" s="596">
        <f t="shared" si="92"/>
        <v>29888</v>
      </c>
      <c r="S314" s="596">
        <f t="shared" si="93"/>
        <v>996.26666666666665</v>
      </c>
      <c r="T314" s="603">
        <v>9354</v>
      </c>
      <c r="U314" s="604">
        <v>7715</v>
      </c>
      <c r="V314" s="595">
        <f t="shared" si="94"/>
        <v>31548</v>
      </c>
      <c r="W314" s="596">
        <f t="shared" si="95"/>
        <v>29888</v>
      </c>
      <c r="X314" s="603"/>
      <c r="Y314" s="519"/>
      <c r="Z314" s="603">
        <v>208840</v>
      </c>
      <c r="AA314" s="604">
        <v>134653</v>
      </c>
      <c r="AB314" s="603">
        <v>102158</v>
      </c>
      <c r="AC314" s="555">
        <v>34896</v>
      </c>
      <c r="AD314" s="603">
        <v>192709</v>
      </c>
      <c r="AE314" s="555">
        <v>69726</v>
      </c>
      <c r="AF314" s="595">
        <f t="shared" si="96"/>
        <v>503707</v>
      </c>
      <c r="AG314" s="595">
        <f t="shared" si="97"/>
        <v>559.67444444444448</v>
      </c>
      <c r="AH314" s="596">
        <f t="shared" si="98"/>
        <v>239275</v>
      </c>
      <c r="AI314" s="596">
        <f t="shared" si="99"/>
        <v>265.86111111111109</v>
      </c>
      <c r="AJ314" s="603"/>
      <c r="AK314" s="519"/>
      <c r="AL314" s="595">
        <f t="shared" si="100"/>
        <v>0</v>
      </c>
      <c r="AM314" s="596">
        <f t="shared" si="101"/>
        <v>0</v>
      </c>
      <c r="AN314" s="603"/>
      <c r="AO314" s="519"/>
      <c r="AP314" s="603"/>
      <c r="AQ314" s="519"/>
      <c r="AR314" s="603"/>
      <c r="AS314" s="519"/>
      <c r="AT314" s="603"/>
      <c r="AU314" s="519"/>
      <c r="AV314" s="595">
        <f t="shared" si="102"/>
        <v>0</v>
      </c>
      <c r="AW314" s="595">
        <f t="shared" si="103"/>
        <v>0</v>
      </c>
      <c r="AX314" s="596">
        <f t="shared" si="104"/>
        <v>0</v>
      </c>
      <c r="AY314" s="596">
        <f t="shared" si="105"/>
        <v>0</v>
      </c>
      <c r="AZ314" s="595">
        <f t="shared" si="106"/>
        <v>1611.2744444444443</v>
      </c>
      <c r="BA314" s="596">
        <f t="shared" si="107"/>
        <v>1262.1277777777777</v>
      </c>
    </row>
    <row r="315" spans="1:53" customFormat="1" ht="15" customHeight="1">
      <c r="A315" s="426" t="s">
        <v>239</v>
      </c>
      <c r="B315" s="427" t="s">
        <v>293</v>
      </c>
      <c r="C315" s="428"/>
      <c r="D315" s="430">
        <v>199731</v>
      </c>
      <c r="E315" s="430">
        <v>10</v>
      </c>
      <c r="F315" s="592" t="s">
        <v>74</v>
      </c>
      <c r="G315" s="519"/>
      <c r="H315" s="603"/>
      <c r="I315" s="519"/>
      <c r="J315" s="603">
        <v>20956</v>
      </c>
      <c r="K315" s="604">
        <v>20636</v>
      </c>
      <c r="L315" s="603">
        <v>4049</v>
      </c>
      <c r="M315" s="604">
        <v>4199</v>
      </c>
      <c r="N315" s="603">
        <v>21372</v>
      </c>
      <c r="O315" s="604">
        <v>19833</v>
      </c>
      <c r="P315" s="595">
        <f t="shared" si="90"/>
        <v>46377</v>
      </c>
      <c r="Q315" s="595">
        <f t="shared" si="91"/>
        <v>1545.9</v>
      </c>
      <c r="R315" s="596">
        <f t="shared" si="92"/>
        <v>44668</v>
      </c>
      <c r="S315" s="596">
        <f t="shared" si="93"/>
        <v>1488.9333333333334</v>
      </c>
      <c r="T315" s="603">
        <v>11390</v>
      </c>
      <c r="U315" s="604">
        <v>11505</v>
      </c>
      <c r="V315" s="595">
        <f t="shared" si="94"/>
        <v>46377</v>
      </c>
      <c r="W315" s="596">
        <f t="shared" si="95"/>
        <v>44668</v>
      </c>
      <c r="X315" s="603"/>
      <c r="Y315" s="519"/>
      <c r="Z315" s="603">
        <v>120126</v>
      </c>
      <c r="AA315" s="604">
        <v>92216</v>
      </c>
      <c r="AB315" s="603">
        <v>89973</v>
      </c>
      <c r="AC315" s="604">
        <v>65790</v>
      </c>
      <c r="AD315" s="603">
        <v>132301</v>
      </c>
      <c r="AE315" s="604">
        <v>94109</v>
      </c>
      <c r="AF315" s="595">
        <f t="shared" si="96"/>
        <v>342400</v>
      </c>
      <c r="AG315" s="595">
        <f t="shared" si="97"/>
        <v>380.44444444444446</v>
      </c>
      <c r="AH315" s="596">
        <f t="shared" si="98"/>
        <v>252115</v>
      </c>
      <c r="AI315" s="596">
        <f t="shared" si="99"/>
        <v>280.12777777777779</v>
      </c>
      <c r="AJ315" s="603"/>
      <c r="AK315" s="519"/>
      <c r="AL315" s="595">
        <f t="shared" si="100"/>
        <v>0</v>
      </c>
      <c r="AM315" s="596">
        <f t="shared" si="101"/>
        <v>0</v>
      </c>
      <c r="AN315" s="603"/>
      <c r="AO315" s="519"/>
      <c r="AP315" s="603"/>
      <c r="AQ315" s="519"/>
      <c r="AR315" s="603"/>
      <c r="AS315" s="519"/>
      <c r="AT315" s="603"/>
      <c r="AU315" s="519"/>
      <c r="AV315" s="595">
        <f t="shared" si="102"/>
        <v>0</v>
      </c>
      <c r="AW315" s="595">
        <f t="shared" si="103"/>
        <v>0</v>
      </c>
      <c r="AX315" s="596">
        <f t="shared" si="104"/>
        <v>0</v>
      </c>
      <c r="AY315" s="596">
        <f t="shared" si="105"/>
        <v>0</v>
      </c>
      <c r="AZ315" s="595">
        <f t="shared" si="106"/>
        <v>1926.3444444444444</v>
      </c>
      <c r="BA315" s="596">
        <f t="shared" si="107"/>
        <v>1769.0611111111111</v>
      </c>
    </row>
    <row r="316" spans="1:53" customFormat="1" ht="15" customHeight="1">
      <c r="A316" s="426" t="s">
        <v>239</v>
      </c>
      <c r="B316" s="427" t="s">
        <v>294</v>
      </c>
      <c r="C316" s="428"/>
      <c r="D316" s="430">
        <v>199795</v>
      </c>
      <c r="E316" s="430">
        <v>10</v>
      </c>
      <c r="F316" s="592" t="s">
        <v>74</v>
      </c>
      <c r="G316" s="519"/>
      <c r="H316" s="603"/>
      <c r="I316" s="519"/>
      <c r="J316" s="603">
        <v>9495</v>
      </c>
      <c r="K316" s="604">
        <v>10574</v>
      </c>
      <c r="L316" s="603">
        <v>2622</v>
      </c>
      <c r="M316" s="604">
        <v>2683</v>
      </c>
      <c r="N316" s="603">
        <v>10973</v>
      </c>
      <c r="O316" s="604">
        <v>10300</v>
      </c>
      <c r="P316" s="595">
        <f t="shared" si="90"/>
        <v>23090</v>
      </c>
      <c r="Q316" s="595">
        <f t="shared" si="91"/>
        <v>769.66666666666663</v>
      </c>
      <c r="R316" s="596">
        <f t="shared" si="92"/>
        <v>23557</v>
      </c>
      <c r="S316" s="596">
        <f t="shared" si="93"/>
        <v>785.23333333333335</v>
      </c>
      <c r="T316" s="603">
        <v>9323</v>
      </c>
      <c r="U316" s="604">
        <v>10035</v>
      </c>
      <c r="V316" s="595">
        <f t="shared" si="94"/>
        <v>23090</v>
      </c>
      <c r="W316" s="596">
        <f t="shared" si="95"/>
        <v>23557</v>
      </c>
      <c r="X316" s="603"/>
      <c r="Y316" s="519"/>
      <c r="Z316" s="603">
        <v>59344</v>
      </c>
      <c r="AA316" s="604">
        <v>43679</v>
      </c>
      <c r="AB316" s="603">
        <v>40675</v>
      </c>
      <c r="AC316" s="555">
        <v>19456</v>
      </c>
      <c r="AD316" s="603">
        <v>67908</v>
      </c>
      <c r="AE316" s="604">
        <v>42858</v>
      </c>
      <c r="AF316" s="595">
        <f t="shared" si="96"/>
        <v>167927</v>
      </c>
      <c r="AG316" s="595">
        <f t="shared" si="97"/>
        <v>186.58555555555554</v>
      </c>
      <c r="AH316" s="596">
        <f t="shared" si="98"/>
        <v>105993</v>
      </c>
      <c r="AI316" s="596">
        <f t="shared" si="99"/>
        <v>117.77</v>
      </c>
      <c r="AJ316" s="603"/>
      <c r="AK316" s="519"/>
      <c r="AL316" s="595">
        <f t="shared" si="100"/>
        <v>0</v>
      </c>
      <c r="AM316" s="596">
        <f t="shared" si="101"/>
        <v>0</v>
      </c>
      <c r="AN316" s="603"/>
      <c r="AO316" s="519"/>
      <c r="AP316" s="603"/>
      <c r="AQ316" s="519"/>
      <c r="AR316" s="603"/>
      <c r="AS316" s="519"/>
      <c r="AT316" s="603"/>
      <c r="AU316" s="519"/>
      <c r="AV316" s="595">
        <f t="shared" si="102"/>
        <v>0</v>
      </c>
      <c r="AW316" s="595">
        <f t="shared" si="103"/>
        <v>0</v>
      </c>
      <c r="AX316" s="596">
        <f t="shared" si="104"/>
        <v>0</v>
      </c>
      <c r="AY316" s="596">
        <f t="shared" si="105"/>
        <v>0</v>
      </c>
      <c r="AZ316" s="595">
        <f t="shared" si="106"/>
        <v>956.25222222222214</v>
      </c>
      <c r="BA316" s="596">
        <f t="shared" si="107"/>
        <v>903.00333333333333</v>
      </c>
    </row>
    <row r="317" spans="1:53" customFormat="1" ht="15" customHeight="1">
      <c r="A317" s="426" t="s">
        <v>239</v>
      </c>
      <c r="B317" s="427" t="s">
        <v>271</v>
      </c>
      <c r="C317" s="432"/>
      <c r="D317" s="430">
        <v>199908</v>
      </c>
      <c r="E317" s="430">
        <v>10</v>
      </c>
      <c r="F317" s="592" t="s">
        <v>74</v>
      </c>
      <c r="G317" s="519"/>
      <c r="H317" s="603"/>
      <c r="I317" s="519"/>
      <c r="J317" s="603">
        <v>16817</v>
      </c>
      <c r="K317" s="604">
        <v>18183</v>
      </c>
      <c r="L317" s="603">
        <v>4105</v>
      </c>
      <c r="M317" s="604">
        <v>4681</v>
      </c>
      <c r="N317" s="603">
        <v>19798</v>
      </c>
      <c r="O317" s="604">
        <v>18012</v>
      </c>
      <c r="P317" s="595">
        <f t="shared" si="90"/>
        <v>40720</v>
      </c>
      <c r="Q317" s="595">
        <f t="shared" si="91"/>
        <v>1357.3333333333333</v>
      </c>
      <c r="R317" s="596">
        <f t="shared" si="92"/>
        <v>40876</v>
      </c>
      <c r="S317" s="596">
        <f t="shared" si="93"/>
        <v>1362.5333333333333</v>
      </c>
      <c r="T317" s="603">
        <v>10567</v>
      </c>
      <c r="U317" s="604">
        <v>11187</v>
      </c>
      <c r="V317" s="595">
        <f t="shared" si="94"/>
        <v>40720</v>
      </c>
      <c r="W317" s="596">
        <f t="shared" si="95"/>
        <v>40876</v>
      </c>
      <c r="X317" s="603"/>
      <c r="Y317" s="519"/>
      <c r="Z317" s="603">
        <v>115420</v>
      </c>
      <c r="AA317" s="555">
        <v>51003</v>
      </c>
      <c r="AB317" s="603">
        <v>46010</v>
      </c>
      <c r="AC317" s="555">
        <v>17918</v>
      </c>
      <c r="AD317" s="603">
        <v>84010</v>
      </c>
      <c r="AE317" s="604">
        <v>45077</v>
      </c>
      <c r="AF317" s="595">
        <f t="shared" si="96"/>
        <v>245440</v>
      </c>
      <c r="AG317" s="595">
        <f t="shared" si="97"/>
        <v>272.71111111111111</v>
      </c>
      <c r="AH317" s="596">
        <f t="shared" si="98"/>
        <v>113998</v>
      </c>
      <c r="AI317" s="596">
        <f t="shared" si="99"/>
        <v>126.66444444444444</v>
      </c>
      <c r="AJ317" s="603"/>
      <c r="AK317" s="519"/>
      <c r="AL317" s="595">
        <f t="shared" si="100"/>
        <v>0</v>
      </c>
      <c r="AM317" s="596">
        <f t="shared" si="101"/>
        <v>0</v>
      </c>
      <c r="AN317" s="603"/>
      <c r="AO317" s="519"/>
      <c r="AP317" s="603"/>
      <c r="AQ317" s="519"/>
      <c r="AR317" s="603"/>
      <c r="AS317" s="519"/>
      <c r="AT317" s="603"/>
      <c r="AU317" s="519"/>
      <c r="AV317" s="595">
        <f t="shared" si="102"/>
        <v>0</v>
      </c>
      <c r="AW317" s="595">
        <f t="shared" si="103"/>
        <v>0</v>
      </c>
      <c r="AX317" s="596">
        <f t="shared" si="104"/>
        <v>0</v>
      </c>
      <c r="AY317" s="596">
        <f t="shared" si="105"/>
        <v>0</v>
      </c>
      <c r="AZ317" s="595">
        <f t="shared" si="106"/>
        <v>1630.0444444444443</v>
      </c>
      <c r="BA317" s="596">
        <f t="shared" si="107"/>
        <v>1489.1977777777777</v>
      </c>
    </row>
    <row r="318" spans="1:53" customFormat="1" ht="15" customHeight="1">
      <c r="A318" s="426" t="s">
        <v>239</v>
      </c>
      <c r="B318" s="427" t="s">
        <v>295</v>
      </c>
      <c r="C318" s="428"/>
      <c r="D318" s="430">
        <v>199953</v>
      </c>
      <c r="E318" s="430">
        <v>10</v>
      </c>
      <c r="F318" s="592" t="s">
        <v>74</v>
      </c>
      <c r="G318" s="519"/>
      <c r="H318" s="603"/>
      <c r="I318" s="519"/>
      <c r="J318" s="603">
        <v>14104</v>
      </c>
      <c r="K318" s="604">
        <v>14556.5</v>
      </c>
      <c r="L318" s="603">
        <v>5251</v>
      </c>
      <c r="M318" s="604">
        <v>5246</v>
      </c>
      <c r="N318" s="603">
        <v>15703.5</v>
      </c>
      <c r="O318" s="604">
        <v>16177</v>
      </c>
      <c r="P318" s="595">
        <f t="shared" si="90"/>
        <v>35058.5</v>
      </c>
      <c r="Q318" s="595">
        <f t="shared" si="91"/>
        <v>1168.6166666666666</v>
      </c>
      <c r="R318" s="596">
        <f t="shared" si="92"/>
        <v>35979.5</v>
      </c>
      <c r="S318" s="596">
        <f t="shared" si="93"/>
        <v>1199.3166666666666</v>
      </c>
      <c r="T318" s="603">
        <v>9785.5</v>
      </c>
      <c r="U318" s="604">
        <v>10837.5</v>
      </c>
      <c r="V318" s="595">
        <f t="shared" si="94"/>
        <v>35058.5</v>
      </c>
      <c r="W318" s="596">
        <f t="shared" si="95"/>
        <v>35979.5</v>
      </c>
      <c r="X318" s="603"/>
      <c r="Y318" s="519"/>
      <c r="Z318" s="603">
        <v>102294</v>
      </c>
      <c r="AA318" s="604">
        <v>66889</v>
      </c>
      <c r="AB318" s="603">
        <v>55422</v>
      </c>
      <c r="AC318" s="555">
        <v>24323</v>
      </c>
      <c r="AD318" s="603">
        <v>92042</v>
      </c>
      <c r="AE318" s="604">
        <v>61238</v>
      </c>
      <c r="AF318" s="595">
        <f t="shared" si="96"/>
        <v>249758</v>
      </c>
      <c r="AG318" s="595">
        <f t="shared" si="97"/>
        <v>277.50888888888886</v>
      </c>
      <c r="AH318" s="596">
        <f t="shared" si="98"/>
        <v>152450</v>
      </c>
      <c r="AI318" s="596">
        <f t="shared" si="99"/>
        <v>169.38888888888889</v>
      </c>
      <c r="AJ318" s="603"/>
      <c r="AK318" s="519"/>
      <c r="AL318" s="595">
        <f t="shared" si="100"/>
        <v>0</v>
      </c>
      <c r="AM318" s="596">
        <f t="shared" si="101"/>
        <v>0</v>
      </c>
      <c r="AN318" s="603"/>
      <c r="AO318" s="519"/>
      <c r="AP318" s="603"/>
      <c r="AQ318" s="519"/>
      <c r="AR318" s="603"/>
      <c r="AS318" s="519"/>
      <c r="AT318" s="603"/>
      <c r="AU318" s="519"/>
      <c r="AV318" s="595">
        <f t="shared" si="102"/>
        <v>0</v>
      </c>
      <c r="AW318" s="595">
        <f t="shared" si="103"/>
        <v>0</v>
      </c>
      <c r="AX318" s="596">
        <f t="shared" si="104"/>
        <v>0</v>
      </c>
      <c r="AY318" s="596">
        <f t="shared" si="105"/>
        <v>0</v>
      </c>
      <c r="AZ318" s="595">
        <f t="shared" si="106"/>
        <v>1446.1255555555554</v>
      </c>
      <c r="BA318" s="596">
        <f t="shared" si="107"/>
        <v>1368.7055555555555</v>
      </c>
    </row>
    <row r="319" spans="1:53" ht="13.5" thickBot="1">
      <c r="A319" s="558" t="s">
        <v>936</v>
      </c>
      <c r="B319" s="559"/>
      <c r="C319" s="560"/>
      <c r="D319" s="561"/>
      <c r="E319" s="561"/>
      <c r="F319" s="553"/>
      <c r="G319" s="517"/>
      <c r="H319" s="562"/>
      <c r="I319" s="517"/>
      <c r="J319" s="562"/>
      <c r="K319" s="517"/>
      <c r="L319" s="562"/>
      <c r="M319" s="517"/>
      <c r="N319" s="562"/>
      <c r="O319" s="517"/>
      <c r="P319" s="595">
        <f t="shared" si="90"/>
        <v>0</v>
      </c>
      <c r="Q319" s="595">
        <f t="shared" si="91"/>
        <v>0</v>
      </c>
      <c r="R319" s="596">
        <f t="shared" si="92"/>
        <v>0</v>
      </c>
      <c r="S319" s="596">
        <f t="shared" si="93"/>
        <v>0</v>
      </c>
      <c r="T319" s="562"/>
      <c r="U319" s="517"/>
      <c r="V319" s="595">
        <f t="shared" si="94"/>
        <v>0</v>
      </c>
      <c r="W319" s="596">
        <f t="shared" si="95"/>
        <v>0</v>
      </c>
      <c r="X319" s="562"/>
      <c r="Y319" s="517"/>
      <c r="Z319" s="562"/>
      <c r="AA319" s="517"/>
      <c r="AB319" s="562"/>
      <c r="AC319" s="517"/>
      <c r="AD319" s="562"/>
      <c r="AE319" s="517"/>
      <c r="AF319" s="595">
        <f t="shared" si="96"/>
        <v>0</v>
      </c>
      <c r="AG319" s="595">
        <f t="shared" si="97"/>
        <v>0</v>
      </c>
      <c r="AH319" s="596">
        <f t="shared" si="98"/>
        <v>0</v>
      </c>
      <c r="AI319" s="596">
        <f t="shared" si="99"/>
        <v>0</v>
      </c>
      <c r="AJ319" s="562"/>
      <c r="AK319" s="517"/>
      <c r="AL319" s="595">
        <f t="shared" si="100"/>
        <v>0</v>
      </c>
      <c r="AM319" s="596">
        <f t="shared" si="101"/>
        <v>0</v>
      </c>
      <c r="AN319" s="562"/>
      <c r="AO319" s="517"/>
      <c r="AP319" s="562"/>
      <c r="AQ319" s="517"/>
      <c r="AR319" s="562"/>
      <c r="AS319" s="517"/>
      <c r="AT319" s="562"/>
      <c r="AU319" s="517"/>
      <c r="AV319" s="595">
        <f t="shared" si="102"/>
        <v>0</v>
      </c>
      <c r="AW319" s="595">
        <f t="shared" si="103"/>
        <v>0</v>
      </c>
      <c r="AX319" s="596">
        <f t="shared" si="104"/>
        <v>0</v>
      </c>
      <c r="AY319" s="596">
        <f t="shared" si="105"/>
        <v>0</v>
      </c>
      <c r="AZ319" s="595">
        <f t="shared" si="106"/>
        <v>0</v>
      </c>
      <c r="BA319" s="596">
        <f t="shared" si="107"/>
        <v>0</v>
      </c>
    </row>
    <row r="320" spans="1:53" customFormat="1" ht="15.75" customHeight="1">
      <c r="A320" s="456" t="s">
        <v>311</v>
      </c>
      <c r="B320" s="457" t="s">
        <v>312</v>
      </c>
      <c r="C320" s="458"/>
      <c r="D320" s="456">
        <v>365374</v>
      </c>
      <c r="E320" s="456">
        <v>12</v>
      </c>
      <c r="F320" s="592"/>
      <c r="G320" s="519"/>
      <c r="H320" s="592"/>
      <c r="I320" s="519"/>
      <c r="J320" s="592"/>
      <c r="K320" s="519"/>
      <c r="L320" s="592"/>
      <c r="M320" s="519"/>
      <c r="N320" s="592"/>
      <c r="O320" s="519"/>
      <c r="P320" s="595">
        <f t="shared" si="90"/>
        <v>0</v>
      </c>
      <c r="Q320" s="595">
        <f t="shared" si="91"/>
        <v>0</v>
      </c>
      <c r="R320" s="596">
        <f t="shared" si="92"/>
        <v>0</v>
      </c>
      <c r="S320" s="596">
        <f t="shared" si="93"/>
        <v>0</v>
      </c>
      <c r="T320" s="592"/>
      <c r="U320" s="519"/>
      <c r="V320" s="595">
        <f t="shared" si="94"/>
        <v>0</v>
      </c>
      <c r="W320" s="596">
        <f t="shared" si="95"/>
        <v>0</v>
      </c>
      <c r="X320" s="592"/>
      <c r="Y320" s="519"/>
      <c r="Z320" s="592"/>
      <c r="AA320" s="519"/>
      <c r="AB320" s="592"/>
      <c r="AC320" s="519"/>
      <c r="AD320" s="592">
        <v>1013178.47</v>
      </c>
      <c r="AE320" s="563">
        <v>970575</v>
      </c>
      <c r="AF320" s="595">
        <f t="shared" si="96"/>
        <v>1013178.47</v>
      </c>
      <c r="AG320" s="595">
        <f t="shared" si="97"/>
        <v>1125.7538555555554</v>
      </c>
      <c r="AH320" s="596">
        <f t="shared" si="98"/>
        <v>970575</v>
      </c>
      <c r="AI320" s="596">
        <f t="shared" si="99"/>
        <v>1078.4166666666667</v>
      </c>
      <c r="AJ320" s="592"/>
      <c r="AK320" s="519"/>
      <c r="AL320" s="595">
        <f t="shared" si="100"/>
        <v>0</v>
      </c>
      <c r="AM320" s="596">
        <f t="shared" si="101"/>
        <v>0</v>
      </c>
      <c r="AN320" s="592"/>
      <c r="AO320" s="519"/>
      <c r="AP320" s="592"/>
      <c r="AQ320" s="519"/>
      <c r="AR320" s="592"/>
      <c r="AS320" s="519"/>
      <c r="AT320" s="592"/>
      <c r="AU320" s="519"/>
      <c r="AV320" s="595">
        <f t="shared" si="102"/>
        <v>0</v>
      </c>
      <c r="AW320" s="595">
        <f t="shared" si="103"/>
        <v>0</v>
      </c>
      <c r="AX320" s="596">
        <f t="shared" si="104"/>
        <v>0</v>
      </c>
      <c r="AY320" s="596">
        <f t="shared" si="105"/>
        <v>0</v>
      </c>
      <c r="AZ320" s="595">
        <f t="shared" si="106"/>
        <v>1125.7538555555554</v>
      </c>
      <c r="BA320" s="596">
        <f t="shared" si="107"/>
        <v>1078.4166666666667</v>
      </c>
    </row>
    <row r="321" spans="1:53" customFormat="1" ht="15" customHeight="1">
      <c r="A321" s="414" t="s">
        <v>311</v>
      </c>
      <c r="B321" s="412" t="s">
        <v>313</v>
      </c>
      <c r="C321" s="413"/>
      <c r="D321" s="414">
        <v>245999</v>
      </c>
      <c r="E321" s="414">
        <v>12</v>
      </c>
      <c r="F321" s="592"/>
      <c r="G321" s="519"/>
      <c r="H321" s="592"/>
      <c r="I321" s="519"/>
      <c r="J321" s="592"/>
      <c r="K321" s="519"/>
      <c r="L321" s="592"/>
      <c r="M321" s="519"/>
      <c r="N321" s="592"/>
      <c r="O321" s="519"/>
      <c r="P321" s="595">
        <f t="shared" si="90"/>
        <v>0</v>
      </c>
      <c r="Q321" s="595">
        <f t="shared" si="91"/>
        <v>0</v>
      </c>
      <c r="R321" s="596">
        <f t="shared" si="92"/>
        <v>0</v>
      </c>
      <c r="S321" s="596">
        <f t="shared" si="93"/>
        <v>0</v>
      </c>
      <c r="T321" s="592"/>
      <c r="U321" s="519"/>
      <c r="V321" s="595">
        <f t="shared" si="94"/>
        <v>0</v>
      </c>
      <c r="W321" s="596">
        <f t="shared" si="95"/>
        <v>0</v>
      </c>
      <c r="X321" s="592"/>
      <c r="Y321" s="519"/>
      <c r="Z321" s="592"/>
      <c r="AA321" s="519"/>
      <c r="AB321" s="592"/>
      <c r="AC321" s="519"/>
      <c r="AD321" s="592">
        <v>1578505.76</v>
      </c>
      <c r="AE321" s="563">
        <v>1514425.9</v>
      </c>
      <c r="AF321" s="595">
        <f t="shared" si="96"/>
        <v>1578505.76</v>
      </c>
      <c r="AG321" s="595">
        <f t="shared" si="97"/>
        <v>1753.8952888888889</v>
      </c>
      <c r="AH321" s="596">
        <f t="shared" si="98"/>
        <v>1514425.9</v>
      </c>
      <c r="AI321" s="596">
        <f t="shared" si="99"/>
        <v>1682.6954444444443</v>
      </c>
      <c r="AJ321" s="592"/>
      <c r="AK321" s="519"/>
      <c r="AL321" s="595">
        <f t="shared" si="100"/>
        <v>0</v>
      </c>
      <c r="AM321" s="596">
        <f t="shared" si="101"/>
        <v>0</v>
      </c>
      <c r="AN321" s="592"/>
      <c r="AO321" s="519"/>
      <c r="AP321" s="592"/>
      <c r="AQ321" s="519"/>
      <c r="AR321" s="592"/>
      <c r="AS321" s="519"/>
      <c r="AT321" s="592"/>
      <c r="AU321" s="519"/>
      <c r="AV321" s="595">
        <f t="shared" si="102"/>
        <v>0</v>
      </c>
      <c r="AW321" s="595">
        <f t="shared" si="103"/>
        <v>0</v>
      </c>
      <c r="AX321" s="596">
        <f t="shared" si="104"/>
        <v>0</v>
      </c>
      <c r="AY321" s="596">
        <f t="shared" si="105"/>
        <v>0</v>
      </c>
      <c r="AZ321" s="595">
        <f t="shared" si="106"/>
        <v>1753.8952888888889</v>
      </c>
      <c r="BA321" s="596">
        <f t="shared" si="107"/>
        <v>1682.6954444444443</v>
      </c>
    </row>
    <row r="322" spans="1:53" customFormat="1" ht="15" customHeight="1">
      <c r="A322" s="414" t="s">
        <v>311</v>
      </c>
      <c r="B322" s="412" t="s">
        <v>315</v>
      </c>
      <c r="C322" s="413" t="s">
        <v>846</v>
      </c>
      <c r="D322" s="414">
        <v>261375</v>
      </c>
      <c r="E322" s="414">
        <v>12</v>
      </c>
      <c r="F322" s="592"/>
      <c r="G322" s="519"/>
      <c r="H322" s="592"/>
      <c r="I322" s="519"/>
      <c r="J322" s="592"/>
      <c r="K322" s="519"/>
      <c r="L322" s="592"/>
      <c r="M322" s="519"/>
      <c r="N322" s="592"/>
      <c r="O322" s="519"/>
      <c r="P322" s="595">
        <f t="shared" si="90"/>
        <v>0</v>
      </c>
      <c r="Q322" s="595">
        <f t="shared" si="91"/>
        <v>0</v>
      </c>
      <c r="R322" s="596">
        <f t="shared" si="92"/>
        <v>0</v>
      </c>
      <c r="S322" s="596">
        <f t="shared" si="93"/>
        <v>0</v>
      </c>
      <c r="T322" s="592"/>
      <c r="U322" s="519"/>
      <c r="V322" s="595">
        <f t="shared" si="94"/>
        <v>0</v>
      </c>
      <c r="W322" s="596">
        <f t="shared" si="95"/>
        <v>0</v>
      </c>
      <c r="X322" s="592"/>
      <c r="Y322" s="519"/>
      <c r="Z322" s="592"/>
      <c r="AA322" s="519"/>
      <c r="AB322" s="592"/>
      <c r="AC322" s="519"/>
      <c r="AD322" s="592">
        <v>751564.71</v>
      </c>
      <c r="AE322" s="564">
        <v>1309950</v>
      </c>
      <c r="AF322" s="595">
        <f t="shared" si="96"/>
        <v>751564.71</v>
      </c>
      <c r="AG322" s="595">
        <f t="shared" si="97"/>
        <v>835.07189999999991</v>
      </c>
      <c r="AH322" s="596">
        <f t="shared" si="98"/>
        <v>1309950</v>
      </c>
      <c r="AI322" s="596">
        <f t="shared" si="99"/>
        <v>1455.5</v>
      </c>
      <c r="AJ322" s="592"/>
      <c r="AK322" s="519"/>
      <c r="AL322" s="595">
        <f t="shared" si="100"/>
        <v>0</v>
      </c>
      <c r="AM322" s="596">
        <f t="shared" si="101"/>
        <v>0</v>
      </c>
      <c r="AN322" s="592"/>
      <c r="AO322" s="519"/>
      <c r="AP322" s="592"/>
      <c r="AQ322" s="519"/>
      <c r="AR322" s="592"/>
      <c r="AS322" s="519"/>
      <c r="AT322" s="592"/>
      <c r="AU322" s="519"/>
      <c r="AV322" s="595">
        <f t="shared" si="102"/>
        <v>0</v>
      </c>
      <c r="AW322" s="595">
        <f t="shared" si="103"/>
        <v>0</v>
      </c>
      <c r="AX322" s="596">
        <f t="shared" si="104"/>
        <v>0</v>
      </c>
      <c r="AY322" s="596">
        <f t="shared" si="105"/>
        <v>0</v>
      </c>
      <c r="AZ322" s="595">
        <f t="shared" si="106"/>
        <v>835.07189999999991</v>
      </c>
      <c r="BA322" s="596">
        <f t="shared" si="107"/>
        <v>1455.5</v>
      </c>
    </row>
    <row r="323" spans="1:53" customFormat="1" ht="15" customHeight="1">
      <c r="A323" s="414" t="s">
        <v>311</v>
      </c>
      <c r="B323" s="412" t="s">
        <v>316</v>
      </c>
      <c r="C323" s="413"/>
      <c r="D323" s="414">
        <v>365213</v>
      </c>
      <c r="E323" s="414">
        <v>13</v>
      </c>
      <c r="F323" s="592"/>
      <c r="G323" s="519"/>
      <c r="H323" s="592"/>
      <c r="I323" s="519"/>
      <c r="J323" s="592"/>
      <c r="K323" s="519"/>
      <c r="L323" s="592"/>
      <c r="M323" s="519"/>
      <c r="N323" s="592"/>
      <c r="O323" s="519"/>
      <c r="P323" s="595">
        <f t="shared" si="90"/>
        <v>0</v>
      </c>
      <c r="Q323" s="595">
        <f t="shared" si="91"/>
        <v>0</v>
      </c>
      <c r="R323" s="596">
        <f t="shared" si="92"/>
        <v>0</v>
      </c>
      <c r="S323" s="596">
        <f t="shared" si="93"/>
        <v>0</v>
      </c>
      <c r="T323" s="592"/>
      <c r="U323" s="519"/>
      <c r="V323" s="595">
        <f t="shared" si="94"/>
        <v>0</v>
      </c>
      <c r="W323" s="596">
        <f t="shared" si="95"/>
        <v>0</v>
      </c>
      <c r="X323" s="592"/>
      <c r="Y323" s="519"/>
      <c r="Z323" s="592"/>
      <c r="AA323" s="519"/>
      <c r="AB323" s="592"/>
      <c r="AC323" s="519"/>
      <c r="AD323" s="592">
        <v>368359.08</v>
      </c>
      <c r="AE323" s="563">
        <v>465419.4</v>
      </c>
      <c r="AF323" s="595">
        <f t="shared" si="96"/>
        <v>368359.08</v>
      </c>
      <c r="AG323" s="595">
        <f t="shared" si="97"/>
        <v>409.28786666666667</v>
      </c>
      <c r="AH323" s="596">
        <f t="shared" si="98"/>
        <v>465419.4</v>
      </c>
      <c r="AI323" s="596">
        <f t="shared" si="99"/>
        <v>517.13266666666664</v>
      </c>
      <c r="AJ323" s="592"/>
      <c r="AK323" s="519"/>
      <c r="AL323" s="595">
        <f t="shared" si="100"/>
        <v>0</v>
      </c>
      <c r="AM323" s="596">
        <f t="shared" si="101"/>
        <v>0</v>
      </c>
      <c r="AN323" s="592"/>
      <c r="AO323" s="519"/>
      <c r="AP323" s="592"/>
      <c r="AQ323" s="519"/>
      <c r="AR323" s="592"/>
      <c r="AS323" s="519"/>
      <c r="AT323" s="592"/>
      <c r="AU323" s="519"/>
      <c r="AV323" s="595">
        <f t="shared" si="102"/>
        <v>0</v>
      </c>
      <c r="AW323" s="595">
        <f t="shared" si="103"/>
        <v>0</v>
      </c>
      <c r="AX323" s="596">
        <f t="shared" si="104"/>
        <v>0</v>
      </c>
      <c r="AY323" s="596">
        <f t="shared" si="105"/>
        <v>0</v>
      </c>
      <c r="AZ323" s="595">
        <f t="shared" si="106"/>
        <v>409.28786666666667</v>
      </c>
      <c r="BA323" s="596">
        <f t="shared" si="107"/>
        <v>517.13266666666664</v>
      </c>
    </row>
    <row r="324" spans="1:53" customFormat="1" ht="15" customHeight="1">
      <c r="A324" s="414" t="s">
        <v>311</v>
      </c>
      <c r="B324" s="412" t="s">
        <v>317</v>
      </c>
      <c r="C324" s="413"/>
      <c r="D324" s="414">
        <v>364946</v>
      </c>
      <c r="E324" s="414">
        <v>13</v>
      </c>
      <c r="F324" s="592"/>
      <c r="G324" s="519"/>
      <c r="H324" s="592"/>
      <c r="I324" s="519"/>
      <c r="J324" s="592"/>
      <c r="K324" s="519"/>
      <c r="L324" s="592"/>
      <c r="M324" s="519"/>
      <c r="N324" s="592"/>
      <c r="O324" s="519"/>
      <c r="P324" s="595">
        <f t="shared" si="90"/>
        <v>0</v>
      </c>
      <c r="Q324" s="595">
        <f t="shared" si="91"/>
        <v>0</v>
      </c>
      <c r="R324" s="596">
        <f t="shared" si="92"/>
        <v>0</v>
      </c>
      <c r="S324" s="596">
        <f t="shared" si="93"/>
        <v>0</v>
      </c>
      <c r="T324" s="592"/>
      <c r="U324" s="519"/>
      <c r="V324" s="595">
        <f t="shared" si="94"/>
        <v>0</v>
      </c>
      <c r="W324" s="596">
        <f t="shared" si="95"/>
        <v>0</v>
      </c>
      <c r="X324" s="592"/>
      <c r="Y324" s="519"/>
      <c r="Z324" s="592"/>
      <c r="AA324" s="519"/>
      <c r="AB324" s="592"/>
      <c r="AC324" s="519"/>
      <c r="AD324" s="592">
        <v>290951.09999999998</v>
      </c>
      <c r="AE324" s="563">
        <v>256418.1</v>
      </c>
      <c r="AF324" s="595">
        <f t="shared" si="96"/>
        <v>290951.09999999998</v>
      </c>
      <c r="AG324" s="595">
        <f t="shared" si="97"/>
        <v>323.279</v>
      </c>
      <c r="AH324" s="596">
        <f t="shared" si="98"/>
        <v>256418.1</v>
      </c>
      <c r="AI324" s="596">
        <f t="shared" si="99"/>
        <v>284.90899999999999</v>
      </c>
      <c r="AJ324" s="592"/>
      <c r="AK324" s="519"/>
      <c r="AL324" s="595">
        <f t="shared" si="100"/>
        <v>0</v>
      </c>
      <c r="AM324" s="596">
        <f t="shared" si="101"/>
        <v>0</v>
      </c>
      <c r="AN324" s="592"/>
      <c r="AO324" s="519"/>
      <c r="AP324" s="592"/>
      <c r="AQ324" s="519"/>
      <c r="AR324" s="592"/>
      <c r="AS324" s="519"/>
      <c r="AT324" s="592"/>
      <c r="AU324" s="519"/>
      <c r="AV324" s="595">
        <f t="shared" si="102"/>
        <v>0</v>
      </c>
      <c r="AW324" s="595">
        <f t="shared" si="103"/>
        <v>0</v>
      </c>
      <c r="AX324" s="596">
        <f t="shared" si="104"/>
        <v>0</v>
      </c>
      <c r="AY324" s="596">
        <f t="shared" si="105"/>
        <v>0</v>
      </c>
      <c r="AZ324" s="595">
        <f t="shared" si="106"/>
        <v>323.279</v>
      </c>
      <c r="BA324" s="596">
        <f t="shared" si="107"/>
        <v>284.90899999999999</v>
      </c>
    </row>
    <row r="325" spans="1:53" customFormat="1" ht="15" customHeight="1">
      <c r="A325" s="414" t="s">
        <v>311</v>
      </c>
      <c r="B325" s="412" t="s">
        <v>318</v>
      </c>
      <c r="C325" s="413"/>
      <c r="D325" s="414">
        <v>246017</v>
      </c>
      <c r="E325" s="414">
        <v>13</v>
      </c>
      <c r="F325" s="592"/>
      <c r="G325" s="519"/>
      <c r="H325" s="592"/>
      <c r="I325" s="519"/>
      <c r="J325" s="592"/>
      <c r="K325" s="519"/>
      <c r="L325" s="592"/>
      <c r="M325" s="519"/>
      <c r="N325" s="592"/>
      <c r="O325" s="519"/>
      <c r="P325" s="595">
        <f t="shared" si="90"/>
        <v>0</v>
      </c>
      <c r="Q325" s="595">
        <f t="shared" si="91"/>
        <v>0</v>
      </c>
      <c r="R325" s="596">
        <f t="shared" si="92"/>
        <v>0</v>
      </c>
      <c r="S325" s="596">
        <f t="shared" si="93"/>
        <v>0</v>
      </c>
      <c r="T325" s="592"/>
      <c r="U325" s="519"/>
      <c r="V325" s="595">
        <f t="shared" si="94"/>
        <v>0</v>
      </c>
      <c r="W325" s="596">
        <f t="shared" si="95"/>
        <v>0</v>
      </c>
      <c r="X325" s="592"/>
      <c r="Y325" s="519"/>
      <c r="Z325" s="592"/>
      <c r="AA325" s="519"/>
      <c r="AB325" s="592"/>
      <c r="AC325" s="519"/>
      <c r="AD325" s="592">
        <v>852056.76</v>
      </c>
      <c r="AE325" s="563">
        <v>677725.7</v>
      </c>
      <c r="AF325" s="595">
        <f t="shared" si="96"/>
        <v>852056.76</v>
      </c>
      <c r="AG325" s="595">
        <f t="shared" si="97"/>
        <v>946.72973333333334</v>
      </c>
      <c r="AH325" s="596">
        <f t="shared" si="98"/>
        <v>677725.7</v>
      </c>
      <c r="AI325" s="596">
        <f t="shared" si="99"/>
        <v>753.0285555555555</v>
      </c>
      <c r="AJ325" s="592"/>
      <c r="AK325" s="519"/>
      <c r="AL325" s="595">
        <f t="shared" si="100"/>
        <v>0</v>
      </c>
      <c r="AM325" s="596">
        <f t="shared" si="101"/>
        <v>0</v>
      </c>
      <c r="AN325" s="592"/>
      <c r="AO325" s="519"/>
      <c r="AP325" s="592"/>
      <c r="AQ325" s="519"/>
      <c r="AR325" s="592"/>
      <c r="AS325" s="519"/>
      <c r="AT325" s="592"/>
      <c r="AU325" s="519"/>
      <c r="AV325" s="595">
        <f t="shared" si="102"/>
        <v>0</v>
      </c>
      <c r="AW325" s="595">
        <f t="shared" si="103"/>
        <v>0</v>
      </c>
      <c r="AX325" s="596">
        <f t="shared" si="104"/>
        <v>0</v>
      </c>
      <c r="AY325" s="596">
        <f t="shared" si="105"/>
        <v>0</v>
      </c>
      <c r="AZ325" s="595">
        <f t="shared" si="106"/>
        <v>946.72973333333334</v>
      </c>
      <c r="BA325" s="596">
        <f t="shared" si="107"/>
        <v>753.0285555555555</v>
      </c>
    </row>
    <row r="326" spans="1:53" customFormat="1" ht="15" customHeight="1">
      <c r="A326" s="414" t="s">
        <v>311</v>
      </c>
      <c r="B326" s="412" t="s">
        <v>319</v>
      </c>
      <c r="C326" s="413"/>
      <c r="D326" s="414">
        <v>375656</v>
      </c>
      <c r="E326" s="414">
        <v>13</v>
      </c>
      <c r="F326" s="592"/>
      <c r="G326" s="519"/>
      <c r="H326" s="592"/>
      <c r="I326" s="519"/>
      <c r="J326" s="592"/>
      <c r="K326" s="519"/>
      <c r="L326" s="592"/>
      <c r="M326" s="519"/>
      <c r="N326" s="592"/>
      <c r="O326" s="519"/>
      <c r="P326" s="595">
        <f t="shared" si="90"/>
        <v>0</v>
      </c>
      <c r="Q326" s="595">
        <f t="shared" si="91"/>
        <v>0</v>
      </c>
      <c r="R326" s="596">
        <f t="shared" si="92"/>
        <v>0</v>
      </c>
      <c r="S326" s="596">
        <f t="shared" si="93"/>
        <v>0</v>
      </c>
      <c r="T326" s="592"/>
      <c r="U326" s="519"/>
      <c r="V326" s="595">
        <f t="shared" si="94"/>
        <v>0</v>
      </c>
      <c r="W326" s="596">
        <f t="shared" si="95"/>
        <v>0</v>
      </c>
      <c r="X326" s="592"/>
      <c r="Y326" s="519"/>
      <c r="Z326" s="592"/>
      <c r="AA326" s="519"/>
      <c r="AB326" s="592"/>
      <c r="AC326" s="519"/>
      <c r="AD326" s="592">
        <v>145383.78</v>
      </c>
      <c r="AE326" s="563">
        <v>126730.5</v>
      </c>
      <c r="AF326" s="595">
        <f t="shared" si="96"/>
        <v>145383.78</v>
      </c>
      <c r="AG326" s="595">
        <f t="shared" si="97"/>
        <v>161.53753333333333</v>
      </c>
      <c r="AH326" s="596">
        <f t="shared" si="98"/>
        <v>126730.5</v>
      </c>
      <c r="AI326" s="596">
        <f t="shared" si="99"/>
        <v>140.81166666666667</v>
      </c>
      <c r="AJ326" s="592"/>
      <c r="AK326" s="519"/>
      <c r="AL326" s="595">
        <f t="shared" si="100"/>
        <v>0</v>
      </c>
      <c r="AM326" s="596">
        <f t="shared" si="101"/>
        <v>0</v>
      </c>
      <c r="AN326" s="592"/>
      <c r="AO326" s="519"/>
      <c r="AP326" s="592"/>
      <c r="AQ326" s="519"/>
      <c r="AR326" s="592"/>
      <c r="AS326" s="519"/>
      <c r="AT326" s="592"/>
      <c r="AU326" s="519"/>
      <c r="AV326" s="595">
        <f t="shared" si="102"/>
        <v>0</v>
      </c>
      <c r="AW326" s="595">
        <f t="shared" si="103"/>
        <v>0</v>
      </c>
      <c r="AX326" s="596">
        <f t="shared" si="104"/>
        <v>0</v>
      </c>
      <c r="AY326" s="596">
        <f t="shared" si="105"/>
        <v>0</v>
      </c>
      <c r="AZ326" s="595">
        <f t="shared" si="106"/>
        <v>161.53753333333333</v>
      </c>
      <c r="BA326" s="596">
        <f t="shared" si="107"/>
        <v>140.81166666666667</v>
      </c>
    </row>
    <row r="327" spans="1:53" customFormat="1" ht="15" customHeight="1">
      <c r="A327" s="414" t="s">
        <v>311</v>
      </c>
      <c r="B327" s="412" t="s">
        <v>320</v>
      </c>
      <c r="C327" s="413"/>
      <c r="D327" s="414">
        <v>418348</v>
      </c>
      <c r="E327" s="414">
        <v>13</v>
      </c>
      <c r="F327" s="592"/>
      <c r="G327" s="519"/>
      <c r="H327" s="592"/>
      <c r="I327" s="519"/>
      <c r="J327" s="592"/>
      <c r="K327" s="519"/>
      <c r="L327" s="592"/>
      <c r="M327" s="519"/>
      <c r="N327" s="592"/>
      <c r="O327" s="519"/>
      <c r="P327" s="595">
        <f t="shared" si="90"/>
        <v>0</v>
      </c>
      <c r="Q327" s="595">
        <f t="shared" si="91"/>
        <v>0</v>
      </c>
      <c r="R327" s="596">
        <f t="shared" si="92"/>
        <v>0</v>
      </c>
      <c r="S327" s="596">
        <f t="shared" si="93"/>
        <v>0</v>
      </c>
      <c r="T327" s="592"/>
      <c r="U327" s="519"/>
      <c r="V327" s="595">
        <f t="shared" si="94"/>
        <v>0</v>
      </c>
      <c r="W327" s="596">
        <f t="shared" si="95"/>
        <v>0</v>
      </c>
      <c r="X327" s="592"/>
      <c r="Y327" s="519"/>
      <c r="Z327" s="592"/>
      <c r="AA327" s="519"/>
      <c r="AB327" s="592"/>
      <c r="AC327" s="519"/>
      <c r="AD327" s="592">
        <v>366625.33</v>
      </c>
      <c r="AE327" s="563">
        <v>487232.9</v>
      </c>
      <c r="AF327" s="595">
        <f t="shared" si="96"/>
        <v>366625.33</v>
      </c>
      <c r="AG327" s="595">
        <f t="shared" si="97"/>
        <v>407.36147777777779</v>
      </c>
      <c r="AH327" s="596">
        <f t="shared" si="98"/>
        <v>487232.9</v>
      </c>
      <c r="AI327" s="596">
        <f t="shared" si="99"/>
        <v>541.36988888888891</v>
      </c>
      <c r="AJ327" s="592"/>
      <c r="AK327" s="519"/>
      <c r="AL327" s="595">
        <f t="shared" si="100"/>
        <v>0</v>
      </c>
      <c r="AM327" s="596">
        <f t="shared" si="101"/>
        <v>0</v>
      </c>
      <c r="AN327" s="592"/>
      <c r="AO327" s="519"/>
      <c r="AP327" s="592"/>
      <c r="AQ327" s="519"/>
      <c r="AR327" s="592"/>
      <c r="AS327" s="519"/>
      <c r="AT327" s="592"/>
      <c r="AU327" s="519"/>
      <c r="AV327" s="595">
        <f t="shared" si="102"/>
        <v>0</v>
      </c>
      <c r="AW327" s="595">
        <f t="shared" si="103"/>
        <v>0</v>
      </c>
      <c r="AX327" s="596">
        <f t="shared" si="104"/>
        <v>0</v>
      </c>
      <c r="AY327" s="596">
        <f t="shared" si="105"/>
        <v>0</v>
      </c>
      <c r="AZ327" s="595">
        <f t="shared" si="106"/>
        <v>407.36147777777779</v>
      </c>
      <c r="BA327" s="596">
        <f t="shared" si="107"/>
        <v>541.36988888888891</v>
      </c>
    </row>
    <row r="328" spans="1:53" customFormat="1" ht="15" customHeight="1">
      <c r="A328" s="414" t="s">
        <v>311</v>
      </c>
      <c r="B328" s="412" t="s">
        <v>321</v>
      </c>
      <c r="C328" s="539" t="s">
        <v>925</v>
      </c>
      <c r="D328" s="414">
        <v>375683</v>
      </c>
      <c r="E328" s="414">
        <v>13</v>
      </c>
      <c r="F328" s="592"/>
      <c r="G328" s="519"/>
      <c r="H328" s="592"/>
      <c r="I328" s="519"/>
      <c r="J328" s="592"/>
      <c r="K328" s="519"/>
      <c r="L328" s="592"/>
      <c r="M328" s="519"/>
      <c r="N328" s="592"/>
      <c r="O328" s="519"/>
      <c r="P328" s="595">
        <f t="shared" ref="P328:P391" si="108">SUM(H328,J328,L328,N328)</f>
        <v>0</v>
      </c>
      <c r="Q328" s="595">
        <f t="shared" ref="Q328:Q391" si="109">+P328/30</f>
        <v>0</v>
      </c>
      <c r="R328" s="596">
        <f t="shared" ref="R328:R391" si="110">SUM(I328,K328,M328,O328)</f>
        <v>0</v>
      </c>
      <c r="S328" s="596">
        <f t="shared" ref="S328:S391" si="111">+R328/30</f>
        <v>0</v>
      </c>
      <c r="T328" s="592"/>
      <c r="U328" s="519"/>
      <c r="V328" s="595">
        <f t="shared" ref="V328:V391" si="112">IF(ISBLANK(T328),0,P328)</f>
        <v>0</v>
      </c>
      <c r="W328" s="596">
        <f t="shared" ref="W328:W391" si="113">IF(ISBLANK(U328),0,R328)</f>
        <v>0</v>
      </c>
      <c r="X328" s="592"/>
      <c r="Y328" s="519"/>
      <c r="Z328" s="592"/>
      <c r="AA328" s="519"/>
      <c r="AB328" s="592"/>
      <c r="AC328" s="519"/>
      <c r="AD328" s="592">
        <v>593311.30000000005</v>
      </c>
      <c r="AE328" s="564">
        <v>1009352.8</v>
      </c>
      <c r="AF328" s="595">
        <f t="shared" ref="AF328:AF391" si="114">SUM(X328,Z328,AB328,AD328)</f>
        <v>593311.30000000005</v>
      </c>
      <c r="AG328" s="595">
        <f t="shared" ref="AG328:AG391" si="115">+AF328/900</f>
        <v>659.23477777777782</v>
      </c>
      <c r="AH328" s="596">
        <f t="shared" ref="AH328:AH391" si="116">SUM(Y328,AA328,AC328,AE328)</f>
        <v>1009352.8</v>
      </c>
      <c r="AI328" s="596">
        <f t="shared" ref="AI328:AI391" si="117">+AH328/900</f>
        <v>1121.5031111111111</v>
      </c>
      <c r="AJ328" s="592"/>
      <c r="AK328" s="519"/>
      <c r="AL328" s="595">
        <f t="shared" ref="AL328:AL391" si="118">IF(ISBLANK(AJ328),0,AF328)</f>
        <v>0</v>
      </c>
      <c r="AM328" s="596">
        <f t="shared" ref="AM328:AM391" si="119">IF(ISBLANK(AK328),0,AH328)</f>
        <v>0</v>
      </c>
      <c r="AN328" s="592"/>
      <c r="AO328" s="519"/>
      <c r="AP328" s="592"/>
      <c r="AQ328" s="519"/>
      <c r="AR328" s="592"/>
      <c r="AS328" s="519"/>
      <c r="AT328" s="592"/>
      <c r="AU328" s="519"/>
      <c r="AV328" s="595">
        <f t="shared" ref="AV328:AV391" si="120">SUM(AN328,AP328,AR328,AT328)</f>
        <v>0</v>
      </c>
      <c r="AW328" s="595">
        <f t="shared" ref="AW328:AW391" si="121">+AV328/24</f>
        <v>0</v>
      </c>
      <c r="AX328" s="596">
        <f t="shared" ref="AX328:AX391" si="122">SUM(AO328,AQ328,AS328,AU328)</f>
        <v>0</v>
      </c>
      <c r="AY328" s="596">
        <f t="shared" ref="AY328:AY391" si="123">+AX328/24</f>
        <v>0</v>
      </c>
      <c r="AZ328" s="595">
        <f t="shared" ref="AZ328:AZ391" si="124">SUM(Q328,AG328,AW328)</f>
        <v>659.23477777777782</v>
      </c>
      <c r="BA328" s="596">
        <f t="shared" ref="BA328:BA391" si="125">SUM(S328,AI328,AY328)</f>
        <v>1121.5031111111111</v>
      </c>
    </row>
    <row r="329" spans="1:53" customFormat="1" ht="15" customHeight="1">
      <c r="A329" s="414" t="s">
        <v>311</v>
      </c>
      <c r="B329" s="412" t="s">
        <v>322</v>
      </c>
      <c r="C329" s="413"/>
      <c r="D329" s="414">
        <v>364548</v>
      </c>
      <c r="E329" s="414">
        <v>13</v>
      </c>
      <c r="F329" s="592"/>
      <c r="G329" s="519"/>
      <c r="H329" s="592"/>
      <c r="I329" s="519"/>
      <c r="J329" s="592"/>
      <c r="K329" s="519"/>
      <c r="L329" s="592"/>
      <c r="M329" s="519"/>
      <c r="N329" s="592"/>
      <c r="O329" s="519"/>
      <c r="P329" s="595">
        <f t="shared" si="108"/>
        <v>0</v>
      </c>
      <c r="Q329" s="595">
        <f t="shared" si="109"/>
        <v>0</v>
      </c>
      <c r="R329" s="596">
        <f t="shared" si="110"/>
        <v>0</v>
      </c>
      <c r="S329" s="596">
        <f t="shared" si="111"/>
        <v>0</v>
      </c>
      <c r="T329" s="592"/>
      <c r="U329" s="519"/>
      <c r="V329" s="595">
        <f t="shared" si="112"/>
        <v>0</v>
      </c>
      <c r="W329" s="596">
        <f t="shared" si="113"/>
        <v>0</v>
      </c>
      <c r="X329" s="592"/>
      <c r="Y329" s="519"/>
      <c r="Z329" s="592"/>
      <c r="AA329" s="519"/>
      <c r="AB329" s="592"/>
      <c r="AC329" s="519"/>
      <c r="AD329" s="592">
        <v>766348.03</v>
      </c>
      <c r="AE329" s="563">
        <v>683487</v>
      </c>
      <c r="AF329" s="595">
        <f t="shared" si="114"/>
        <v>766348.03</v>
      </c>
      <c r="AG329" s="595">
        <f t="shared" si="115"/>
        <v>851.4978111111111</v>
      </c>
      <c r="AH329" s="596">
        <f t="shared" si="116"/>
        <v>683487</v>
      </c>
      <c r="AI329" s="596">
        <f t="shared" si="117"/>
        <v>759.43</v>
      </c>
      <c r="AJ329" s="592"/>
      <c r="AK329" s="519"/>
      <c r="AL329" s="595">
        <f t="shared" si="118"/>
        <v>0</v>
      </c>
      <c r="AM329" s="596">
        <f t="shared" si="119"/>
        <v>0</v>
      </c>
      <c r="AN329" s="592"/>
      <c r="AO329" s="519"/>
      <c r="AP329" s="592"/>
      <c r="AQ329" s="519"/>
      <c r="AR329" s="592"/>
      <c r="AS329" s="519"/>
      <c r="AT329" s="592"/>
      <c r="AU329" s="519"/>
      <c r="AV329" s="595">
        <f t="shared" si="120"/>
        <v>0</v>
      </c>
      <c r="AW329" s="595">
        <f t="shared" si="121"/>
        <v>0</v>
      </c>
      <c r="AX329" s="596">
        <f t="shared" si="122"/>
        <v>0</v>
      </c>
      <c r="AY329" s="596">
        <f t="shared" si="123"/>
        <v>0</v>
      </c>
      <c r="AZ329" s="595">
        <f t="shared" si="124"/>
        <v>851.4978111111111</v>
      </c>
      <c r="BA329" s="596">
        <f t="shared" si="125"/>
        <v>759.43</v>
      </c>
    </row>
    <row r="330" spans="1:53" customFormat="1" ht="15" customHeight="1">
      <c r="A330" s="411" t="s">
        <v>311</v>
      </c>
      <c r="B330" s="412" t="s">
        <v>323</v>
      </c>
      <c r="C330" s="415"/>
      <c r="D330" s="414">
        <v>428019</v>
      </c>
      <c r="E330" s="414">
        <v>13</v>
      </c>
      <c r="F330" s="592"/>
      <c r="G330" s="519"/>
      <c r="H330" s="592"/>
      <c r="I330" s="519"/>
      <c r="J330" s="592"/>
      <c r="K330" s="519"/>
      <c r="L330" s="592"/>
      <c r="M330" s="519"/>
      <c r="N330" s="592"/>
      <c r="O330" s="519"/>
      <c r="P330" s="595">
        <f t="shared" si="108"/>
        <v>0</v>
      </c>
      <c r="Q330" s="595">
        <f t="shared" si="109"/>
        <v>0</v>
      </c>
      <c r="R330" s="596">
        <f t="shared" si="110"/>
        <v>0</v>
      </c>
      <c r="S330" s="596">
        <f t="shared" si="111"/>
        <v>0</v>
      </c>
      <c r="T330" s="592"/>
      <c r="U330" s="519"/>
      <c r="V330" s="595">
        <f t="shared" si="112"/>
        <v>0</v>
      </c>
      <c r="W330" s="596">
        <f t="shared" si="113"/>
        <v>0</v>
      </c>
      <c r="X330" s="592"/>
      <c r="Y330" s="519"/>
      <c r="Z330" s="592"/>
      <c r="AA330" s="519"/>
      <c r="AB330" s="592"/>
      <c r="AC330" s="519"/>
      <c r="AD330" s="592">
        <v>186012.7</v>
      </c>
      <c r="AE330" s="563">
        <v>233309</v>
      </c>
      <c r="AF330" s="595">
        <f t="shared" si="114"/>
        <v>186012.7</v>
      </c>
      <c r="AG330" s="595">
        <f t="shared" si="115"/>
        <v>206.68077777777779</v>
      </c>
      <c r="AH330" s="596">
        <f t="shared" si="116"/>
        <v>233309</v>
      </c>
      <c r="AI330" s="596">
        <f t="shared" si="117"/>
        <v>259.23222222222222</v>
      </c>
      <c r="AJ330" s="592"/>
      <c r="AK330" s="519"/>
      <c r="AL330" s="595">
        <f t="shared" si="118"/>
        <v>0</v>
      </c>
      <c r="AM330" s="596">
        <f t="shared" si="119"/>
        <v>0</v>
      </c>
      <c r="AN330" s="592"/>
      <c r="AO330" s="519"/>
      <c r="AP330" s="592"/>
      <c r="AQ330" s="519"/>
      <c r="AR330" s="592"/>
      <c r="AS330" s="519"/>
      <c r="AT330" s="592"/>
      <c r="AU330" s="519"/>
      <c r="AV330" s="595">
        <f t="shared" si="120"/>
        <v>0</v>
      </c>
      <c r="AW330" s="595">
        <f t="shared" si="121"/>
        <v>0</v>
      </c>
      <c r="AX330" s="596">
        <f t="shared" si="122"/>
        <v>0</v>
      </c>
      <c r="AY330" s="596">
        <f t="shared" si="123"/>
        <v>0</v>
      </c>
      <c r="AZ330" s="595">
        <f t="shared" si="124"/>
        <v>206.68077777777779</v>
      </c>
      <c r="BA330" s="596">
        <f t="shared" si="125"/>
        <v>259.23222222222222</v>
      </c>
    </row>
    <row r="331" spans="1:53" customFormat="1" ht="15" customHeight="1">
      <c r="A331" s="414" t="s">
        <v>311</v>
      </c>
      <c r="B331" s="412" t="s">
        <v>324</v>
      </c>
      <c r="C331" s="413"/>
      <c r="D331" s="414">
        <v>208053</v>
      </c>
      <c r="E331" s="414">
        <v>13</v>
      </c>
      <c r="F331" s="592"/>
      <c r="G331" s="519"/>
      <c r="H331" s="592"/>
      <c r="I331" s="519"/>
      <c r="J331" s="592"/>
      <c r="K331" s="519"/>
      <c r="L331" s="592"/>
      <c r="M331" s="519"/>
      <c r="N331" s="592"/>
      <c r="O331" s="519"/>
      <c r="P331" s="595">
        <f t="shared" si="108"/>
        <v>0</v>
      </c>
      <c r="Q331" s="595">
        <f t="shared" si="109"/>
        <v>0</v>
      </c>
      <c r="R331" s="596">
        <f t="shared" si="110"/>
        <v>0</v>
      </c>
      <c r="S331" s="596">
        <f t="shared" si="111"/>
        <v>0</v>
      </c>
      <c r="T331" s="592"/>
      <c r="U331" s="519"/>
      <c r="V331" s="595">
        <f t="shared" si="112"/>
        <v>0</v>
      </c>
      <c r="W331" s="596">
        <f t="shared" si="113"/>
        <v>0</v>
      </c>
      <c r="X331" s="592"/>
      <c r="Y331" s="519"/>
      <c r="Z331" s="592"/>
      <c r="AA331" s="519"/>
      <c r="AB331" s="592"/>
      <c r="AC331" s="519"/>
      <c r="AD331" s="592">
        <v>203650.91</v>
      </c>
      <c r="AE331" s="563">
        <v>204946.9</v>
      </c>
      <c r="AF331" s="595">
        <f t="shared" si="114"/>
        <v>203650.91</v>
      </c>
      <c r="AG331" s="595">
        <f t="shared" si="115"/>
        <v>226.2787888888889</v>
      </c>
      <c r="AH331" s="596">
        <f t="shared" si="116"/>
        <v>204946.9</v>
      </c>
      <c r="AI331" s="596">
        <f t="shared" si="117"/>
        <v>227.71877777777777</v>
      </c>
      <c r="AJ331" s="592"/>
      <c r="AK331" s="519"/>
      <c r="AL331" s="595">
        <f t="shared" si="118"/>
        <v>0</v>
      </c>
      <c r="AM331" s="596">
        <f t="shared" si="119"/>
        <v>0</v>
      </c>
      <c r="AN331" s="592"/>
      <c r="AO331" s="519"/>
      <c r="AP331" s="592"/>
      <c r="AQ331" s="519"/>
      <c r="AR331" s="592"/>
      <c r="AS331" s="519"/>
      <c r="AT331" s="592"/>
      <c r="AU331" s="519"/>
      <c r="AV331" s="595">
        <f t="shared" si="120"/>
        <v>0</v>
      </c>
      <c r="AW331" s="595">
        <f t="shared" si="121"/>
        <v>0</v>
      </c>
      <c r="AX331" s="596">
        <f t="shared" si="122"/>
        <v>0</v>
      </c>
      <c r="AY331" s="596">
        <f t="shared" si="123"/>
        <v>0</v>
      </c>
      <c r="AZ331" s="595">
        <f t="shared" si="124"/>
        <v>226.2787888888889</v>
      </c>
      <c r="BA331" s="596">
        <f t="shared" si="125"/>
        <v>227.71877777777777</v>
      </c>
    </row>
    <row r="332" spans="1:53" customFormat="1" ht="15" customHeight="1">
      <c r="A332" s="414" t="s">
        <v>311</v>
      </c>
      <c r="B332" s="412" t="s">
        <v>325</v>
      </c>
      <c r="C332" s="413"/>
      <c r="D332" s="414">
        <v>418296</v>
      </c>
      <c r="E332" s="414">
        <v>13</v>
      </c>
      <c r="F332" s="592"/>
      <c r="G332" s="519"/>
      <c r="H332" s="592"/>
      <c r="I332" s="519"/>
      <c r="J332" s="592"/>
      <c r="K332" s="519"/>
      <c r="L332" s="592"/>
      <c r="M332" s="519"/>
      <c r="N332" s="592"/>
      <c r="O332" s="519"/>
      <c r="P332" s="595">
        <f t="shared" si="108"/>
        <v>0</v>
      </c>
      <c r="Q332" s="595">
        <f t="shared" si="109"/>
        <v>0</v>
      </c>
      <c r="R332" s="596">
        <f t="shared" si="110"/>
        <v>0</v>
      </c>
      <c r="S332" s="596">
        <f t="shared" si="111"/>
        <v>0</v>
      </c>
      <c r="T332" s="592"/>
      <c r="U332" s="519"/>
      <c r="V332" s="595">
        <f t="shared" si="112"/>
        <v>0</v>
      </c>
      <c r="W332" s="596">
        <f t="shared" si="113"/>
        <v>0</v>
      </c>
      <c r="X332" s="592"/>
      <c r="Y332" s="519"/>
      <c r="Z332" s="592"/>
      <c r="AA332" s="519"/>
      <c r="AB332" s="592"/>
      <c r="AC332" s="519"/>
      <c r="AD332" s="592">
        <v>452639.67</v>
      </c>
      <c r="AE332" s="564">
        <v>517115.4</v>
      </c>
      <c r="AF332" s="595">
        <f t="shared" si="114"/>
        <v>452639.67</v>
      </c>
      <c r="AG332" s="595">
        <f t="shared" si="115"/>
        <v>502.93296666666663</v>
      </c>
      <c r="AH332" s="596">
        <f t="shared" si="116"/>
        <v>517115.4</v>
      </c>
      <c r="AI332" s="596">
        <f t="shared" si="117"/>
        <v>574.57266666666669</v>
      </c>
      <c r="AJ332" s="592"/>
      <c r="AK332" s="519"/>
      <c r="AL332" s="595">
        <f t="shared" si="118"/>
        <v>0</v>
      </c>
      <c r="AM332" s="596">
        <f t="shared" si="119"/>
        <v>0</v>
      </c>
      <c r="AN332" s="592"/>
      <c r="AO332" s="519"/>
      <c r="AP332" s="592"/>
      <c r="AQ332" s="519"/>
      <c r="AR332" s="592"/>
      <c r="AS332" s="519"/>
      <c r="AT332" s="592"/>
      <c r="AU332" s="519"/>
      <c r="AV332" s="595">
        <f t="shared" si="120"/>
        <v>0</v>
      </c>
      <c r="AW332" s="595">
        <f t="shared" si="121"/>
        <v>0</v>
      </c>
      <c r="AX332" s="596">
        <f t="shared" si="122"/>
        <v>0</v>
      </c>
      <c r="AY332" s="596">
        <f t="shared" si="123"/>
        <v>0</v>
      </c>
      <c r="AZ332" s="595">
        <f t="shared" si="124"/>
        <v>502.93296666666663</v>
      </c>
      <c r="BA332" s="596">
        <f t="shared" si="125"/>
        <v>574.57266666666669</v>
      </c>
    </row>
    <row r="333" spans="1:53" customFormat="1" ht="15" customHeight="1">
      <c r="A333" s="414" t="s">
        <v>311</v>
      </c>
      <c r="B333" s="412" t="s">
        <v>326</v>
      </c>
      <c r="C333" s="413"/>
      <c r="D333" s="414">
        <v>421540</v>
      </c>
      <c r="E333" s="414">
        <v>13</v>
      </c>
      <c r="F333" s="592"/>
      <c r="G333" s="519"/>
      <c r="H333" s="592"/>
      <c r="I333" s="519"/>
      <c r="J333" s="592"/>
      <c r="K333" s="519"/>
      <c r="L333" s="592"/>
      <c r="M333" s="519"/>
      <c r="N333" s="592"/>
      <c r="O333" s="519"/>
      <c r="P333" s="595">
        <f t="shared" si="108"/>
        <v>0</v>
      </c>
      <c r="Q333" s="595">
        <f t="shared" si="109"/>
        <v>0</v>
      </c>
      <c r="R333" s="596">
        <f t="shared" si="110"/>
        <v>0</v>
      </c>
      <c r="S333" s="596">
        <f t="shared" si="111"/>
        <v>0</v>
      </c>
      <c r="T333" s="592"/>
      <c r="U333" s="519"/>
      <c r="V333" s="595">
        <f t="shared" si="112"/>
        <v>0</v>
      </c>
      <c r="W333" s="596">
        <f t="shared" si="113"/>
        <v>0</v>
      </c>
      <c r="X333" s="592"/>
      <c r="Y333" s="519"/>
      <c r="Z333" s="592"/>
      <c r="AA333" s="519"/>
      <c r="AB333" s="592"/>
      <c r="AC333" s="519"/>
      <c r="AD333" s="592">
        <v>120424.69</v>
      </c>
      <c r="AE333" s="563">
        <v>99576.7</v>
      </c>
      <c r="AF333" s="595">
        <f t="shared" si="114"/>
        <v>120424.69</v>
      </c>
      <c r="AG333" s="595">
        <f t="shared" si="115"/>
        <v>133.80521111111111</v>
      </c>
      <c r="AH333" s="596">
        <f t="shared" si="116"/>
        <v>99576.7</v>
      </c>
      <c r="AI333" s="596">
        <f t="shared" si="117"/>
        <v>110.64077777777777</v>
      </c>
      <c r="AJ333" s="592"/>
      <c r="AK333" s="519"/>
      <c r="AL333" s="595">
        <f t="shared" si="118"/>
        <v>0</v>
      </c>
      <c r="AM333" s="596">
        <f t="shared" si="119"/>
        <v>0</v>
      </c>
      <c r="AN333" s="592"/>
      <c r="AO333" s="519"/>
      <c r="AP333" s="592"/>
      <c r="AQ333" s="519"/>
      <c r="AR333" s="592"/>
      <c r="AS333" s="519"/>
      <c r="AT333" s="592"/>
      <c r="AU333" s="519"/>
      <c r="AV333" s="595">
        <f t="shared" si="120"/>
        <v>0</v>
      </c>
      <c r="AW333" s="595">
        <f t="shared" si="121"/>
        <v>0</v>
      </c>
      <c r="AX333" s="596">
        <f t="shared" si="122"/>
        <v>0</v>
      </c>
      <c r="AY333" s="596">
        <f t="shared" si="123"/>
        <v>0</v>
      </c>
      <c r="AZ333" s="595">
        <f t="shared" si="124"/>
        <v>133.80521111111111</v>
      </c>
      <c r="BA333" s="596">
        <f t="shared" si="125"/>
        <v>110.64077777777777</v>
      </c>
    </row>
    <row r="334" spans="1:53" customFormat="1" ht="15" customHeight="1">
      <c r="A334" s="414" t="s">
        <v>311</v>
      </c>
      <c r="B334" s="412" t="s">
        <v>327</v>
      </c>
      <c r="C334" s="413"/>
      <c r="D334" s="414">
        <v>421559</v>
      </c>
      <c r="E334" s="414">
        <v>13</v>
      </c>
      <c r="F334" s="592"/>
      <c r="G334" s="519"/>
      <c r="H334" s="592"/>
      <c r="I334" s="519"/>
      <c r="J334" s="592"/>
      <c r="K334" s="519"/>
      <c r="L334" s="592"/>
      <c r="M334" s="519"/>
      <c r="N334" s="592"/>
      <c r="O334" s="519"/>
      <c r="P334" s="595">
        <f t="shared" si="108"/>
        <v>0</v>
      </c>
      <c r="Q334" s="595">
        <f t="shared" si="109"/>
        <v>0</v>
      </c>
      <c r="R334" s="596">
        <f t="shared" si="110"/>
        <v>0</v>
      </c>
      <c r="S334" s="596">
        <f t="shared" si="111"/>
        <v>0</v>
      </c>
      <c r="T334" s="592"/>
      <c r="U334" s="519"/>
      <c r="V334" s="595">
        <f t="shared" si="112"/>
        <v>0</v>
      </c>
      <c r="W334" s="596">
        <f t="shared" si="113"/>
        <v>0</v>
      </c>
      <c r="X334" s="592"/>
      <c r="Y334" s="519"/>
      <c r="Z334" s="592"/>
      <c r="AA334" s="519"/>
      <c r="AB334" s="592"/>
      <c r="AC334" s="519"/>
      <c r="AD334" s="592">
        <v>96298.68</v>
      </c>
      <c r="AE334" s="563">
        <v>114030</v>
      </c>
      <c r="AF334" s="595">
        <f t="shared" si="114"/>
        <v>96298.68</v>
      </c>
      <c r="AG334" s="595">
        <f t="shared" si="115"/>
        <v>106.99853333333333</v>
      </c>
      <c r="AH334" s="596">
        <f t="shared" si="116"/>
        <v>114030</v>
      </c>
      <c r="AI334" s="596">
        <f t="shared" si="117"/>
        <v>126.7</v>
      </c>
      <c r="AJ334" s="592"/>
      <c r="AK334" s="519"/>
      <c r="AL334" s="595">
        <f t="shared" si="118"/>
        <v>0</v>
      </c>
      <c r="AM334" s="596">
        <f t="shared" si="119"/>
        <v>0</v>
      </c>
      <c r="AN334" s="592"/>
      <c r="AO334" s="519"/>
      <c r="AP334" s="592"/>
      <c r="AQ334" s="519"/>
      <c r="AR334" s="592"/>
      <c r="AS334" s="519"/>
      <c r="AT334" s="592"/>
      <c r="AU334" s="519"/>
      <c r="AV334" s="595">
        <f t="shared" si="120"/>
        <v>0</v>
      </c>
      <c r="AW334" s="595">
        <f t="shared" si="121"/>
        <v>0</v>
      </c>
      <c r="AX334" s="596">
        <f t="shared" si="122"/>
        <v>0</v>
      </c>
      <c r="AY334" s="596">
        <f t="shared" si="123"/>
        <v>0</v>
      </c>
      <c r="AZ334" s="595">
        <f t="shared" si="124"/>
        <v>106.99853333333333</v>
      </c>
      <c r="BA334" s="596">
        <f t="shared" si="125"/>
        <v>126.7</v>
      </c>
    </row>
    <row r="335" spans="1:53" customFormat="1" ht="15" customHeight="1">
      <c r="A335" s="414" t="s">
        <v>311</v>
      </c>
      <c r="B335" s="412" t="s">
        <v>328</v>
      </c>
      <c r="C335" s="413"/>
      <c r="D335" s="414">
        <v>208026</v>
      </c>
      <c r="E335" s="414">
        <v>13</v>
      </c>
      <c r="F335" s="592"/>
      <c r="G335" s="519"/>
      <c r="H335" s="592"/>
      <c r="I335" s="519"/>
      <c r="J335" s="592"/>
      <c r="K335" s="519"/>
      <c r="L335" s="592"/>
      <c r="M335" s="519"/>
      <c r="N335" s="592"/>
      <c r="O335" s="519"/>
      <c r="P335" s="595">
        <f t="shared" si="108"/>
        <v>0</v>
      </c>
      <c r="Q335" s="595">
        <f t="shared" si="109"/>
        <v>0</v>
      </c>
      <c r="R335" s="596">
        <f t="shared" si="110"/>
        <v>0</v>
      </c>
      <c r="S335" s="596">
        <f t="shared" si="111"/>
        <v>0</v>
      </c>
      <c r="T335" s="592"/>
      <c r="U335" s="519"/>
      <c r="V335" s="595">
        <f t="shared" si="112"/>
        <v>0</v>
      </c>
      <c r="W335" s="596">
        <f t="shared" si="113"/>
        <v>0</v>
      </c>
      <c r="X335" s="592"/>
      <c r="Y335" s="519"/>
      <c r="Z335" s="592"/>
      <c r="AA335" s="519"/>
      <c r="AB335" s="592"/>
      <c r="AC335" s="519"/>
      <c r="AD335" s="592">
        <v>196529.22</v>
      </c>
      <c r="AE335" s="563">
        <v>228733.2</v>
      </c>
      <c r="AF335" s="595">
        <f t="shared" si="114"/>
        <v>196529.22</v>
      </c>
      <c r="AG335" s="595">
        <f t="shared" si="115"/>
        <v>218.36580000000001</v>
      </c>
      <c r="AH335" s="596">
        <f t="shared" si="116"/>
        <v>228733.2</v>
      </c>
      <c r="AI335" s="596">
        <f t="shared" si="117"/>
        <v>254.14800000000002</v>
      </c>
      <c r="AJ335" s="592"/>
      <c r="AK335" s="519"/>
      <c r="AL335" s="595">
        <f t="shared" si="118"/>
        <v>0</v>
      </c>
      <c r="AM335" s="596">
        <f t="shared" si="119"/>
        <v>0</v>
      </c>
      <c r="AN335" s="592"/>
      <c r="AO335" s="519"/>
      <c r="AP335" s="592"/>
      <c r="AQ335" s="519"/>
      <c r="AR335" s="592"/>
      <c r="AS335" s="519"/>
      <c r="AT335" s="592"/>
      <c r="AU335" s="519"/>
      <c r="AV335" s="595">
        <f t="shared" si="120"/>
        <v>0</v>
      </c>
      <c r="AW335" s="595">
        <f t="shared" si="121"/>
        <v>0</v>
      </c>
      <c r="AX335" s="596">
        <f t="shared" si="122"/>
        <v>0</v>
      </c>
      <c r="AY335" s="596">
        <f t="shared" si="123"/>
        <v>0</v>
      </c>
      <c r="AZ335" s="595">
        <f t="shared" si="124"/>
        <v>218.36580000000001</v>
      </c>
      <c r="BA335" s="596">
        <f t="shared" si="125"/>
        <v>254.14800000000002</v>
      </c>
    </row>
    <row r="336" spans="1:53" customFormat="1" ht="15" customHeight="1">
      <c r="A336" s="414" t="s">
        <v>311</v>
      </c>
      <c r="B336" s="412" t="s">
        <v>329</v>
      </c>
      <c r="C336" s="413"/>
      <c r="D336" s="414">
        <v>375692</v>
      </c>
      <c r="E336" s="414">
        <v>13</v>
      </c>
      <c r="F336" s="592"/>
      <c r="G336" s="519"/>
      <c r="H336" s="592"/>
      <c r="I336" s="519"/>
      <c r="J336" s="592"/>
      <c r="K336" s="519"/>
      <c r="L336" s="592"/>
      <c r="M336" s="519"/>
      <c r="N336" s="592"/>
      <c r="O336" s="519"/>
      <c r="P336" s="595">
        <f t="shared" si="108"/>
        <v>0</v>
      </c>
      <c r="Q336" s="595">
        <f t="shared" si="109"/>
        <v>0</v>
      </c>
      <c r="R336" s="596">
        <f t="shared" si="110"/>
        <v>0</v>
      </c>
      <c r="S336" s="596">
        <f t="shared" si="111"/>
        <v>0</v>
      </c>
      <c r="T336" s="592"/>
      <c r="U336" s="519"/>
      <c r="V336" s="595">
        <f t="shared" si="112"/>
        <v>0</v>
      </c>
      <c r="W336" s="596">
        <f t="shared" si="113"/>
        <v>0</v>
      </c>
      <c r="X336" s="592"/>
      <c r="Y336" s="519"/>
      <c r="Z336" s="592"/>
      <c r="AA336" s="519"/>
      <c r="AB336" s="592"/>
      <c r="AC336" s="519"/>
      <c r="AD336" s="592">
        <v>121865.98</v>
      </c>
      <c r="AE336" s="564">
        <v>203282</v>
      </c>
      <c r="AF336" s="595">
        <f t="shared" si="114"/>
        <v>121865.98</v>
      </c>
      <c r="AG336" s="595">
        <f t="shared" si="115"/>
        <v>135.40664444444445</v>
      </c>
      <c r="AH336" s="596">
        <f t="shared" si="116"/>
        <v>203282</v>
      </c>
      <c r="AI336" s="596">
        <f t="shared" si="117"/>
        <v>225.86888888888888</v>
      </c>
      <c r="AJ336" s="592"/>
      <c r="AK336" s="519"/>
      <c r="AL336" s="595">
        <f t="shared" si="118"/>
        <v>0</v>
      </c>
      <c r="AM336" s="596">
        <f t="shared" si="119"/>
        <v>0</v>
      </c>
      <c r="AN336" s="592"/>
      <c r="AO336" s="519"/>
      <c r="AP336" s="592"/>
      <c r="AQ336" s="519"/>
      <c r="AR336" s="592"/>
      <c r="AS336" s="519"/>
      <c r="AT336" s="592"/>
      <c r="AU336" s="519"/>
      <c r="AV336" s="595">
        <f t="shared" si="120"/>
        <v>0</v>
      </c>
      <c r="AW336" s="595">
        <f t="shared" si="121"/>
        <v>0</v>
      </c>
      <c r="AX336" s="596">
        <f t="shared" si="122"/>
        <v>0</v>
      </c>
      <c r="AY336" s="596">
        <f t="shared" si="123"/>
        <v>0</v>
      </c>
      <c r="AZ336" s="595">
        <f t="shared" si="124"/>
        <v>135.40664444444445</v>
      </c>
      <c r="BA336" s="596">
        <f t="shared" si="125"/>
        <v>225.86888888888888</v>
      </c>
    </row>
    <row r="337" spans="1:53" customFormat="1" ht="15" customHeight="1">
      <c r="A337" s="414" t="s">
        <v>311</v>
      </c>
      <c r="B337" s="412" t="s">
        <v>330</v>
      </c>
      <c r="C337" s="413"/>
      <c r="D337" s="414">
        <v>375708</v>
      </c>
      <c r="E337" s="414">
        <v>13</v>
      </c>
      <c r="F337" s="592"/>
      <c r="G337" s="519"/>
      <c r="H337" s="592"/>
      <c r="I337" s="519"/>
      <c r="J337" s="592"/>
      <c r="K337" s="519"/>
      <c r="L337" s="592"/>
      <c r="M337" s="519"/>
      <c r="N337" s="592"/>
      <c r="O337" s="519"/>
      <c r="P337" s="595">
        <f t="shared" si="108"/>
        <v>0</v>
      </c>
      <c r="Q337" s="595">
        <f t="shared" si="109"/>
        <v>0</v>
      </c>
      <c r="R337" s="596">
        <f t="shared" si="110"/>
        <v>0</v>
      </c>
      <c r="S337" s="596">
        <f t="shared" si="111"/>
        <v>0</v>
      </c>
      <c r="T337" s="592"/>
      <c r="U337" s="519"/>
      <c r="V337" s="595">
        <f t="shared" si="112"/>
        <v>0</v>
      </c>
      <c r="W337" s="596">
        <f t="shared" si="113"/>
        <v>0</v>
      </c>
      <c r="X337" s="592"/>
      <c r="Y337" s="519"/>
      <c r="Z337" s="592"/>
      <c r="AA337" s="519"/>
      <c r="AB337" s="592"/>
      <c r="AC337" s="519"/>
      <c r="AD337" s="592">
        <v>173694.75</v>
      </c>
      <c r="AE337" s="563">
        <v>151019.5</v>
      </c>
      <c r="AF337" s="595">
        <f t="shared" si="114"/>
        <v>173694.75</v>
      </c>
      <c r="AG337" s="595">
        <f t="shared" si="115"/>
        <v>192.99416666666667</v>
      </c>
      <c r="AH337" s="596">
        <f t="shared" si="116"/>
        <v>151019.5</v>
      </c>
      <c r="AI337" s="596">
        <f t="shared" si="117"/>
        <v>167.79944444444445</v>
      </c>
      <c r="AJ337" s="592"/>
      <c r="AK337" s="519"/>
      <c r="AL337" s="595">
        <f t="shared" si="118"/>
        <v>0</v>
      </c>
      <c r="AM337" s="596">
        <f t="shared" si="119"/>
        <v>0</v>
      </c>
      <c r="AN337" s="592"/>
      <c r="AO337" s="519"/>
      <c r="AP337" s="592"/>
      <c r="AQ337" s="519"/>
      <c r="AR337" s="592"/>
      <c r="AS337" s="519"/>
      <c r="AT337" s="592"/>
      <c r="AU337" s="519"/>
      <c r="AV337" s="595">
        <f t="shared" si="120"/>
        <v>0</v>
      </c>
      <c r="AW337" s="595">
        <f t="shared" si="121"/>
        <v>0</v>
      </c>
      <c r="AX337" s="596">
        <f t="shared" si="122"/>
        <v>0</v>
      </c>
      <c r="AY337" s="596">
        <f t="shared" si="123"/>
        <v>0</v>
      </c>
      <c r="AZ337" s="595">
        <f t="shared" si="124"/>
        <v>192.99416666666667</v>
      </c>
      <c r="BA337" s="596">
        <f t="shared" si="125"/>
        <v>167.79944444444445</v>
      </c>
    </row>
    <row r="338" spans="1:53" customFormat="1" ht="15" customHeight="1">
      <c r="A338" s="414" t="s">
        <v>311</v>
      </c>
      <c r="B338" s="412" t="s">
        <v>331</v>
      </c>
      <c r="C338" s="413"/>
      <c r="D338" s="414">
        <v>375717</v>
      </c>
      <c r="E338" s="414">
        <v>13</v>
      </c>
      <c r="F338" s="592"/>
      <c r="G338" s="519"/>
      <c r="H338" s="592"/>
      <c r="I338" s="519"/>
      <c r="J338" s="592"/>
      <c r="K338" s="519"/>
      <c r="L338" s="592"/>
      <c r="M338" s="519"/>
      <c r="N338" s="592"/>
      <c r="O338" s="519"/>
      <c r="P338" s="595">
        <f t="shared" si="108"/>
        <v>0</v>
      </c>
      <c r="Q338" s="595">
        <f t="shared" si="109"/>
        <v>0</v>
      </c>
      <c r="R338" s="596">
        <f t="shared" si="110"/>
        <v>0</v>
      </c>
      <c r="S338" s="596">
        <f t="shared" si="111"/>
        <v>0</v>
      </c>
      <c r="T338" s="592"/>
      <c r="U338" s="519"/>
      <c r="V338" s="595">
        <f t="shared" si="112"/>
        <v>0</v>
      </c>
      <c r="W338" s="596">
        <f t="shared" si="113"/>
        <v>0</v>
      </c>
      <c r="X338" s="592"/>
      <c r="Y338" s="519"/>
      <c r="Z338" s="592"/>
      <c r="AA338" s="519"/>
      <c r="AB338" s="592"/>
      <c r="AC338" s="519"/>
      <c r="AD338" s="592">
        <v>94510.59</v>
      </c>
      <c r="AE338" s="563">
        <v>71652</v>
      </c>
      <c r="AF338" s="595">
        <f t="shared" si="114"/>
        <v>94510.59</v>
      </c>
      <c r="AG338" s="595">
        <f t="shared" si="115"/>
        <v>105.01176666666666</v>
      </c>
      <c r="AH338" s="596">
        <f t="shared" si="116"/>
        <v>71652</v>
      </c>
      <c r="AI338" s="596">
        <f t="shared" si="117"/>
        <v>79.61333333333333</v>
      </c>
      <c r="AJ338" s="592"/>
      <c r="AK338" s="519"/>
      <c r="AL338" s="595">
        <f t="shared" si="118"/>
        <v>0</v>
      </c>
      <c r="AM338" s="596">
        <f t="shared" si="119"/>
        <v>0</v>
      </c>
      <c r="AN338" s="592"/>
      <c r="AO338" s="519"/>
      <c r="AP338" s="592"/>
      <c r="AQ338" s="519"/>
      <c r="AR338" s="592"/>
      <c r="AS338" s="519"/>
      <c r="AT338" s="592"/>
      <c r="AU338" s="519"/>
      <c r="AV338" s="595">
        <f t="shared" si="120"/>
        <v>0</v>
      </c>
      <c r="AW338" s="595">
        <f t="shared" si="121"/>
        <v>0</v>
      </c>
      <c r="AX338" s="596">
        <f t="shared" si="122"/>
        <v>0</v>
      </c>
      <c r="AY338" s="596">
        <f t="shared" si="123"/>
        <v>0</v>
      </c>
      <c r="AZ338" s="595">
        <f t="shared" si="124"/>
        <v>105.01176666666666</v>
      </c>
      <c r="BA338" s="596">
        <f t="shared" si="125"/>
        <v>79.61333333333333</v>
      </c>
    </row>
    <row r="339" spans="1:53" customFormat="1" ht="15" customHeight="1">
      <c r="A339" s="414" t="s">
        <v>311</v>
      </c>
      <c r="B339" s="412" t="s">
        <v>332</v>
      </c>
      <c r="C339" s="413"/>
      <c r="D339" s="414">
        <v>375735</v>
      </c>
      <c r="E339" s="414">
        <v>13</v>
      </c>
      <c r="F339" s="592"/>
      <c r="G339" s="519"/>
      <c r="H339" s="592"/>
      <c r="I339" s="519"/>
      <c r="J339" s="592"/>
      <c r="K339" s="519"/>
      <c r="L339" s="592"/>
      <c r="M339" s="519"/>
      <c r="N339" s="592"/>
      <c r="O339" s="519"/>
      <c r="P339" s="595">
        <f t="shared" si="108"/>
        <v>0</v>
      </c>
      <c r="Q339" s="595">
        <f t="shared" si="109"/>
        <v>0</v>
      </c>
      <c r="R339" s="596">
        <f t="shared" si="110"/>
        <v>0</v>
      </c>
      <c r="S339" s="596">
        <f t="shared" si="111"/>
        <v>0</v>
      </c>
      <c r="T339" s="592"/>
      <c r="U339" s="519"/>
      <c r="V339" s="595">
        <f t="shared" si="112"/>
        <v>0</v>
      </c>
      <c r="W339" s="596">
        <f t="shared" si="113"/>
        <v>0</v>
      </c>
      <c r="X339" s="592"/>
      <c r="Y339" s="519"/>
      <c r="Z339" s="592"/>
      <c r="AA339" s="519"/>
      <c r="AB339" s="592"/>
      <c r="AC339" s="519"/>
      <c r="AD339" s="592">
        <v>168725.32</v>
      </c>
      <c r="AE339" s="563">
        <v>164047</v>
      </c>
      <c r="AF339" s="595">
        <f t="shared" si="114"/>
        <v>168725.32</v>
      </c>
      <c r="AG339" s="595">
        <f t="shared" si="115"/>
        <v>187.47257777777779</v>
      </c>
      <c r="AH339" s="596">
        <f t="shared" si="116"/>
        <v>164047</v>
      </c>
      <c r="AI339" s="596">
        <f t="shared" si="117"/>
        <v>182.27444444444444</v>
      </c>
      <c r="AJ339" s="592"/>
      <c r="AK339" s="519"/>
      <c r="AL339" s="595">
        <f t="shared" si="118"/>
        <v>0</v>
      </c>
      <c r="AM339" s="596">
        <f t="shared" si="119"/>
        <v>0</v>
      </c>
      <c r="AN339" s="592"/>
      <c r="AO339" s="519"/>
      <c r="AP339" s="592"/>
      <c r="AQ339" s="519"/>
      <c r="AR339" s="592"/>
      <c r="AS339" s="519"/>
      <c r="AT339" s="592"/>
      <c r="AU339" s="519"/>
      <c r="AV339" s="595">
        <f t="shared" si="120"/>
        <v>0</v>
      </c>
      <c r="AW339" s="595">
        <f t="shared" si="121"/>
        <v>0</v>
      </c>
      <c r="AX339" s="596">
        <f t="shared" si="122"/>
        <v>0</v>
      </c>
      <c r="AY339" s="596">
        <f t="shared" si="123"/>
        <v>0</v>
      </c>
      <c r="AZ339" s="595">
        <f t="shared" si="124"/>
        <v>187.47257777777779</v>
      </c>
      <c r="BA339" s="596">
        <f t="shared" si="125"/>
        <v>182.27444444444444</v>
      </c>
    </row>
    <row r="340" spans="1:53" customFormat="1" ht="15" customHeight="1">
      <c r="A340" s="414" t="s">
        <v>311</v>
      </c>
      <c r="B340" s="412" t="s">
        <v>333</v>
      </c>
      <c r="C340" s="413"/>
      <c r="D340" s="414">
        <v>375726</v>
      </c>
      <c r="E340" s="414">
        <v>13</v>
      </c>
      <c r="F340" s="592"/>
      <c r="G340" s="519"/>
      <c r="H340" s="592"/>
      <c r="I340" s="519"/>
      <c r="J340" s="592"/>
      <c r="K340" s="519"/>
      <c r="L340" s="592"/>
      <c r="M340" s="519"/>
      <c r="N340" s="592"/>
      <c r="O340" s="519"/>
      <c r="P340" s="595">
        <f t="shared" si="108"/>
        <v>0</v>
      </c>
      <c r="Q340" s="595">
        <f t="shared" si="109"/>
        <v>0</v>
      </c>
      <c r="R340" s="596">
        <f t="shared" si="110"/>
        <v>0</v>
      </c>
      <c r="S340" s="596">
        <f t="shared" si="111"/>
        <v>0</v>
      </c>
      <c r="T340" s="592"/>
      <c r="U340" s="519"/>
      <c r="V340" s="595">
        <f t="shared" si="112"/>
        <v>0</v>
      </c>
      <c r="W340" s="596">
        <f t="shared" si="113"/>
        <v>0</v>
      </c>
      <c r="X340" s="592"/>
      <c r="Y340" s="519"/>
      <c r="Z340" s="592"/>
      <c r="AA340" s="519"/>
      <c r="AB340" s="592"/>
      <c r="AC340" s="519"/>
      <c r="AD340" s="592">
        <v>283838.7</v>
      </c>
      <c r="AE340" s="563">
        <v>241451</v>
      </c>
      <c r="AF340" s="595">
        <f t="shared" si="114"/>
        <v>283838.7</v>
      </c>
      <c r="AG340" s="595">
        <f t="shared" si="115"/>
        <v>315.37633333333332</v>
      </c>
      <c r="AH340" s="596">
        <f t="shared" si="116"/>
        <v>241451</v>
      </c>
      <c r="AI340" s="596">
        <f t="shared" si="117"/>
        <v>268.2788888888889</v>
      </c>
      <c r="AJ340" s="592"/>
      <c r="AK340" s="519"/>
      <c r="AL340" s="595">
        <f t="shared" si="118"/>
        <v>0</v>
      </c>
      <c r="AM340" s="596">
        <f t="shared" si="119"/>
        <v>0</v>
      </c>
      <c r="AN340" s="592"/>
      <c r="AO340" s="519"/>
      <c r="AP340" s="592"/>
      <c r="AQ340" s="519"/>
      <c r="AR340" s="592"/>
      <c r="AS340" s="519"/>
      <c r="AT340" s="592"/>
      <c r="AU340" s="519"/>
      <c r="AV340" s="595">
        <f t="shared" si="120"/>
        <v>0</v>
      </c>
      <c r="AW340" s="595">
        <f t="shared" si="121"/>
        <v>0</v>
      </c>
      <c r="AX340" s="596">
        <f t="shared" si="122"/>
        <v>0</v>
      </c>
      <c r="AY340" s="596">
        <f t="shared" si="123"/>
        <v>0</v>
      </c>
      <c r="AZ340" s="595">
        <f t="shared" si="124"/>
        <v>315.37633333333332</v>
      </c>
      <c r="BA340" s="596">
        <f t="shared" si="125"/>
        <v>268.2788888888889</v>
      </c>
    </row>
    <row r="341" spans="1:53" customFormat="1" ht="15" customHeight="1">
      <c r="A341" s="414" t="s">
        <v>311</v>
      </c>
      <c r="B341" s="412" t="s">
        <v>334</v>
      </c>
      <c r="C341" s="413"/>
      <c r="D341" s="414">
        <v>375744</v>
      </c>
      <c r="E341" s="414">
        <v>13</v>
      </c>
      <c r="F341" s="592"/>
      <c r="G341" s="519"/>
      <c r="H341" s="592"/>
      <c r="I341" s="519"/>
      <c r="J341" s="592"/>
      <c r="K341" s="519"/>
      <c r="L341" s="592"/>
      <c r="M341" s="519"/>
      <c r="N341" s="592"/>
      <c r="O341" s="519"/>
      <c r="P341" s="595">
        <f t="shared" si="108"/>
        <v>0</v>
      </c>
      <c r="Q341" s="595">
        <f t="shared" si="109"/>
        <v>0</v>
      </c>
      <c r="R341" s="596">
        <f t="shared" si="110"/>
        <v>0</v>
      </c>
      <c r="S341" s="596">
        <f t="shared" si="111"/>
        <v>0</v>
      </c>
      <c r="T341" s="592"/>
      <c r="U341" s="519"/>
      <c r="V341" s="595">
        <f t="shared" si="112"/>
        <v>0</v>
      </c>
      <c r="W341" s="596">
        <f t="shared" si="113"/>
        <v>0</v>
      </c>
      <c r="X341" s="592"/>
      <c r="Y341" s="519"/>
      <c r="Z341" s="592"/>
      <c r="AA341" s="519"/>
      <c r="AB341" s="592"/>
      <c r="AC341" s="519"/>
      <c r="AD341" s="592">
        <v>229024.9</v>
      </c>
      <c r="AE341" s="563">
        <v>203094</v>
      </c>
      <c r="AF341" s="595">
        <f t="shared" si="114"/>
        <v>229024.9</v>
      </c>
      <c r="AG341" s="595">
        <f t="shared" si="115"/>
        <v>254.4721111111111</v>
      </c>
      <c r="AH341" s="596">
        <f t="shared" si="116"/>
        <v>203094</v>
      </c>
      <c r="AI341" s="596">
        <f t="shared" si="117"/>
        <v>225.66</v>
      </c>
      <c r="AJ341" s="592"/>
      <c r="AK341" s="519"/>
      <c r="AL341" s="595">
        <f t="shared" si="118"/>
        <v>0</v>
      </c>
      <c r="AM341" s="596">
        <f t="shared" si="119"/>
        <v>0</v>
      </c>
      <c r="AN341" s="592"/>
      <c r="AO341" s="519"/>
      <c r="AP341" s="592"/>
      <c r="AQ341" s="519"/>
      <c r="AR341" s="592"/>
      <c r="AS341" s="519"/>
      <c r="AT341" s="592"/>
      <c r="AU341" s="519"/>
      <c r="AV341" s="595">
        <f t="shared" si="120"/>
        <v>0</v>
      </c>
      <c r="AW341" s="595">
        <f t="shared" si="121"/>
        <v>0</v>
      </c>
      <c r="AX341" s="596">
        <f t="shared" si="122"/>
        <v>0</v>
      </c>
      <c r="AY341" s="596">
        <f t="shared" si="123"/>
        <v>0</v>
      </c>
      <c r="AZ341" s="595">
        <f t="shared" si="124"/>
        <v>254.4721111111111</v>
      </c>
      <c r="BA341" s="596">
        <f t="shared" si="125"/>
        <v>225.66</v>
      </c>
    </row>
    <row r="342" spans="1:53" customFormat="1" ht="15" customHeight="1">
      <c r="A342" s="414" t="s">
        <v>311</v>
      </c>
      <c r="B342" s="412" t="s">
        <v>335</v>
      </c>
      <c r="C342" s="413"/>
      <c r="D342" s="414">
        <v>375753</v>
      </c>
      <c r="E342" s="414">
        <v>13</v>
      </c>
      <c r="F342" s="592"/>
      <c r="G342" s="519"/>
      <c r="H342" s="592"/>
      <c r="I342" s="519"/>
      <c r="J342" s="592"/>
      <c r="K342" s="519"/>
      <c r="L342" s="592"/>
      <c r="M342" s="519"/>
      <c r="N342" s="592"/>
      <c r="O342" s="519"/>
      <c r="P342" s="595">
        <f t="shared" si="108"/>
        <v>0</v>
      </c>
      <c r="Q342" s="595">
        <f t="shared" si="109"/>
        <v>0</v>
      </c>
      <c r="R342" s="596">
        <f t="shared" si="110"/>
        <v>0</v>
      </c>
      <c r="S342" s="596">
        <f t="shared" si="111"/>
        <v>0</v>
      </c>
      <c r="T342" s="592"/>
      <c r="U342" s="519"/>
      <c r="V342" s="595">
        <f t="shared" si="112"/>
        <v>0</v>
      </c>
      <c r="W342" s="596">
        <f t="shared" si="113"/>
        <v>0</v>
      </c>
      <c r="X342" s="592"/>
      <c r="Y342" s="519"/>
      <c r="Z342" s="592"/>
      <c r="AA342" s="519"/>
      <c r="AB342" s="592"/>
      <c r="AC342" s="519"/>
      <c r="AD342" s="592">
        <v>16925</v>
      </c>
      <c r="AE342" s="563">
        <v>15054</v>
      </c>
      <c r="AF342" s="595">
        <f t="shared" si="114"/>
        <v>16925</v>
      </c>
      <c r="AG342" s="595">
        <f t="shared" si="115"/>
        <v>18.805555555555557</v>
      </c>
      <c r="AH342" s="596">
        <f t="shared" si="116"/>
        <v>15054</v>
      </c>
      <c r="AI342" s="596">
        <f t="shared" si="117"/>
        <v>16.726666666666667</v>
      </c>
      <c r="AJ342" s="592"/>
      <c r="AK342" s="519"/>
      <c r="AL342" s="595">
        <f t="shared" si="118"/>
        <v>0</v>
      </c>
      <c r="AM342" s="596">
        <f t="shared" si="119"/>
        <v>0</v>
      </c>
      <c r="AN342" s="592"/>
      <c r="AO342" s="519"/>
      <c r="AP342" s="592"/>
      <c r="AQ342" s="519"/>
      <c r="AR342" s="592"/>
      <c r="AS342" s="519"/>
      <c r="AT342" s="592"/>
      <c r="AU342" s="519"/>
      <c r="AV342" s="595">
        <f t="shared" si="120"/>
        <v>0</v>
      </c>
      <c r="AW342" s="595">
        <f t="shared" si="121"/>
        <v>0</v>
      </c>
      <c r="AX342" s="596">
        <f t="shared" si="122"/>
        <v>0</v>
      </c>
      <c r="AY342" s="596">
        <f t="shared" si="123"/>
        <v>0</v>
      </c>
      <c r="AZ342" s="595">
        <f t="shared" si="124"/>
        <v>18.805555555555557</v>
      </c>
      <c r="BA342" s="596">
        <f t="shared" si="125"/>
        <v>16.726666666666667</v>
      </c>
    </row>
    <row r="343" spans="1:53" customFormat="1" ht="15" customHeight="1">
      <c r="A343" s="414" t="s">
        <v>311</v>
      </c>
      <c r="B343" s="412" t="s">
        <v>336</v>
      </c>
      <c r="C343" s="413"/>
      <c r="D343" s="414">
        <v>405748</v>
      </c>
      <c r="E343" s="414">
        <v>13</v>
      </c>
      <c r="F343" s="592"/>
      <c r="G343" s="519"/>
      <c r="H343" s="592"/>
      <c r="I343" s="519"/>
      <c r="J343" s="592"/>
      <c r="K343" s="519"/>
      <c r="L343" s="592"/>
      <c r="M343" s="519"/>
      <c r="N343" s="592"/>
      <c r="O343" s="519"/>
      <c r="P343" s="595">
        <f t="shared" si="108"/>
        <v>0</v>
      </c>
      <c r="Q343" s="595">
        <f t="shared" si="109"/>
        <v>0</v>
      </c>
      <c r="R343" s="596">
        <f t="shared" si="110"/>
        <v>0</v>
      </c>
      <c r="S343" s="596">
        <f t="shared" si="111"/>
        <v>0</v>
      </c>
      <c r="T343" s="592"/>
      <c r="U343" s="519"/>
      <c r="V343" s="595">
        <f t="shared" si="112"/>
        <v>0</v>
      </c>
      <c r="W343" s="596">
        <f t="shared" si="113"/>
        <v>0</v>
      </c>
      <c r="X343" s="592"/>
      <c r="Y343" s="519"/>
      <c r="Z343" s="592"/>
      <c r="AA343" s="519"/>
      <c r="AB343" s="592"/>
      <c r="AC343" s="519"/>
      <c r="AD343" s="592">
        <v>81216.78</v>
      </c>
      <c r="AE343" s="563">
        <v>79776</v>
      </c>
      <c r="AF343" s="595">
        <f t="shared" si="114"/>
        <v>81216.78</v>
      </c>
      <c r="AG343" s="595">
        <f t="shared" si="115"/>
        <v>90.240866666666662</v>
      </c>
      <c r="AH343" s="596">
        <f t="shared" si="116"/>
        <v>79776</v>
      </c>
      <c r="AI343" s="596">
        <f t="shared" si="117"/>
        <v>88.64</v>
      </c>
      <c r="AJ343" s="592"/>
      <c r="AK343" s="519"/>
      <c r="AL343" s="595">
        <f t="shared" si="118"/>
        <v>0</v>
      </c>
      <c r="AM343" s="596">
        <f t="shared" si="119"/>
        <v>0</v>
      </c>
      <c r="AN343" s="592"/>
      <c r="AO343" s="519"/>
      <c r="AP343" s="592"/>
      <c r="AQ343" s="519"/>
      <c r="AR343" s="592"/>
      <c r="AS343" s="519"/>
      <c r="AT343" s="592"/>
      <c r="AU343" s="519"/>
      <c r="AV343" s="595">
        <f t="shared" si="120"/>
        <v>0</v>
      </c>
      <c r="AW343" s="595">
        <f t="shared" si="121"/>
        <v>0</v>
      </c>
      <c r="AX343" s="596">
        <f t="shared" si="122"/>
        <v>0</v>
      </c>
      <c r="AY343" s="596">
        <f t="shared" si="123"/>
        <v>0</v>
      </c>
      <c r="AZ343" s="595">
        <f t="shared" si="124"/>
        <v>90.240866666666662</v>
      </c>
      <c r="BA343" s="596">
        <f t="shared" si="125"/>
        <v>88.64</v>
      </c>
    </row>
    <row r="344" spans="1:53" customFormat="1" ht="15" customHeight="1">
      <c r="A344" s="414" t="s">
        <v>311</v>
      </c>
      <c r="B344" s="412" t="s">
        <v>337</v>
      </c>
      <c r="C344" s="413"/>
      <c r="D344" s="414">
        <v>375762</v>
      </c>
      <c r="E344" s="414">
        <v>13</v>
      </c>
      <c r="F344" s="592"/>
      <c r="G344" s="519"/>
      <c r="H344" s="592"/>
      <c r="I344" s="519"/>
      <c r="J344" s="592"/>
      <c r="K344" s="519"/>
      <c r="L344" s="592"/>
      <c r="M344" s="519"/>
      <c r="N344" s="592"/>
      <c r="O344" s="519"/>
      <c r="P344" s="595">
        <f t="shared" si="108"/>
        <v>0</v>
      </c>
      <c r="Q344" s="595">
        <f t="shared" si="109"/>
        <v>0</v>
      </c>
      <c r="R344" s="596">
        <f t="shared" si="110"/>
        <v>0</v>
      </c>
      <c r="S344" s="596">
        <f t="shared" si="111"/>
        <v>0</v>
      </c>
      <c r="T344" s="592"/>
      <c r="U344" s="519"/>
      <c r="V344" s="595">
        <f t="shared" si="112"/>
        <v>0</v>
      </c>
      <c r="W344" s="596">
        <f t="shared" si="113"/>
        <v>0</v>
      </c>
      <c r="X344" s="592"/>
      <c r="Y344" s="519"/>
      <c r="Z344" s="592"/>
      <c r="AA344" s="519"/>
      <c r="AB344" s="592"/>
      <c r="AC344" s="519"/>
      <c r="AD344" s="592">
        <v>65027.33</v>
      </c>
      <c r="AE344" s="563">
        <v>57855</v>
      </c>
      <c r="AF344" s="595">
        <f t="shared" si="114"/>
        <v>65027.33</v>
      </c>
      <c r="AG344" s="595">
        <f t="shared" si="115"/>
        <v>72.252588888888894</v>
      </c>
      <c r="AH344" s="596">
        <f t="shared" si="116"/>
        <v>57855</v>
      </c>
      <c r="AI344" s="596">
        <f t="shared" si="117"/>
        <v>64.283333333333331</v>
      </c>
      <c r="AJ344" s="592"/>
      <c r="AK344" s="519"/>
      <c r="AL344" s="595">
        <f t="shared" si="118"/>
        <v>0</v>
      </c>
      <c r="AM344" s="596">
        <f t="shared" si="119"/>
        <v>0</v>
      </c>
      <c r="AN344" s="592"/>
      <c r="AO344" s="519"/>
      <c r="AP344" s="592"/>
      <c r="AQ344" s="519"/>
      <c r="AR344" s="592"/>
      <c r="AS344" s="519"/>
      <c r="AT344" s="592"/>
      <c r="AU344" s="519"/>
      <c r="AV344" s="595">
        <f t="shared" si="120"/>
        <v>0</v>
      </c>
      <c r="AW344" s="595">
        <f t="shared" si="121"/>
        <v>0</v>
      </c>
      <c r="AX344" s="596">
        <f t="shared" si="122"/>
        <v>0</v>
      </c>
      <c r="AY344" s="596">
        <f t="shared" si="123"/>
        <v>0</v>
      </c>
      <c r="AZ344" s="595">
        <f t="shared" si="124"/>
        <v>72.252588888888894</v>
      </c>
      <c r="BA344" s="596">
        <f t="shared" si="125"/>
        <v>64.283333333333331</v>
      </c>
    </row>
    <row r="345" spans="1:53" customFormat="1" ht="15" customHeight="1">
      <c r="A345" s="414" t="s">
        <v>311</v>
      </c>
      <c r="B345" s="412" t="s">
        <v>338</v>
      </c>
      <c r="C345" s="413"/>
      <c r="D345" s="414">
        <v>365480</v>
      </c>
      <c r="E345" s="414">
        <v>13</v>
      </c>
      <c r="F345" s="592"/>
      <c r="G345" s="519"/>
      <c r="H345" s="592"/>
      <c r="I345" s="519"/>
      <c r="J345" s="592"/>
      <c r="K345" s="519"/>
      <c r="L345" s="592"/>
      <c r="M345" s="519"/>
      <c r="N345" s="592"/>
      <c r="O345" s="519"/>
      <c r="P345" s="595">
        <f t="shared" si="108"/>
        <v>0</v>
      </c>
      <c r="Q345" s="595">
        <f t="shared" si="109"/>
        <v>0</v>
      </c>
      <c r="R345" s="596">
        <f t="shared" si="110"/>
        <v>0</v>
      </c>
      <c r="S345" s="596">
        <f t="shared" si="111"/>
        <v>0</v>
      </c>
      <c r="T345" s="592"/>
      <c r="U345" s="519"/>
      <c r="V345" s="595">
        <f t="shared" si="112"/>
        <v>0</v>
      </c>
      <c r="W345" s="596">
        <f t="shared" si="113"/>
        <v>0</v>
      </c>
      <c r="X345" s="592"/>
      <c r="Y345" s="519"/>
      <c r="Z345" s="592"/>
      <c r="AA345" s="519"/>
      <c r="AB345" s="592"/>
      <c r="AC345" s="519"/>
      <c r="AD345" s="592">
        <v>509245.37</v>
      </c>
      <c r="AE345" s="563">
        <v>546093.80000000005</v>
      </c>
      <c r="AF345" s="595">
        <f t="shared" si="114"/>
        <v>509245.37</v>
      </c>
      <c r="AG345" s="595">
        <f t="shared" si="115"/>
        <v>565.82818888888892</v>
      </c>
      <c r="AH345" s="596">
        <f t="shared" si="116"/>
        <v>546093.80000000005</v>
      </c>
      <c r="AI345" s="596">
        <f t="shared" si="117"/>
        <v>606.77088888888898</v>
      </c>
      <c r="AJ345" s="592"/>
      <c r="AK345" s="519"/>
      <c r="AL345" s="595">
        <f t="shared" si="118"/>
        <v>0</v>
      </c>
      <c r="AM345" s="596">
        <f t="shared" si="119"/>
        <v>0</v>
      </c>
      <c r="AN345" s="592"/>
      <c r="AO345" s="519"/>
      <c r="AP345" s="592"/>
      <c r="AQ345" s="519"/>
      <c r="AR345" s="592"/>
      <c r="AS345" s="519"/>
      <c r="AT345" s="592"/>
      <c r="AU345" s="519"/>
      <c r="AV345" s="595">
        <f t="shared" si="120"/>
        <v>0</v>
      </c>
      <c r="AW345" s="595">
        <f t="shared" si="121"/>
        <v>0</v>
      </c>
      <c r="AX345" s="596">
        <f t="shared" si="122"/>
        <v>0</v>
      </c>
      <c r="AY345" s="596">
        <f t="shared" si="123"/>
        <v>0</v>
      </c>
      <c r="AZ345" s="595">
        <f t="shared" si="124"/>
        <v>565.82818888888892</v>
      </c>
      <c r="BA345" s="596">
        <f t="shared" si="125"/>
        <v>606.77088888888898</v>
      </c>
    </row>
    <row r="346" spans="1:53" customFormat="1" ht="15" customHeight="1">
      <c r="A346" s="414" t="s">
        <v>311</v>
      </c>
      <c r="B346" s="412" t="s">
        <v>314</v>
      </c>
      <c r="C346" s="413"/>
      <c r="D346" s="414">
        <v>363165</v>
      </c>
      <c r="E346" s="414">
        <v>13</v>
      </c>
      <c r="F346" s="592"/>
      <c r="G346" s="519"/>
      <c r="H346" s="592"/>
      <c r="I346" s="519"/>
      <c r="J346" s="592"/>
      <c r="K346" s="519"/>
      <c r="L346" s="592"/>
      <c r="M346" s="519"/>
      <c r="N346" s="592"/>
      <c r="O346" s="519"/>
      <c r="P346" s="595">
        <f t="shared" si="108"/>
        <v>0</v>
      </c>
      <c r="Q346" s="595">
        <f t="shared" si="109"/>
        <v>0</v>
      </c>
      <c r="R346" s="596">
        <f t="shared" si="110"/>
        <v>0</v>
      </c>
      <c r="S346" s="596">
        <f t="shared" si="111"/>
        <v>0</v>
      </c>
      <c r="T346" s="592"/>
      <c r="U346" s="519"/>
      <c r="V346" s="595">
        <f t="shared" si="112"/>
        <v>0</v>
      </c>
      <c r="W346" s="596">
        <f t="shared" si="113"/>
        <v>0</v>
      </c>
      <c r="X346" s="592"/>
      <c r="Y346" s="519"/>
      <c r="Z346" s="592"/>
      <c r="AA346" s="519"/>
      <c r="AB346" s="592"/>
      <c r="AC346" s="519"/>
      <c r="AD346" s="592">
        <v>712439.32</v>
      </c>
      <c r="AE346" s="564">
        <v>694158.8</v>
      </c>
      <c r="AF346" s="595">
        <f t="shared" si="114"/>
        <v>712439.32</v>
      </c>
      <c r="AG346" s="595">
        <f t="shared" si="115"/>
        <v>791.59924444444437</v>
      </c>
      <c r="AH346" s="596">
        <f t="shared" si="116"/>
        <v>694158.8</v>
      </c>
      <c r="AI346" s="596">
        <f t="shared" si="117"/>
        <v>771.28755555555563</v>
      </c>
      <c r="AJ346" s="592"/>
      <c r="AK346" s="519"/>
      <c r="AL346" s="595">
        <f t="shared" si="118"/>
        <v>0</v>
      </c>
      <c r="AM346" s="596">
        <f t="shared" si="119"/>
        <v>0</v>
      </c>
      <c r="AN346" s="592"/>
      <c r="AO346" s="519"/>
      <c r="AP346" s="592"/>
      <c r="AQ346" s="519"/>
      <c r="AR346" s="592"/>
      <c r="AS346" s="519"/>
      <c r="AT346" s="592"/>
      <c r="AU346" s="519"/>
      <c r="AV346" s="595">
        <f t="shared" si="120"/>
        <v>0</v>
      </c>
      <c r="AW346" s="595">
        <f t="shared" si="121"/>
        <v>0</v>
      </c>
      <c r="AX346" s="596">
        <f t="shared" si="122"/>
        <v>0</v>
      </c>
      <c r="AY346" s="596">
        <f t="shared" si="123"/>
        <v>0</v>
      </c>
      <c r="AZ346" s="595">
        <f t="shared" si="124"/>
        <v>791.59924444444437</v>
      </c>
      <c r="BA346" s="596">
        <f t="shared" si="125"/>
        <v>771.28755555555563</v>
      </c>
    </row>
    <row r="347" spans="1:53" customFormat="1" ht="15" customHeight="1">
      <c r="A347" s="414" t="s">
        <v>311</v>
      </c>
      <c r="B347" s="412" t="s">
        <v>339</v>
      </c>
      <c r="C347" s="539" t="s">
        <v>925</v>
      </c>
      <c r="D347" s="414">
        <v>418320</v>
      </c>
      <c r="E347" s="414">
        <v>13</v>
      </c>
      <c r="F347" s="592"/>
      <c r="G347" s="519"/>
      <c r="H347" s="592"/>
      <c r="I347" s="519"/>
      <c r="J347" s="592"/>
      <c r="K347" s="519"/>
      <c r="L347" s="592"/>
      <c r="M347" s="519"/>
      <c r="N347" s="592"/>
      <c r="O347" s="519"/>
      <c r="P347" s="595">
        <f t="shared" si="108"/>
        <v>0</v>
      </c>
      <c r="Q347" s="595">
        <f t="shared" si="109"/>
        <v>0</v>
      </c>
      <c r="R347" s="596">
        <f t="shared" si="110"/>
        <v>0</v>
      </c>
      <c r="S347" s="596">
        <f t="shared" si="111"/>
        <v>0</v>
      </c>
      <c r="T347" s="592"/>
      <c r="U347" s="519"/>
      <c r="V347" s="595">
        <f t="shared" si="112"/>
        <v>0</v>
      </c>
      <c r="W347" s="596">
        <f t="shared" si="113"/>
        <v>0</v>
      </c>
      <c r="X347" s="592"/>
      <c r="Y347" s="519"/>
      <c r="Z347" s="592"/>
      <c r="AA347" s="519"/>
      <c r="AB347" s="592"/>
      <c r="AC347" s="519"/>
      <c r="AD347" s="592">
        <v>489818.93</v>
      </c>
      <c r="AE347" s="564">
        <v>924678</v>
      </c>
      <c r="AF347" s="595">
        <f t="shared" si="114"/>
        <v>489818.93</v>
      </c>
      <c r="AG347" s="595">
        <f t="shared" si="115"/>
        <v>544.24325555555549</v>
      </c>
      <c r="AH347" s="596">
        <f t="shared" si="116"/>
        <v>924678</v>
      </c>
      <c r="AI347" s="596">
        <f t="shared" si="117"/>
        <v>1027.42</v>
      </c>
      <c r="AJ347" s="592"/>
      <c r="AK347" s="519"/>
      <c r="AL347" s="595">
        <f t="shared" si="118"/>
        <v>0</v>
      </c>
      <c r="AM347" s="596">
        <f t="shared" si="119"/>
        <v>0</v>
      </c>
      <c r="AN347" s="592"/>
      <c r="AO347" s="519"/>
      <c r="AP347" s="592"/>
      <c r="AQ347" s="519"/>
      <c r="AR347" s="592"/>
      <c r="AS347" s="519"/>
      <c r="AT347" s="592"/>
      <c r="AU347" s="519"/>
      <c r="AV347" s="595">
        <f t="shared" si="120"/>
        <v>0</v>
      </c>
      <c r="AW347" s="595">
        <f t="shared" si="121"/>
        <v>0</v>
      </c>
      <c r="AX347" s="596">
        <f t="shared" si="122"/>
        <v>0</v>
      </c>
      <c r="AY347" s="596">
        <f t="shared" si="123"/>
        <v>0</v>
      </c>
      <c r="AZ347" s="595">
        <f t="shared" si="124"/>
        <v>544.24325555555549</v>
      </c>
      <c r="BA347" s="596">
        <f t="shared" si="125"/>
        <v>1027.42</v>
      </c>
    </row>
    <row r="348" spans="1:53" customFormat="1" ht="15" customHeight="1">
      <c r="A348" s="414" t="s">
        <v>311</v>
      </c>
      <c r="B348" s="412" t="s">
        <v>340</v>
      </c>
      <c r="C348" s="413"/>
      <c r="D348" s="414">
        <v>431017</v>
      </c>
      <c r="E348" s="414">
        <v>13</v>
      </c>
      <c r="F348" s="592"/>
      <c r="G348" s="519"/>
      <c r="H348" s="592"/>
      <c r="I348" s="519"/>
      <c r="J348" s="592"/>
      <c r="K348" s="519"/>
      <c r="L348" s="592"/>
      <c r="M348" s="519"/>
      <c r="N348" s="592"/>
      <c r="O348" s="519"/>
      <c r="P348" s="595">
        <f t="shared" si="108"/>
        <v>0</v>
      </c>
      <c r="Q348" s="595">
        <f t="shared" si="109"/>
        <v>0</v>
      </c>
      <c r="R348" s="596">
        <f t="shared" si="110"/>
        <v>0</v>
      </c>
      <c r="S348" s="596">
        <f t="shared" si="111"/>
        <v>0</v>
      </c>
      <c r="T348" s="592"/>
      <c r="U348" s="519"/>
      <c r="V348" s="595">
        <f t="shared" si="112"/>
        <v>0</v>
      </c>
      <c r="W348" s="596">
        <f t="shared" si="113"/>
        <v>0</v>
      </c>
      <c r="X348" s="592"/>
      <c r="Y348" s="519"/>
      <c r="Z348" s="592"/>
      <c r="AA348" s="519"/>
      <c r="AB348" s="592"/>
      <c r="AC348" s="519"/>
      <c r="AD348" s="592">
        <v>340899.65</v>
      </c>
      <c r="AE348" s="564">
        <v>564600</v>
      </c>
      <c r="AF348" s="595">
        <f t="shared" si="114"/>
        <v>340899.65</v>
      </c>
      <c r="AG348" s="595">
        <f t="shared" si="115"/>
        <v>378.77738888888894</v>
      </c>
      <c r="AH348" s="596">
        <f t="shared" si="116"/>
        <v>564600</v>
      </c>
      <c r="AI348" s="596">
        <f t="shared" si="117"/>
        <v>627.33333333333337</v>
      </c>
      <c r="AJ348" s="592"/>
      <c r="AK348" s="519"/>
      <c r="AL348" s="595">
        <f t="shared" si="118"/>
        <v>0</v>
      </c>
      <c r="AM348" s="596">
        <f t="shared" si="119"/>
        <v>0</v>
      </c>
      <c r="AN348" s="592"/>
      <c r="AO348" s="519"/>
      <c r="AP348" s="592"/>
      <c r="AQ348" s="519"/>
      <c r="AR348" s="592"/>
      <c r="AS348" s="519"/>
      <c r="AT348" s="592"/>
      <c r="AU348" s="519"/>
      <c r="AV348" s="595">
        <f t="shared" si="120"/>
        <v>0</v>
      </c>
      <c r="AW348" s="595">
        <f t="shared" si="121"/>
        <v>0</v>
      </c>
      <c r="AX348" s="596">
        <f t="shared" si="122"/>
        <v>0</v>
      </c>
      <c r="AY348" s="596">
        <f t="shared" si="123"/>
        <v>0</v>
      </c>
      <c r="AZ348" s="595">
        <f t="shared" si="124"/>
        <v>378.77738888888894</v>
      </c>
      <c r="BA348" s="596">
        <f t="shared" si="125"/>
        <v>627.33333333333337</v>
      </c>
    </row>
    <row r="349" spans="1:53" customFormat="1" ht="15" customHeight="1">
      <c r="A349" s="414" t="s">
        <v>311</v>
      </c>
      <c r="B349" s="459" t="s">
        <v>341</v>
      </c>
      <c r="C349" s="539" t="s">
        <v>926</v>
      </c>
      <c r="D349" s="414">
        <v>248606</v>
      </c>
      <c r="E349" s="414">
        <v>13</v>
      </c>
      <c r="F349" s="592"/>
      <c r="G349" s="519"/>
      <c r="H349" s="592"/>
      <c r="I349" s="519"/>
      <c r="J349" s="592"/>
      <c r="K349" s="519"/>
      <c r="L349" s="592"/>
      <c r="M349" s="519"/>
      <c r="N349" s="592"/>
      <c r="O349" s="519"/>
      <c r="P349" s="595">
        <f t="shared" si="108"/>
        <v>0</v>
      </c>
      <c r="Q349" s="595">
        <f t="shared" si="109"/>
        <v>0</v>
      </c>
      <c r="R349" s="596">
        <f t="shared" si="110"/>
        <v>0</v>
      </c>
      <c r="S349" s="596">
        <f t="shared" si="111"/>
        <v>0</v>
      </c>
      <c r="T349" s="592"/>
      <c r="U349" s="519"/>
      <c r="V349" s="595">
        <f t="shared" si="112"/>
        <v>0</v>
      </c>
      <c r="W349" s="596">
        <f t="shared" si="113"/>
        <v>0</v>
      </c>
      <c r="X349" s="592"/>
      <c r="Y349" s="519"/>
      <c r="Z349" s="592"/>
      <c r="AA349" s="519"/>
      <c r="AB349" s="592"/>
      <c r="AC349" s="519"/>
      <c r="AD349" s="592">
        <v>965709</v>
      </c>
      <c r="AE349" s="564">
        <v>1970282.5</v>
      </c>
      <c r="AF349" s="595">
        <f t="shared" si="114"/>
        <v>965709</v>
      </c>
      <c r="AG349" s="595">
        <f t="shared" si="115"/>
        <v>1073.01</v>
      </c>
      <c r="AH349" s="596">
        <f t="shared" si="116"/>
        <v>1970282.5</v>
      </c>
      <c r="AI349" s="596">
        <f t="shared" si="117"/>
        <v>2189.2027777777776</v>
      </c>
      <c r="AJ349" s="592"/>
      <c r="AK349" s="519"/>
      <c r="AL349" s="595">
        <f t="shared" si="118"/>
        <v>0</v>
      </c>
      <c r="AM349" s="596">
        <f t="shared" si="119"/>
        <v>0</v>
      </c>
      <c r="AN349" s="592"/>
      <c r="AO349" s="519"/>
      <c r="AP349" s="592"/>
      <c r="AQ349" s="519"/>
      <c r="AR349" s="592"/>
      <c r="AS349" s="519"/>
      <c r="AT349" s="592"/>
      <c r="AU349" s="519"/>
      <c r="AV349" s="595">
        <f t="shared" si="120"/>
        <v>0</v>
      </c>
      <c r="AW349" s="595">
        <f t="shared" si="121"/>
        <v>0</v>
      </c>
      <c r="AX349" s="596">
        <f t="shared" si="122"/>
        <v>0</v>
      </c>
      <c r="AY349" s="596">
        <f t="shared" si="123"/>
        <v>0</v>
      </c>
      <c r="AZ349" s="595">
        <f t="shared" si="124"/>
        <v>1073.01</v>
      </c>
      <c r="BA349" s="596">
        <f t="shared" si="125"/>
        <v>2189.2027777777776</v>
      </c>
    </row>
    <row r="350" spans="1:53" customFormat="1" ht="15" customHeight="1">
      <c r="A350" s="414" t="s">
        <v>311</v>
      </c>
      <c r="B350" s="412" t="s">
        <v>342</v>
      </c>
      <c r="C350" s="413"/>
      <c r="D350" s="414">
        <v>420459</v>
      </c>
      <c r="E350" s="414">
        <v>13</v>
      </c>
      <c r="F350" s="592"/>
      <c r="G350" s="519"/>
      <c r="H350" s="592"/>
      <c r="I350" s="519"/>
      <c r="J350" s="592"/>
      <c r="K350" s="519"/>
      <c r="L350" s="592"/>
      <c r="M350" s="519"/>
      <c r="N350" s="592"/>
      <c r="O350" s="519"/>
      <c r="P350" s="595">
        <f t="shared" si="108"/>
        <v>0</v>
      </c>
      <c r="Q350" s="595">
        <f t="shared" si="109"/>
        <v>0</v>
      </c>
      <c r="R350" s="596">
        <f t="shared" si="110"/>
        <v>0</v>
      </c>
      <c r="S350" s="596">
        <f t="shared" si="111"/>
        <v>0</v>
      </c>
      <c r="T350" s="592"/>
      <c r="U350" s="519"/>
      <c r="V350" s="595">
        <f t="shared" si="112"/>
        <v>0</v>
      </c>
      <c r="W350" s="596">
        <f t="shared" si="113"/>
        <v>0</v>
      </c>
      <c r="X350" s="592"/>
      <c r="Y350" s="519"/>
      <c r="Z350" s="592"/>
      <c r="AA350" s="519"/>
      <c r="AB350" s="592"/>
      <c r="AC350" s="519"/>
      <c r="AD350" s="592">
        <v>278844.75</v>
      </c>
      <c r="AE350" s="563">
        <v>268268</v>
      </c>
      <c r="AF350" s="595">
        <f t="shared" si="114"/>
        <v>278844.75</v>
      </c>
      <c r="AG350" s="595">
        <f t="shared" si="115"/>
        <v>309.82749999999999</v>
      </c>
      <c r="AH350" s="596">
        <f t="shared" si="116"/>
        <v>268268</v>
      </c>
      <c r="AI350" s="596">
        <f t="shared" si="117"/>
        <v>298.07555555555558</v>
      </c>
      <c r="AJ350" s="592"/>
      <c r="AK350" s="519"/>
      <c r="AL350" s="595">
        <f t="shared" si="118"/>
        <v>0</v>
      </c>
      <c r="AM350" s="596">
        <f t="shared" si="119"/>
        <v>0</v>
      </c>
      <c r="AN350" s="592"/>
      <c r="AO350" s="519"/>
      <c r="AP350" s="592"/>
      <c r="AQ350" s="519"/>
      <c r="AR350" s="592"/>
      <c r="AS350" s="519"/>
      <c r="AT350" s="592"/>
      <c r="AU350" s="519"/>
      <c r="AV350" s="595">
        <f t="shared" si="120"/>
        <v>0</v>
      </c>
      <c r="AW350" s="595">
        <f t="shared" si="121"/>
        <v>0</v>
      </c>
      <c r="AX350" s="596">
        <f t="shared" si="122"/>
        <v>0</v>
      </c>
      <c r="AY350" s="596">
        <f t="shared" si="123"/>
        <v>0</v>
      </c>
      <c r="AZ350" s="595">
        <f t="shared" si="124"/>
        <v>309.82749999999999</v>
      </c>
      <c r="BA350" s="596">
        <f t="shared" si="125"/>
        <v>298.07555555555558</v>
      </c>
    </row>
    <row r="351" spans="1:53" customFormat="1" ht="15" customHeight="1">
      <c r="A351" s="414" t="s">
        <v>311</v>
      </c>
      <c r="B351" s="412" t="s">
        <v>343</v>
      </c>
      <c r="C351" s="413"/>
      <c r="D351" s="414">
        <v>456560</v>
      </c>
      <c r="E351" s="414">
        <v>13</v>
      </c>
      <c r="F351" s="592"/>
      <c r="G351" s="519"/>
      <c r="H351" s="592"/>
      <c r="I351" s="519"/>
      <c r="J351" s="592"/>
      <c r="K351" s="519"/>
      <c r="L351" s="592"/>
      <c r="M351" s="519"/>
      <c r="N351" s="592"/>
      <c r="O351" s="519"/>
      <c r="P351" s="595">
        <f t="shared" si="108"/>
        <v>0</v>
      </c>
      <c r="Q351" s="595">
        <f t="shared" si="109"/>
        <v>0</v>
      </c>
      <c r="R351" s="596">
        <f t="shared" si="110"/>
        <v>0</v>
      </c>
      <c r="S351" s="596">
        <f t="shared" si="111"/>
        <v>0</v>
      </c>
      <c r="T351" s="592"/>
      <c r="U351" s="519"/>
      <c r="V351" s="595">
        <f t="shared" si="112"/>
        <v>0</v>
      </c>
      <c r="W351" s="596">
        <f t="shared" si="113"/>
        <v>0</v>
      </c>
      <c r="X351" s="592"/>
      <c r="Y351" s="519"/>
      <c r="Z351" s="592"/>
      <c r="AA351" s="519"/>
      <c r="AB351" s="592"/>
      <c r="AC351" s="519"/>
      <c r="AD351" s="592">
        <v>238524.75</v>
      </c>
      <c r="AE351" s="563">
        <v>188328</v>
      </c>
      <c r="AF351" s="595">
        <f t="shared" si="114"/>
        <v>238524.75</v>
      </c>
      <c r="AG351" s="595">
        <f t="shared" si="115"/>
        <v>265.02749999999997</v>
      </c>
      <c r="AH351" s="596">
        <f t="shared" si="116"/>
        <v>188328</v>
      </c>
      <c r="AI351" s="596">
        <f t="shared" si="117"/>
        <v>209.25333333333333</v>
      </c>
      <c r="AJ351" s="592"/>
      <c r="AK351" s="519"/>
      <c r="AL351" s="595">
        <f t="shared" si="118"/>
        <v>0</v>
      </c>
      <c r="AM351" s="596">
        <f t="shared" si="119"/>
        <v>0</v>
      </c>
      <c r="AN351" s="592"/>
      <c r="AO351" s="519"/>
      <c r="AP351" s="592"/>
      <c r="AQ351" s="519"/>
      <c r="AR351" s="592"/>
      <c r="AS351" s="519"/>
      <c r="AT351" s="592"/>
      <c r="AU351" s="519"/>
      <c r="AV351" s="595">
        <f t="shared" si="120"/>
        <v>0</v>
      </c>
      <c r="AW351" s="595">
        <f t="shared" si="121"/>
        <v>0</v>
      </c>
      <c r="AX351" s="596">
        <f t="shared" si="122"/>
        <v>0</v>
      </c>
      <c r="AY351" s="596">
        <f t="shared" si="123"/>
        <v>0</v>
      </c>
      <c r="AZ351" s="595">
        <f t="shared" si="124"/>
        <v>265.02749999999997</v>
      </c>
      <c r="BA351" s="596">
        <f t="shared" si="125"/>
        <v>209.25333333333333</v>
      </c>
    </row>
    <row r="352" spans="1:53" customFormat="1" ht="15" customHeight="1">
      <c r="A352" s="414" t="s">
        <v>311</v>
      </c>
      <c r="B352" s="412" t="s">
        <v>344</v>
      </c>
      <c r="C352" s="413"/>
      <c r="D352" s="414">
        <v>432074</v>
      </c>
      <c r="E352" s="414">
        <v>13</v>
      </c>
      <c r="F352" s="592"/>
      <c r="G352" s="519"/>
      <c r="H352" s="592"/>
      <c r="I352" s="519"/>
      <c r="J352" s="592"/>
      <c r="K352" s="519"/>
      <c r="L352" s="592"/>
      <c r="M352" s="519"/>
      <c r="N352" s="592"/>
      <c r="O352" s="519"/>
      <c r="P352" s="595">
        <f t="shared" si="108"/>
        <v>0</v>
      </c>
      <c r="Q352" s="595">
        <f t="shared" si="109"/>
        <v>0</v>
      </c>
      <c r="R352" s="596">
        <f t="shared" si="110"/>
        <v>0</v>
      </c>
      <c r="S352" s="596">
        <f t="shared" si="111"/>
        <v>0</v>
      </c>
      <c r="T352" s="592"/>
      <c r="U352" s="519"/>
      <c r="V352" s="595">
        <f t="shared" si="112"/>
        <v>0</v>
      </c>
      <c r="W352" s="596">
        <f t="shared" si="113"/>
        <v>0</v>
      </c>
      <c r="X352" s="592"/>
      <c r="Y352" s="519"/>
      <c r="Z352" s="592"/>
      <c r="AA352" s="519"/>
      <c r="AB352" s="592"/>
      <c r="AC352" s="519"/>
      <c r="AD352" s="592">
        <v>136506.5</v>
      </c>
      <c r="AE352" s="563">
        <v>144608</v>
      </c>
      <c r="AF352" s="595">
        <f t="shared" si="114"/>
        <v>136506.5</v>
      </c>
      <c r="AG352" s="595">
        <f t="shared" si="115"/>
        <v>151.67388888888888</v>
      </c>
      <c r="AH352" s="596">
        <f t="shared" si="116"/>
        <v>144608</v>
      </c>
      <c r="AI352" s="596">
        <f t="shared" si="117"/>
        <v>160.67555555555555</v>
      </c>
      <c r="AJ352" s="592"/>
      <c r="AK352" s="519"/>
      <c r="AL352" s="595">
        <f t="shared" si="118"/>
        <v>0</v>
      </c>
      <c r="AM352" s="596">
        <f t="shared" si="119"/>
        <v>0</v>
      </c>
      <c r="AN352" s="592"/>
      <c r="AO352" s="519"/>
      <c r="AP352" s="592"/>
      <c r="AQ352" s="519"/>
      <c r="AR352" s="592"/>
      <c r="AS352" s="519"/>
      <c r="AT352" s="592"/>
      <c r="AU352" s="519"/>
      <c r="AV352" s="595">
        <f t="shared" si="120"/>
        <v>0</v>
      </c>
      <c r="AW352" s="595">
        <f t="shared" si="121"/>
        <v>0</v>
      </c>
      <c r="AX352" s="596">
        <f t="shared" si="122"/>
        <v>0</v>
      </c>
      <c r="AY352" s="596">
        <f t="shared" si="123"/>
        <v>0</v>
      </c>
      <c r="AZ352" s="595">
        <f t="shared" si="124"/>
        <v>151.67388888888888</v>
      </c>
      <c r="BA352" s="596">
        <f t="shared" si="125"/>
        <v>160.67555555555555</v>
      </c>
    </row>
    <row r="353" spans="1:53" customFormat="1" ht="15" customHeight="1">
      <c r="A353" s="414" t="s">
        <v>311</v>
      </c>
      <c r="B353" s="412" t="s">
        <v>345</v>
      </c>
      <c r="C353" s="413"/>
      <c r="D353" s="414">
        <v>418339</v>
      </c>
      <c r="E353" s="414">
        <v>13</v>
      </c>
      <c r="F353" s="592"/>
      <c r="G353" s="519"/>
      <c r="H353" s="592"/>
      <c r="I353" s="519"/>
      <c r="J353" s="592"/>
      <c r="K353" s="519"/>
      <c r="L353" s="592"/>
      <c r="M353" s="519"/>
      <c r="N353" s="592"/>
      <c r="O353" s="519"/>
      <c r="P353" s="595">
        <f t="shared" si="108"/>
        <v>0</v>
      </c>
      <c r="Q353" s="595">
        <f t="shared" si="109"/>
        <v>0</v>
      </c>
      <c r="R353" s="596">
        <f t="shared" si="110"/>
        <v>0</v>
      </c>
      <c r="S353" s="596">
        <f t="shared" si="111"/>
        <v>0</v>
      </c>
      <c r="T353" s="592"/>
      <c r="U353" s="519"/>
      <c r="V353" s="595">
        <f t="shared" si="112"/>
        <v>0</v>
      </c>
      <c r="W353" s="596">
        <f t="shared" si="113"/>
        <v>0</v>
      </c>
      <c r="X353" s="592"/>
      <c r="Y353" s="519"/>
      <c r="Z353" s="592"/>
      <c r="AA353" s="519"/>
      <c r="AB353" s="592"/>
      <c r="AC353" s="519"/>
      <c r="AD353" s="592">
        <v>292105.96999999997</v>
      </c>
      <c r="AE353" s="563">
        <v>291293.5</v>
      </c>
      <c r="AF353" s="595">
        <f t="shared" si="114"/>
        <v>292105.96999999997</v>
      </c>
      <c r="AG353" s="595">
        <f t="shared" si="115"/>
        <v>324.56218888888884</v>
      </c>
      <c r="AH353" s="596">
        <f t="shared" si="116"/>
        <v>291293.5</v>
      </c>
      <c r="AI353" s="596">
        <f t="shared" si="117"/>
        <v>323.65944444444443</v>
      </c>
      <c r="AJ353" s="592"/>
      <c r="AK353" s="519"/>
      <c r="AL353" s="595">
        <f t="shared" si="118"/>
        <v>0</v>
      </c>
      <c r="AM353" s="596">
        <f t="shared" si="119"/>
        <v>0</v>
      </c>
      <c r="AN353" s="592"/>
      <c r="AO353" s="519"/>
      <c r="AP353" s="592"/>
      <c r="AQ353" s="519"/>
      <c r="AR353" s="592"/>
      <c r="AS353" s="519"/>
      <c r="AT353" s="592"/>
      <c r="AU353" s="519"/>
      <c r="AV353" s="595">
        <f t="shared" si="120"/>
        <v>0</v>
      </c>
      <c r="AW353" s="595">
        <f t="shared" si="121"/>
        <v>0</v>
      </c>
      <c r="AX353" s="596">
        <f t="shared" si="122"/>
        <v>0</v>
      </c>
      <c r="AY353" s="596">
        <f t="shared" si="123"/>
        <v>0</v>
      </c>
      <c r="AZ353" s="595">
        <f t="shared" si="124"/>
        <v>324.56218888888884</v>
      </c>
      <c r="BA353" s="596">
        <f t="shared" si="125"/>
        <v>323.65944444444443</v>
      </c>
    </row>
    <row r="354" spans="1:53" customFormat="1" ht="15" customHeight="1">
      <c r="A354" s="414" t="s">
        <v>311</v>
      </c>
      <c r="B354" s="412" t="s">
        <v>346</v>
      </c>
      <c r="C354" s="413"/>
      <c r="D354" s="414">
        <v>366623</v>
      </c>
      <c r="E354" s="414">
        <v>13</v>
      </c>
      <c r="F354" s="592"/>
      <c r="G354" s="519"/>
      <c r="H354" s="592"/>
      <c r="I354" s="519"/>
      <c r="J354" s="592"/>
      <c r="K354" s="519"/>
      <c r="L354" s="592"/>
      <c r="M354" s="519"/>
      <c r="N354" s="592"/>
      <c r="O354" s="519"/>
      <c r="P354" s="595">
        <f t="shared" si="108"/>
        <v>0</v>
      </c>
      <c r="Q354" s="595">
        <f t="shared" si="109"/>
        <v>0</v>
      </c>
      <c r="R354" s="596">
        <f t="shared" si="110"/>
        <v>0</v>
      </c>
      <c r="S354" s="596">
        <f t="shared" si="111"/>
        <v>0</v>
      </c>
      <c r="T354" s="592"/>
      <c r="U354" s="519"/>
      <c r="V354" s="595">
        <f t="shared" si="112"/>
        <v>0</v>
      </c>
      <c r="W354" s="596">
        <f t="shared" si="113"/>
        <v>0</v>
      </c>
      <c r="X354" s="592"/>
      <c r="Y354" s="519"/>
      <c r="Z354" s="592"/>
      <c r="AA354" s="519"/>
      <c r="AB354" s="592"/>
      <c r="AC354" s="519"/>
      <c r="AD354" s="592">
        <v>102168</v>
      </c>
      <c r="AE354" s="563">
        <v>90094.5</v>
      </c>
      <c r="AF354" s="595">
        <f t="shared" si="114"/>
        <v>102168</v>
      </c>
      <c r="AG354" s="595">
        <f t="shared" si="115"/>
        <v>113.52</v>
      </c>
      <c r="AH354" s="596">
        <f t="shared" si="116"/>
        <v>90094.5</v>
      </c>
      <c r="AI354" s="596">
        <f t="shared" si="117"/>
        <v>100.105</v>
      </c>
      <c r="AJ354" s="592"/>
      <c r="AK354" s="519"/>
      <c r="AL354" s="595">
        <f t="shared" si="118"/>
        <v>0</v>
      </c>
      <c r="AM354" s="596">
        <f t="shared" si="119"/>
        <v>0</v>
      </c>
      <c r="AN354" s="592"/>
      <c r="AO354" s="519"/>
      <c r="AP354" s="592"/>
      <c r="AQ354" s="519"/>
      <c r="AR354" s="592"/>
      <c r="AS354" s="519"/>
      <c r="AT354" s="592"/>
      <c r="AU354" s="519"/>
      <c r="AV354" s="595">
        <f t="shared" si="120"/>
        <v>0</v>
      </c>
      <c r="AW354" s="595">
        <f t="shared" si="121"/>
        <v>0</v>
      </c>
      <c r="AX354" s="596">
        <f t="shared" si="122"/>
        <v>0</v>
      </c>
      <c r="AY354" s="596">
        <f t="shared" si="123"/>
        <v>0</v>
      </c>
      <c r="AZ354" s="595">
        <f t="shared" si="124"/>
        <v>113.52</v>
      </c>
      <c r="BA354" s="596">
        <f t="shared" si="125"/>
        <v>100.105</v>
      </c>
    </row>
    <row r="355" spans="1:53" customFormat="1" ht="15" customHeight="1">
      <c r="A355" s="414" t="s">
        <v>311</v>
      </c>
      <c r="B355" s="412" t="s">
        <v>347</v>
      </c>
      <c r="C355" s="413"/>
      <c r="D355" s="414">
        <v>407601</v>
      </c>
      <c r="E355" s="414">
        <v>13</v>
      </c>
      <c r="F355" s="592"/>
      <c r="G355" s="519"/>
      <c r="H355" s="592"/>
      <c r="I355" s="519"/>
      <c r="J355" s="592"/>
      <c r="K355" s="519"/>
      <c r="L355" s="592"/>
      <c r="M355" s="519"/>
      <c r="N355" s="592"/>
      <c r="O355" s="519"/>
      <c r="P355" s="595">
        <f t="shared" si="108"/>
        <v>0</v>
      </c>
      <c r="Q355" s="595">
        <f t="shared" si="109"/>
        <v>0</v>
      </c>
      <c r="R355" s="596">
        <f t="shared" si="110"/>
        <v>0</v>
      </c>
      <c r="S355" s="596">
        <f t="shared" si="111"/>
        <v>0</v>
      </c>
      <c r="T355" s="592"/>
      <c r="U355" s="519"/>
      <c r="V355" s="595">
        <f t="shared" si="112"/>
        <v>0</v>
      </c>
      <c r="W355" s="596">
        <f t="shared" si="113"/>
        <v>0</v>
      </c>
      <c r="X355" s="592"/>
      <c r="Y355" s="519"/>
      <c r="Z355" s="592"/>
      <c r="AA355" s="519"/>
      <c r="AB355" s="592"/>
      <c r="AC355" s="519"/>
      <c r="AD355" s="592">
        <v>75018.62</v>
      </c>
      <c r="AE355" s="563">
        <v>59402</v>
      </c>
      <c r="AF355" s="595">
        <f t="shared" si="114"/>
        <v>75018.62</v>
      </c>
      <c r="AG355" s="595">
        <f t="shared" si="115"/>
        <v>83.354022222222213</v>
      </c>
      <c r="AH355" s="596">
        <f t="shared" si="116"/>
        <v>59402</v>
      </c>
      <c r="AI355" s="596">
        <f t="shared" si="117"/>
        <v>66.002222222222215</v>
      </c>
      <c r="AJ355" s="592"/>
      <c r="AK355" s="519"/>
      <c r="AL355" s="595">
        <f t="shared" si="118"/>
        <v>0</v>
      </c>
      <c r="AM355" s="596">
        <f t="shared" si="119"/>
        <v>0</v>
      </c>
      <c r="AN355" s="592"/>
      <c r="AO355" s="519"/>
      <c r="AP355" s="592"/>
      <c r="AQ355" s="519"/>
      <c r="AR355" s="592"/>
      <c r="AS355" s="519"/>
      <c r="AT355" s="592"/>
      <c r="AU355" s="519"/>
      <c r="AV355" s="595">
        <f t="shared" si="120"/>
        <v>0</v>
      </c>
      <c r="AW355" s="595">
        <f t="shared" si="121"/>
        <v>0</v>
      </c>
      <c r="AX355" s="596">
        <f t="shared" si="122"/>
        <v>0</v>
      </c>
      <c r="AY355" s="596">
        <f t="shared" si="123"/>
        <v>0</v>
      </c>
      <c r="AZ355" s="595">
        <f t="shared" si="124"/>
        <v>83.354022222222213</v>
      </c>
      <c r="BA355" s="596">
        <f t="shared" si="125"/>
        <v>66.002222222222215</v>
      </c>
    </row>
    <row r="356" spans="1:53" customFormat="1" ht="15" customHeight="1">
      <c r="A356" s="414" t="s">
        <v>311</v>
      </c>
      <c r="B356" s="412" t="s">
        <v>348</v>
      </c>
      <c r="C356" s="413"/>
      <c r="D356" s="414">
        <v>364627</v>
      </c>
      <c r="E356" s="414">
        <v>13</v>
      </c>
      <c r="F356" s="592"/>
      <c r="G356" s="519"/>
      <c r="H356" s="592"/>
      <c r="I356" s="519"/>
      <c r="J356" s="592"/>
      <c r="K356" s="519"/>
      <c r="L356" s="592"/>
      <c r="M356" s="519"/>
      <c r="N356" s="592"/>
      <c r="O356" s="519"/>
      <c r="P356" s="595">
        <f t="shared" si="108"/>
        <v>0</v>
      </c>
      <c r="Q356" s="595">
        <f t="shared" si="109"/>
        <v>0</v>
      </c>
      <c r="R356" s="596">
        <f t="shared" si="110"/>
        <v>0</v>
      </c>
      <c r="S356" s="596">
        <f t="shared" si="111"/>
        <v>0</v>
      </c>
      <c r="T356" s="592"/>
      <c r="U356" s="519"/>
      <c r="V356" s="595">
        <f t="shared" si="112"/>
        <v>0</v>
      </c>
      <c r="W356" s="596">
        <f t="shared" si="113"/>
        <v>0</v>
      </c>
      <c r="X356" s="592"/>
      <c r="Y356" s="519"/>
      <c r="Z356" s="592"/>
      <c r="AA356" s="519"/>
      <c r="AB356" s="592"/>
      <c r="AC356" s="519"/>
      <c r="AD356" s="592">
        <v>329025.89</v>
      </c>
      <c r="AE356" s="563">
        <v>289198</v>
      </c>
      <c r="AF356" s="595">
        <f t="shared" si="114"/>
        <v>329025.89</v>
      </c>
      <c r="AG356" s="595">
        <f t="shared" si="115"/>
        <v>365.58432222222223</v>
      </c>
      <c r="AH356" s="596">
        <f t="shared" si="116"/>
        <v>289198</v>
      </c>
      <c r="AI356" s="596">
        <f t="shared" si="117"/>
        <v>321.33111111111111</v>
      </c>
      <c r="AJ356" s="592"/>
      <c r="AK356" s="519"/>
      <c r="AL356" s="595">
        <f t="shared" si="118"/>
        <v>0</v>
      </c>
      <c r="AM356" s="596">
        <f t="shared" si="119"/>
        <v>0</v>
      </c>
      <c r="AN356" s="592"/>
      <c r="AO356" s="519"/>
      <c r="AP356" s="592"/>
      <c r="AQ356" s="519"/>
      <c r="AR356" s="592"/>
      <c r="AS356" s="519"/>
      <c r="AT356" s="592"/>
      <c r="AU356" s="519"/>
      <c r="AV356" s="595">
        <f t="shared" si="120"/>
        <v>0</v>
      </c>
      <c r="AW356" s="595">
        <f t="shared" si="121"/>
        <v>0</v>
      </c>
      <c r="AX356" s="596">
        <f t="shared" si="122"/>
        <v>0</v>
      </c>
      <c r="AY356" s="596">
        <f t="shared" si="123"/>
        <v>0</v>
      </c>
      <c r="AZ356" s="595">
        <f t="shared" si="124"/>
        <v>365.58432222222223</v>
      </c>
      <c r="BA356" s="596">
        <f t="shared" si="125"/>
        <v>321.33111111111111</v>
      </c>
    </row>
    <row r="357" spans="1:53" customFormat="1" ht="15" customHeight="1">
      <c r="A357" s="414" t="s">
        <v>311</v>
      </c>
      <c r="B357" s="412" t="s">
        <v>349</v>
      </c>
      <c r="C357" s="413"/>
      <c r="D357" s="414">
        <v>206905</v>
      </c>
      <c r="E357" s="414">
        <v>13</v>
      </c>
      <c r="F357" s="592"/>
      <c r="G357" s="519"/>
      <c r="H357" s="592"/>
      <c r="I357" s="519"/>
      <c r="J357" s="592"/>
      <c r="K357" s="519"/>
      <c r="L357" s="592"/>
      <c r="M357" s="519"/>
      <c r="N357" s="592"/>
      <c r="O357" s="519"/>
      <c r="P357" s="595">
        <f t="shared" si="108"/>
        <v>0</v>
      </c>
      <c r="Q357" s="595">
        <f t="shared" si="109"/>
        <v>0</v>
      </c>
      <c r="R357" s="596">
        <f t="shared" si="110"/>
        <v>0</v>
      </c>
      <c r="S357" s="596">
        <f t="shared" si="111"/>
        <v>0</v>
      </c>
      <c r="T357" s="592"/>
      <c r="U357" s="519"/>
      <c r="V357" s="595">
        <f t="shared" si="112"/>
        <v>0</v>
      </c>
      <c r="W357" s="596">
        <f t="shared" si="113"/>
        <v>0</v>
      </c>
      <c r="X357" s="592"/>
      <c r="Y357" s="519"/>
      <c r="Z357" s="592"/>
      <c r="AA357" s="519"/>
      <c r="AB357" s="592"/>
      <c r="AC357" s="519"/>
      <c r="AD357" s="592">
        <v>178204.59</v>
      </c>
      <c r="AE357" s="563">
        <v>182868.6</v>
      </c>
      <c r="AF357" s="595">
        <f t="shared" si="114"/>
        <v>178204.59</v>
      </c>
      <c r="AG357" s="595">
        <f t="shared" si="115"/>
        <v>198.0051</v>
      </c>
      <c r="AH357" s="596">
        <f t="shared" si="116"/>
        <v>182868.6</v>
      </c>
      <c r="AI357" s="596">
        <f t="shared" si="117"/>
        <v>203.18733333333333</v>
      </c>
      <c r="AJ357" s="592"/>
      <c r="AK357" s="519"/>
      <c r="AL357" s="595">
        <f t="shared" si="118"/>
        <v>0</v>
      </c>
      <c r="AM357" s="596">
        <f t="shared" si="119"/>
        <v>0</v>
      </c>
      <c r="AN357" s="592"/>
      <c r="AO357" s="519"/>
      <c r="AP357" s="592"/>
      <c r="AQ357" s="519"/>
      <c r="AR357" s="592"/>
      <c r="AS357" s="519"/>
      <c r="AT357" s="592"/>
      <c r="AU357" s="519"/>
      <c r="AV357" s="595">
        <f t="shared" si="120"/>
        <v>0</v>
      </c>
      <c r="AW357" s="595">
        <f t="shared" si="121"/>
        <v>0</v>
      </c>
      <c r="AX357" s="596">
        <f t="shared" si="122"/>
        <v>0</v>
      </c>
      <c r="AY357" s="596">
        <f t="shared" si="123"/>
        <v>0</v>
      </c>
      <c r="AZ357" s="595">
        <f t="shared" si="124"/>
        <v>198.0051</v>
      </c>
      <c r="BA357" s="596">
        <f t="shared" si="125"/>
        <v>203.18733333333333</v>
      </c>
    </row>
    <row r="358" spans="1:53" customFormat="1" ht="15" customHeight="1">
      <c r="A358" s="414" t="s">
        <v>311</v>
      </c>
      <c r="B358" s="412" t="s">
        <v>350</v>
      </c>
      <c r="C358" s="413"/>
      <c r="D358" s="414">
        <v>250993</v>
      </c>
      <c r="E358" s="414">
        <v>13</v>
      </c>
      <c r="F358" s="592"/>
      <c r="G358" s="519"/>
      <c r="H358" s="592"/>
      <c r="I358" s="519"/>
      <c r="J358" s="592"/>
      <c r="K358" s="519"/>
      <c r="L358" s="592"/>
      <c r="M358" s="519"/>
      <c r="N358" s="592"/>
      <c r="O358" s="519"/>
      <c r="P358" s="595">
        <f t="shared" si="108"/>
        <v>0</v>
      </c>
      <c r="Q358" s="595">
        <f t="shared" si="109"/>
        <v>0</v>
      </c>
      <c r="R358" s="596">
        <f t="shared" si="110"/>
        <v>0</v>
      </c>
      <c r="S358" s="596">
        <f t="shared" si="111"/>
        <v>0</v>
      </c>
      <c r="T358" s="592"/>
      <c r="U358" s="519"/>
      <c r="V358" s="595">
        <f t="shared" si="112"/>
        <v>0</v>
      </c>
      <c r="W358" s="596">
        <f t="shared" si="113"/>
        <v>0</v>
      </c>
      <c r="X358" s="592"/>
      <c r="Y358" s="519"/>
      <c r="Z358" s="592"/>
      <c r="AA358" s="519"/>
      <c r="AB358" s="592"/>
      <c r="AC358" s="519"/>
      <c r="AD358" s="592">
        <v>237938.52</v>
      </c>
      <c r="AE358" s="564">
        <v>456748.1</v>
      </c>
      <c r="AF358" s="595">
        <f t="shared" si="114"/>
        <v>237938.52</v>
      </c>
      <c r="AG358" s="595">
        <f t="shared" si="115"/>
        <v>264.37613333333331</v>
      </c>
      <c r="AH358" s="596">
        <f t="shared" si="116"/>
        <v>456748.1</v>
      </c>
      <c r="AI358" s="596">
        <f t="shared" si="117"/>
        <v>507.49788888888884</v>
      </c>
      <c r="AJ358" s="592"/>
      <c r="AK358" s="519"/>
      <c r="AL358" s="595">
        <f t="shared" si="118"/>
        <v>0</v>
      </c>
      <c r="AM358" s="596">
        <f t="shared" si="119"/>
        <v>0</v>
      </c>
      <c r="AN358" s="592"/>
      <c r="AO358" s="519"/>
      <c r="AP358" s="592"/>
      <c r="AQ358" s="519"/>
      <c r="AR358" s="592"/>
      <c r="AS358" s="519"/>
      <c r="AT358" s="592"/>
      <c r="AU358" s="519"/>
      <c r="AV358" s="595">
        <f t="shared" si="120"/>
        <v>0</v>
      </c>
      <c r="AW358" s="595">
        <f t="shared" si="121"/>
        <v>0</v>
      </c>
      <c r="AX358" s="596">
        <f t="shared" si="122"/>
        <v>0</v>
      </c>
      <c r="AY358" s="596">
        <f t="shared" si="123"/>
        <v>0</v>
      </c>
      <c r="AZ358" s="595">
        <f t="shared" si="124"/>
        <v>264.37613333333331</v>
      </c>
      <c r="BA358" s="596">
        <f t="shared" si="125"/>
        <v>507.49788888888884</v>
      </c>
    </row>
    <row r="359" spans="1:53" customFormat="1" ht="15" customHeight="1">
      <c r="A359" s="414" t="s">
        <v>311</v>
      </c>
      <c r="B359" s="412" t="s">
        <v>351</v>
      </c>
      <c r="C359" s="413"/>
      <c r="D359" s="414">
        <v>365198</v>
      </c>
      <c r="E359" s="414">
        <v>13</v>
      </c>
      <c r="F359" s="592"/>
      <c r="G359" s="519"/>
      <c r="H359" s="592"/>
      <c r="I359" s="519"/>
      <c r="J359" s="592"/>
      <c r="K359" s="519"/>
      <c r="L359" s="592"/>
      <c r="M359" s="519"/>
      <c r="N359" s="592"/>
      <c r="O359" s="519"/>
      <c r="P359" s="595">
        <f t="shared" si="108"/>
        <v>0</v>
      </c>
      <c r="Q359" s="595">
        <f t="shared" si="109"/>
        <v>0</v>
      </c>
      <c r="R359" s="596">
        <f t="shared" si="110"/>
        <v>0</v>
      </c>
      <c r="S359" s="596">
        <f t="shared" si="111"/>
        <v>0</v>
      </c>
      <c r="T359" s="592"/>
      <c r="U359" s="519"/>
      <c r="V359" s="595">
        <f t="shared" si="112"/>
        <v>0</v>
      </c>
      <c r="W359" s="596">
        <f t="shared" si="113"/>
        <v>0</v>
      </c>
      <c r="X359" s="592"/>
      <c r="Y359" s="519"/>
      <c r="Z359" s="592"/>
      <c r="AA359" s="519"/>
      <c r="AB359" s="592"/>
      <c r="AC359" s="519"/>
      <c r="AD359" s="592">
        <v>406473.71</v>
      </c>
      <c r="AE359" s="565">
        <v>785593.7</v>
      </c>
      <c r="AF359" s="595">
        <f t="shared" si="114"/>
        <v>406473.71</v>
      </c>
      <c r="AG359" s="595">
        <f t="shared" si="115"/>
        <v>451.63745555555556</v>
      </c>
      <c r="AH359" s="596">
        <f t="shared" si="116"/>
        <v>785593.7</v>
      </c>
      <c r="AI359" s="596">
        <f t="shared" si="117"/>
        <v>872.88188888888885</v>
      </c>
      <c r="AJ359" s="592"/>
      <c r="AK359" s="519"/>
      <c r="AL359" s="595">
        <f t="shared" si="118"/>
        <v>0</v>
      </c>
      <c r="AM359" s="596">
        <f t="shared" si="119"/>
        <v>0</v>
      </c>
      <c r="AN359" s="592"/>
      <c r="AO359" s="519"/>
      <c r="AP359" s="592"/>
      <c r="AQ359" s="519"/>
      <c r="AR359" s="592"/>
      <c r="AS359" s="519"/>
      <c r="AT359" s="592"/>
      <c r="AU359" s="519"/>
      <c r="AV359" s="595">
        <f t="shared" si="120"/>
        <v>0</v>
      </c>
      <c r="AW359" s="595">
        <f t="shared" si="121"/>
        <v>0</v>
      </c>
      <c r="AX359" s="596">
        <f t="shared" si="122"/>
        <v>0</v>
      </c>
      <c r="AY359" s="596">
        <f t="shared" si="123"/>
        <v>0</v>
      </c>
      <c r="AZ359" s="595">
        <f t="shared" si="124"/>
        <v>451.63745555555556</v>
      </c>
      <c r="BA359" s="596">
        <f t="shared" si="125"/>
        <v>872.88188888888885</v>
      </c>
    </row>
    <row r="360" spans="1:53" customFormat="1" ht="15" customHeight="1">
      <c r="A360" s="414" t="s">
        <v>311</v>
      </c>
      <c r="B360" s="412" t="s">
        <v>352</v>
      </c>
      <c r="C360" s="413"/>
      <c r="D360" s="414">
        <v>368364</v>
      </c>
      <c r="E360" s="414">
        <v>13</v>
      </c>
      <c r="F360" s="592"/>
      <c r="G360" s="519"/>
      <c r="H360" s="592"/>
      <c r="I360" s="519"/>
      <c r="J360" s="592"/>
      <c r="K360" s="519"/>
      <c r="L360" s="592"/>
      <c r="M360" s="519"/>
      <c r="N360" s="592"/>
      <c r="O360" s="519"/>
      <c r="P360" s="595">
        <f t="shared" si="108"/>
        <v>0</v>
      </c>
      <c r="Q360" s="595">
        <f t="shared" si="109"/>
        <v>0</v>
      </c>
      <c r="R360" s="596">
        <f t="shared" si="110"/>
        <v>0</v>
      </c>
      <c r="S360" s="596">
        <f t="shared" si="111"/>
        <v>0</v>
      </c>
      <c r="T360" s="592"/>
      <c r="U360" s="519"/>
      <c r="V360" s="595">
        <f t="shared" si="112"/>
        <v>0</v>
      </c>
      <c r="W360" s="596">
        <f t="shared" si="113"/>
        <v>0</v>
      </c>
      <c r="X360" s="592"/>
      <c r="Y360" s="519"/>
      <c r="Z360" s="592"/>
      <c r="AA360" s="519"/>
      <c r="AB360" s="592"/>
      <c r="AC360" s="519"/>
      <c r="AD360" s="592">
        <v>179521.29</v>
      </c>
      <c r="AE360" s="563">
        <v>198633.5</v>
      </c>
      <c r="AF360" s="595">
        <f t="shared" si="114"/>
        <v>179521.29</v>
      </c>
      <c r="AG360" s="595">
        <f t="shared" si="115"/>
        <v>199.46810000000002</v>
      </c>
      <c r="AH360" s="596">
        <f t="shared" si="116"/>
        <v>198633.5</v>
      </c>
      <c r="AI360" s="596">
        <f t="shared" si="117"/>
        <v>220.70388888888888</v>
      </c>
      <c r="AJ360" s="592"/>
      <c r="AK360" s="519"/>
      <c r="AL360" s="595">
        <f t="shared" si="118"/>
        <v>0</v>
      </c>
      <c r="AM360" s="596">
        <f t="shared" si="119"/>
        <v>0</v>
      </c>
      <c r="AN360" s="592"/>
      <c r="AO360" s="519"/>
      <c r="AP360" s="592"/>
      <c r="AQ360" s="519"/>
      <c r="AR360" s="592"/>
      <c r="AS360" s="519"/>
      <c r="AT360" s="592"/>
      <c r="AU360" s="519"/>
      <c r="AV360" s="595">
        <f t="shared" si="120"/>
        <v>0</v>
      </c>
      <c r="AW360" s="595">
        <f t="shared" si="121"/>
        <v>0</v>
      </c>
      <c r="AX360" s="596">
        <f t="shared" si="122"/>
        <v>0</v>
      </c>
      <c r="AY360" s="596">
        <f t="shared" si="123"/>
        <v>0</v>
      </c>
      <c r="AZ360" s="595">
        <f t="shared" si="124"/>
        <v>199.46810000000002</v>
      </c>
      <c r="BA360" s="596">
        <f t="shared" si="125"/>
        <v>220.70388888888888</v>
      </c>
    </row>
    <row r="361" spans="1:53" customFormat="1" ht="15" customHeight="1">
      <c r="A361" s="414" t="s">
        <v>311</v>
      </c>
      <c r="B361" s="412" t="s">
        <v>353</v>
      </c>
      <c r="C361" s="413"/>
      <c r="D361" s="414">
        <v>418287</v>
      </c>
      <c r="E361" s="414">
        <v>13</v>
      </c>
      <c r="F361" s="592"/>
      <c r="G361" s="519"/>
      <c r="H361" s="592"/>
      <c r="I361" s="519"/>
      <c r="J361" s="592"/>
      <c r="K361" s="519"/>
      <c r="L361" s="592"/>
      <c r="M361" s="519"/>
      <c r="N361" s="592"/>
      <c r="O361" s="519"/>
      <c r="P361" s="595">
        <f t="shared" si="108"/>
        <v>0</v>
      </c>
      <c r="Q361" s="595">
        <f t="shared" si="109"/>
        <v>0</v>
      </c>
      <c r="R361" s="596">
        <f t="shared" si="110"/>
        <v>0</v>
      </c>
      <c r="S361" s="596">
        <f t="shared" si="111"/>
        <v>0</v>
      </c>
      <c r="T361" s="592"/>
      <c r="U361" s="519"/>
      <c r="V361" s="595">
        <f t="shared" si="112"/>
        <v>0</v>
      </c>
      <c r="W361" s="596">
        <f t="shared" si="113"/>
        <v>0</v>
      </c>
      <c r="X361" s="592"/>
      <c r="Y361" s="519"/>
      <c r="Z361" s="592"/>
      <c r="AA361" s="519"/>
      <c r="AB361" s="592"/>
      <c r="AC361" s="519"/>
      <c r="AD361" s="592">
        <v>362212.89</v>
      </c>
      <c r="AE361" s="563">
        <v>309395</v>
      </c>
      <c r="AF361" s="595">
        <f t="shared" si="114"/>
        <v>362212.89</v>
      </c>
      <c r="AG361" s="595">
        <f t="shared" si="115"/>
        <v>402.45876666666669</v>
      </c>
      <c r="AH361" s="596">
        <f t="shared" si="116"/>
        <v>309395</v>
      </c>
      <c r="AI361" s="596">
        <f t="shared" si="117"/>
        <v>343.77222222222224</v>
      </c>
      <c r="AJ361" s="592"/>
      <c r="AK361" s="519"/>
      <c r="AL361" s="595">
        <f t="shared" si="118"/>
        <v>0</v>
      </c>
      <c r="AM361" s="596">
        <f t="shared" si="119"/>
        <v>0</v>
      </c>
      <c r="AN361" s="592"/>
      <c r="AO361" s="519"/>
      <c r="AP361" s="592"/>
      <c r="AQ361" s="519"/>
      <c r="AR361" s="592"/>
      <c r="AS361" s="519"/>
      <c r="AT361" s="592"/>
      <c r="AU361" s="519"/>
      <c r="AV361" s="595">
        <f t="shared" si="120"/>
        <v>0</v>
      </c>
      <c r="AW361" s="595">
        <f t="shared" si="121"/>
        <v>0</v>
      </c>
      <c r="AX361" s="596">
        <f t="shared" si="122"/>
        <v>0</v>
      </c>
      <c r="AY361" s="596">
        <f t="shared" si="123"/>
        <v>0</v>
      </c>
      <c r="AZ361" s="595">
        <f t="shared" si="124"/>
        <v>402.45876666666669</v>
      </c>
      <c r="BA361" s="596">
        <f t="shared" si="125"/>
        <v>343.77222222222224</v>
      </c>
    </row>
    <row r="362" spans="1:53" customFormat="1" ht="15" customHeight="1">
      <c r="A362" s="414" t="s">
        <v>311</v>
      </c>
      <c r="B362" s="412" t="s">
        <v>354</v>
      </c>
      <c r="C362" s="413"/>
      <c r="D362" s="414">
        <v>207607</v>
      </c>
      <c r="E362" s="414">
        <v>13</v>
      </c>
      <c r="F362" s="592"/>
      <c r="G362" s="519"/>
      <c r="H362" s="592"/>
      <c r="I362" s="519"/>
      <c r="J362" s="592"/>
      <c r="K362" s="519"/>
      <c r="L362" s="592"/>
      <c r="M362" s="519"/>
      <c r="N362" s="592"/>
      <c r="O362" s="519"/>
      <c r="P362" s="595">
        <f t="shared" si="108"/>
        <v>0</v>
      </c>
      <c r="Q362" s="595">
        <f t="shared" si="109"/>
        <v>0</v>
      </c>
      <c r="R362" s="596">
        <f t="shared" si="110"/>
        <v>0</v>
      </c>
      <c r="S362" s="596">
        <f t="shared" si="111"/>
        <v>0</v>
      </c>
      <c r="T362" s="592"/>
      <c r="U362" s="519"/>
      <c r="V362" s="595">
        <f t="shared" si="112"/>
        <v>0</v>
      </c>
      <c r="W362" s="596">
        <f t="shared" si="113"/>
        <v>0</v>
      </c>
      <c r="X362" s="592"/>
      <c r="Y362" s="519"/>
      <c r="Z362" s="592"/>
      <c r="AA362" s="519"/>
      <c r="AB362" s="592"/>
      <c r="AC362" s="519"/>
      <c r="AD362" s="592">
        <v>372974.93</v>
      </c>
      <c r="AE362" s="563">
        <v>333342</v>
      </c>
      <c r="AF362" s="595">
        <f t="shared" si="114"/>
        <v>372974.93</v>
      </c>
      <c r="AG362" s="595">
        <f t="shared" si="115"/>
        <v>414.4165888888889</v>
      </c>
      <c r="AH362" s="596">
        <f t="shared" si="116"/>
        <v>333342</v>
      </c>
      <c r="AI362" s="596">
        <f t="shared" si="117"/>
        <v>370.38</v>
      </c>
      <c r="AJ362" s="592"/>
      <c r="AK362" s="519"/>
      <c r="AL362" s="595">
        <f t="shared" si="118"/>
        <v>0</v>
      </c>
      <c r="AM362" s="596">
        <f t="shared" si="119"/>
        <v>0</v>
      </c>
      <c r="AN362" s="592"/>
      <c r="AO362" s="519"/>
      <c r="AP362" s="592"/>
      <c r="AQ362" s="519"/>
      <c r="AR362" s="592"/>
      <c r="AS362" s="519"/>
      <c r="AT362" s="592"/>
      <c r="AU362" s="519"/>
      <c r="AV362" s="595">
        <f t="shared" si="120"/>
        <v>0</v>
      </c>
      <c r="AW362" s="595">
        <f t="shared" si="121"/>
        <v>0</v>
      </c>
      <c r="AX362" s="596">
        <f t="shared" si="122"/>
        <v>0</v>
      </c>
      <c r="AY362" s="596">
        <f t="shared" si="123"/>
        <v>0</v>
      </c>
      <c r="AZ362" s="595">
        <f t="shared" si="124"/>
        <v>414.4165888888889</v>
      </c>
      <c r="BA362" s="596">
        <f t="shared" si="125"/>
        <v>370.38</v>
      </c>
    </row>
    <row r="363" spans="1:53" customFormat="1" ht="15" customHeight="1">
      <c r="A363" s="414" t="s">
        <v>311</v>
      </c>
      <c r="B363" s="412" t="s">
        <v>355</v>
      </c>
      <c r="C363" s="412"/>
      <c r="D363" s="414">
        <v>261393</v>
      </c>
      <c r="E363" s="414">
        <v>13</v>
      </c>
      <c r="F363" s="592"/>
      <c r="G363" s="519"/>
      <c r="H363" s="592"/>
      <c r="I363" s="519"/>
      <c r="J363" s="592"/>
      <c r="K363" s="519"/>
      <c r="L363" s="592"/>
      <c r="M363" s="519"/>
      <c r="N363" s="592"/>
      <c r="O363" s="519"/>
      <c r="P363" s="595">
        <f t="shared" si="108"/>
        <v>0</v>
      </c>
      <c r="Q363" s="595">
        <f t="shared" si="109"/>
        <v>0</v>
      </c>
      <c r="R363" s="596">
        <f t="shared" si="110"/>
        <v>0</v>
      </c>
      <c r="S363" s="596">
        <f t="shared" si="111"/>
        <v>0</v>
      </c>
      <c r="T363" s="592"/>
      <c r="U363" s="519"/>
      <c r="V363" s="595">
        <f t="shared" si="112"/>
        <v>0</v>
      </c>
      <c r="W363" s="596">
        <f t="shared" si="113"/>
        <v>0</v>
      </c>
      <c r="X363" s="592"/>
      <c r="Y363" s="519"/>
      <c r="Z363" s="592"/>
      <c r="AA363" s="519"/>
      <c r="AB363" s="592"/>
      <c r="AC363" s="519"/>
      <c r="AD363" s="592">
        <v>445145.86</v>
      </c>
      <c r="AE363" s="563">
        <v>424787.5</v>
      </c>
      <c r="AF363" s="595">
        <f t="shared" si="114"/>
        <v>445145.86</v>
      </c>
      <c r="AG363" s="595">
        <f t="shared" si="115"/>
        <v>494.6065111111111</v>
      </c>
      <c r="AH363" s="596">
        <f t="shared" si="116"/>
        <v>424787.5</v>
      </c>
      <c r="AI363" s="596">
        <f t="shared" si="117"/>
        <v>471.98611111111109</v>
      </c>
      <c r="AJ363" s="592"/>
      <c r="AK363" s="519"/>
      <c r="AL363" s="595">
        <f t="shared" si="118"/>
        <v>0</v>
      </c>
      <c r="AM363" s="596">
        <f t="shared" si="119"/>
        <v>0</v>
      </c>
      <c r="AN363" s="592"/>
      <c r="AO363" s="519"/>
      <c r="AP363" s="592"/>
      <c r="AQ363" s="519"/>
      <c r="AR363" s="592"/>
      <c r="AS363" s="519"/>
      <c r="AT363" s="592"/>
      <c r="AU363" s="519"/>
      <c r="AV363" s="595">
        <f t="shared" si="120"/>
        <v>0</v>
      </c>
      <c r="AW363" s="595">
        <f t="shared" si="121"/>
        <v>0</v>
      </c>
      <c r="AX363" s="596">
        <f t="shared" si="122"/>
        <v>0</v>
      </c>
      <c r="AY363" s="596">
        <f t="shared" si="123"/>
        <v>0</v>
      </c>
      <c r="AZ363" s="595">
        <f t="shared" si="124"/>
        <v>494.6065111111111</v>
      </c>
      <c r="BA363" s="596">
        <f t="shared" si="125"/>
        <v>471.98611111111109</v>
      </c>
    </row>
    <row r="364" spans="1:53" customFormat="1" ht="15" customHeight="1">
      <c r="A364" s="414" t="s">
        <v>311</v>
      </c>
      <c r="B364" s="416" t="s">
        <v>817</v>
      </c>
      <c r="C364" s="412"/>
      <c r="D364" s="460">
        <v>482264</v>
      </c>
      <c r="E364" s="414">
        <v>13</v>
      </c>
      <c r="F364" s="592"/>
      <c r="G364" s="519"/>
      <c r="H364" s="592"/>
      <c r="I364" s="519"/>
      <c r="J364" s="592"/>
      <c r="K364" s="519"/>
      <c r="L364" s="592"/>
      <c r="M364" s="519"/>
      <c r="N364" s="592"/>
      <c r="O364" s="519"/>
      <c r="P364" s="595">
        <f t="shared" si="108"/>
        <v>0</v>
      </c>
      <c r="Q364" s="595">
        <f t="shared" si="109"/>
        <v>0</v>
      </c>
      <c r="R364" s="596">
        <f t="shared" si="110"/>
        <v>0</v>
      </c>
      <c r="S364" s="596">
        <f t="shared" si="111"/>
        <v>0</v>
      </c>
      <c r="T364" s="592"/>
      <c r="U364" s="519"/>
      <c r="V364" s="595">
        <f t="shared" si="112"/>
        <v>0</v>
      </c>
      <c r="W364" s="596">
        <f t="shared" si="113"/>
        <v>0</v>
      </c>
      <c r="X364" s="592"/>
      <c r="Y364" s="519"/>
      <c r="Z364" s="592"/>
      <c r="AA364" s="519"/>
      <c r="AB364" s="592"/>
      <c r="AC364" s="519"/>
      <c r="AD364" s="592">
        <v>273866.96999999997</v>
      </c>
      <c r="AE364" s="563">
        <v>251858</v>
      </c>
      <c r="AF364" s="595">
        <f t="shared" si="114"/>
        <v>273866.96999999997</v>
      </c>
      <c r="AG364" s="595">
        <f t="shared" si="115"/>
        <v>304.29663333333332</v>
      </c>
      <c r="AH364" s="596">
        <f t="shared" si="116"/>
        <v>251858</v>
      </c>
      <c r="AI364" s="596">
        <f t="shared" si="117"/>
        <v>279.84222222222223</v>
      </c>
      <c r="AJ364" s="592"/>
      <c r="AK364" s="519"/>
      <c r="AL364" s="595">
        <f t="shared" si="118"/>
        <v>0</v>
      </c>
      <c r="AM364" s="596">
        <f t="shared" si="119"/>
        <v>0</v>
      </c>
      <c r="AN364" s="592"/>
      <c r="AO364" s="519"/>
      <c r="AP364" s="592"/>
      <c r="AQ364" s="519"/>
      <c r="AR364" s="592"/>
      <c r="AS364" s="519"/>
      <c r="AT364" s="592"/>
      <c r="AU364" s="519"/>
      <c r="AV364" s="595">
        <f t="shared" si="120"/>
        <v>0</v>
      </c>
      <c r="AW364" s="595">
        <f t="shared" si="121"/>
        <v>0</v>
      </c>
      <c r="AX364" s="596">
        <f t="shared" si="122"/>
        <v>0</v>
      </c>
      <c r="AY364" s="596">
        <f t="shared" si="123"/>
        <v>0</v>
      </c>
      <c r="AZ364" s="595">
        <f t="shared" si="124"/>
        <v>304.29663333333332</v>
      </c>
      <c r="BA364" s="596">
        <f t="shared" si="125"/>
        <v>279.84222222222223</v>
      </c>
    </row>
    <row r="365" spans="1:53" customFormat="1" ht="15" customHeight="1">
      <c r="A365" s="414" t="s">
        <v>311</v>
      </c>
      <c r="B365" s="412" t="s">
        <v>356</v>
      </c>
      <c r="C365" s="413"/>
      <c r="D365" s="414">
        <v>261384</v>
      </c>
      <c r="E365" s="414">
        <v>13</v>
      </c>
      <c r="F365" s="592"/>
      <c r="G365" s="519"/>
      <c r="H365" s="592"/>
      <c r="I365" s="519"/>
      <c r="J365" s="592"/>
      <c r="K365" s="519"/>
      <c r="L365" s="592"/>
      <c r="M365" s="519"/>
      <c r="N365" s="592"/>
      <c r="O365" s="519"/>
      <c r="P365" s="595">
        <f t="shared" si="108"/>
        <v>0</v>
      </c>
      <c r="Q365" s="595">
        <f t="shared" si="109"/>
        <v>0</v>
      </c>
      <c r="R365" s="596">
        <f t="shared" si="110"/>
        <v>0</v>
      </c>
      <c r="S365" s="596">
        <f t="shared" si="111"/>
        <v>0</v>
      </c>
      <c r="T365" s="592"/>
      <c r="U365" s="519"/>
      <c r="V365" s="595">
        <f t="shared" si="112"/>
        <v>0</v>
      </c>
      <c r="W365" s="596">
        <f t="shared" si="113"/>
        <v>0</v>
      </c>
      <c r="X365" s="592"/>
      <c r="Y365" s="519"/>
      <c r="Z365" s="592"/>
      <c r="AA365" s="519"/>
      <c r="AB365" s="592"/>
      <c r="AC365" s="519"/>
      <c r="AD365" s="592">
        <v>441856.48</v>
      </c>
      <c r="AE365" s="563">
        <v>433976</v>
      </c>
      <c r="AF365" s="595">
        <f t="shared" si="114"/>
        <v>441856.48</v>
      </c>
      <c r="AG365" s="595">
        <f t="shared" si="115"/>
        <v>490.95164444444441</v>
      </c>
      <c r="AH365" s="596">
        <f t="shared" si="116"/>
        <v>433976</v>
      </c>
      <c r="AI365" s="596">
        <f t="shared" si="117"/>
        <v>482.19555555555553</v>
      </c>
      <c r="AJ365" s="592"/>
      <c r="AK365" s="519"/>
      <c r="AL365" s="595">
        <f t="shared" si="118"/>
        <v>0</v>
      </c>
      <c r="AM365" s="596">
        <f t="shared" si="119"/>
        <v>0</v>
      </c>
      <c r="AN365" s="592"/>
      <c r="AO365" s="519"/>
      <c r="AP365" s="592"/>
      <c r="AQ365" s="519"/>
      <c r="AR365" s="592"/>
      <c r="AS365" s="519"/>
      <c r="AT365" s="592"/>
      <c r="AU365" s="519"/>
      <c r="AV365" s="595">
        <f t="shared" si="120"/>
        <v>0</v>
      </c>
      <c r="AW365" s="595">
        <f t="shared" si="121"/>
        <v>0</v>
      </c>
      <c r="AX365" s="596">
        <f t="shared" si="122"/>
        <v>0</v>
      </c>
      <c r="AY365" s="596">
        <f t="shared" si="123"/>
        <v>0</v>
      </c>
      <c r="AZ365" s="595">
        <f t="shared" si="124"/>
        <v>490.95164444444441</v>
      </c>
      <c r="BA365" s="596">
        <f t="shared" si="125"/>
        <v>482.19555555555553</v>
      </c>
    </row>
    <row r="366" spans="1:53" customFormat="1" ht="15" customHeight="1">
      <c r="A366" s="414" t="s">
        <v>311</v>
      </c>
      <c r="B366" s="416" t="s">
        <v>818</v>
      </c>
      <c r="C366" s="413"/>
      <c r="D366" s="460">
        <v>482273</v>
      </c>
      <c r="E366" s="414">
        <v>13</v>
      </c>
      <c r="F366" s="592"/>
      <c r="G366" s="519"/>
      <c r="H366" s="592"/>
      <c r="I366" s="519"/>
      <c r="J366" s="592"/>
      <c r="K366" s="519"/>
      <c r="L366" s="592"/>
      <c r="M366" s="519"/>
      <c r="N366" s="592"/>
      <c r="O366" s="519"/>
      <c r="P366" s="595">
        <f t="shared" si="108"/>
        <v>0</v>
      </c>
      <c r="Q366" s="595">
        <f t="shared" si="109"/>
        <v>0</v>
      </c>
      <c r="R366" s="596">
        <f t="shared" si="110"/>
        <v>0</v>
      </c>
      <c r="S366" s="596">
        <f t="shared" si="111"/>
        <v>0</v>
      </c>
      <c r="T366" s="592"/>
      <c r="U366" s="519"/>
      <c r="V366" s="595">
        <f t="shared" si="112"/>
        <v>0</v>
      </c>
      <c r="W366" s="596">
        <f t="shared" si="113"/>
        <v>0</v>
      </c>
      <c r="X366" s="592"/>
      <c r="Y366" s="519"/>
      <c r="Z366" s="592"/>
      <c r="AA366" s="519"/>
      <c r="AB366" s="592"/>
      <c r="AC366" s="519"/>
      <c r="AD366" s="592">
        <v>141856.54</v>
      </c>
      <c r="AE366" s="563">
        <v>126993</v>
      </c>
      <c r="AF366" s="595">
        <f t="shared" si="114"/>
        <v>141856.54</v>
      </c>
      <c r="AG366" s="595">
        <f t="shared" si="115"/>
        <v>157.61837777777779</v>
      </c>
      <c r="AH366" s="596">
        <f t="shared" si="116"/>
        <v>126993</v>
      </c>
      <c r="AI366" s="596">
        <f t="shared" si="117"/>
        <v>141.10333333333332</v>
      </c>
      <c r="AJ366" s="592"/>
      <c r="AK366" s="519"/>
      <c r="AL366" s="595">
        <f t="shared" si="118"/>
        <v>0</v>
      </c>
      <c r="AM366" s="596">
        <f t="shared" si="119"/>
        <v>0</v>
      </c>
      <c r="AN366" s="592"/>
      <c r="AO366" s="519"/>
      <c r="AP366" s="592"/>
      <c r="AQ366" s="519"/>
      <c r="AR366" s="592"/>
      <c r="AS366" s="519"/>
      <c r="AT366" s="592"/>
      <c r="AU366" s="519"/>
      <c r="AV366" s="595">
        <f t="shared" si="120"/>
        <v>0</v>
      </c>
      <c r="AW366" s="595">
        <f t="shared" si="121"/>
        <v>0</v>
      </c>
      <c r="AX366" s="596">
        <f t="shared" si="122"/>
        <v>0</v>
      </c>
      <c r="AY366" s="596">
        <f t="shared" si="123"/>
        <v>0</v>
      </c>
      <c r="AZ366" s="595">
        <f t="shared" si="124"/>
        <v>157.61837777777779</v>
      </c>
      <c r="BA366" s="596">
        <f t="shared" si="125"/>
        <v>141.10333333333332</v>
      </c>
    </row>
    <row r="367" spans="1:53" customFormat="1" ht="15" customHeight="1">
      <c r="A367" s="414" t="s">
        <v>311</v>
      </c>
      <c r="B367" s="412" t="s">
        <v>357</v>
      </c>
      <c r="C367" s="413"/>
      <c r="D367" s="414">
        <v>418357</v>
      </c>
      <c r="E367" s="414">
        <v>13</v>
      </c>
      <c r="F367" s="605"/>
      <c r="G367" s="519"/>
      <c r="H367" s="592"/>
      <c r="I367" s="519"/>
      <c r="J367" s="592"/>
      <c r="K367" s="519"/>
      <c r="L367" s="592"/>
      <c r="M367" s="519"/>
      <c r="N367" s="592"/>
      <c r="O367" s="519"/>
      <c r="P367" s="595">
        <f t="shared" si="108"/>
        <v>0</v>
      </c>
      <c r="Q367" s="595">
        <f t="shared" si="109"/>
        <v>0</v>
      </c>
      <c r="R367" s="596">
        <f t="shared" si="110"/>
        <v>0</v>
      </c>
      <c r="S367" s="596">
        <f t="shared" si="111"/>
        <v>0</v>
      </c>
      <c r="T367" s="592"/>
      <c r="U367" s="519"/>
      <c r="V367" s="595">
        <f t="shared" si="112"/>
        <v>0</v>
      </c>
      <c r="W367" s="596">
        <f t="shared" si="113"/>
        <v>0</v>
      </c>
      <c r="X367" s="592"/>
      <c r="Y367" s="519"/>
      <c r="Z367" s="592"/>
      <c r="AA367" s="519"/>
      <c r="AB367" s="592"/>
      <c r="AC367" s="519"/>
      <c r="AD367" s="592">
        <v>130496.63</v>
      </c>
      <c r="AE367" s="563">
        <v>131116.70000000001</v>
      </c>
      <c r="AF367" s="595">
        <f t="shared" si="114"/>
        <v>130496.63</v>
      </c>
      <c r="AG367" s="595">
        <f t="shared" si="115"/>
        <v>144.99625555555556</v>
      </c>
      <c r="AH367" s="596">
        <f t="shared" si="116"/>
        <v>131116.70000000001</v>
      </c>
      <c r="AI367" s="596">
        <f t="shared" si="117"/>
        <v>145.68522222222222</v>
      </c>
      <c r="AJ367" s="592"/>
      <c r="AK367" s="519"/>
      <c r="AL367" s="595">
        <f t="shared" si="118"/>
        <v>0</v>
      </c>
      <c r="AM367" s="596">
        <f t="shared" si="119"/>
        <v>0</v>
      </c>
      <c r="AN367" s="592"/>
      <c r="AO367" s="519"/>
      <c r="AP367" s="592"/>
      <c r="AQ367" s="519"/>
      <c r="AR367" s="592"/>
      <c r="AS367" s="519"/>
      <c r="AT367" s="592"/>
      <c r="AU367" s="519"/>
      <c r="AV367" s="595">
        <f t="shared" si="120"/>
        <v>0</v>
      </c>
      <c r="AW367" s="595">
        <f t="shared" si="121"/>
        <v>0</v>
      </c>
      <c r="AX367" s="596">
        <f t="shared" si="122"/>
        <v>0</v>
      </c>
      <c r="AY367" s="596">
        <f t="shared" si="123"/>
        <v>0</v>
      </c>
      <c r="AZ367" s="595">
        <f t="shared" si="124"/>
        <v>144.99625555555556</v>
      </c>
      <c r="BA367" s="596">
        <f t="shared" si="125"/>
        <v>145.68522222222222</v>
      </c>
    </row>
    <row r="368" spans="1:53" customFormat="1" ht="15" customHeight="1">
      <c r="A368" s="414" t="s">
        <v>311</v>
      </c>
      <c r="B368" s="412" t="s">
        <v>358</v>
      </c>
      <c r="C368" s="413"/>
      <c r="D368" s="414">
        <v>418302</v>
      </c>
      <c r="E368" s="414">
        <v>13</v>
      </c>
      <c r="F368" s="605"/>
      <c r="G368" s="519"/>
      <c r="H368" s="592"/>
      <c r="I368" s="519"/>
      <c r="J368" s="592"/>
      <c r="K368" s="519"/>
      <c r="L368" s="592"/>
      <c r="M368" s="519"/>
      <c r="N368" s="592"/>
      <c r="O368" s="519"/>
      <c r="P368" s="595">
        <f t="shared" si="108"/>
        <v>0</v>
      </c>
      <c r="Q368" s="595">
        <f t="shared" si="109"/>
        <v>0</v>
      </c>
      <c r="R368" s="596">
        <f t="shared" si="110"/>
        <v>0</v>
      </c>
      <c r="S368" s="596">
        <f t="shared" si="111"/>
        <v>0</v>
      </c>
      <c r="T368" s="592"/>
      <c r="U368" s="519"/>
      <c r="V368" s="595">
        <f t="shared" si="112"/>
        <v>0</v>
      </c>
      <c r="W368" s="596">
        <f t="shared" si="113"/>
        <v>0</v>
      </c>
      <c r="X368" s="592"/>
      <c r="Y368" s="519"/>
      <c r="Z368" s="592"/>
      <c r="AA368" s="519"/>
      <c r="AB368" s="592"/>
      <c r="AC368" s="519"/>
      <c r="AD368" s="592">
        <v>288010.40999999997</v>
      </c>
      <c r="AE368" s="563">
        <v>344865.8</v>
      </c>
      <c r="AF368" s="595">
        <f t="shared" si="114"/>
        <v>288010.40999999997</v>
      </c>
      <c r="AG368" s="595">
        <f t="shared" si="115"/>
        <v>320.01156666666662</v>
      </c>
      <c r="AH368" s="596">
        <f t="shared" si="116"/>
        <v>344865.8</v>
      </c>
      <c r="AI368" s="596">
        <f t="shared" si="117"/>
        <v>383.18422222222222</v>
      </c>
      <c r="AJ368" s="592"/>
      <c r="AK368" s="519"/>
      <c r="AL368" s="595">
        <f t="shared" si="118"/>
        <v>0</v>
      </c>
      <c r="AM368" s="596">
        <f t="shared" si="119"/>
        <v>0</v>
      </c>
      <c r="AN368" s="592"/>
      <c r="AO368" s="519"/>
      <c r="AP368" s="592"/>
      <c r="AQ368" s="519"/>
      <c r="AR368" s="592"/>
      <c r="AS368" s="519"/>
      <c r="AT368" s="592"/>
      <c r="AU368" s="519"/>
      <c r="AV368" s="595">
        <f t="shared" si="120"/>
        <v>0</v>
      </c>
      <c r="AW368" s="595">
        <f t="shared" si="121"/>
        <v>0</v>
      </c>
      <c r="AX368" s="596">
        <f t="shared" si="122"/>
        <v>0</v>
      </c>
      <c r="AY368" s="596">
        <f t="shared" si="123"/>
        <v>0</v>
      </c>
      <c r="AZ368" s="595">
        <f t="shared" si="124"/>
        <v>320.01156666666662</v>
      </c>
      <c r="BA368" s="596">
        <f t="shared" si="125"/>
        <v>383.18422222222222</v>
      </c>
    </row>
    <row r="369" spans="1:53" s="365" customFormat="1" ht="13.5" customHeight="1">
      <c r="A369" s="434" t="s">
        <v>491</v>
      </c>
      <c r="B369" s="435" t="s">
        <v>492</v>
      </c>
      <c r="C369" s="436"/>
      <c r="D369" s="437">
        <v>217882</v>
      </c>
      <c r="E369" s="437">
        <v>1</v>
      </c>
      <c r="F369" s="592" t="s">
        <v>74</v>
      </c>
      <c r="G369" s="519"/>
      <c r="H369" s="603"/>
      <c r="I369" s="519"/>
      <c r="J369" s="603">
        <v>272130</v>
      </c>
      <c r="K369" s="519">
        <v>278087</v>
      </c>
      <c r="L369" s="603">
        <v>36670</v>
      </c>
      <c r="M369" s="519">
        <v>37821</v>
      </c>
      <c r="N369" s="603">
        <v>303943</v>
      </c>
      <c r="O369" s="519">
        <v>313062</v>
      </c>
      <c r="P369" s="595">
        <f t="shared" si="108"/>
        <v>612743</v>
      </c>
      <c r="Q369" s="595">
        <f t="shared" si="109"/>
        <v>20424.766666666666</v>
      </c>
      <c r="R369" s="596">
        <f t="shared" si="110"/>
        <v>628970</v>
      </c>
      <c r="S369" s="596">
        <f t="shared" si="111"/>
        <v>20965.666666666668</v>
      </c>
      <c r="T369" s="603">
        <v>217</v>
      </c>
      <c r="U369" s="519">
        <v>193</v>
      </c>
      <c r="V369" s="595">
        <f t="shared" si="112"/>
        <v>612743</v>
      </c>
      <c r="W369" s="596">
        <f t="shared" si="113"/>
        <v>628970</v>
      </c>
      <c r="X369" s="603"/>
      <c r="Y369" s="519"/>
      <c r="Z369" s="603"/>
      <c r="AA369" s="519"/>
      <c r="AB369" s="603"/>
      <c r="AC369" s="519"/>
      <c r="AD369" s="603"/>
      <c r="AE369" s="519"/>
      <c r="AF369" s="595">
        <f t="shared" si="114"/>
        <v>0</v>
      </c>
      <c r="AG369" s="595">
        <f t="shared" si="115"/>
        <v>0</v>
      </c>
      <c r="AH369" s="596">
        <f t="shared" si="116"/>
        <v>0</v>
      </c>
      <c r="AI369" s="596">
        <f t="shared" si="117"/>
        <v>0</v>
      </c>
      <c r="AJ369" s="603"/>
      <c r="AK369" s="519"/>
      <c r="AL369" s="595">
        <f t="shared" si="118"/>
        <v>0</v>
      </c>
      <c r="AM369" s="596">
        <f t="shared" si="119"/>
        <v>0</v>
      </c>
      <c r="AN369" s="603"/>
      <c r="AO369" s="519"/>
      <c r="AP369" s="603">
        <v>39239</v>
      </c>
      <c r="AQ369" s="519">
        <v>41544</v>
      </c>
      <c r="AR369" s="603">
        <v>17690</v>
      </c>
      <c r="AS369" s="519">
        <v>18335</v>
      </c>
      <c r="AT369" s="603">
        <v>44605</v>
      </c>
      <c r="AU369" s="519">
        <v>43439</v>
      </c>
      <c r="AV369" s="595">
        <f t="shared" si="120"/>
        <v>101534</v>
      </c>
      <c r="AW369" s="595">
        <f t="shared" si="121"/>
        <v>4230.583333333333</v>
      </c>
      <c r="AX369" s="596">
        <f t="shared" si="122"/>
        <v>103318</v>
      </c>
      <c r="AY369" s="596">
        <f t="shared" si="123"/>
        <v>4304.916666666667</v>
      </c>
      <c r="AZ369" s="595">
        <f t="shared" si="124"/>
        <v>24655.35</v>
      </c>
      <c r="BA369" s="596">
        <f t="shared" si="125"/>
        <v>25270.583333333336</v>
      </c>
    </row>
    <row r="370" spans="1:53" s="365" customFormat="1" ht="12.75" customHeight="1">
      <c r="A370" s="434" t="s">
        <v>491</v>
      </c>
      <c r="B370" s="435" t="s">
        <v>493</v>
      </c>
      <c r="C370" s="436"/>
      <c r="D370" s="437">
        <v>218663</v>
      </c>
      <c r="E370" s="437">
        <v>1</v>
      </c>
      <c r="F370" s="592" t="s">
        <v>74</v>
      </c>
      <c r="G370" s="519"/>
      <c r="H370" s="603"/>
      <c r="I370" s="519"/>
      <c r="J370" s="603">
        <v>363381</v>
      </c>
      <c r="K370" s="519">
        <v>380399</v>
      </c>
      <c r="L370" s="603">
        <v>46434</v>
      </c>
      <c r="M370" s="519">
        <v>49747</v>
      </c>
      <c r="N370" s="603">
        <v>409689</v>
      </c>
      <c r="O370" s="519">
        <v>407477</v>
      </c>
      <c r="P370" s="595">
        <f t="shared" si="108"/>
        <v>819504</v>
      </c>
      <c r="Q370" s="595">
        <f t="shared" si="109"/>
        <v>27316.799999999999</v>
      </c>
      <c r="R370" s="596">
        <f t="shared" si="110"/>
        <v>837623</v>
      </c>
      <c r="S370" s="596">
        <f t="shared" si="111"/>
        <v>27920.766666666666</v>
      </c>
      <c r="T370" s="603">
        <v>45</v>
      </c>
      <c r="U370" s="519">
        <v>31</v>
      </c>
      <c r="V370" s="595">
        <f t="shared" si="112"/>
        <v>819504</v>
      </c>
      <c r="W370" s="596">
        <f t="shared" si="113"/>
        <v>837623</v>
      </c>
      <c r="X370" s="603"/>
      <c r="Y370" s="519"/>
      <c r="Z370" s="603"/>
      <c r="AA370" s="519"/>
      <c r="AB370" s="603"/>
      <c r="AC370" s="519"/>
      <c r="AD370" s="603"/>
      <c r="AE370" s="519"/>
      <c r="AF370" s="595">
        <f t="shared" si="114"/>
        <v>0</v>
      </c>
      <c r="AG370" s="595">
        <f t="shared" si="115"/>
        <v>0</v>
      </c>
      <c r="AH370" s="596">
        <f t="shared" si="116"/>
        <v>0</v>
      </c>
      <c r="AI370" s="596">
        <f t="shared" si="117"/>
        <v>0</v>
      </c>
      <c r="AJ370" s="603"/>
      <c r="AK370" s="519"/>
      <c r="AL370" s="595">
        <f t="shared" si="118"/>
        <v>0</v>
      </c>
      <c r="AM370" s="596">
        <f t="shared" si="119"/>
        <v>0</v>
      </c>
      <c r="AN370" s="603"/>
      <c r="AO370" s="519"/>
      <c r="AP370" s="603">
        <v>73988</v>
      </c>
      <c r="AQ370" s="519">
        <v>73935</v>
      </c>
      <c r="AR370" s="603">
        <v>23418</v>
      </c>
      <c r="AS370" s="519">
        <v>24450</v>
      </c>
      <c r="AT370" s="603">
        <v>77796</v>
      </c>
      <c r="AU370" s="519">
        <v>80396</v>
      </c>
      <c r="AV370" s="595">
        <f t="shared" si="120"/>
        <v>175202</v>
      </c>
      <c r="AW370" s="595">
        <f t="shared" si="121"/>
        <v>7300.083333333333</v>
      </c>
      <c r="AX370" s="596">
        <f t="shared" si="122"/>
        <v>178781</v>
      </c>
      <c r="AY370" s="596">
        <f t="shared" si="123"/>
        <v>7449.208333333333</v>
      </c>
      <c r="AZ370" s="595">
        <f t="shared" si="124"/>
        <v>34616.883333333331</v>
      </c>
      <c r="BA370" s="596">
        <f t="shared" si="125"/>
        <v>35369.974999999999</v>
      </c>
    </row>
    <row r="371" spans="1:53" s="1" customFormat="1">
      <c r="A371" s="434" t="s">
        <v>491</v>
      </c>
      <c r="B371" s="435" t="s">
        <v>494</v>
      </c>
      <c r="C371" s="436"/>
      <c r="D371" s="437">
        <v>217819</v>
      </c>
      <c r="E371" s="437">
        <v>3</v>
      </c>
      <c r="F371" s="592" t="s">
        <v>74</v>
      </c>
      <c r="G371" s="519"/>
      <c r="H371" s="603"/>
      <c r="I371" s="519"/>
      <c r="J371" s="603">
        <v>134199</v>
      </c>
      <c r="K371" s="519">
        <v>130713</v>
      </c>
      <c r="L371" s="603">
        <v>15077</v>
      </c>
      <c r="M371" s="519">
        <v>15498</v>
      </c>
      <c r="N371" s="603">
        <v>137451</v>
      </c>
      <c r="O371" s="519">
        <v>133970</v>
      </c>
      <c r="P371" s="595">
        <f t="shared" si="108"/>
        <v>286727</v>
      </c>
      <c r="Q371" s="595">
        <f t="shared" si="109"/>
        <v>9557.5666666666675</v>
      </c>
      <c r="R371" s="596">
        <f t="shared" si="110"/>
        <v>280181</v>
      </c>
      <c r="S371" s="596">
        <f t="shared" si="111"/>
        <v>9339.3666666666668</v>
      </c>
      <c r="T371" s="603">
        <v>769</v>
      </c>
      <c r="U371" s="519">
        <v>777</v>
      </c>
      <c r="V371" s="595">
        <f t="shared" si="112"/>
        <v>286727</v>
      </c>
      <c r="W371" s="596">
        <f t="shared" si="113"/>
        <v>280181</v>
      </c>
      <c r="X371" s="603"/>
      <c r="Y371" s="519"/>
      <c r="Z371" s="603"/>
      <c r="AA371" s="519"/>
      <c r="AB371" s="603"/>
      <c r="AC371" s="519"/>
      <c r="AD371" s="603"/>
      <c r="AE371" s="519"/>
      <c r="AF371" s="595">
        <f t="shared" si="114"/>
        <v>0</v>
      </c>
      <c r="AG371" s="595">
        <f t="shared" si="115"/>
        <v>0</v>
      </c>
      <c r="AH371" s="596">
        <f t="shared" si="116"/>
        <v>0</v>
      </c>
      <c r="AI371" s="596">
        <f t="shared" si="117"/>
        <v>0</v>
      </c>
      <c r="AJ371" s="603"/>
      <c r="AK371" s="519"/>
      <c r="AL371" s="595">
        <f t="shared" si="118"/>
        <v>0</v>
      </c>
      <c r="AM371" s="596">
        <f t="shared" si="119"/>
        <v>0</v>
      </c>
      <c r="AN371" s="603"/>
      <c r="AO371" s="519"/>
      <c r="AP371" s="603">
        <v>5496</v>
      </c>
      <c r="AQ371" s="519">
        <v>6457</v>
      </c>
      <c r="AR371" s="603">
        <v>3231</v>
      </c>
      <c r="AS371" s="519">
        <v>4291</v>
      </c>
      <c r="AT371" s="603">
        <v>4943</v>
      </c>
      <c r="AU371" s="519">
        <v>5644</v>
      </c>
      <c r="AV371" s="595">
        <f t="shared" si="120"/>
        <v>13670</v>
      </c>
      <c r="AW371" s="595">
        <f t="shared" si="121"/>
        <v>569.58333333333337</v>
      </c>
      <c r="AX371" s="596">
        <f t="shared" si="122"/>
        <v>16392</v>
      </c>
      <c r="AY371" s="596">
        <f t="shared" si="123"/>
        <v>683</v>
      </c>
      <c r="AZ371" s="595">
        <f t="shared" si="124"/>
        <v>10127.150000000001</v>
      </c>
      <c r="BA371" s="596">
        <f t="shared" si="125"/>
        <v>10022.366666666667</v>
      </c>
    </row>
    <row r="372" spans="1:53" s="365" customFormat="1" ht="12.75" customHeight="1">
      <c r="A372" s="434" t="s">
        <v>491</v>
      </c>
      <c r="B372" s="435" t="s">
        <v>495</v>
      </c>
      <c r="C372" s="438"/>
      <c r="D372" s="437">
        <v>217864</v>
      </c>
      <c r="E372" s="437">
        <v>3</v>
      </c>
      <c r="F372" s="592" t="s">
        <v>74</v>
      </c>
      <c r="G372" s="519"/>
      <c r="H372" s="603"/>
      <c r="I372" s="519"/>
      <c r="J372" s="603">
        <v>46323</v>
      </c>
      <c r="K372" s="519">
        <v>46280</v>
      </c>
      <c r="L372" s="603">
        <v>6577</v>
      </c>
      <c r="M372" s="519">
        <v>5770</v>
      </c>
      <c r="N372" s="603">
        <v>47998</v>
      </c>
      <c r="O372" s="519">
        <v>46368</v>
      </c>
      <c r="P372" s="595">
        <f t="shared" si="108"/>
        <v>100898</v>
      </c>
      <c r="Q372" s="595">
        <f t="shared" si="109"/>
        <v>3363.2666666666669</v>
      </c>
      <c r="R372" s="596">
        <f t="shared" si="110"/>
        <v>98418</v>
      </c>
      <c r="S372" s="596">
        <f t="shared" si="111"/>
        <v>3280.6</v>
      </c>
      <c r="T372" s="603">
        <v>45</v>
      </c>
      <c r="U372" s="519">
        <v>3</v>
      </c>
      <c r="V372" s="595">
        <f t="shared" si="112"/>
        <v>100898</v>
      </c>
      <c r="W372" s="596">
        <f t="shared" si="113"/>
        <v>98418</v>
      </c>
      <c r="X372" s="603"/>
      <c r="Y372" s="519"/>
      <c r="Z372" s="603"/>
      <c r="AA372" s="519"/>
      <c r="AB372" s="603"/>
      <c r="AC372" s="519"/>
      <c r="AD372" s="603"/>
      <c r="AE372" s="519"/>
      <c r="AF372" s="595">
        <f t="shared" si="114"/>
        <v>0</v>
      </c>
      <c r="AG372" s="595">
        <f t="shared" si="115"/>
        <v>0</v>
      </c>
      <c r="AH372" s="596">
        <f t="shared" si="116"/>
        <v>0</v>
      </c>
      <c r="AI372" s="596">
        <f t="shared" si="117"/>
        <v>0</v>
      </c>
      <c r="AJ372" s="603"/>
      <c r="AK372" s="519"/>
      <c r="AL372" s="595">
        <f t="shared" si="118"/>
        <v>0</v>
      </c>
      <c r="AM372" s="596">
        <f t="shared" si="119"/>
        <v>0</v>
      </c>
      <c r="AN372" s="603"/>
      <c r="AO372" s="519"/>
      <c r="AP372" s="603">
        <v>5286</v>
      </c>
      <c r="AQ372" s="519">
        <v>5035</v>
      </c>
      <c r="AR372" s="603">
        <v>4330</v>
      </c>
      <c r="AS372" s="519">
        <v>4062</v>
      </c>
      <c r="AT372" s="603">
        <v>5344</v>
      </c>
      <c r="AU372" s="519">
        <v>5574</v>
      </c>
      <c r="AV372" s="595">
        <f t="shared" si="120"/>
        <v>14960</v>
      </c>
      <c r="AW372" s="595">
        <f t="shared" si="121"/>
        <v>623.33333333333337</v>
      </c>
      <c r="AX372" s="596">
        <f t="shared" si="122"/>
        <v>14671</v>
      </c>
      <c r="AY372" s="596">
        <f t="shared" si="123"/>
        <v>611.29166666666663</v>
      </c>
      <c r="AZ372" s="595">
        <f t="shared" si="124"/>
        <v>3986.6000000000004</v>
      </c>
      <c r="BA372" s="596">
        <f t="shared" si="125"/>
        <v>3891.8916666666664</v>
      </c>
    </row>
    <row r="373" spans="1:53" s="1" customFormat="1">
      <c r="A373" s="434" t="s">
        <v>491</v>
      </c>
      <c r="B373" s="435" t="s">
        <v>496</v>
      </c>
      <c r="C373" s="436"/>
      <c r="D373" s="437">
        <v>218964</v>
      </c>
      <c r="E373" s="437">
        <v>3</v>
      </c>
      <c r="F373" s="592" t="s">
        <v>74</v>
      </c>
      <c r="G373" s="519"/>
      <c r="H373" s="603"/>
      <c r="I373" s="519"/>
      <c r="J373" s="603">
        <v>62708</v>
      </c>
      <c r="K373" s="519">
        <v>62726.5</v>
      </c>
      <c r="L373" s="603">
        <v>5253</v>
      </c>
      <c r="M373" s="519">
        <v>5725.5</v>
      </c>
      <c r="N373" s="603">
        <v>67863</v>
      </c>
      <c r="O373" s="519">
        <v>63850.5</v>
      </c>
      <c r="P373" s="595">
        <f t="shared" si="108"/>
        <v>135824</v>
      </c>
      <c r="Q373" s="595">
        <f t="shared" si="109"/>
        <v>4527.4666666666662</v>
      </c>
      <c r="R373" s="596">
        <f t="shared" si="110"/>
        <v>132302.5</v>
      </c>
      <c r="S373" s="596">
        <f t="shared" si="111"/>
        <v>4410.083333333333</v>
      </c>
      <c r="T373" s="603">
        <v>1476</v>
      </c>
      <c r="U373" s="519">
        <v>1110</v>
      </c>
      <c r="V373" s="595">
        <f t="shared" si="112"/>
        <v>135824</v>
      </c>
      <c r="W373" s="596">
        <f t="shared" si="113"/>
        <v>132302.5</v>
      </c>
      <c r="X373" s="603"/>
      <c r="Y373" s="519"/>
      <c r="Z373" s="603"/>
      <c r="AA373" s="519"/>
      <c r="AB373" s="603"/>
      <c r="AC373" s="519"/>
      <c r="AD373" s="603"/>
      <c r="AE373" s="519"/>
      <c r="AF373" s="595">
        <f t="shared" si="114"/>
        <v>0</v>
      </c>
      <c r="AG373" s="595">
        <f t="shared" si="115"/>
        <v>0</v>
      </c>
      <c r="AH373" s="596">
        <f t="shared" si="116"/>
        <v>0</v>
      </c>
      <c r="AI373" s="596">
        <f t="shared" si="117"/>
        <v>0</v>
      </c>
      <c r="AJ373" s="603"/>
      <c r="AK373" s="519"/>
      <c r="AL373" s="595">
        <f t="shared" si="118"/>
        <v>0</v>
      </c>
      <c r="AM373" s="596">
        <f t="shared" si="119"/>
        <v>0</v>
      </c>
      <c r="AN373" s="603"/>
      <c r="AO373" s="519"/>
      <c r="AP373" s="603">
        <v>6037</v>
      </c>
      <c r="AQ373" s="519">
        <v>6734</v>
      </c>
      <c r="AR373" s="603">
        <v>3503</v>
      </c>
      <c r="AS373" s="519">
        <v>4773</v>
      </c>
      <c r="AT373" s="603">
        <v>6683</v>
      </c>
      <c r="AU373" s="519">
        <v>7860</v>
      </c>
      <c r="AV373" s="595">
        <f t="shared" si="120"/>
        <v>16223</v>
      </c>
      <c r="AW373" s="595">
        <f t="shared" si="121"/>
        <v>675.95833333333337</v>
      </c>
      <c r="AX373" s="596">
        <f t="shared" si="122"/>
        <v>19367</v>
      </c>
      <c r="AY373" s="596">
        <f t="shared" si="123"/>
        <v>806.95833333333337</v>
      </c>
      <c r="AZ373" s="595">
        <f t="shared" si="124"/>
        <v>5203.4249999999993</v>
      </c>
      <c r="BA373" s="596">
        <f t="shared" si="125"/>
        <v>5217.0416666666661</v>
      </c>
    </row>
    <row r="374" spans="1:53" s="365" customFormat="1" ht="15" customHeight="1">
      <c r="A374" s="434" t="s">
        <v>491</v>
      </c>
      <c r="B374" s="435" t="s">
        <v>497</v>
      </c>
      <c r="C374" s="461"/>
      <c r="D374" s="437">
        <v>218724</v>
      </c>
      <c r="E374" s="437">
        <v>4</v>
      </c>
      <c r="F374" s="592" t="s">
        <v>74</v>
      </c>
      <c r="G374" s="519"/>
      <c r="H374" s="603"/>
      <c r="I374" s="519"/>
      <c r="J374" s="603">
        <v>130819</v>
      </c>
      <c r="K374" s="519">
        <v>128539</v>
      </c>
      <c r="L374" s="603">
        <v>17312</v>
      </c>
      <c r="M374" s="519">
        <v>17440</v>
      </c>
      <c r="N374" s="603">
        <v>142967</v>
      </c>
      <c r="O374" s="519">
        <v>137780</v>
      </c>
      <c r="P374" s="595">
        <f t="shared" si="108"/>
        <v>291098</v>
      </c>
      <c r="Q374" s="595">
        <f t="shared" si="109"/>
        <v>9703.2666666666664</v>
      </c>
      <c r="R374" s="596">
        <f t="shared" si="110"/>
        <v>283759</v>
      </c>
      <c r="S374" s="596">
        <f t="shared" si="111"/>
        <v>9458.6333333333332</v>
      </c>
      <c r="T374" s="603">
        <v>2674</v>
      </c>
      <c r="U374" s="519">
        <v>2560</v>
      </c>
      <c r="V374" s="595">
        <f t="shared" si="112"/>
        <v>291098</v>
      </c>
      <c r="W374" s="596">
        <f t="shared" si="113"/>
        <v>283759</v>
      </c>
      <c r="X374" s="603"/>
      <c r="Y374" s="519"/>
      <c r="Z374" s="603"/>
      <c r="AA374" s="519"/>
      <c r="AB374" s="603"/>
      <c r="AC374" s="519"/>
      <c r="AD374" s="603"/>
      <c r="AE374" s="519"/>
      <c r="AF374" s="595">
        <f t="shared" si="114"/>
        <v>0</v>
      </c>
      <c r="AG374" s="595">
        <f t="shared" si="115"/>
        <v>0</v>
      </c>
      <c r="AH374" s="596">
        <f t="shared" si="116"/>
        <v>0</v>
      </c>
      <c r="AI374" s="596">
        <f t="shared" si="117"/>
        <v>0</v>
      </c>
      <c r="AJ374" s="603"/>
      <c r="AK374" s="519"/>
      <c r="AL374" s="595">
        <f t="shared" si="118"/>
        <v>0</v>
      </c>
      <c r="AM374" s="596">
        <f t="shared" si="119"/>
        <v>0</v>
      </c>
      <c r="AN374" s="603"/>
      <c r="AO374" s="519"/>
      <c r="AP374" s="603">
        <v>4186</v>
      </c>
      <c r="AQ374" s="519">
        <v>4166</v>
      </c>
      <c r="AR374" s="603">
        <v>3901</v>
      </c>
      <c r="AS374" s="519">
        <v>4125</v>
      </c>
      <c r="AT374" s="603">
        <v>4589</v>
      </c>
      <c r="AU374" s="519">
        <v>4100</v>
      </c>
      <c r="AV374" s="595">
        <f t="shared" si="120"/>
        <v>12676</v>
      </c>
      <c r="AW374" s="595">
        <f t="shared" si="121"/>
        <v>528.16666666666663</v>
      </c>
      <c r="AX374" s="596">
        <f t="shared" si="122"/>
        <v>12391</v>
      </c>
      <c r="AY374" s="596">
        <f t="shared" si="123"/>
        <v>516.29166666666663</v>
      </c>
      <c r="AZ374" s="595">
        <f t="shared" si="124"/>
        <v>10231.433333333332</v>
      </c>
      <c r="BA374" s="596">
        <f t="shared" si="125"/>
        <v>9974.9249999999993</v>
      </c>
    </row>
    <row r="375" spans="1:53" s="365" customFormat="1" ht="15" customHeight="1">
      <c r="A375" s="434" t="s">
        <v>491</v>
      </c>
      <c r="B375" s="435" t="s">
        <v>498</v>
      </c>
      <c r="C375" s="462"/>
      <c r="D375" s="437">
        <v>218061</v>
      </c>
      <c r="E375" s="437">
        <v>5</v>
      </c>
      <c r="F375" s="592" t="s">
        <v>74</v>
      </c>
      <c r="G375" s="519"/>
      <c r="H375" s="603"/>
      <c r="I375" s="519"/>
      <c r="J375" s="603">
        <v>33667</v>
      </c>
      <c r="K375" s="519">
        <v>42314</v>
      </c>
      <c r="L375" s="603">
        <v>2921</v>
      </c>
      <c r="M375" s="519">
        <v>3092</v>
      </c>
      <c r="N375" s="603">
        <v>46709</v>
      </c>
      <c r="O375" s="519">
        <v>46182</v>
      </c>
      <c r="P375" s="595">
        <f t="shared" si="108"/>
        <v>83297</v>
      </c>
      <c r="Q375" s="595">
        <f t="shared" si="109"/>
        <v>2776.5666666666666</v>
      </c>
      <c r="R375" s="596">
        <f t="shared" si="110"/>
        <v>91588</v>
      </c>
      <c r="S375" s="596">
        <f t="shared" si="111"/>
        <v>3052.9333333333334</v>
      </c>
      <c r="T375" s="603">
        <v>3015</v>
      </c>
      <c r="U375" s="519">
        <v>4814</v>
      </c>
      <c r="V375" s="595">
        <f t="shared" si="112"/>
        <v>83297</v>
      </c>
      <c r="W375" s="596">
        <f t="shared" si="113"/>
        <v>91588</v>
      </c>
      <c r="X375" s="603"/>
      <c r="Y375" s="519"/>
      <c r="Z375" s="603"/>
      <c r="AA375" s="519"/>
      <c r="AB375" s="603"/>
      <c r="AC375" s="519"/>
      <c r="AD375" s="603"/>
      <c r="AE375" s="519"/>
      <c r="AF375" s="595">
        <f t="shared" si="114"/>
        <v>0</v>
      </c>
      <c r="AG375" s="595">
        <f t="shared" si="115"/>
        <v>0</v>
      </c>
      <c r="AH375" s="596">
        <f t="shared" si="116"/>
        <v>0</v>
      </c>
      <c r="AI375" s="596">
        <f t="shared" si="117"/>
        <v>0</v>
      </c>
      <c r="AJ375" s="603"/>
      <c r="AK375" s="519"/>
      <c r="AL375" s="595">
        <f t="shared" si="118"/>
        <v>0</v>
      </c>
      <c r="AM375" s="596">
        <f t="shared" si="119"/>
        <v>0</v>
      </c>
      <c r="AN375" s="603"/>
      <c r="AO375" s="519"/>
      <c r="AP375" s="603">
        <v>7856</v>
      </c>
      <c r="AQ375" s="519">
        <v>3164</v>
      </c>
      <c r="AR375" s="603">
        <v>2742</v>
      </c>
      <c r="AS375" s="519">
        <v>3259</v>
      </c>
      <c r="AT375" s="603">
        <v>3667</v>
      </c>
      <c r="AU375" s="519">
        <v>4420</v>
      </c>
      <c r="AV375" s="595">
        <f t="shared" si="120"/>
        <v>14265</v>
      </c>
      <c r="AW375" s="595">
        <f t="shared" si="121"/>
        <v>594.375</v>
      </c>
      <c r="AX375" s="596">
        <f t="shared" si="122"/>
        <v>10843</v>
      </c>
      <c r="AY375" s="596">
        <f t="shared" si="123"/>
        <v>451.79166666666669</v>
      </c>
      <c r="AZ375" s="595">
        <f t="shared" si="124"/>
        <v>3370.9416666666666</v>
      </c>
      <c r="BA375" s="596">
        <f t="shared" si="125"/>
        <v>3504.7249999999999</v>
      </c>
    </row>
    <row r="376" spans="1:53" s="365" customFormat="1" ht="15" customHeight="1">
      <c r="A376" s="434" t="s">
        <v>491</v>
      </c>
      <c r="B376" s="435" t="s">
        <v>499</v>
      </c>
      <c r="C376" s="462"/>
      <c r="D376" s="437">
        <v>218733</v>
      </c>
      <c r="E376" s="437">
        <v>5</v>
      </c>
      <c r="F376" s="592" t="s">
        <v>74</v>
      </c>
      <c r="G376" s="519"/>
      <c r="H376" s="603"/>
      <c r="I376" s="519"/>
      <c r="J376" s="603">
        <v>30751</v>
      </c>
      <c r="K376" s="519">
        <v>28262</v>
      </c>
      <c r="L376" s="603">
        <v>1896</v>
      </c>
      <c r="M376" s="519">
        <v>2270</v>
      </c>
      <c r="N376" s="603">
        <v>31188</v>
      </c>
      <c r="O376" s="519">
        <v>28376</v>
      </c>
      <c r="P376" s="595">
        <f t="shared" si="108"/>
        <v>63835</v>
      </c>
      <c r="Q376" s="595">
        <f t="shared" si="109"/>
        <v>2127.8333333333335</v>
      </c>
      <c r="R376" s="596">
        <f t="shared" si="110"/>
        <v>58908</v>
      </c>
      <c r="S376" s="596">
        <f t="shared" si="111"/>
        <v>1963.6</v>
      </c>
      <c r="T376" s="603"/>
      <c r="U376" s="519">
        <v>138</v>
      </c>
      <c r="V376" s="595">
        <f t="shared" si="112"/>
        <v>0</v>
      </c>
      <c r="W376" s="596">
        <f t="shared" si="113"/>
        <v>58908</v>
      </c>
      <c r="X376" s="603"/>
      <c r="Y376" s="519"/>
      <c r="Z376" s="603"/>
      <c r="AA376" s="519"/>
      <c r="AB376" s="603"/>
      <c r="AC376" s="519"/>
      <c r="AD376" s="603"/>
      <c r="AE376" s="519"/>
      <c r="AF376" s="595">
        <f t="shared" si="114"/>
        <v>0</v>
      </c>
      <c r="AG376" s="595">
        <f t="shared" si="115"/>
        <v>0</v>
      </c>
      <c r="AH376" s="596">
        <f t="shared" si="116"/>
        <v>0</v>
      </c>
      <c r="AI376" s="596">
        <f t="shared" si="117"/>
        <v>0</v>
      </c>
      <c r="AJ376" s="603"/>
      <c r="AK376" s="519"/>
      <c r="AL376" s="595">
        <f t="shared" si="118"/>
        <v>0</v>
      </c>
      <c r="AM376" s="596">
        <f t="shared" si="119"/>
        <v>0</v>
      </c>
      <c r="AN376" s="603"/>
      <c r="AO376" s="519"/>
      <c r="AP376" s="603">
        <v>2732</v>
      </c>
      <c r="AQ376" s="519">
        <v>2158</v>
      </c>
      <c r="AR376" s="603">
        <v>917</v>
      </c>
      <c r="AS376" s="519">
        <v>956</v>
      </c>
      <c r="AT376" s="603">
        <v>2464</v>
      </c>
      <c r="AU376" s="519">
        <v>2447</v>
      </c>
      <c r="AV376" s="595">
        <f t="shared" si="120"/>
        <v>6113</v>
      </c>
      <c r="AW376" s="595">
        <f t="shared" si="121"/>
        <v>254.70833333333334</v>
      </c>
      <c r="AX376" s="596">
        <f t="shared" si="122"/>
        <v>5561</v>
      </c>
      <c r="AY376" s="596">
        <f t="shared" si="123"/>
        <v>231.70833333333334</v>
      </c>
      <c r="AZ376" s="595">
        <f t="shared" si="124"/>
        <v>2382.541666666667</v>
      </c>
      <c r="BA376" s="596">
        <f t="shared" si="125"/>
        <v>2195.3083333333334</v>
      </c>
    </row>
    <row r="377" spans="1:53" s="365" customFormat="1" ht="15" customHeight="1">
      <c r="A377" s="434" t="s">
        <v>491</v>
      </c>
      <c r="B377" s="435" t="s">
        <v>500</v>
      </c>
      <c r="C377" s="462" t="s">
        <v>831</v>
      </c>
      <c r="D377" s="437">
        <v>218229</v>
      </c>
      <c r="E377" s="437">
        <v>6</v>
      </c>
      <c r="F377" s="592" t="s">
        <v>74</v>
      </c>
      <c r="G377" s="519"/>
      <c r="H377" s="603"/>
      <c r="I377" s="519"/>
      <c r="J377" s="603">
        <v>38379.5</v>
      </c>
      <c r="K377" s="519">
        <v>41599.5</v>
      </c>
      <c r="L377" s="603">
        <v>3709.5</v>
      </c>
      <c r="M377" s="519">
        <v>3449.5</v>
      </c>
      <c r="N377" s="603">
        <v>45775.5</v>
      </c>
      <c r="O377" s="519">
        <v>49907</v>
      </c>
      <c r="P377" s="595">
        <f t="shared" si="108"/>
        <v>87864.5</v>
      </c>
      <c r="Q377" s="595">
        <f t="shared" si="109"/>
        <v>2928.8166666666666</v>
      </c>
      <c r="R377" s="596">
        <f t="shared" si="110"/>
        <v>94956</v>
      </c>
      <c r="S377" s="596">
        <f t="shared" si="111"/>
        <v>3165.2</v>
      </c>
      <c r="T377" s="603">
        <v>351</v>
      </c>
      <c r="U377" s="519">
        <v>663</v>
      </c>
      <c r="V377" s="595">
        <f t="shared" si="112"/>
        <v>87864.5</v>
      </c>
      <c r="W377" s="596">
        <f t="shared" si="113"/>
        <v>94956</v>
      </c>
      <c r="X377" s="603"/>
      <c r="Y377" s="519"/>
      <c r="Z377" s="603"/>
      <c r="AA377" s="519"/>
      <c r="AB377" s="603"/>
      <c r="AC377" s="519"/>
      <c r="AD377" s="603"/>
      <c r="AE377" s="519"/>
      <c r="AF377" s="595">
        <f t="shared" si="114"/>
        <v>0</v>
      </c>
      <c r="AG377" s="595">
        <f t="shared" si="115"/>
        <v>0</v>
      </c>
      <c r="AH377" s="596">
        <f t="shared" si="116"/>
        <v>0</v>
      </c>
      <c r="AI377" s="596">
        <f t="shared" si="117"/>
        <v>0</v>
      </c>
      <c r="AJ377" s="603"/>
      <c r="AK377" s="519"/>
      <c r="AL377" s="595">
        <f t="shared" si="118"/>
        <v>0</v>
      </c>
      <c r="AM377" s="596">
        <f t="shared" si="119"/>
        <v>0</v>
      </c>
      <c r="AN377" s="603"/>
      <c r="AO377" s="519"/>
      <c r="AP377" s="603">
        <v>491</v>
      </c>
      <c r="AQ377" s="519">
        <v>608</v>
      </c>
      <c r="AR377" s="603">
        <v>529</v>
      </c>
      <c r="AS377" s="519">
        <v>665</v>
      </c>
      <c r="AT377" s="603">
        <v>533</v>
      </c>
      <c r="AU377" s="519">
        <v>886</v>
      </c>
      <c r="AV377" s="595">
        <f t="shared" si="120"/>
        <v>1553</v>
      </c>
      <c r="AW377" s="595">
        <f t="shared" si="121"/>
        <v>64.708333333333329</v>
      </c>
      <c r="AX377" s="596">
        <f t="shared" si="122"/>
        <v>2159</v>
      </c>
      <c r="AY377" s="596">
        <f t="shared" si="123"/>
        <v>89.958333333333329</v>
      </c>
      <c r="AZ377" s="595">
        <f t="shared" si="124"/>
        <v>2993.5250000000001</v>
      </c>
      <c r="BA377" s="596">
        <f t="shared" si="125"/>
        <v>3255.1583333333333</v>
      </c>
    </row>
    <row r="378" spans="1:53" s="365" customFormat="1" ht="15" customHeight="1">
      <c r="A378" s="434" t="s">
        <v>491</v>
      </c>
      <c r="B378" s="435" t="s">
        <v>501</v>
      </c>
      <c r="C378" s="566" t="s">
        <v>917</v>
      </c>
      <c r="D378" s="437">
        <v>218645</v>
      </c>
      <c r="E378" s="437">
        <v>6</v>
      </c>
      <c r="F378" s="592" t="s">
        <v>74</v>
      </c>
      <c r="G378" s="519"/>
      <c r="H378" s="603"/>
      <c r="I378" s="519"/>
      <c r="J378" s="603">
        <v>38990</v>
      </c>
      <c r="K378" s="519">
        <v>37525</v>
      </c>
      <c r="L378" s="603">
        <v>5239</v>
      </c>
      <c r="M378" s="519">
        <v>5890</v>
      </c>
      <c r="N378" s="603">
        <v>41962</v>
      </c>
      <c r="O378" s="519">
        <v>42006</v>
      </c>
      <c r="P378" s="595">
        <f t="shared" si="108"/>
        <v>86191</v>
      </c>
      <c r="Q378" s="595">
        <f t="shared" si="109"/>
        <v>2873.0333333333333</v>
      </c>
      <c r="R378" s="596">
        <f t="shared" si="110"/>
        <v>85421</v>
      </c>
      <c r="S378" s="596">
        <f t="shared" si="111"/>
        <v>2847.3666666666668</v>
      </c>
      <c r="T378" s="603">
        <v>1623</v>
      </c>
      <c r="U378" s="519">
        <v>2063</v>
      </c>
      <c r="V378" s="595">
        <f t="shared" si="112"/>
        <v>86191</v>
      </c>
      <c r="W378" s="596">
        <f t="shared" si="113"/>
        <v>85421</v>
      </c>
      <c r="X378" s="603"/>
      <c r="Y378" s="519"/>
      <c r="Z378" s="603"/>
      <c r="AA378" s="519"/>
      <c r="AB378" s="603"/>
      <c r="AC378" s="519"/>
      <c r="AD378" s="603"/>
      <c r="AE378" s="519"/>
      <c r="AF378" s="595">
        <f t="shared" si="114"/>
        <v>0</v>
      </c>
      <c r="AG378" s="595">
        <f t="shared" si="115"/>
        <v>0</v>
      </c>
      <c r="AH378" s="596">
        <f t="shared" si="116"/>
        <v>0</v>
      </c>
      <c r="AI378" s="596">
        <f t="shared" si="117"/>
        <v>0</v>
      </c>
      <c r="AJ378" s="603"/>
      <c r="AK378" s="519"/>
      <c r="AL378" s="595">
        <f t="shared" si="118"/>
        <v>0</v>
      </c>
      <c r="AM378" s="596">
        <f t="shared" si="119"/>
        <v>0</v>
      </c>
      <c r="AN378" s="603"/>
      <c r="AO378" s="519"/>
      <c r="AP378" s="603">
        <v>2156</v>
      </c>
      <c r="AQ378" s="519">
        <v>2517</v>
      </c>
      <c r="AR378" s="603">
        <v>1959</v>
      </c>
      <c r="AS378" s="519">
        <v>1833</v>
      </c>
      <c r="AT378" s="603">
        <v>2197</v>
      </c>
      <c r="AU378" s="519">
        <v>3712</v>
      </c>
      <c r="AV378" s="595">
        <f t="shared" si="120"/>
        <v>6312</v>
      </c>
      <c r="AW378" s="595">
        <f t="shared" si="121"/>
        <v>263</v>
      </c>
      <c r="AX378" s="596">
        <f t="shared" si="122"/>
        <v>8062</v>
      </c>
      <c r="AY378" s="596">
        <f t="shared" si="123"/>
        <v>335.91666666666669</v>
      </c>
      <c r="AZ378" s="595">
        <f t="shared" si="124"/>
        <v>3136.0333333333333</v>
      </c>
      <c r="BA378" s="596">
        <f t="shared" si="125"/>
        <v>3183.2833333333333</v>
      </c>
    </row>
    <row r="379" spans="1:53" s="365" customFormat="1" ht="15" customHeight="1">
      <c r="A379" s="434" t="s">
        <v>491</v>
      </c>
      <c r="B379" s="435" t="s">
        <v>502</v>
      </c>
      <c r="C379" s="462"/>
      <c r="D379" s="437">
        <v>218654</v>
      </c>
      <c r="E379" s="437">
        <v>6</v>
      </c>
      <c r="F379" s="592" t="s">
        <v>74</v>
      </c>
      <c r="G379" s="519"/>
      <c r="H379" s="603"/>
      <c r="I379" s="519"/>
      <c r="J379" s="603">
        <v>27004</v>
      </c>
      <c r="K379" s="519">
        <v>26682</v>
      </c>
      <c r="L379" s="603">
        <v>3526</v>
      </c>
      <c r="M379" s="519">
        <v>4024</v>
      </c>
      <c r="N379" s="603">
        <v>28932</v>
      </c>
      <c r="O379" s="519">
        <v>27074</v>
      </c>
      <c r="P379" s="595">
        <f t="shared" si="108"/>
        <v>59462</v>
      </c>
      <c r="Q379" s="595">
        <f t="shared" si="109"/>
        <v>1982.0666666666666</v>
      </c>
      <c r="R379" s="596">
        <f t="shared" si="110"/>
        <v>57780</v>
      </c>
      <c r="S379" s="596">
        <f t="shared" si="111"/>
        <v>1926</v>
      </c>
      <c r="T379" s="603">
        <v>940</v>
      </c>
      <c r="U379" s="519">
        <v>1274</v>
      </c>
      <c r="V379" s="595">
        <f t="shared" si="112"/>
        <v>59462</v>
      </c>
      <c r="W379" s="596">
        <f t="shared" si="113"/>
        <v>57780</v>
      </c>
      <c r="X379" s="603"/>
      <c r="Y379" s="519"/>
      <c r="Z379" s="603"/>
      <c r="AA379" s="519"/>
      <c r="AB379" s="603"/>
      <c r="AC379" s="519"/>
      <c r="AD379" s="603"/>
      <c r="AE379" s="519"/>
      <c r="AF379" s="595">
        <f t="shared" si="114"/>
        <v>0</v>
      </c>
      <c r="AG379" s="595">
        <f t="shared" si="115"/>
        <v>0</v>
      </c>
      <c r="AH379" s="596">
        <f t="shared" si="116"/>
        <v>0</v>
      </c>
      <c r="AI379" s="596">
        <f t="shared" si="117"/>
        <v>0</v>
      </c>
      <c r="AJ379" s="603"/>
      <c r="AK379" s="519"/>
      <c r="AL379" s="595">
        <f t="shared" si="118"/>
        <v>0</v>
      </c>
      <c r="AM379" s="596">
        <f t="shared" si="119"/>
        <v>0</v>
      </c>
      <c r="AN379" s="603"/>
      <c r="AO379" s="519"/>
      <c r="AP379" s="603"/>
      <c r="AQ379" s="519">
        <v>48</v>
      </c>
      <c r="AR379" s="603"/>
      <c r="AS379" s="519"/>
      <c r="AT379" s="603">
        <v>39</v>
      </c>
      <c r="AU379" s="519">
        <v>48</v>
      </c>
      <c r="AV379" s="595">
        <f t="shared" si="120"/>
        <v>39</v>
      </c>
      <c r="AW379" s="595">
        <f t="shared" si="121"/>
        <v>1.625</v>
      </c>
      <c r="AX379" s="596">
        <f t="shared" si="122"/>
        <v>96</v>
      </c>
      <c r="AY379" s="596">
        <f t="shared" si="123"/>
        <v>4</v>
      </c>
      <c r="AZ379" s="595">
        <f t="shared" si="124"/>
        <v>1983.6916666666666</v>
      </c>
      <c r="BA379" s="596">
        <f t="shared" si="125"/>
        <v>1930</v>
      </c>
    </row>
    <row r="380" spans="1:53" s="365" customFormat="1" ht="15" customHeight="1">
      <c r="A380" s="434" t="s">
        <v>491</v>
      </c>
      <c r="B380" s="435" t="s">
        <v>503</v>
      </c>
      <c r="C380" s="462"/>
      <c r="D380" s="437">
        <v>218742</v>
      </c>
      <c r="E380" s="437">
        <v>6</v>
      </c>
      <c r="F380" s="592" t="s">
        <v>74</v>
      </c>
      <c r="G380" s="519"/>
      <c r="H380" s="603"/>
      <c r="I380" s="519"/>
      <c r="J380" s="603">
        <v>69951</v>
      </c>
      <c r="K380" s="519">
        <v>67923</v>
      </c>
      <c r="L380" s="603">
        <v>10702</v>
      </c>
      <c r="M380" s="519">
        <v>10120</v>
      </c>
      <c r="N380" s="603">
        <v>75607</v>
      </c>
      <c r="O380" s="519">
        <v>71420</v>
      </c>
      <c r="P380" s="595">
        <f t="shared" si="108"/>
        <v>156260</v>
      </c>
      <c r="Q380" s="595">
        <f t="shared" si="109"/>
        <v>5208.666666666667</v>
      </c>
      <c r="R380" s="596">
        <f t="shared" si="110"/>
        <v>149463</v>
      </c>
      <c r="S380" s="596">
        <f t="shared" si="111"/>
        <v>4982.1000000000004</v>
      </c>
      <c r="T380" s="603">
        <v>5197</v>
      </c>
      <c r="U380" s="519">
        <v>4463</v>
      </c>
      <c r="V380" s="595">
        <f t="shared" si="112"/>
        <v>156260</v>
      </c>
      <c r="W380" s="596">
        <f t="shared" si="113"/>
        <v>149463</v>
      </c>
      <c r="X380" s="603"/>
      <c r="Y380" s="519"/>
      <c r="Z380" s="603"/>
      <c r="AA380" s="519"/>
      <c r="AB380" s="603"/>
      <c r="AC380" s="519"/>
      <c r="AD380" s="603"/>
      <c r="AE380" s="519"/>
      <c r="AF380" s="595">
        <f t="shared" si="114"/>
        <v>0</v>
      </c>
      <c r="AG380" s="595">
        <f t="shared" si="115"/>
        <v>0</v>
      </c>
      <c r="AH380" s="596">
        <f t="shared" si="116"/>
        <v>0</v>
      </c>
      <c r="AI380" s="596">
        <f t="shared" si="117"/>
        <v>0</v>
      </c>
      <c r="AJ380" s="603"/>
      <c r="AK380" s="519"/>
      <c r="AL380" s="595">
        <f t="shared" si="118"/>
        <v>0</v>
      </c>
      <c r="AM380" s="596">
        <f t="shared" si="119"/>
        <v>0</v>
      </c>
      <c r="AN380" s="603"/>
      <c r="AO380" s="519"/>
      <c r="AP380" s="603">
        <v>1461</v>
      </c>
      <c r="AQ380" s="519">
        <v>2335</v>
      </c>
      <c r="AR380" s="603">
        <v>1464</v>
      </c>
      <c r="AS380" s="519">
        <v>2010</v>
      </c>
      <c r="AT380" s="603">
        <v>2324</v>
      </c>
      <c r="AU380" s="519">
        <v>2706</v>
      </c>
      <c r="AV380" s="595">
        <f t="shared" si="120"/>
        <v>5249</v>
      </c>
      <c r="AW380" s="595">
        <f t="shared" si="121"/>
        <v>218.70833333333334</v>
      </c>
      <c r="AX380" s="596">
        <f t="shared" si="122"/>
        <v>7051</v>
      </c>
      <c r="AY380" s="596">
        <f t="shared" si="123"/>
        <v>293.79166666666669</v>
      </c>
      <c r="AZ380" s="595">
        <f t="shared" si="124"/>
        <v>5427.375</v>
      </c>
      <c r="BA380" s="596">
        <f t="shared" si="125"/>
        <v>5275.8916666666673</v>
      </c>
    </row>
    <row r="381" spans="1:53" s="365" customFormat="1" ht="15" customHeight="1">
      <c r="A381" s="434" t="s">
        <v>491</v>
      </c>
      <c r="B381" s="435" t="s">
        <v>505</v>
      </c>
      <c r="C381" s="462"/>
      <c r="D381" s="437">
        <v>218113</v>
      </c>
      <c r="E381" s="437">
        <v>8</v>
      </c>
      <c r="F381" s="592" t="s">
        <v>74</v>
      </c>
      <c r="G381" s="519"/>
      <c r="H381" s="603"/>
      <c r="I381" s="519"/>
      <c r="J381" s="603">
        <v>90583</v>
      </c>
      <c r="K381" s="519">
        <v>90725</v>
      </c>
      <c r="L381" s="603">
        <v>33118</v>
      </c>
      <c r="M381" s="519">
        <v>32803</v>
      </c>
      <c r="N381" s="603">
        <v>104339</v>
      </c>
      <c r="O381" s="519">
        <v>100387</v>
      </c>
      <c r="P381" s="595">
        <f t="shared" si="108"/>
        <v>228040</v>
      </c>
      <c r="Q381" s="595">
        <f t="shared" si="109"/>
        <v>7601.333333333333</v>
      </c>
      <c r="R381" s="596">
        <f t="shared" si="110"/>
        <v>223915</v>
      </c>
      <c r="S381" s="596">
        <f t="shared" si="111"/>
        <v>7463.833333333333</v>
      </c>
      <c r="T381" s="603">
        <v>15952</v>
      </c>
      <c r="U381" s="519">
        <v>18654</v>
      </c>
      <c r="V381" s="595">
        <f t="shared" si="112"/>
        <v>228040</v>
      </c>
      <c r="W381" s="596">
        <f t="shared" si="113"/>
        <v>223915</v>
      </c>
      <c r="X381" s="603"/>
      <c r="Y381" s="519"/>
      <c r="Z381" s="603"/>
      <c r="AA381" s="519"/>
      <c r="AB381" s="603"/>
      <c r="AC381" s="519"/>
      <c r="AD381" s="603"/>
      <c r="AE381" s="519"/>
      <c r="AF381" s="595">
        <f t="shared" si="114"/>
        <v>0</v>
      </c>
      <c r="AG381" s="595">
        <f t="shared" si="115"/>
        <v>0</v>
      </c>
      <c r="AH381" s="596">
        <f t="shared" si="116"/>
        <v>0</v>
      </c>
      <c r="AI381" s="596">
        <f t="shared" si="117"/>
        <v>0</v>
      </c>
      <c r="AJ381" s="603"/>
      <c r="AK381" s="519"/>
      <c r="AL381" s="595">
        <f t="shared" si="118"/>
        <v>0</v>
      </c>
      <c r="AM381" s="596">
        <f t="shared" si="119"/>
        <v>0</v>
      </c>
      <c r="AN381" s="603"/>
      <c r="AO381" s="519"/>
      <c r="AP381" s="603"/>
      <c r="AQ381" s="519"/>
      <c r="AR381" s="603"/>
      <c r="AS381" s="519"/>
      <c r="AT381" s="603"/>
      <c r="AU381" s="519"/>
      <c r="AV381" s="595">
        <f t="shared" si="120"/>
        <v>0</v>
      </c>
      <c r="AW381" s="595">
        <f t="shared" si="121"/>
        <v>0</v>
      </c>
      <c r="AX381" s="596">
        <f t="shared" si="122"/>
        <v>0</v>
      </c>
      <c r="AY381" s="596">
        <f t="shared" si="123"/>
        <v>0</v>
      </c>
      <c r="AZ381" s="595">
        <f t="shared" si="124"/>
        <v>7601.333333333333</v>
      </c>
      <c r="BA381" s="596">
        <f t="shared" si="125"/>
        <v>7463.833333333333</v>
      </c>
    </row>
    <row r="382" spans="1:53" s="365" customFormat="1" ht="15" customHeight="1">
      <c r="A382" s="434" t="s">
        <v>491</v>
      </c>
      <c r="B382" s="435" t="s">
        <v>506</v>
      </c>
      <c r="C382" s="566" t="s">
        <v>920</v>
      </c>
      <c r="D382" s="437">
        <v>218140</v>
      </c>
      <c r="E382" s="437">
        <v>8</v>
      </c>
      <c r="F382" s="592" t="s">
        <v>74</v>
      </c>
      <c r="G382" s="519"/>
      <c r="H382" s="603"/>
      <c r="I382" s="519"/>
      <c r="J382" s="603">
        <v>63855</v>
      </c>
      <c r="K382" s="519">
        <v>62140</v>
      </c>
      <c r="L382" s="603">
        <v>22104</v>
      </c>
      <c r="M382" s="519">
        <v>21329</v>
      </c>
      <c r="N382" s="603">
        <v>68248</v>
      </c>
      <c r="O382" s="519">
        <v>65184</v>
      </c>
      <c r="P382" s="595">
        <f t="shared" si="108"/>
        <v>154207</v>
      </c>
      <c r="Q382" s="595">
        <f t="shared" si="109"/>
        <v>5140.2333333333336</v>
      </c>
      <c r="R382" s="596">
        <f t="shared" si="110"/>
        <v>148653</v>
      </c>
      <c r="S382" s="596">
        <f t="shared" si="111"/>
        <v>4955.1000000000004</v>
      </c>
      <c r="T382" s="603">
        <v>4776</v>
      </c>
      <c r="U382" s="519">
        <v>10087</v>
      </c>
      <c r="V382" s="595">
        <f t="shared" si="112"/>
        <v>154207</v>
      </c>
      <c r="W382" s="596">
        <f t="shared" si="113"/>
        <v>148653</v>
      </c>
      <c r="X382" s="603"/>
      <c r="Y382" s="519"/>
      <c r="Z382" s="603"/>
      <c r="AA382" s="519"/>
      <c r="AB382" s="603"/>
      <c r="AC382" s="519"/>
      <c r="AD382" s="603"/>
      <c r="AE382" s="519"/>
      <c r="AF382" s="595">
        <f t="shared" si="114"/>
        <v>0</v>
      </c>
      <c r="AG382" s="595">
        <f t="shared" si="115"/>
        <v>0</v>
      </c>
      <c r="AH382" s="596">
        <f t="shared" si="116"/>
        <v>0</v>
      </c>
      <c r="AI382" s="596">
        <f t="shared" si="117"/>
        <v>0</v>
      </c>
      <c r="AJ382" s="603"/>
      <c r="AK382" s="519"/>
      <c r="AL382" s="595">
        <f t="shared" si="118"/>
        <v>0</v>
      </c>
      <c r="AM382" s="596">
        <f t="shared" si="119"/>
        <v>0</v>
      </c>
      <c r="AN382" s="603"/>
      <c r="AO382" s="519"/>
      <c r="AP382" s="603"/>
      <c r="AQ382" s="519"/>
      <c r="AR382" s="603"/>
      <c r="AS382" s="519"/>
      <c r="AT382" s="603"/>
      <c r="AU382" s="519"/>
      <c r="AV382" s="595">
        <f t="shared" si="120"/>
        <v>0</v>
      </c>
      <c r="AW382" s="595">
        <f t="shared" si="121"/>
        <v>0</v>
      </c>
      <c r="AX382" s="596">
        <f t="shared" si="122"/>
        <v>0</v>
      </c>
      <c r="AY382" s="596">
        <f t="shared" si="123"/>
        <v>0</v>
      </c>
      <c r="AZ382" s="595">
        <f t="shared" si="124"/>
        <v>5140.2333333333336</v>
      </c>
      <c r="BA382" s="596">
        <f t="shared" si="125"/>
        <v>4955.1000000000004</v>
      </c>
    </row>
    <row r="383" spans="1:53" s="365" customFormat="1" ht="15" customHeight="1">
      <c r="A383" s="434" t="s">
        <v>491</v>
      </c>
      <c r="B383" s="435" t="s">
        <v>507</v>
      </c>
      <c r="C383" s="462"/>
      <c r="D383" s="437">
        <v>218353</v>
      </c>
      <c r="E383" s="437">
        <v>8</v>
      </c>
      <c r="F383" s="592" t="s">
        <v>74</v>
      </c>
      <c r="G383" s="519"/>
      <c r="H383" s="603"/>
      <c r="I383" s="519"/>
      <c r="J383" s="603">
        <v>83297</v>
      </c>
      <c r="K383" s="519">
        <v>82915</v>
      </c>
      <c r="L383" s="603">
        <v>28839</v>
      </c>
      <c r="M383" s="519">
        <v>28199</v>
      </c>
      <c r="N383" s="603">
        <v>91135</v>
      </c>
      <c r="O383" s="519">
        <v>86052</v>
      </c>
      <c r="P383" s="595">
        <f t="shared" si="108"/>
        <v>203271</v>
      </c>
      <c r="Q383" s="595">
        <f t="shared" si="109"/>
        <v>6775.7</v>
      </c>
      <c r="R383" s="596">
        <f t="shared" si="110"/>
        <v>197166</v>
      </c>
      <c r="S383" s="596">
        <f t="shared" si="111"/>
        <v>6572.2</v>
      </c>
      <c r="T383" s="603">
        <v>7359</v>
      </c>
      <c r="U383" s="519">
        <v>8502</v>
      </c>
      <c r="V383" s="595">
        <f t="shared" si="112"/>
        <v>203271</v>
      </c>
      <c r="W383" s="596">
        <f t="shared" si="113"/>
        <v>197166</v>
      </c>
      <c r="X383" s="603"/>
      <c r="Y383" s="519"/>
      <c r="Z383" s="603"/>
      <c r="AA383" s="519"/>
      <c r="AB383" s="603"/>
      <c r="AC383" s="519"/>
      <c r="AD383" s="603"/>
      <c r="AE383" s="519"/>
      <c r="AF383" s="595">
        <f t="shared" si="114"/>
        <v>0</v>
      </c>
      <c r="AG383" s="595">
        <f t="shared" si="115"/>
        <v>0</v>
      </c>
      <c r="AH383" s="596">
        <f t="shared" si="116"/>
        <v>0</v>
      </c>
      <c r="AI383" s="596">
        <f t="shared" si="117"/>
        <v>0</v>
      </c>
      <c r="AJ383" s="603"/>
      <c r="AK383" s="519"/>
      <c r="AL383" s="595">
        <f t="shared" si="118"/>
        <v>0</v>
      </c>
      <c r="AM383" s="596">
        <f t="shared" si="119"/>
        <v>0</v>
      </c>
      <c r="AN383" s="603"/>
      <c r="AO383" s="519"/>
      <c r="AP383" s="603"/>
      <c r="AQ383" s="519"/>
      <c r="AR383" s="603"/>
      <c r="AS383" s="519"/>
      <c r="AT383" s="603"/>
      <c r="AU383" s="519"/>
      <c r="AV383" s="595">
        <f t="shared" si="120"/>
        <v>0</v>
      </c>
      <c r="AW383" s="595">
        <f t="shared" si="121"/>
        <v>0</v>
      </c>
      <c r="AX383" s="596">
        <f t="shared" si="122"/>
        <v>0</v>
      </c>
      <c r="AY383" s="596">
        <f t="shared" si="123"/>
        <v>0</v>
      </c>
      <c r="AZ383" s="595">
        <f t="shared" si="124"/>
        <v>6775.7</v>
      </c>
      <c r="BA383" s="596">
        <f t="shared" si="125"/>
        <v>6572.2</v>
      </c>
    </row>
    <row r="384" spans="1:53" s="365" customFormat="1" ht="15" customHeight="1">
      <c r="A384" s="434" t="s">
        <v>491</v>
      </c>
      <c r="B384" s="435" t="s">
        <v>510</v>
      </c>
      <c r="C384" s="462"/>
      <c r="D384" s="437">
        <v>218894</v>
      </c>
      <c r="E384" s="437">
        <v>8</v>
      </c>
      <c r="F384" s="592" t="s">
        <v>74</v>
      </c>
      <c r="G384" s="519"/>
      <c r="H384" s="603"/>
      <c r="I384" s="519"/>
      <c r="J384" s="603">
        <v>98790</v>
      </c>
      <c r="K384" s="519">
        <v>98156</v>
      </c>
      <c r="L384" s="603">
        <v>41544</v>
      </c>
      <c r="M384" s="519">
        <v>43408</v>
      </c>
      <c r="N384" s="603">
        <v>111506</v>
      </c>
      <c r="O384" s="519">
        <v>105011</v>
      </c>
      <c r="P384" s="595">
        <f t="shared" si="108"/>
        <v>251840</v>
      </c>
      <c r="Q384" s="595">
        <f t="shared" si="109"/>
        <v>8394.6666666666661</v>
      </c>
      <c r="R384" s="596">
        <f t="shared" si="110"/>
        <v>246575</v>
      </c>
      <c r="S384" s="596">
        <f t="shared" si="111"/>
        <v>8219.1666666666661</v>
      </c>
      <c r="T384" s="603">
        <v>31190</v>
      </c>
      <c r="U384" s="519">
        <v>34175</v>
      </c>
      <c r="V384" s="595">
        <f t="shared" si="112"/>
        <v>251840</v>
      </c>
      <c r="W384" s="596">
        <f t="shared" si="113"/>
        <v>246575</v>
      </c>
      <c r="X384" s="603"/>
      <c r="Y384" s="519"/>
      <c r="Z384" s="603"/>
      <c r="AA384" s="519"/>
      <c r="AB384" s="603"/>
      <c r="AC384" s="519"/>
      <c r="AD384" s="603"/>
      <c r="AE384" s="519"/>
      <c r="AF384" s="595">
        <f t="shared" si="114"/>
        <v>0</v>
      </c>
      <c r="AG384" s="595">
        <f t="shared" si="115"/>
        <v>0</v>
      </c>
      <c r="AH384" s="596">
        <f t="shared" si="116"/>
        <v>0</v>
      </c>
      <c r="AI384" s="596">
        <f t="shared" si="117"/>
        <v>0</v>
      </c>
      <c r="AJ384" s="603"/>
      <c r="AK384" s="519"/>
      <c r="AL384" s="595">
        <f t="shared" si="118"/>
        <v>0</v>
      </c>
      <c r="AM384" s="596">
        <f t="shared" si="119"/>
        <v>0</v>
      </c>
      <c r="AN384" s="603"/>
      <c r="AO384" s="519"/>
      <c r="AP384" s="603"/>
      <c r="AQ384" s="519"/>
      <c r="AR384" s="603"/>
      <c r="AS384" s="519"/>
      <c r="AT384" s="603"/>
      <c r="AU384" s="519"/>
      <c r="AV384" s="595">
        <f t="shared" si="120"/>
        <v>0</v>
      </c>
      <c r="AW384" s="595">
        <f t="shared" si="121"/>
        <v>0</v>
      </c>
      <c r="AX384" s="596">
        <f t="shared" si="122"/>
        <v>0</v>
      </c>
      <c r="AY384" s="596">
        <f t="shared" si="123"/>
        <v>0</v>
      </c>
      <c r="AZ384" s="595">
        <f t="shared" si="124"/>
        <v>8394.6666666666661</v>
      </c>
      <c r="BA384" s="596">
        <f t="shared" si="125"/>
        <v>8219.1666666666661</v>
      </c>
    </row>
    <row r="385" spans="1:53" s="365" customFormat="1" ht="15" customHeight="1">
      <c r="A385" s="434" t="s">
        <v>491</v>
      </c>
      <c r="B385" s="435" t="s">
        <v>512</v>
      </c>
      <c r="C385" s="462"/>
      <c r="D385" s="437">
        <v>218858</v>
      </c>
      <c r="E385" s="437">
        <v>9</v>
      </c>
      <c r="F385" s="592" t="s">
        <v>74</v>
      </c>
      <c r="G385" s="519"/>
      <c r="H385" s="603"/>
      <c r="I385" s="519"/>
      <c r="J385" s="603">
        <v>29606</v>
      </c>
      <c r="K385" s="519">
        <v>28097</v>
      </c>
      <c r="L385" s="603">
        <v>13310</v>
      </c>
      <c r="M385" s="519">
        <v>11741</v>
      </c>
      <c r="N385" s="603">
        <v>30261</v>
      </c>
      <c r="O385" s="519">
        <v>25823</v>
      </c>
      <c r="P385" s="595">
        <f t="shared" si="108"/>
        <v>73177</v>
      </c>
      <c r="Q385" s="595">
        <f t="shared" si="109"/>
        <v>2439.2333333333331</v>
      </c>
      <c r="R385" s="596">
        <f t="shared" si="110"/>
        <v>65661</v>
      </c>
      <c r="S385" s="596">
        <f t="shared" si="111"/>
        <v>2188.6999999999998</v>
      </c>
      <c r="T385" s="603">
        <v>9762</v>
      </c>
      <c r="U385" s="519">
        <v>10470</v>
      </c>
      <c r="V385" s="595">
        <f t="shared" si="112"/>
        <v>73177</v>
      </c>
      <c r="W385" s="596">
        <f t="shared" si="113"/>
        <v>65661</v>
      </c>
      <c r="X385" s="603"/>
      <c r="Y385" s="519"/>
      <c r="Z385" s="603"/>
      <c r="AA385" s="519"/>
      <c r="AB385" s="603"/>
      <c r="AC385" s="519"/>
      <c r="AD385" s="603"/>
      <c r="AE385" s="519"/>
      <c r="AF385" s="595">
        <f t="shared" si="114"/>
        <v>0</v>
      </c>
      <c r="AG385" s="595">
        <f t="shared" si="115"/>
        <v>0</v>
      </c>
      <c r="AH385" s="596">
        <f t="shared" si="116"/>
        <v>0</v>
      </c>
      <c r="AI385" s="596">
        <f t="shared" si="117"/>
        <v>0</v>
      </c>
      <c r="AJ385" s="603"/>
      <c r="AK385" s="519"/>
      <c r="AL385" s="595">
        <f t="shared" si="118"/>
        <v>0</v>
      </c>
      <c r="AM385" s="596">
        <f t="shared" si="119"/>
        <v>0</v>
      </c>
      <c r="AN385" s="603"/>
      <c r="AO385" s="519"/>
      <c r="AP385" s="603"/>
      <c r="AQ385" s="519"/>
      <c r="AR385" s="603"/>
      <c r="AS385" s="519"/>
      <c r="AT385" s="603"/>
      <c r="AU385" s="519"/>
      <c r="AV385" s="595">
        <f t="shared" si="120"/>
        <v>0</v>
      </c>
      <c r="AW385" s="595">
        <f t="shared" si="121"/>
        <v>0</v>
      </c>
      <c r="AX385" s="596">
        <f t="shared" si="122"/>
        <v>0</v>
      </c>
      <c r="AY385" s="596">
        <f t="shared" si="123"/>
        <v>0</v>
      </c>
      <c r="AZ385" s="595">
        <f t="shared" si="124"/>
        <v>2439.2333333333331</v>
      </c>
      <c r="BA385" s="596">
        <f t="shared" si="125"/>
        <v>2188.6999999999998</v>
      </c>
    </row>
    <row r="386" spans="1:53" s="365" customFormat="1" ht="15" customHeight="1">
      <c r="A386" s="434" t="s">
        <v>491</v>
      </c>
      <c r="B386" s="435" t="s">
        <v>504</v>
      </c>
      <c r="C386" s="461"/>
      <c r="D386" s="437">
        <v>218025</v>
      </c>
      <c r="E386" s="437">
        <v>9</v>
      </c>
      <c r="F386" s="592" t="s">
        <v>74</v>
      </c>
      <c r="G386" s="519"/>
      <c r="H386" s="603"/>
      <c r="I386" s="519"/>
      <c r="J386" s="603">
        <v>32862</v>
      </c>
      <c r="K386" s="519">
        <v>29923</v>
      </c>
      <c r="L386" s="603">
        <v>11566</v>
      </c>
      <c r="M386" s="519">
        <v>10333</v>
      </c>
      <c r="N386" s="603">
        <v>34102</v>
      </c>
      <c r="O386" s="519">
        <v>30826</v>
      </c>
      <c r="P386" s="595">
        <f t="shared" si="108"/>
        <v>78530</v>
      </c>
      <c r="Q386" s="595">
        <f t="shared" si="109"/>
        <v>2617.6666666666665</v>
      </c>
      <c r="R386" s="596">
        <f t="shared" si="110"/>
        <v>71082</v>
      </c>
      <c r="S386" s="596">
        <f t="shared" si="111"/>
        <v>2369.4</v>
      </c>
      <c r="T386" s="603">
        <v>5696</v>
      </c>
      <c r="U386" s="519">
        <v>6508</v>
      </c>
      <c r="V386" s="595">
        <f t="shared" si="112"/>
        <v>78530</v>
      </c>
      <c r="W386" s="596">
        <f t="shared" si="113"/>
        <v>71082</v>
      </c>
      <c r="X386" s="603"/>
      <c r="Y386" s="519"/>
      <c r="Z386" s="603"/>
      <c r="AA386" s="519"/>
      <c r="AB386" s="603"/>
      <c r="AC386" s="519"/>
      <c r="AD386" s="603"/>
      <c r="AE386" s="519"/>
      <c r="AF386" s="595">
        <f t="shared" si="114"/>
        <v>0</v>
      </c>
      <c r="AG386" s="595">
        <f t="shared" si="115"/>
        <v>0</v>
      </c>
      <c r="AH386" s="596">
        <f t="shared" si="116"/>
        <v>0</v>
      </c>
      <c r="AI386" s="596">
        <f t="shared" si="117"/>
        <v>0</v>
      </c>
      <c r="AJ386" s="603"/>
      <c r="AK386" s="519"/>
      <c r="AL386" s="595">
        <f t="shared" si="118"/>
        <v>0</v>
      </c>
      <c r="AM386" s="596">
        <f t="shared" si="119"/>
        <v>0</v>
      </c>
      <c r="AN386" s="603"/>
      <c r="AO386" s="519"/>
      <c r="AP386" s="603"/>
      <c r="AQ386" s="519"/>
      <c r="AR386" s="603"/>
      <c r="AS386" s="519"/>
      <c r="AT386" s="603"/>
      <c r="AU386" s="519"/>
      <c r="AV386" s="595">
        <f t="shared" si="120"/>
        <v>0</v>
      </c>
      <c r="AW386" s="595">
        <f t="shared" si="121"/>
        <v>0</v>
      </c>
      <c r="AX386" s="596">
        <f t="shared" si="122"/>
        <v>0</v>
      </c>
      <c r="AY386" s="596">
        <f t="shared" si="123"/>
        <v>0</v>
      </c>
      <c r="AZ386" s="595">
        <f t="shared" si="124"/>
        <v>2617.6666666666665</v>
      </c>
      <c r="BA386" s="596">
        <f t="shared" si="125"/>
        <v>2369.4</v>
      </c>
    </row>
    <row r="387" spans="1:53" s="365" customFormat="1" ht="15" customHeight="1">
      <c r="A387" s="434" t="s">
        <v>491</v>
      </c>
      <c r="B387" s="435" t="s">
        <v>508</v>
      </c>
      <c r="C387" s="461"/>
      <c r="D387" s="437">
        <v>218520</v>
      </c>
      <c r="E387" s="437">
        <v>9</v>
      </c>
      <c r="F387" s="592" t="s">
        <v>74</v>
      </c>
      <c r="G387" s="519"/>
      <c r="H387" s="603"/>
      <c r="I387" s="519"/>
      <c r="J387" s="603">
        <v>39982</v>
      </c>
      <c r="K387" s="519">
        <v>42756</v>
      </c>
      <c r="L387" s="603">
        <v>17581</v>
      </c>
      <c r="M387" s="519">
        <v>18949</v>
      </c>
      <c r="N387" s="603">
        <v>46262</v>
      </c>
      <c r="O387" s="519">
        <v>44444</v>
      </c>
      <c r="P387" s="595">
        <f t="shared" si="108"/>
        <v>103825</v>
      </c>
      <c r="Q387" s="595">
        <f t="shared" si="109"/>
        <v>3460.8333333333335</v>
      </c>
      <c r="R387" s="596">
        <f t="shared" si="110"/>
        <v>106149</v>
      </c>
      <c r="S387" s="596">
        <f t="shared" si="111"/>
        <v>3538.3</v>
      </c>
      <c r="T387" s="603">
        <v>9599</v>
      </c>
      <c r="U387" s="519">
        <v>13670</v>
      </c>
      <c r="V387" s="595">
        <f t="shared" si="112"/>
        <v>103825</v>
      </c>
      <c r="W387" s="596">
        <f t="shared" si="113"/>
        <v>106149</v>
      </c>
      <c r="X387" s="603"/>
      <c r="Y387" s="519"/>
      <c r="Z387" s="603"/>
      <c r="AA387" s="519"/>
      <c r="AB387" s="603"/>
      <c r="AC387" s="519"/>
      <c r="AD387" s="603"/>
      <c r="AE387" s="519"/>
      <c r="AF387" s="595">
        <f t="shared" si="114"/>
        <v>0</v>
      </c>
      <c r="AG387" s="595">
        <f t="shared" si="115"/>
        <v>0</v>
      </c>
      <c r="AH387" s="596">
        <f t="shared" si="116"/>
        <v>0</v>
      </c>
      <c r="AI387" s="596">
        <f t="shared" si="117"/>
        <v>0</v>
      </c>
      <c r="AJ387" s="603"/>
      <c r="AK387" s="519"/>
      <c r="AL387" s="595">
        <f t="shared" si="118"/>
        <v>0</v>
      </c>
      <c r="AM387" s="596">
        <f t="shared" si="119"/>
        <v>0</v>
      </c>
      <c r="AN387" s="603"/>
      <c r="AO387" s="519"/>
      <c r="AP387" s="603"/>
      <c r="AQ387" s="519"/>
      <c r="AR387" s="603"/>
      <c r="AS387" s="519"/>
      <c r="AT387" s="603"/>
      <c r="AU387" s="519"/>
      <c r="AV387" s="595">
        <f t="shared" si="120"/>
        <v>0</v>
      </c>
      <c r="AW387" s="595">
        <f t="shared" si="121"/>
        <v>0</v>
      </c>
      <c r="AX387" s="596">
        <f t="shared" si="122"/>
        <v>0</v>
      </c>
      <c r="AY387" s="596">
        <f t="shared" si="123"/>
        <v>0</v>
      </c>
      <c r="AZ387" s="595">
        <f t="shared" si="124"/>
        <v>3460.8333333333335</v>
      </c>
      <c r="BA387" s="596">
        <f t="shared" si="125"/>
        <v>3538.3</v>
      </c>
    </row>
    <row r="388" spans="1:53" s="365" customFormat="1" ht="15" customHeight="1">
      <c r="A388" s="434" t="s">
        <v>491</v>
      </c>
      <c r="B388" s="435" t="s">
        <v>514</v>
      </c>
      <c r="C388" s="462"/>
      <c r="D388" s="437">
        <v>218830</v>
      </c>
      <c r="E388" s="437">
        <v>9</v>
      </c>
      <c r="F388" s="592" t="s">
        <v>74</v>
      </c>
      <c r="G388" s="519"/>
      <c r="H388" s="603"/>
      <c r="I388" s="519"/>
      <c r="J388" s="603">
        <v>39143</v>
      </c>
      <c r="K388" s="519">
        <v>40908</v>
      </c>
      <c r="L388" s="603">
        <v>13116</v>
      </c>
      <c r="M388" s="519">
        <v>12364</v>
      </c>
      <c r="N388" s="603">
        <v>44864</v>
      </c>
      <c r="O388" s="519">
        <v>39650</v>
      </c>
      <c r="P388" s="595">
        <f t="shared" si="108"/>
        <v>97123</v>
      </c>
      <c r="Q388" s="595">
        <f t="shared" si="109"/>
        <v>3237.4333333333334</v>
      </c>
      <c r="R388" s="596">
        <f t="shared" si="110"/>
        <v>92922</v>
      </c>
      <c r="S388" s="596">
        <f t="shared" si="111"/>
        <v>3097.4</v>
      </c>
      <c r="T388" s="603">
        <v>10291</v>
      </c>
      <c r="U388" s="519">
        <v>10694</v>
      </c>
      <c r="V388" s="595">
        <f t="shared" si="112"/>
        <v>97123</v>
      </c>
      <c r="W388" s="596">
        <f t="shared" si="113"/>
        <v>92922</v>
      </c>
      <c r="X388" s="603"/>
      <c r="Y388" s="519"/>
      <c r="Z388" s="603"/>
      <c r="AA388" s="519"/>
      <c r="AB388" s="603"/>
      <c r="AC388" s="519"/>
      <c r="AD388" s="603"/>
      <c r="AE388" s="519"/>
      <c r="AF388" s="595">
        <f t="shared" si="114"/>
        <v>0</v>
      </c>
      <c r="AG388" s="595">
        <f t="shared" si="115"/>
        <v>0</v>
      </c>
      <c r="AH388" s="596">
        <f t="shared" si="116"/>
        <v>0</v>
      </c>
      <c r="AI388" s="596">
        <f t="shared" si="117"/>
        <v>0</v>
      </c>
      <c r="AJ388" s="603"/>
      <c r="AK388" s="519"/>
      <c r="AL388" s="595">
        <f t="shared" si="118"/>
        <v>0</v>
      </c>
      <c r="AM388" s="596">
        <f t="shared" si="119"/>
        <v>0</v>
      </c>
      <c r="AN388" s="603"/>
      <c r="AO388" s="519"/>
      <c r="AP388" s="603"/>
      <c r="AQ388" s="519"/>
      <c r="AR388" s="603"/>
      <c r="AS388" s="519"/>
      <c r="AT388" s="603"/>
      <c r="AU388" s="519"/>
      <c r="AV388" s="595">
        <f t="shared" si="120"/>
        <v>0</v>
      </c>
      <c r="AW388" s="595">
        <f t="shared" si="121"/>
        <v>0</v>
      </c>
      <c r="AX388" s="596">
        <f t="shared" si="122"/>
        <v>0</v>
      </c>
      <c r="AY388" s="596">
        <f t="shared" si="123"/>
        <v>0</v>
      </c>
      <c r="AZ388" s="595">
        <f t="shared" si="124"/>
        <v>3237.4333333333334</v>
      </c>
      <c r="BA388" s="596">
        <f t="shared" si="125"/>
        <v>3097.4</v>
      </c>
    </row>
    <row r="389" spans="1:53" s="365" customFormat="1" ht="15" customHeight="1">
      <c r="A389" s="434" t="s">
        <v>491</v>
      </c>
      <c r="B389" s="435" t="s">
        <v>509</v>
      </c>
      <c r="C389" s="461"/>
      <c r="D389" s="437">
        <v>218885</v>
      </c>
      <c r="E389" s="437">
        <v>9</v>
      </c>
      <c r="F389" s="592" t="s">
        <v>74</v>
      </c>
      <c r="G389" s="519"/>
      <c r="H389" s="603"/>
      <c r="I389" s="519"/>
      <c r="J389" s="603">
        <v>58698</v>
      </c>
      <c r="K389" s="519">
        <v>59374</v>
      </c>
      <c r="L389" s="603">
        <v>18963</v>
      </c>
      <c r="M389" s="519">
        <v>19731</v>
      </c>
      <c r="N389" s="603">
        <v>68215</v>
      </c>
      <c r="O389" s="519">
        <v>62102</v>
      </c>
      <c r="P389" s="595">
        <f t="shared" si="108"/>
        <v>145876</v>
      </c>
      <c r="Q389" s="595">
        <f t="shared" si="109"/>
        <v>4862.5333333333338</v>
      </c>
      <c r="R389" s="596">
        <f t="shared" si="110"/>
        <v>141207</v>
      </c>
      <c r="S389" s="596">
        <f t="shared" si="111"/>
        <v>4706.8999999999996</v>
      </c>
      <c r="T389" s="603">
        <v>8439</v>
      </c>
      <c r="U389" s="519">
        <v>7782</v>
      </c>
      <c r="V389" s="595">
        <f t="shared" si="112"/>
        <v>145876</v>
      </c>
      <c r="W389" s="596">
        <f t="shared" si="113"/>
        <v>141207</v>
      </c>
      <c r="X389" s="603"/>
      <c r="Y389" s="519"/>
      <c r="Z389" s="603"/>
      <c r="AA389" s="519"/>
      <c r="AB389" s="603"/>
      <c r="AC389" s="519"/>
      <c r="AD389" s="603"/>
      <c r="AE389" s="519"/>
      <c r="AF389" s="595">
        <f t="shared" si="114"/>
        <v>0</v>
      </c>
      <c r="AG389" s="595">
        <f t="shared" si="115"/>
        <v>0</v>
      </c>
      <c r="AH389" s="596">
        <f t="shared" si="116"/>
        <v>0</v>
      </c>
      <c r="AI389" s="596">
        <f t="shared" si="117"/>
        <v>0</v>
      </c>
      <c r="AJ389" s="603"/>
      <c r="AK389" s="519"/>
      <c r="AL389" s="595">
        <f t="shared" si="118"/>
        <v>0</v>
      </c>
      <c r="AM389" s="596">
        <f t="shared" si="119"/>
        <v>0</v>
      </c>
      <c r="AN389" s="603"/>
      <c r="AO389" s="519"/>
      <c r="AP389" s="603"/>
      <c r="AQ389" s="519"/>
      <c r="AR389" s="603"/>
      <c r="AS389" s="519"/>
      <c r="AT389" s="603"/>
      <c r="AU389" s="519"/>
      <c r="AV389" s="595">
        <f t="shared" si="120"/>
        <v>0</v>
      </c>
      <c r="AW389" s="595">
        <f t="shared" si="121"/>
        <v>0</v>
      </c>
      <c r="AX389" s="596">
        <f t="shared" si="122"/>
        <v>0</v>
      </c>
      <c r="AY389" s="596">
        <f t="shared" si="123"/>
        <v>0</v>
      </c>
      <c r="AZ389" s="595">
        <f t="shared" si="124"/>
        <v>4862.5333333333338</v>
      </c>
      <c r="BA389" s="596">
        <f t="shared" si="125"/>
        <v>4706.8999999999996</v>
      </c>
    </row>
    <row r="390" spans="1:53" s="365" customFormat="1" ht="15" customHeight="1">
      <c r="A390" s="434" t="s">
        <v>491</v>
      </c>
      <c r="B390" s="435" t="s">
        <v>515</v>
      </c>
      <c r="C390" s="462"/>
      <c r="D390" s="437">
        <v>218991</v>
      </c>
      <c r="E390" s="437">
        <v>9</v>
      </c>
      <c r="F390" s="592" t="s">
        <v>74</v>
      </c>
      <c r="G390" s="519"/>
      <c r="H390" s="603"/>
      <c r="I390" s="519"/>
      <c r="J390" s="603">
        <v>39180</v>
      </c>
      <c r="K390" s="519">
        <v>40559</v>
      </c>
      <c r="L390" s="603">
        <v>12714</v>
      </c>
      <c r="M390" s="519">
        <v>12895</v>
      </c>
      <c r="N390" s="603">
        <v>47329</v>
      </c>
      <c r="O390" s="519">
        <v>43493</v>
      </c>
      <c r="P390" s="595">
        <f t="shared" si="108"/>
        <v>99223</v>
      </c>
      <c r="Q390" s="595">
        <f t="shared" si="109"/>
        <v>3307.4333333333334</v>
      </c>
      <c r="R390" s="596">
        <f t="shared" si="110"/>
        <v>96947</v>
      </c>
      <c r="S390" s="596">
        <f t="shared" si="111"/>
        <v>3231.5666666666666</v>
      </c>
      <c r="T390" s="603">
        <v>6463</v>
      </c>
      <c r="U390" s="519">
        <v>7688</v>
      </c>
      <c r="V390" s="595">
        <f t="shared" si="112"/>
        <v>99223</v>
      </c>
      <c r="W390" s="596">
        <f t="shared" si="113"/>
        <v>96947</v>
      </c>
      <c r="X390" s="603"/>
      <c r="Y390" s="519"/>
      <c r="Z390" s="603"/>
      <c r="AA390" s="519"/>
      <c r="AB390" s="603"/>
      <c r="AC390" s="519"/>
      <c r="AD390" s="603"/>
      <c r="AE390" s="519"/>
      <c r="AF390" s="595">
        <f t="shared" si="114"/>
        <v>0</v>
      </c>
      <c r="AG390" s="595">
        <f t="shared" si="115"/>
        <v>0</v>
      </c>
      <c r="AH390" s="596">
        <f t="shared" si="116"/>
        <v>0</v>
      </c>
      <c r="AI390" s="596">
        <f t="shared" si="117"/>
        <v>0</v>
      </c>
      <c r="AJ390" s="603"/>
      <c r="AK390" s="519"/>
      <c r="AL390" s="595">
        <f t="shared" si="118"/>
        <v>0</v>
      </c>
      <c r="AM390" s="596">
        <f t="shared" si="119"/>
        <v>0</v>
      </c>
      <c r="AN390" s="603"/>
      <c r="AO390" s="519"/>
      <c r="AP390" s="603"/>
      <c r="AQ390" s="519"/>
      <c r="AR390" s="603"/>
      <c r="AS390" s="519"/>
      <c r="AT390" s="603"/>
      <c r="AU390" s="519"/>
      <c r="AV390" s="595">
        <f t="shared" si="120"/>
        <v>0</v>
      </c>
      <c r="AW390" s="595">
        <f t="shared" si="121"/>
        <v>0</v>
      </c>
      <c r="AX390" s="596">
        <f t="shared" si="122"/>
        <v>0</v>
      </c>
      <c r="AY390" s="596">
        <f t="shared" si="123"/>
        <v>0</v>
      </c>
      <c r="AZ390" s="595">
        <f t="shared" si="124"/>
        <v>3307.4333333333334</v>
      </c>
      <c r="BA390" s="596">
        <f t="shared" si="125"/>
        <v>3231.5666666666666</v>
      </c>
    </row>
    <row r="391" spans="1:53" s="365" customFormat="1" ht="15" customHeight="1">
      <c r="A391" s="434" t="s">
        <v>491</v>
      </c>
      <c r="B391" s="435" t="s">
        <v>511</v>
      </c>
      <c r="C391" s="461"/>
      <c r="D391" s="437">
        <v>217615</v>
      </c>
      <c r="E391" s="437">
        <v>10</v>
      </c>
      <c r="F391" s="592" t="s">
        <v>74</v>
      </c>
      <c r="G391" s="519"/>
      <c r="H391" s="603"/>
      <c r="I391" s="519"/>
      <c r="J391" s="603">
        <v>18768</v>
      </c>
      <c r="K391" s="519">
        <v>17459</v>
      </c>
      <c r="L391" s="603">
        <v>7531</v>
      </c>
      <c r="M391" s="519">
        <v>7354</v>
      </c>
      <c r="N391" s="603">
        <v>20335</v>
      </c>
      <c r="O391" s="519">
        <v>17502</v>
      </c>
      <c r="P391" s="595">
        <f t="shared" si="108"/>
        <v>46634</v>
      </c>
      <c r="Q391" s="595">
        <f t="shared" si="109"/>
        <v>1554.4666666666667</v>
      </c>
      <c r="R391" s="596">
        <f t="shared" si="110"/>
        <v>42315</v>
      </c>
      <c r="S391" s="596">
        <f t="shared" si="111"/>
        <v>1410.5</v>
      </c>
      <c r="T391" s="603">
        <v>2154</v>
      </c>
      <c r="U391" s="519">
        <v>2401</v>
      </c>
      <c r="V391" s="595">
        <f t="shared" si="112"/>
        <v>46634</v>
      </c>
      <c r="W391" s="596">
        <f t="shared" si="113"/>
        <v>42315</v>
      </c>
      <c r="X391" s="603"/>
      <c r="Y391" s="519"/>
      <c r="Z391" s="603"/>
      <c r="AA391" s="519"/>
      <c r="AB391" s="603"/>
      <c r="AC391" s="519"/>
      <c r="AD391" s="603"/>
      <c r="AE391" s="519"/>
      <c r="AF391" s="595">
        <f t="shared" si="114"/>
        <v>0</v>
      </c>
      <c r="AG391" s="595">
        <f t="shared" si="115"/>
        <v>0</v>
      </c>
      <c r="AH391" s="596">
        <f t="shared" si="116"/>
        <v>0</v>
      </c>
      <c r="AI391" s="596">
        <f t="shared" si="117"/>
        <v>0</v>
      </c>
      <c r="AJ391" s="603"/>
      <c r="AK391" s="519"/>
      <c r="AL391" s="595">
        <f t="shared" si="118"/>
        <v>0</v>
      </c>
      <c r="AM391" s="596">
        <f t="shared" si="119"/>
        <v>0</v>
      </c>
      <c r="AN391" s="603"/>
      <c r="AO391" s="519"/>
      <c r="AP391" s="603"/>
      <c r="AQ391" s="519"/>
      <c r="AR391" s="603"/>
      <c r="AS391" s="519"/>
      <c r="AT391" s="603"/>
      <c r="AU391" s="519"/>
      <c r="AV391" s="595">
        <f t="shared" si="120"/>
        <v>0</v>
      </c>
      <c r="AW391" s="595">
        <f t="shared" si="121"/>
        <v>0</v>
      </c>
      <c r="AX391" s="596">
        <f t="shared" si="122"/>
        <v>0</v>
      </c>
      <c r="AY391" s="596">
        <f t="shared" si="123"/>
        <v>0</v>
      </c>
      <c r="AZ391" s="595">
        <f t="shared" si="124"/>
        <v>1554.4666666666667</v>
      </c>
      <c r="BA391" s="596">
        <f t="shared" si="125"/>
        <v>1410.5</v>
      </c>
    </row>
    <row r="392" spans="1:53" s="365" customFormat="1" ht="15" customHeight="1">
      <c r="A392" s="434" t="s">
        <v>491</v>
      </c>
      <c r="B392" s="435" t="s">
        <v>516</v>
      </c>
      <c r="C392" s="436"/>
      <c r="D392" s="437">
        <v>217989</v>
      </c>
      <c r="E392" s="437">
        <v>10</v>
      </c>
      <c r="F392" s="592" t="s">
        <v>74</v>
      </c>
      <c r="G392" s="519"/>
      <c r="H392" s="603"/>
      <c r="I392" s="519"/>
      <c r="J392" s="603">
        <v>4721</v>
      </c>
      <c r="K392" s="519">
        <v>5292</v>
      </c>
      <c r="L392" s="603">
        <v>2196</v>
      </c>
      <c r="M392" s="519">
        <v>2498</v>
      </c>
      <c r="N392" s="603">
        <v>4984</v>
      </c>
      <c r="O392" s="519">
        <v>4864</v>
      </c>
      <c r="P392" s="595">
        <f t="shared" ref="P392:P455" si="126">SUM(H392,J392,L392,N392)</f>
        <v>11901</v>
      </c>
      <c r="Q392" s="595">
        <f t="shared" ref="Q392:Q455" si="127">+P392/30</f>
        <v>396.7</v>
      </c>
      <c r="R392" s="596">
        <f t="shared" ref="R392:R455" si="128">SUM(I392,K392,M392,O392)</f>
        <v>12654</v>
      </c>
      <c r="S392" s="596">
        <f t="shared" ref="S392:S455" si="129">+R392/30</f>
        <v>421.8</v>
      </c>
      <c r="T392" s="603">
        <v>2030</v>
      </c>
      <c r="U392" s="519">
        <v>3232</v>
      </c>
      <c r="V392" s="595">
        <f t="shared" ref="V392:V455" si="130">IF(ISBLANK(T392),0,P392)</f>
        <v>11901</v>
      </c>
      <c r="W392" s="596">
        <f t="shared" ref="W392:W455" si="131">IF(ISBLANK(U392),0,R392)</f>
        <v>12654</v>
      </c>
      <c r="X392" s="603"/>
      <c r="Y392" s="519"/>
      <c r="Z392" s="603"/>
      <c r="AA392" s="519"/>
      <c r="AB392" s="603"/>
      <c r="AC392" s="519"/>
      <c r="AD392" s="603"/>
      <c r="AE392" s="519"/>
      <c r="AF392" s="595">
        <f t="shared" ref="AF392:AF455" si="132">SUM(X392,Z392,AB392,AD392)</f>
        <v>0</v>
      </c>
      <c r="AG392" s="595">
        <f t="shared" ref="AG392:AG455" si="133">+AF392/900</f>
        <v>0</v>
      </c>
      <c r="AH392" s="596">
        <f t="shared" ref="AH392:AH455" si="134">SUM(Y392,AA392,AC392,AE392)</f>
        <v>0</v>
      </c>
      <c r="AI392" s="596">
        <f t="shared" ref="AI392:AI455" si="135">+AH392/900</f>
        <v>0</v>
      </c>
      <c r="AJ392" s="603"/>
      <c r="AK392" s="519"/>
      <c r="AL392" s="595">
        <f t="shared" ref="AL392:AL455" si="136">IF(ISBLANK(AJ392),0,AF392)</f>
        <v>0</v>
      </c>
      <c r="AM392" s="596">
        <f t="shared" ref="AM392:AM455" si="137">IF(ISBLANK(AK392),0,AH392)</f>
        <v>0</v>
      </c>
      <c r="AN392" s="603"/>
      <c r="AO392" s="519"/>
      <c r="AP392" s="603"/>
      <c r="AQ392" s="519"/>
      <c r="AR392" s="603"/>
      <c r="AS392" s="519"/>
      <c r="AT392" s="603"/>
      <c r="AU392" s="519"/>
      <c r="AV392" s="595">
        <f t="shared" ref="AV392:AV455" si="138">SUM(AN392,AP392,AR392,AT392)</f>
        <v>0</v>
      </c>
      <c r="AW392" s="595">
        <f t="shared" ref="AW392:AW455" si="139">+AV392/24</f>
        <v>0</v>
      </c>
      <c r="AX392" s="596">
        <f t="shared" ref="AX392:AX455" si="140">SUM(AO392,AQ392,AS392,AU392)</f>
        <v>0</v>
      </c>
      <c r="AY392" s="596">
        <f t="shared" ref="AY392:AY455" si="141">+AX392/24</f>
        <v>0</v>
      </c>
      <c r="AZ392" s="595">
        <f t="shared" ref="AZ392:AZ455" si="142">SUM(Q392,AG392,AW392)</f>
        <v>396.7</v>
      </c>
      <c r="BA392" s="596">
        <f t="shared" ref="BA392:BA455" si="143">SUM(S392,AI392,AY392)</f>
        <v>421.8</v>
      </c>
    </row>
    <row r="393" spans="1:53" s="365" customFormat="1" ht="12.75" customHeight="1">
      <c r="A393" s="434" t="s">
        <v>491</v>
      </c>
      <c r="B393" s="435" t="s">
        <v>517</v>
      </c>
      <c r="C393" s="436"/>
      <c r="D393" s="437">
        <v>217837</v>
      </c>
      <c r="E393" s="437">
        <v>10</v>
      </c>
      <c r="F393" s="592" t="s">
        <v>74</v>
      </c>
      <c r="G393" s="519"/>
      <c r="H393" s="603"/>
      <c r="I393" s="519"/>
      <c r="J393" s="603">
        <v>10672</v>
      </c>
      <c r="K393" s="519">
        <v>11735</v>
      </c>
      <c r="L393" s="603">
        <v>4766</v>
      </c>
      <c r="M393" s="519">
        <v>5252</v>
      </c>
      <c r="N393" s="603">
        <v>11853</v>
      </c>
      <c r="O393" s="519">
        <v>11705</v>
      </c>
      <c r="P393" s="595">
        <f t="shared" si="126"/>
        <v>27291</v>
      </c>
      <c r="Q393" s="595">
        <f t="shared" si="127"/>
        <v>909.7</v>
      </c>
      <c r="R393" s="596">
        <f t="shared" si="128"/>
        <v>28692</v>
      </c>
      <c r="S393" s="596">
        <f t="shared" si="129"/>
        <v>956.4</v>
      </c>
      <c r="T393" s="603">
        <v>6133</v>
      </c>
      <c r="U393" s="519">
        <v>6757</v>
      </c>
      <c r="V393" s="595">
        <f t="shared" si="130"/>
        <v>27291</v>
      </c>
      <c r="W393" s="596">
        <f t="shared" si="131"/>
        <v>28692</v>
      </c>
      <c r="X393" s="603"/>
      <c r="Y393" s="519"/>
      <c r="Z393" s="603"/>
      <c r="AA393" s="519"/>
      <c r="AB393" s="603"/>
      <c r="AC393" s="519"/>
      <c r="AD393" s="603"/>
      <c r="AE393" s="519"/>
      <c r="AF393" s="595">
        <f t="shared" si="132"/>
        <v>0</v>
      </c>
      <c r="AG393" s="595">
        <f t="shared" si="133"/>
        <v>0</v>
      </c>
      <c r="AH393" s="596">
        <f t="shared" si="134"/>
        <v>0</v>
      </c>
      <c r="AI393" s="596">
        <f t="shared" si="135"/>
        <v>0</v>
      </c>
      <c r="AJ393" s="603"/>
      <c r="AK393" s="519"/>
      <c r="AL393" s="595">
        <f t="shared" si="136"/>
        <v>0</v>
      </c>
      <c r="AM393" s="596">
        <f t="shared" si="137"/>
        <v>0</v>
      </c>
      <c r="AN393" s="603"/>
      <c r="AO393" s="519"/>
      <c r="AP393" s="603"/>
      <c r="AQ393" s="519"/>
      <c r="AR393" s="603"/>
      <c r="AS393" s="519"/>
      <c r="AT393" s="603"/>
      <c r="AU393" s="519"/>
      <c r="AV393" s="595">
        <f t="shared" si="138"/>
        <v>0</v>
      </c>
      <c r="AW393" s="595">
        <f t="shared" si="139"/>
        <v>0</v>
      </c>
      <c r="AX393" s="596">
        <f t="shared" si="140"/>
        <v>0</v>
      </c>
      <c r="AY393" s="596">
        <f t="shared" si="141"/>
        <v>0</v>
      </c>
      <c r="AZ393" s="595">
        <f t="shared" si="142"/>
        <v>909.7</v>
      </c>
      <c r="BA393" s="596">
        <f t="shared" si="143"/>
        <v>956.4</v>
      </c>
    </row>
    <row r="394" spans="1:53" s="365" customFormat="1" ht="12.75" customHeight="1">
      <c r="A394" s="434" t="s">
        <v>491</v>
      </c>
      <c r="B394" s="435" t="s">
        <v>513</v>
      </c>
      <c r="C394" s="461"/>
      <c r="D394" s="437">
        <v>218487</v>
      </c>
      <c r="E394" s="437">
        <v>10</v>
      </c>
      <c r="F394" s="592" t="s">
        <v>74</v>
      </c>
      <c r="G394" s="519"/>
      <c r="H394" s="603"/>
      <c r="I394" s="519"/>
      <c r="J394" s="603">
        <v>20426</v>
      </c>
      <c r="K394" s="519">
        <v>20317</v>
      </c>
      <c r="L394" s="603">
        <v>8961</v>
      </c>
      <c r="M394" s="519">
        <v>8554</v>
      </c>
      <c r="N394" s="603">
        <v>21181</v>
      </c>
      <c r="O394" s="519">
        <v>19487</v>
      </c>
      <c r="P394" s="595">
        <f t="shared" si="126"/>
        <v>50568</v>
      </c>
      <c r="Q394" s="595">
        <f t="shared" si="127"/>
        <v>1685.6</v>
      </c>
      <c r="R394" s="596">
        <f t="shared" si="128"/>
        <v>48358</v>
      </c>
      <c r="S394" s="596">
        <f t="shared" si="129"/>
        <v>1611.9333333333334</v>
      </c>
      <c r="T394" s="603">
        <v>7664</v>
      </c>
      <c r="U394" s="519">
        <v>8319</v>
      </c>
      <c r="V394" s="595">
        <f t="shared" si="130"/>
        <v>50568</v>
      </c>
      <c r="W394" s="596">
        <f t="shared" si="131"/>
        <v>48358</v>
      </c>
      <c r="X394" s="603"/>
      <c r="Y394" s="519"/>
      <c r="Z394" s="603"/>
      <c r="AA394" s="519"/>
      <c r="AB394" s="603"/>
      <c r="AC394" s="519"/>
      <c r="AD394" s="603"/>
      <c r="AE394" s="519"/>
      <c r="AF394" s="595">
        <f t="shared" si="132"/>
        <v>0</v>
      </c>
      <c r="AG394" s="595">
        <f t="shared" si="133"/>
        <v>0</v>
      </c>
      <c r="AH394" s="596">
        <f t="shared" si="134"/>
        <v>0</v>
      </c>
      <c r="AI394" s="596">
        <f t="shared" si="135"/>
        <v>0</v>
      </c>
      <c r="AJ394" s="603"/>
      <c r="AK394" s="519"/>
      <c r="AL394" s="595">
        <f t="shared" si="136"/>
        <v>0</v>
      </c>
      <c r="AM394" s="596">
        <f t="shared" si="137"/>
        <v>0</v>
      </c>
      <c r="AN394" s="603"/>
      <c r="AO394" s="519"/>
      <c r="AP394" s="603"/>
      <c r="AQ394" s="519"/>
      <c r="AR394" s="603"/>
      <c r="AS394" s="519"/>
      <c r="AT394" s="603"/>
      <c r="AU394" s="519"/>
      <c r="AV394" s="595">
        <f t="shared" si="138"/>
        <v>0</v>
      </c>
      <c r="AW394" s="595">
        <f t="shared" si="139"/>
        <v>0</v>
      </c>
      <c r="AX394" s="596">
        <f t="shared" si="140"/>
        <v>0</v>
      </c>
      <c r="AY394" s="596">
        <f t="shared" si="141"/>
        <v>0</v>
      </c>
      <c r="AZ394" s="595">
        <f t="shared" si="142"/>
        <v>1685.6</v>
      </c>
      <c r="BA394" s="596">
        <f t="shared" si="143"/>
        <v>1611.9333333333334</v>
      </c>
    </row>
    <row r="395" spans="1:53" s="365" customFormat="1" ht="12.75" customHeight="1">
      <c r="A395" s="434" t="s">
        <v>491</v>
      </c>
      <c r="B395" s="435" t="s">
        <v>518</v>
      </c>
      <c r="C395" s="436"/>
      <c r="D395" s="437">
        <v>217712</v>
      </c>
      <c r="E395" s="437">
        <v>10</v>
      </c>
      <c r="F395" s="592" t="s">
        <v>74</v>
      </c>
      <c r="G395" s="519"/>
      <c r="H395" s="603"/>
      <c r="I395" s="519"/>
      <c r="J395" s="603">
        <v>18050</v>
      </c>
      <c r="K395" s="519">
        <v>17906</v>
      </c>
      <c r="L395" s="603">
        <v>6968</v>
      </c>
      <c r="M395" s="519">
        <v>7258</v>
      </c>
      <c r="N395" s="603">
        <v>19187</v>
      </c>
      <c r="O395" s="519">
        <v>17633</v>
      </c>
      <c r="P395" s="595">
        <f t="shared" si="126"/>
        <v>44205</v>
      </c>
      <c r="Q395" s="595">
        <f t="shared" si="127"/>
        <v>1473.5</v>
      </c>
      <c r="R395" s="596">
        <f t="shared" si="128"/>
        <v>42797</v>
      </c>
      <c r="S395" s="596">
        <f t="shared" si="129"/>
        <v>1426.5666666666666</v>
      </c>
      <c r="T395" s="603">
        <v>6051</v>
      </c>
      <c r="U395" s="519">
        <v>5341</v>
      </c>
      <c r="V395" s="595">
        <f t="shared" si="130"/>
        <v>44205</v>
      </c>
      <c r="W395" s="596">
        <f t="shared" si="131"/>
        <v>42797</v>
      </c>
      <c r="X395" s="603"/>
      <c r="Y395" s="519"/>
      <c r="Z395" s="603"/>
      <c r="AA395" s="519"/>
      <c r="AB395" s="603"/>
      <c r="AC395" s="519"/>
      <c r="AD395" s="603"/>
      <c r="AE395" s="519"/>
      <c r="AF395" s="595">
        <f t="shared" si="132"/>
        <v>0</v>
      </c>
      <c r="AG395" s="595">
        <f t="shared" si="133"/>
        <v>0</v>
      </c>
      <c r="AH395" s="596">
        <f t="shared" si="134"/>
        <v>0</v>
      </c>
      <c r="AI395" s="596">
        <f t="shared" si="135"/>
        <v>0</v>
      </c>
      <c r="AJ395" s="603"/>
      <c r="AK395" s="519"/>
      <c r="AL395" s="595">
        <f t="shared" si="136"/>
        <v>0</v>
      </c>
      <c r="AM395" s="596">
        <f t="shared" si="137"/>
        <v>0</v>
      </c>
      <c r="AN395" s="603"/>
      <c r="AO395" s="519"/>
      <c r="AP395" s="603"/>
      <c r="AQ395" s="519"/>
      <c r="AR395" s="603"/>
      <c r="AS395" s="519"/>
      <c r="AT395" s="603"/>
      <c r="AU395" s="519"/>
      <c r="AV395" s="595">
        <f t="shared" si="138"/>
        <v>0</v>
      </c>
      <c r="AW395" s="595">
        <f t="shared" si="139"/>
        <v>0</v>
      </c>
      <c r="AX395" s="596">
        <f t="shared" si="140"/>
        <v>0</v>
      </c>
      <c r="AY395" s="596">
        <f t="shared" si="141"/>
        <v>0</v>
      </c>
      <c r="AZ395" s="595">
        <f t="shared" si="142"/>
        <v>1473.5</v>
      </c>
      <c r="BA395" s="596">
        <f t="shared" si="143"/>
        <v>1426.5666666666666</v>
      </c>
    </row>
    <row r="396" spans="1:53" s="365" customFormat="1" ht="12.75" customHeight="1">
      <c r="A396" s="434" t="s">
        <v>491</v>
      </c>
      <c r="B396" s="435" t="s">
        <v>519</v>
      </c>
      <c r="C396" s="436"/>
      <c r="D396" s="437">
        <v>218672</v>
      </c>
      <c r="E396" s="437">
        <v>10</v>
      </c>
      <c r="F396" s="592" t="s">
        <v>74</v>
      </c>
      <c r="G396" s="519"/>
      <c r="H396" s="603"/>
      <c r="I396" s="519"/>
      <c r="J396" s="603">
        <v>13781</v>
      </c>
      <c r="K396" s="519">
        <v>14692</v>
      </c>
      <c r="L396" s="603">
        <v>2983</v>
      </c>
      <c r="M396" s="519">
        <v>3448</v>
      </c>
      <c r="N396" s="603">
        <v>16679</v>
      </c>
      <c r="O396" s="519">
        <v>17416</v>
      </c>
      <c r="P396" s="595">
        <f t="shared" si="126"/>
        <v>33443</v>
      </c>
      <c r="Q396" s="595">
        <f t="shared" si="127"/>
        <v>1114.7666666666667</v>
      </c>
      <c r="R396" s="596">
        <f t="shared" si="128"/>
        <v>35556</v>
      </c>
      <c r="S396" s="596">
        <f t="shared" si="129"/>
        <v>1185.2</v>
      </c>
      <c r="T396" s="603">
        <v>10579</v>
      </c>
      <c r="U396" s="519">
        <v>13210</v>
      </c>
      <c r="V396" s="595">
        <f t="shared" si="130"/>
        <v>33443</v>
      </c>
      <c r="W396" s="596">
        <f t="shared" si="131"/>
        <v>35556</v>
      </c>
      <c r="X396" s="603"/>
      <c r="Y396" s="519"/>
      <c r="Z396" s="603"/>
      <c r="AA396" s="519"/>
      <c r="AB396" s="603"/>
      <c r="AC396" s="519"/>
      <c r="AD396" s="603"/>
      <c r="AE396" s="519"/>
      <c r="AF396" s="595">
        <f t="shared" si="132"/>
        <v>0</v>
      </c>
      <c r="AG396" s="595">
        <f t="shared" si="133"/>
        <v>0</v>
      </c>
      <c r="AH396" s="596">
        <f t="shared" si="134"/>
        <v>0</v>
      </c>
      <c r="AI396" s="596">
        <f t="shared" si="135"/>
        <v>0</v>
      </c>
      <c r="AJ396" s="603"/>
      <c r="AK396" s="519"/>
      <c r="AL396" s="595">
        <f t="shared" si="136"/>
        <v>0</v>
      </c>
      <c r="AM396" s="596">
        <f t="shared" si="137"/>
        <v>0</v>
      </c>
      <c r="AN396" s="603"/>
      <c r="AO396" s="519"/>
      <c r="AP396" s="603"/>
      <c r="AQ396" s="519"/>
      <c r="AR396" s="603"/>
      <c r="AS396" s="519"/>
      <c r="AT396" s="603"/>
      <c r="AU396" s="519"/>
      <c r="AV396" s="595">
        <f t="shared" si="138"/>
        <v>0</v>
      </c>
      <c r="AW396" s="595">
        <f t="shared" si="139"/>
        <v>0</v>
      </c>
      <c r="AX396" s="596">
        <f t="shared" si="140"/>
        <v>0</v>
      </c>
      <c r="AY396" s="596">
        <f t="shared" si="141"/>
        <v>0</v>
      </c>
      <c r="AZ396" s="595">
        <f t="shared" si="142"/>
        <v>1114.7666666666667</v>
      </c>
      <c r="BA396" s="596">
        <f t="shared" si="143"/>
        <v>1185.2</v>
      </c>
    </row>
    <row r="397" spans="1:53" s="365" customFormat="1" ht="12.75" customHeight="1">
      <c r="A397" s="434" t="s">
        <v>491</v>
      </c>
      <c r="B397" s="435" t="s">
        <v>520</v>
      </c>
      <c r="C397" s="436"/>
      <c r="D397" s="437">
        <v>218681</v>
      </c>
      <c r="E397" s="437">
        <v>10</v>
      </c>
      <c r="F397" s="592" t="s">
        <v>74</v>
      </c>
      <c r="G397" s="519"/>
      <c r="H397" s="603"/>
      <c r="I397" s="519"/>
      <c r="J397" s="603">
        <v>8939</v>
      </c>
      <c r="K397" s="519">
        <v>8338</v>
      </c>
      <c r="L397" s="603">
        <v>703</v>
      </c>
      <c r="M397" s="519">
        <v>1108</v>
      </c>
      <c r="N397" s="603">
        <v>9571</v>
      </c>
      <c r="O397" s="519">
        <v>9621</v>
      </c>
      <c r="P397" s="595">
        <f t="shared" si="126"/>
        <v>19213</v>
      </c>
      <c r="Q397" s="595">
        <f t="shared" si="127"/>
        <v>640.43333333333328</v>
      </c>
      <c r="R397" s="596">
        <f t="shared" si="128"/>
        <v>19067</v>
      </c>
      <c r="S397" s="596">
        <f t="shared" si="129"/>
        <v>635.56666666666672</v>
      </c>
      <c r="T397" s="603">
        <v>4959</v>
      </c>
      <c r="U397" s="519">
        <v>5828</v>
      </c>
      <c r="V397" s="595">
        <f t="shared" si="130"/>
        <v>19213</v>
      </c>
      <c r="W397" s="596">
        <f t="shared" si="131"/>
        <v>19067</v>
      </c>
      <c r="X397" s="603"/>
      <c r="Y397" s="519"/>
      <c r="Z397" s="603"/>
      <c r="AA397" s="519"/>
      <c r="AB397" s="603"/>
      <c r="AC397" s="519"/>
      <c r="AD397" s="603"/>
      <c r="AE397" s="519"/>
      <c r="AF397" s="595">
        <f t="shared" si="132"/>
        <v>0</v>
      </c>
      <c r="AG397" s="595">
        <f t="shared" si="133"/>
        <v>0</v>
      </c>
      <c r="AH397" s="596">
        <f t="shared" si="134"/>
        <v>0</v>
      </c>
      <c r="AI397" s="596">
        <f t="shared" si="135"/>
        <v>0</v>
      </c>
      <c r="AJ397" s="603"/>
      <c r="AK397" s="519"/>
      <c r="AL397" s="595">
        <f t="shared" si="136"/>
        <v>0</v>
      </c>
      <c r="AM397" s="596">
        <f t="shared" si="137"/>
        <v>0</v>
      </c>
      <c r="AN397" s="603"/>
      <c r="AO397" s="519"/>
      <c r="AP397" s="603"/>
      <c r="AQ397" s="519"/>
      <c r="AR397" s="603"/>
      <c r="AS397" s="519"/>
      <c r="AT397" s="603"/>
      <c r="AU397" s="519"/>
      <c r="AV397" s="595">
        <f t="shared" si="138"/>
        <v>0</v>
      </c>
      <c r="AW397" s="595">
        <f t="shared" si="139"/>
        <v>0</v>
      </c>
      <c r="AX397" s="596">
        <f t="shared" si="140"/>
        <v>0</v>
      </c>
      <c r="AY397" s="596">
        <f t="shared" si="141"/>
        <v>0</v>
      </c>
      <c r="AZ397" s="595">
        <f t="shared" si="142"/>
        <v>640.43333333333328</v>
      </c>
      <c r="BA397" s="596">
        <f t="shared" si="143"/>
        <v>635.56666666666672</v>
      </c>
    </row>
    <row r="398" spans="1:53" s="365" customFormat="1" ht="15" customHeight="1">
      <c r="A398" s="434" t="s">
        <v>491</v>
      </c>
      <c r="B398" s="435" t="s">
        <v>521</v>
      </c>
      <c r="C398" s="462"/>
      <c r="D398" s="437">
        <v>218690</v>
      </c>
      <c r="E398" s="437">
        <v>10</v>
      </c>
      <c r="F398" s="592" t="s">
        <v>74</v>
      </c>
      <c r="G398" s="519"/>
      <c r="H398" s="603"/>
      <c r="I398" s="519"/>
      <c r="J398" s="603">
        <v>9566</v>
      </c>
      <c r="K398" s="519">
        <v>10821</v>
      </c>
      <c r="L398" s="603">
        <v>2161</v>
      </c>
      <c r="M398" s="519">
        <v>1831</v>
      </c>
      <c r="N398" s="603">
        <v>12817</v>
      </c>
      <c r="O398" s="519">
        <v>12496</v>
      </c>
      <c r="P398" s="595">
        <f t="shared" si="126"/>
        <v>24544</v>
      </c>
      <c r="Q398" s="595">
        <f t="shared" si="127"/>
        <v>818.13333333333333</v>
      </c>
      <c r="R398" s="596">
        <f t="shared" si="128"/>
        <v>25148</v>
      </c>
      <c r="S398" s="596">
        <f t="shared" si="129"/>
        <v>838.26666666666665</v>
      </c>
      <c r="T398" s="603">
        <v>6970</v>
      </c>
      <c r="U398" s="519">
        <v>9035</v>
      </c>
      <c r="V398" s="595">
        <f t="shared" si="130"/>
        <v>24544</v>
      </c>
      <c r="W398" s="596">
        <f t="shared" si="131"/>
        <v>25148</v>
      </c>
      <c r="X398" s="603"/>
      <c r="Y398" s="519"/>
      <c r="Z398" s="603"/>
      <c r="AA398" s="519"/>
      <c r="AB398" s="603"/>
      <c r="AC398" s="519"/>
      <c r="AD398" s="603"/>
      <c r="AE398" s="519"/>
      <c r="AF398" s="595">
        <f t="shared" si="132"/>
        <v>0</v>
      </c>
      <c r="AG398" s="595">
        <f t="shared" si="133"/>
        <v>0</v>
      </c>
      <c r="AH398" s="596">
        <f t="shared" si="134"/>
        <v>0</v>
      </c>
      <c r="AI398" s="596">
        <f t="shared" si="135"/>
        <v>0</v>
      </c>
      <c r="AJ398" s="603"/>
      <c r="AK398" s="519"/>
      <c r="AL398" s="595">
        <f t="shared" si="136"/>
        <v>0</v>
      </c>
      <c r="AM398" s="596">
        <f t="shared" si="137"/>
        <v>0</v>
      </c>
      <c r="AN398" s="603"/>
      <c r="AO398" s="519"/>
      <c r="AP398" s="603"/>
      <c r="AQ398" s="519"/>
      <c r="AR398" s="603"/>
      <c r="AS398" s="519"/>
      <c r="AT398" s="603"/>
      <c r="AU398" s="519"/>
      <c r="AV398" s="595">
        <f t="shared" si="138"/>
        <v>0</v>
      </c>
      <c r="AW398" s="595">
        <f t="shared" si="139"/>
        <v>0</v>
      </c>
      <c r="AX398" s="596">
        <f t="shared" si="140"/>
        <v>0</v>
      </c>
      <c r="AY398" s="596">
        <f t="shared" si="141"/>
        <v>0</v>
      </c>
      <c r="AZ398" s="595">
        <f t="shared" si="142"/>
        <v>818.13333333333333</v>
      </c>
      <c r="BA398" s="596">
        <f t="shared" si="143"/>
        <v>838.26666666666665</v>
      </c>
    </row>
    <row r="399" spans="1:53" s="365" customFormat="1" ht="15" customHeight="1">
      <c r="A399" s="434" t="s">
        <v>491</v>
      </c>
      <c r="B399" s="435" t="s">
        <v>522</v>
      </c>
      <c r="C399" s="462"/>
      <c r="D399" s="437">
        <v>218706</v>
      </c>
      <c r="E399" s="437">
        <v>10</v>
      </c>
      <c r="F399" s="592" t="s">
        <v>74</v>
      </c>
      <c r="G399" s="519"/>
      <c r="H399" s="603"/>
      <c r="I399" s="519"/>
      <c r="J399" s="603">
        <v>9256</v>
      </c>
      <c r="K399" s="519">
        <v>10067</v>
      </c>
      <c r="L399" s="603">
        <v>453</v>
      </c>
      <c r="M399" s="519">
        <v>835</v>
      </c>
      <c r="N399" s="603">
        <v>10335</v>
      </c>
      <c r="O399" s="519">
        <v>9495</v>
      </c>
      <c r="P399" s="595">
        <f t="shared" si="126"/>
        <v>20044</v>
      </c>
      <c r="Q399" s="595">
        <f t="shared" si="127"/>
        <v>668.13333333333333</v>
      </c>
      <c r="R399" s="596">
        <f t="shared" si="128"/>
        <v>20397</v>
      </c>
      <c r="S399" s="596">
        <f t="shared" si="129"/>
        <v>679.9</v>
      </c>
      <c r="T399" s="603">
        <v>11133</v>
      </c>
      <c r="U399" s="519">
        <v>11620</v>
      </c>
      <c r="V399" s="595">
        <f t="shared" si="130"/>
        <v>20044</v>
      </c>
      <c r="W399" s="596">
        <f t="shared" si="131"/>
        <v>20397</v>
      </c>
      <c r="X399" s="603"/>
      <c r="Y399" s="519"/>
      <c r="Z399" s="603"/>
      <c r="AA399" s="519"/>
      <c r="AB399" s="603"/>
      <c r="AC399" s="519"/>
      <c r="AD399" s="603"/>
      <c r="AE399" s="519"/>
      <c r="AF399" s="595">
        <f t="shared" si="132"/>
        <v>0</v>
      </c>
      <c r="AG399" s="595">
        <f t="shared" si="133"/>
        <v>0</v>
      </c>
      <c r="AH399" s="596">
        <f t="shared" si="134"/>
        <v>0</v>
      </c>
      <c r="AI399" s="596">
        <f t="shared" si="135"/>
        <v>0</v>
      </c>
      <c r="AJ399" s="603"/>
      <c r="AK399" s="519"/>
      <c r="AL399" s="595">
        <f t="shared" si="136"/>
        <v>0</v>
      </c>
      <c r="AM399" s="596">
        <f t="shared" si="137"/>
        <v>0</v>
      </c>
      <c r="AN399" s="603"/>
      <c r="AO399" s="519"/>
      <c r="AP399" s="603"/>
      <c r="AQ399" s="519"/>
      <c r="AR399" s="603"/>
      <c r="AS399" s="519"/>
      <c r="AT399" s="603"/>
      <c r="AU399" s="519"/>
      <c r="AV399" s="595">
        <f t="shared" si="138"/>
        <v>0</v>
      </c>
      <c r="AW399" s="595">
        <f t="shared" si="139"/>
        <v>0</v>
      </c>
      <c r="AX399" s="596">
        <f t="shared" si="140"/>
        <v>0</v>
      </c>
      <c r="AY399" s="596">
        <f t="shared" si="141"/>
        <v>0</v>
      </c>
      <c r="AZ399" s="595">
        <f t="shared" si="142"/>
        <v>668.13333333333333</v>
      </c>
      <c r="BA399" s="596">
        <f t="shared" si="143"/>
        <v>679.9</v>
      </c>
    </row>
    <row r="400" spans="1:53" s="365" customFormat="1" ht="15" customHeight="1">
      <c r="A400" s="434" t="s">
        <v>491</v>
      </c>
      <c r="B400" s="440" t="s">
        <v>819</v>
      </c>
      <c r="C400" s="462"/>
      <c r="D400" s="437">
        <v>218955</v>
      </c>
      <c r="E400" s="437">
        <v>10</v>
      </c>
      <c r="F400" s="592" t="s">
        <v>74</v>
      </c>
      <c r="G400" s="519"/>
      <c r="H400" s="603"/>
      <c r="I400" s="519"/>
      <c r="J400" s="603">
        <v>5963</v>
      </c>
      <c r="K400" s="519">
        <v>5983</v>
      </c>
      <c r="L400" s="603">
        <v>3185</v>
      </c>
      <c r="M400" s="519">
        <v>2595</v>
      </c>
      <c r="N400" s="603">
        <v>6699</v>
      </c>
      <c r="O400" s="519">
        <v>5268</v>
      </c>
      <c r="P400" s="595">
        <f t="shared" si="126"/>
        <v>15847</v>
      </c>
      <c r="Q400" s="595">
        <f t="shared" si="127"/>
        <v>528.23333333333335</v>
      </c>
      <c r="R400" s="596">
        <f t="shared" si="128"/>
        <v>13846</v>
      </c>
      <c r="S400" s="596">
        <f t="shared" si="129"/>
        <v>461.53333333333336</v>
      </c>
      <c r="T400" s="603">
        <v>5408</v>
      </c>
      <c r="U400" s="519">
        <v>4189</v>
      </c>
      <c r="V400" s="595">
        <f t="shared" si="130"/>
        <v>15847</v>
      </c>
      <c r="W400" s="596">
        <f t="shared" si="131"/>
        <v>13846</v>
      </c>
      <c r="X400" s="603"/>
      <c r="Y400" s="519"/>
      <c r="Z400" s="603"/>
      <c r="AA400" s="519"/>
      <c r="AB400" s="603"/>
      <c r="AC400" s="519"/>
      <c r="AD400" s="603"/>
      <c r="AE400" s="519"/>
      <c r="AF400" s="595">
        <f t="shared" si="132"/>
        <v>0</v>
      </c>
      <c r="AG400" s="595">
        <f t="shared" si="133"/>
        <v>0</v>
      </c>
      <c r="AH400" s="596">
        <f t="shared" si="134"/>
        <v>0</v>
      </c>
      <c r="AI400" s="596">
        <f t="shared" si="135"/>
        <v>0</v>
      </c>
      <c r="AJ400" s="603"/>
      <c r="AK400" s="519"/>
      <c r="AL400" s="595">
        <f t="shared" si="136"/>
        <v>0</v>
      </c>
      <c r="AM400" s="596">
        <f t="shared" si="137"/>
        <v>0</v>
      </c>
      <c r="AN400" s="603"/>
      <c r="AO400" s="519"/>
      <c r="AP400" s="603"/>
      <c r="AQ400" s="519"/>
      <c r="AR400" s="603"/>
      <c r="AS400" s="519"/>
      <c r="AT400" s="603"/>
      <c r="AU400" s="519"/>
      <c r="AV400" s="595">
        <f t="shared" si="138"/>
        <v>0</v>
      </c>
      <c r="AW400" s="595">
        <f t="shared" si="139"/>
        <v>0</v>
      </c>
      <c r="AX400" s="596">
        <f t="shared" si="140"/>
        <v>0</v>
      </c>
      <c r="AY400" s="596">
        <f t="shared" si="141"/>
        <v>0</v>
      </c>
      <c r="AZ400" s="595">
        <f t="shared" si="142"/>
        <v>528.23333333333335</v>
      </c>
      <c r="BA400" s="596">
        <f t="shared" si="143"/>
        <v>461.53333333333336</v>
      </c>
    </row>
    <row r="401" spans="1:53" s="365" customFormat="1" ht="13.5" customHeight="1">
      <c r="A401" s="442" t="s">
        <v>359</v>
      </c>
      <c r="B401" s="418" t="s">
        <v>360</v>
      </c>
      <c r="C401" s="419"/>
      <c r="D401" s="417">
        <v>220862</v>
      </c>
      <c r="E401" s="417">
        <v>1</v>
      </c>
      <c r="F401" s="592"/>
      <c r="G401" s="519"/>
      <c r="H401" s="592"/>
      <c r="I401" s="519"/>
      <c r="J401" s="592">
        <v>183589</v>
      </c>
      <c r="K401" s="519">
        <v>187171</v>
      </c>
      <c r="L401" s="592">
        <v>27039</v>
      </c>
      <c r="M401" s="519">
        <v>33100</v>
      </c>
      <c r="N401" s="592">
        <v>206982</v>
      </c>
      <c r="O401" s="519">
        <v>206590</v>
      </c>
      <c r="P401" s="595">
        <f t="shared" si="126"/>
        <v>417610</v>
      </c>
      <c r="Q401" s="595">
        <f t="shared" si="127"/>
        <v>13920.333333333334</v>
      </c>
      <c r="R401" s="596">
        <f t="shared" si="128"/>
        <v>426861</v>
      </c>
      <c r="S401" s="596">
        <f t="shared" si="129"/>
        <v>14228.7</v>
      </c>
      <c r="T401" s="592">
        <v>12601</v>
      </c>
      <c r="U401" s="519">
        <v>14172</v>
      </c>
      <c r="V401" s="595">
        <f t="shared" si="130"/>
        <v>417610</v>
      </c>
      <c r="W401" s="596">
        <f t="shared" si="131"/>
        <v>426861</v>
      </c>
      <c r="X401" s="592"/>
      <c r="Y401" s="519"/>
      <c r="Z401" s="592"/>
      <c r="AA401" s="519"/>
      <c r="AB401" s="592"/>
      <c r="AC401" s="519"/>
      <c r="AD401" s="592"/>
      <c r="AE401" s="519"/>
      <c r="AF401" s="595">
        <f t="shared" si="132"/>
        <v>0</v>
      </c>
      <c r="AG401" s="595">
        <f t="shared" si="133"/>
        <v>0</v>
      </c>
      <c r="AH401" s="596">
        <f t="shared" si="134"/>
        <v>0</v>
      </c>
      <c r="AI401" s="596">
        <f t="shared" si="135"/>
        <v>0</v>
      </c>
      <c r="AJ401" s="592"/>
      <c r="AK401" s="519"/>
      <c r="AL401" s="595">
        <f t="shared" si="136"/>
        <v>0</v>
      </c>
      <c r="AM401" s="596">
        <f t="shared" si="137"/>
        <v>0</v>
      </c>
      <c r="AN401" s="592"/>
      <c r="AO401" s="519"/>
      <c r="AP401" s="592">
        <v>30022</v>
      </c>
      <c r="AQ401" s="519">
        <v>31141</v>
      </c>
      <c r="AR401" s="592">
        <v>8328</v>
      </c>
      <c r="AS401" s="519">
        <v>8491</v>
      </c>
      <c r="AT401" s="592">
        <v>32164</v>
      </c>
      <c r="AU401" s="519">
        <v>35435</v>
      </c>
      <c r="AV401" s="595">
        <f t="shared" si="138"/>
        <v>70514</v>
      </c>
      <c r="AW401" s="595">
        <f t="shared" si="139"/>
        <v>2938.0833333333335</v>
      </c>
      <c r="AX401" s="596">
        <f t="shared" si="140"/>
        <v>75067</v>
      </c>
      <c r="AY401" s="596">
        <f t="shared" si="141"/>
        <v>3127.7916666666665</v>
      </c>
      <c r="AZ401" s="595">
        <f t="shared" si="142"/>
        <v>16858.416666666668</v>
      </c>
      <c r="BA401" s="596">
        <f t="shared" si="143"/>
        <v>17356.491666666669</v>
      </c>
    </row>
    <row r="402" spans="1:53" s="365" customFormat="1" ht="12.75" customHeight="1">
      <c r="A402" s="442" t="s">
        <v>359</v>
      </c>
      <c r="B402" s="418" t="s">
        <v>361</v>
      </c>
      <c r="C402" s="420"/>
      <c r="D402" s="417">
        <v>221759</v>
      </c>
      <c r="E402" s="417">
        <v>1</v>
      </c>
      <c r="F402" s="592"/>
      <c r="G402" s="519"/>
      <c r="H402" s="592"/>
      <c r="I402" s="519"/>
      <c r="J402" s="592">
        <v>293363</v>
      </c>
      <c r="K402" s="519">
        <v>303943.5</v>
      </c>
      <c r="L402" s="592">
        <v>34095</v>
      </c>
      <c r="M402" s="519">
        <v>38517</v>
      </c>
      <c r="N402" s="592">
        <v>322611</v>
      </c>
      <c r="O402" s="519">
        <v>335338</v>
      </c>
      <c r="P402" s="595">
        <f t="shared" si="126"/>
        <v>650069</v>
      </c>
      <c r="Q402" s="595">
        <f t="shared" si="127"/>
        <v>21668.966666666667</v>
      </c>
      <c r="R402" s="596">
        <f t="shared" si="128"/>
        <v>677798.5</v>
      </c>
      <c r="S402" s="596">
        <f t="shared" si="129"/>
        <v>22593.283333333333</v>
      </c>
      <c r="T402" s="592">
        <v>86</v>
      </c>
      <c r="U402" s="519">
        <v>131</v>
      </c>
      <c r="V402" s="595">
        <f t="shared" si="130"/>
        <v>650069</v>
      </c>
      <c r="W402" s="596">
        <f t="shared" si="131"/>
        <v>677798.5</v>
      </c>
      <c r="X402" s="592"/>
      <c r="Y402" s="519"/>
      <c r="Z402" s="592"/>
      <c r="AA402" s="519"/>
      <c r="AB402" s="592"/>
      <c r="AC402" s="519"/>
      <c r="AD402" s="592"/>
      <c r="AE402" s="519"/>
      <c r="AF402" s="595">
        <f t="shared" si="132"/>
        <v>0</v>
      </c>
      <c r="AG402" s="595">
        <f t="shared" si="133"/>
        <v>0</v>
      </c>
      <c r="AH402" s="596">
        <f t="shared" si="134"/>
        <v>0</v>
      </c>
      <c r="AI402" s="596">
        <f t="shared" si="135"/>
        <v>0</v>
      </c>
      <c r="AJ402" s="592"/>
      <c r="AK402" s="519"/>
      <c r="AL402" s="595">
        <f t="shared" si="136"/>
        <v>0</v>
      </c>
      <c r="AM402" s="596">
        <f t="shared" si="137"/>
        <v>0</v>
      </c>
      <c r="AN402" s="592"/>
      <c r="AO402" s="519"/>
      <c r="AP402" s="592">
        <v>46696</v>
      </c>
      <c r="AQ402" s="519">
        <v>47721.5</v>
      </c>
      <c r="AR402" s="592">
        <v>17010</v>
      </c>
      <c r="AS402" s="519">
        <v>17200</v>
      </c>
      <c r="AT402" s="592">
        <v>52054</v>
      </c>
      <c r="AU402" s="519">
        <v>52854.5</v>
      </c>
      <c r="AV402" s="595">
        <f t="shared" si="138"/>
        <v>115760</v>
      </c>
      <c r="AW402" s="595">
        <f t="shared" si="139"/>
        <v>4823.333333333333</v>
      </c>
      <c r="AX402" s="596">
        <f t="shared" si="140"/>
        <v>117776</v>
      </c>
      <c r="AY402" s="596">
        <f t="shared" si="141"/>
        <v>4907.333333333333</v>
      </c>
      <c r="AZ402" s="595">
        <f t="shared" si="142"/>
        <v>26492.3</v>
      </c>
      <c r="BA402" s="596">
        <f t="shared" si="143"/>
        <v>27500.616666666665</v>
      </c>
    </row>
    <row r="403" spans="1:53" s="365" customFormat="1" ht="12.75" customHeight="1">
      <c r="A403" s="442" t="s">
        <v>359</v>
      </c>
      <c r="B403" s="418" t="s">
        <v>362</v>
      </c>
      <c r="C403" s="419"/>
      <c r="D403" s="417">
        <v>220075</v>
      </c>
      <c r="E403" s="417">
        <v>2</v>
      </c>
      <c r="F403" s="592"/>
      <c r="G403" s="519"/>
      <c r="H403" s="592"/>
      <c r="I403" s="519"/>
      <c r="J403" s="592">
        <v>142844</v>
      </c>
      <c r="K403" s="519">
        <v>138142</v>
      </c>
      <c r="L403" s="592">
        <v>21091</v>
      </c>
      <c r="M403" s="519">
        <v>23686</v>
      </c>
      <c r="N403" s="592">
        <v>153145</v>
      </c>
      <c r="O403" s="519">
        <v>147230</v>
      </c>
      <c r="P403" s="595">
        <f t="shared" si="126"/>
        <v>317080</v>
      </c>
      <c r="Q403" s="595">
        <f t="shared" si="127"/>
        <v>10569.333333333334</v>
      </c>
      <c r="R403" s="596">
        <f t="shared" si="128"/>
        <v>309058</v>
      </c>
      <c r="S403" s="596">
        <f t="shared" si="129"/>
        <v>10301.933333333332</v>
      </c>
      <c r="T403" s="592">
        <v>4393</v>
      </c>
      <c r="U403" s="519">
        <v>4023</v>
      </c>
      <c r="V403" s="595">
        <f t="shared" si="130"/>
        <v>317080</v>
      </c>
      <c r="W403" s="596">
        <f t="shared" si="131"/>
        <v>309058</v>
      </c>
      <c r="X403" s="592"/>
      <c r="Y403" s="519"/>
      <c r="Z403" s="592"/>
      <c r="AA403" s="519"/>
      <c r="AB403" s="592"/>
      <c r="AC403" s="519"/>
      <c r="AD403" s="592"/>
      <c r="AE403" s="519"/>
      <c r="AF403" s="595">
        <f t="shared" si="132"/>
        <v>0</v>
      </c>
      <c r="AG403" s="595">
        <f t="shared" si="133"/>
        <v>0</v>
      </c>
      <c r="AH403" s="596">
        <f t="shared" si="134"/>
        <v>0</v>
      </c>
      <c r="AI403" s="596">
        <f t="shared" si="135"/>
        <v>0</v>
      </c>
      <c r="AJ403" s="592"/>
      <c r="AK403" s="519"/>
      <c r="AL403" s="595">
        <f t="shared" si="136"/>
        <v>0</v>
      </c>
      <c r="AM403" s="596">
        <f t="shared" si="137"/>
        <v>0</v>
      </c>
      <c r="AN403" s="592"/>
      <c r="AO403" s="519"/>
      <c r="AP403" s="592">
        <v>20196</v>
      </c>
      <c r="AQ403" s="519">
        <v>19798.5</v>
      </c>
      <c r="AR403" s="592">
        <v>9768</v>
      </c>
      <c r="AS403" s="519">
        <v>9036</v>
      </c>
      <c r="AT403" s="592">
        <v>20577</v>
      </c>
      <c r="AU403" s="519">
        <v>20529.5</v>
      </c>
      <c r="AV403" s="595">
        <f t="shared" si="138"/>
        <v>50541</v>
      </c>
      <c r="AW403" s="595">
        <f t="shared" si="139"/>
        <v>2105.875</v>
      </c>
      <c r="AX403" s="596">
        <f t="shared" si="140"/>
        <v>49364</v>
      </c>
      <c r="AY403" s="596">
        <f t="shared" si="141"/>
        <v>2056.8333333333335</v>
      </c>
      <c r="AZ403" s="595">
        <f t="shared" si="142"/>
        <v>12675.208333333334</v>
      </c>
      <c r="BA403" s="596">
        <f t="shared" si="143"/>
        <v>12358.766666666666</v>
      </c>
    </row>
    <row r="404" spans="1:53" s="365" customFormat="1" ht="12.75" customHeight="1">
      <c r="A404" s="442" t="s">
        <v>359</v>
      </c>
      <c r="B404" s="418" t="s">
        <v>365</v>
      </c>
      <c r="C404" s="463"/>
      <c r="D404" s="417">
        <v>220978</v>
      </c>
      <c r="E404" s="417">
        <v>2</v>
      </c>
      <c r="F404" s="592"/>
      <c r="G404" s="519"/>
      <c r="H404" s="592"/>
      <c r="I404" s="519"/>
      <c r="J404" s="592">
        <v>220500</v>
      </c>
      <c r="K404" s="519">
        <v>222766</v>
      </c>
      <c r="L404" s="592">
        <v>35169</v>
      </c>
      <c r="M404" s="519">
        <v>37417</v>
      </c>
      <c r="N404" s="592">
        <v>248673</v>
      </c>
      <c r="O404" s="519">
        <v>245294</v>
      </c>
      <c r="P404" s="595">
        <f t="shared" si="126"/>
        <v>504342</v>
      </c>
      <c r="Q404" s="595">
        <f t="shared" si="127"/>
        <v>16811.400000000001</v>
      </c>
      <c r="R404" s="596">
        <f t="shared" si="128"/>
        <v>505477</v>
      </c>
      <c r="S404" s="596">
        <f t="shared" si="129"/>
        <v>16849.233333333334</v>
      </c>
      <c r="T404" s="592">
        <v>10247</v>
      </c>
      <c r="U404" s="519">
        <v>10218</v>
      </c>
      <c r="V404" s="595">
        <f t="shared" si="130"/>
        <v>504342</v>
      </c>
      <c r="W404" s="596">
        <f t="shared" si="131"/>
        <v>505477</v>
      </c>
      <c r="X404" s="592"/>
      <c r="Y404" s="519"/>
      <c r="Z404" s="592"/>
      <c r="AA404" s="519"/>
      <c r="AB404" s="592"/>
      <c r="AC404" s="519"/>
      <c r="AD404" s="592"/>
      <c r="AE404" s="519"/>
      <c r="AF404" s="595">
        <f t="shared" si="132"/>
        <v>0</v>
      </c>
      <c r="AG404" s="595">
        <f t="shared" si="133"/>
        <v>0</v>
      </c>
      <c r="AH404" s="596">
        <f t="shared" si="134"/>
        <v>0</v>
      </c>
      <c r="AI404" s="596">
        <f t="shared" si="135"/>
        <v>0</v>
      </c>
      <c r="AJ404" s="592"/>
      <c r="AK404" s="519"/>
      <c r="AL404" s="595">
        <f t="shared" si="136"/>
        <v>0</v>
      </c>
      <c r="AM404" s="596">
        <f t="shared" si="137"/>
        <v>0</v>
      </c>
      <c r="AN404" s="592"/>
      <c r="AO404" s="519"/>
      <c r="AP404" s="592">
        <v>14583</v>
      </c>
      <c r="AQ404" s="519">
        <v>14448</v>
      </c>
      <c r="AR404" s="592">
        <v>7600</v>
      </c>
      <c r="AS404" s="519">
        <v>8055</v>
      </c>
      <c r="AT404" s="592">
        <v>14866</v>
      </c>
      <c r="AU404" s="519">
        <v>19209</v>
      </c>
      <c r="AV404" s="595">
        <f t="shared" si="138"/>
        <v>37049</v>
      </c>
      <c r="AW404" s="595">
        <f t="shared" si="139"/>
        <v>1543.7083333333333</v>
      </c>
      <c r="AX404" s="596">
        <f t="shared" si="140"/>
        <v>41712</v>
      </c>
      <c r="AY404" s="596">
        <f t="shared" si="141"/>
        <v>1738</v>
      </c>
      <c r="AZ404" s="595">
        <f t="shared" si="142"/>
        <v>18355.108333333334</v>
      </c>
      <c r="BA404" s="596">
        <f t="shared" si="143"/>
        <v>18587.233333333334</v>
      </c>
    </row>
    <row r="405" spans="1:53" s="365" customFormat="1" ht="12.75" customHeight="1">
      <c r="A405" s="442" t="s">
        <v>359</v>
      </c>
      <c r="B405" s="418" t="s">
        <v>363</v>
      </c>
      <c r="C405" s="419"/>
      <c r="D405" s="417">
        <v>221838</v>
      </c>
      <c r="E405" s="417">
        <v>2</v>
      </c>
      <c r="F405" s="592"/>
      <c r="G405" s="519"/>
      <c r="H405" s="592"/>
      <c r="I405" s="519"/>
      <c r="J405" s="592">
        <v>69393</v>
      </c>
      <c r="K405" s="519">
        <v>66138</v>
      </c>
      <c r="L405" s="592">
        <v>10137</v>
      </c>
      <c r="M405" s="519">
        <v>9647</v>
      </c>
      <c r="N405" s="592">
        <v>79834</v>
      </c>
      <c r="O405" s="519">
        <v>79644</v>
      </c>
      <c r="P405" s="595">
        <f t="shared" si="126"/>
        <v>159364</v>
      </c>
      <c r="Q405" s="595">
        <f t="shared" si="127"/>
        <v>5312.1333333333332</v>
      </c>
      <c r="R405" s="596">
        <f t="shared" si="128"/>
        <v>155429</v>
      </c>
      <c r="S405" s="596">
        <f t="shared" si="129"/>
        <v>5180.9666666666662</v>
      </c>
      <c r="T405" s="592">
        <v>599</v>
      </c>
      <c r="U405" s="519">
        <v>798</v>
      </c>
      <c r="V405" s="595">
        <f t="shared" si="130"/>
        <v>159364</v>
      </c>
      <c r="W405" s="596">
        <f t="shared" si="131"/>
        <v>155429</v>
      </c>
      <c r="X405" s="592"/>
      <c r="Y405" s="519"/>
      <c r="Z405" s="592"/>
      <c r="AA405" s="519"/>
      <c r="AB405" s="592"/>
      <c r="AC405" s="519"/>
      <c r="AD405" s="592"/>
      <c r="AE405" s="519"/>
      <c r="AF405" s="595">
        <f t="shared" si="132"/>
        <v>0</v>
      </c>
      <c r="AG405" s="595">
        <f t="shared" si="133"/>
        <v>0</v>
      </c>
      <c r="AH405" s="596">
        <f t="shared" si="134"/>
        <v>0</v>
      </c>
      <c r="AI405" s="596">
        <f t="shared" si="135"/>
        <v>0</v>
      </c>
      <c r="AJ405" s="592"/>
      <c r="AK405" s="519"/>
      <c r="AL405" s="595">
        <f t="shared" si="136"/>
        <v>0</v>
      </c>
      <c r="AM405" s="596">
        <f t="shared" si="137"/>
        <v>0</v>
      </c>
      <c r="AN405" s="592"/>
      <c r="AO405" s="519"/>
      <c r="AP405" s="592">
        <v>10873</v>
      </c>
      <c r="AQ405" s="519">
        <v>9654</v>
      </c>
      <c r="AR405" s="592">
        <v>5047</v>
      </c>
      <c r="AS405" s="519">
        <v>5334</v>
      </c>
      <c r="AT405" s="592">
        <v>13138</v>
      </c>
      <c r="AU405" s="519">
        <v>11751</v>
      </c>
      <c r="AV405" s="595">
        <f t="shared" si="138"/>
        <v>29058</v>
      </c>
      <c r="AW405" s="595">
        <f t="shared" si="139"/>
        <v>1210.75</v>
      </c>
      <c r="AX405" s="596">
        <f t="shared" si="140"/>
        <v>26739</v>
      </c>
      <c r="AY405" s="596">
        <f t="shared" si="141"/>
        <v>1114.125</v>
      </c>
      <c r="AZ405" s="595">
        <f t="shared" si="142"/>
        <v>6522.8833333333332</v>
      </c>
      <c r="BA405" s="596">
        <f t="shared" si="143"/>
        <v>6295.0916666666662</v>
      </c>
    </row>
    <row r="406" spans="1:53" s="365" customFormat="1" ht="15" customHeight="1">
      <c r="A406" s="442" t="s">
        <v>359</v>
      </c>
      <c r="B406" s="418" t="s">
        <v>364</v>
      </c>
      <c r="C406" s="420"/>
      <c r="D406" s="417">
        <v>219602</v>
      </c>
      <c r="E406" s="417">
        <v>3</v>
      </c>
      <c r="F406" s="592"/>
      <c r="G406" s="519"/>
      <c r="H406" s="592"/>
      <c r="I406" s="519"/>
      <c r="J406" s="592">
        <v>111943</v>
      </c>
      <c r="K406" s="519">
        <v>109134</v>
      </c>
      <c r="L406" s="592">
        <v>16738</v>
      </c>
      <c r="M406" s="519">
        <v>18369</v>
      </c>
      <c r="N406" s="592">
        <v>119454</v>
      </c>
      <c r="O406" s="519">
        <v>110707</v>
      </c>
      <c r="P406" s="595">
        <f t="shared" si="126"/>
        <v>248135</v>
      </c>
      <c r="Q406" s="595">
        <f t="shared" si="127"/>
        <v>8271.1666666666661</v>
      </c>
      <c r="R406" s="596">
        <f t="shared" si="128"/>
        <v>238210</v>
      </c>
      <c r="S406" s="596">
        <f t="shared" si="129"/>
        <v>7940.333333333333</v>
      </c>
      <c r="T406" s="592">
        <v>9545</v>
      </c>
      <c r="U406" s="519">
        <v>10283</v>
      </c>
      <c r="V406" s="595">
        <f t="shared" si="130"/>
        <v>248135</v>
      </c>
      <c r="W406" s="596">
        <f t="shared" si="131"/>
        <v>238210</v>
      </c>
      <c r="X406" s="592"/>
      <c r="Y406" s="519"/>
      <c r="Z406" s="592"/>
      <c r="AA406" s="519"/>
      <c r="AB406" s="592"/>
      <c r="AC406" s="519"/>
      <c r="AD406" s="592"/>
      <c r="AE406" s="519"/>
      <c r="AF406" s="595">
        <f t="shared" si="132"/>
        <v>0</v>
      </c>
      <c r="AG406" s="595">
        <f t="shared" si="133"/>
        <v>0</v>
      </c>
      <c r="AH406" s="596">
        <f t="shared" si="134"/>
        <v>0</v>
      </c>
      <c r="AI406" s="596">
        <f t="shared" si="135"/>
        <v>0</v>
      </c>
      <c r="AJ406" s="592"/>
      <c r="AK406" s="519"/>
      <c r="AL406" s="595">
        <f t="shared" si="136"/>
        <v>0</v>
      </c>
      <c r="AM406" s="596">
        <f t="shared" si="137"/>
        <v>0</v>
      </c>
      <c r="AN406" s="592"/>
      <c r="AO406" s="519"/>
      <c r="AP406" s="592">
        <v>7927</v>
      </c>
      <c r="AQ406" s="519">
        <v>7396</v>
      </c>
      <c r="AR406" s="592">
        <v>3685</v>
      </c>
      <c r="AS406" s="519">
        <v>3848</v>
      </c>
      <c r="AT406" s="592">
        <v>7878</v>
      </c>
      <c r="AU406" s="519">
        <v>9243</v>
      </c>
      <c r="AV406" s="595">
        <f t="shared" si="138"/>
        <v>19490</v>
      </c>
      <c r="AW406" s="595">
        <f t="shared" si="139"/>
        <v>812.08333333333337</v>
      </c>
      <c r="AX406" s="596">
        <f t="shared" si="140"/>
        <v>20487</v>
      </c>
      <c r="AY406" s="596">
        <f t="shared" si="141"/>
        <v>853.625</v>
      </c>
      <c r="AZ406" s="595">
        <f t="shared" si="142"/>
        <v>9083.25</v>
      </c>
      <c r="BA406" s="596">
        <f t="shared" si="143"/>
        <v>8793.9583333333321</v>
      </c>
    </row>
    <row r="407" spans="1:53" s="365" customFormat="1" ht="15" customHeight="1">
      <c r="A407" s="442" t="s">
        <v>359</v>
      </c>
      <c r="B407" s="418" t="s">
        <v>366</v>
      </c>
      <c r="C407" s="464"/>
      <c r="D407" s="417">
        <v>221847</v>
      </c>
      <c r="E407" s="417">
        <v>3</v>
      </c>
      <c r="F407" s="592"/>
      <c r="G407" s="519"/>
      <c r="H407" s="592"/>
      <c r="I407" s="519"/>
      <c r="J407" s="592">
        <v>112413</v>
      </c>
      <c r="K407" s="519">
        <v>110310</v>
      </c>
      <c r="L407" s="592">
        <v>12080</v>
      </c>
      <c r="M407" s="519">
        <v>13842</v>
      </c>
      <c r="N407" s="592">
        <v>123457</v>
      </c>
      <c r="O407" s="519">
        <v>121291</v>
      </c>
      <c r="P407" s="595">
        <f t="shared" si="126"/>
        <v>247950</v>
      </c>
      <c r="Q407" s="595">
        <f t="shared" si="127"/>
        <v>8265</v>
      </c>
      <c r="R407" s="596">
        <f t="shared" si="128"/>
        <v>245443</v>
      </c>
      <c r="S407" s="596">
        <f t="shared" si="129"/>
        <v>8181.4333333333334</v>
      </c>
      <c r="T407" s="592">
        <v>1208</v>
      </c>
      <c r="U407" s="519">
        <v>1390</v>
      </c>
      <c r="V407" s="595">
        <f t="shared" si="130"/>
        <v>247950</v>
      </c>
      <c r="W407" s="596">
        <f t="shared" si="131"/>
        <v>245443</v>
      </c>
      <c r="X407" s="592"/>
      <c r="Y407" s="519"/>
      <c r="Z407" s="592"/>
      <c r="AA407" s="519"/>
      <c r="AB407" s="592"/>
      <c r="AC407" s="519"/>
      <c r="AD407" s="592"/>
      <c r="AE407" s="519"/>
      <c r="AF407" s="595">
        <f t="shared" si="132"/>
        <v>0</v>
      </c>
      <c r="AG407" s="595">
        <f t="shared" si="133"/>
        <v>0</v>
      </c>
      <c r="AH407" s="596">
        <f t="shared" si="134"/>
        <v>0</v>
      </c>
      <c r="AI407" s="596">
        <f t="shared" si="135"/>
        <v>0</v>
      </c>
      <c r="AJ407" s="592"/>
      <c r="AK407" s="519"/>
      <c r="AL407" s="595">
        <f t="shared" si="136"/>
        <v>0</v>
      </c>
      <c r="AM407" s="596">
        <f t="shared" si="137"/>
        <v>0</v>
      </c>
      <c r="AN407" s="592"/>
      <c r="AO407" s="519"/>
      <c r="AP407" s="592">
        <v>7117</v>
      </c>
      <c r="AQ407" s="519">
        <v>7337</v>
      </c>
      <c r="AR407" s="592">
        <v>3476</v>
      </c>
      <c r="AS407" s="519">
        <v>3780</v>
      </c>
      <c r="AT407" s="592">
        <v>7329</v>
      </c>
      <c r="AU407" s="519">
        <v>8954</v>
      </c>
      <c r="AV407" s="595">
        <f t="shared" si="138"/>
        <v>17922</v>
      </c>
      <c r="AW407" s="595">
        <f t="shared" si="139"/>
        <v>746.75</v>
      </c>
      <c r="AX407" s="596">
        <f t="shared" si="140"/>
        <v>20071</v>
      </c>
      <c r="AY407" s="596">
        <f t="shared" si="141"/>
        <v>836.29166666666663</v>
      </c>
      <c r="AZ407" s="595">
        <f t="shared" si="142"/>
        <v>9011.75</v>
      </c>
      <c r="BA407" s="596">
        <f t="shared" si="143"/>
        <v>9017.7250000000004</v>
      </c>
    </row>
    <row r="408" spans="1:53" s="365" customFormat="1" ht="15" customHeight="1">
      <c r="A408" s="442" t="s">
        <v>359</v>
      </c>
      <c r="B408" s="418" t="s">
        <v>367</v>
      </c>
      <c r="C408" s="464"/>
      <c r="D408" s="417">
        <v>221740</v>
      </c>
      <c r="E408" s="417">
        <v>3</v>
      </c>
      <c r="F408" s="592"/>
      <c r="G408" s="519"/>
      <c r="H408" s="592"/>
      <c r="I408" s="519"/>
      <c r="J408" s="592">
        <v>124159</v>
      </c>
      <c r="K408" s="519">
        <v>126556</v>
      </c>
      <c r="L408" s="592">
        <v>16152</v>
      </c>
      <c r="M408" s="519">
        <v>18128</v>
      </c>
      <c r="N408" s="592">
        <v>143031</v>
      </c>
      <c r="O408" s="519">
        <v>143408</v>
      </c>
      <c r="P408" s="595">
        <f t="shared" si="126"/>
        <v>283342</v>
      </c>
      <c r="Q408" s="595">
        <f t="shared" si="127"/>
        <v>9444.7333333333336</v>
      </c>
      <c r="R408" s="596">
        <f t="shared" si="128"/>
        <v>288092</v>
      </c>
      <c r="S408" s="596">
        <f t="shared" si="129"/>
        <v>9603.0666666666675</v>
      </c>
      <c r="T408" s="592">
        <v>124</v>
      </c>
      <c r="U408" s="519">
        <v>120</v>
      </c>
      <c r="V408" s="595">
        <f t="shared" si="130"/>
        <v>283342</v>
      </c>
      <c r="W408" s="596">
        <f t="shared" si="131"/>
        <v>288092</v>
      </c>
      <c r="X408" s="592"/>
      <c r="Y408" s="519"/>
      <c r="Z408" s="592"/>
      <c r="AA408" s="519"/>
      <c r="AB408" s="592"/>
      <c r="AC408" s="519"/>
      <c r="AD408" s="592"/>
      <c r="AE408" s="519"/>
      <c r="AF408" s="595">
        <f t="shared" si="132"/>
        <v>0</v>
      </c>
      <c r="AG408" s="595">
        <f t="shared" si="133"/>
        <v>0</v>
      </c>
      <c r="AH408" s="596">
        <f t="shared" si="134"/>
        <v>0</v>
      </c>
      <c r="AI408" s="596">
        <f t="shared" si="135"/>
        <v>0</v>
      </c>
      <c r="AJ408" s="592"/>
      <c r="AK408" s="519"/>
      <c r="AL408" s="595">
        <f t="shared" si="136"/>
        <v>0</v>
      </c>
      <c r="AM408" s="596">
        <f t="shared" si="137"/>
        <v>0</v>
      </c>
      <c r="AN408" s="592"/>
      <c r="AO408" s="519"/>
      <c r="AP408" s="592">
        <v>11212</v>
      </c>
      <c r="AQ408" s="519">
        <v>11178</v>
      </c>
      <c r="AR408" s="592">
        <v>5410</v>
      </c>
      <c r="AS408" s="519">
        <v>5860</v>
      </c>
      <c r="AT408" s="592">
        <v>11748</v>
      </c>
      <c r="AU408" s="519">
        <v>11918</v>
      </c>
      <c r="AV408" s="595">
        <f t="shared" si="138"/>
        <v>28370</v>
      </c>
      <c r="AW408" s="595">
        <f t="shared" si="139"/>
        <v>1182.0833333333333</v>
      </c>
      <c r="AX408" s="596">
        <f t="shared" si="140"/>
        <v>28956</v>
      </c>
      <c r="AY408" s="596">
        <f t="shared" si="141"/>
        <v>1206.5</v>
      </c>
      <c r="AZ408" s="595">
        <f t="shared" si="142"/>
        <v>10626.816666666668</v>
      </c>
      <c r="BA408" s="596">
        <f t="shared" si="143"/>
        <v>10809.566666666668</v>
      </c>
    </row>
    <row r="409" spans="1:53" s="365" customFormat="1" ht="15" customHeight="1">
      <c r="A409" s="442" t="s">
        <v>359</v>
      </c>
      <c r="B409" s="418" t="s">
        <v>368</v>
      </c>
      <c r="C409" s="567" t="s">
        <v>911</v>
      </c>
      <c r="D409" s="417">
        <v>221768</v>
      </c>
      <c r="E409" s="568">
        <v>4</v>
      </c>
      <c r="F409" s="592"/>
      <c r="G409" s="519"/>
      <c r="H409" s="592"/>
      <c r="I409" s="519"/>
      <c r="J409" s="592">
        <v>73457</v>
      </c>
      <c r="K409" s="519">
        <v>73147</v>
      </c>
      <c r="L409" s="592">
        <v>9514</v>
      </c>
      <c r="M409" s="519">
        <v>10292</v>
      </c>
      <c r="N409" s="592">
        <v>80328</v>
      </c>
      <c r="O409" s="519">
        <v>78090</v>
      </c>
      <c r="P409" s="595">
        <f t="shared" si="126"/>
        <v>163299</v>
      </c>
      <c r="Q409" s="595">
        <f t="shared" si="127"/>
        <v>5443.3</v>
      </c>
      <c r="R409" s="596">
        <f t="shared" si="128"/>
        <v>161529</v>
      </c>
      <c r="S409" s="596">
        <f t="shared" si="129"/>
        <v>5384.3</v>
      </c>
      <c r="T409" s="592">
        <v>10044</v>
      </c>
      <c r="U409" s="519">
        <v>9560</v>
      </c>
      <c r="V409" s="595">
        <f t="shared" si="130"/>
        <v>163299</v>
      </c>
      <c r="W409" s="596">
        <f t="shared" si="131"/>
        <v>161529</v>
      </c>
      <c r="X409" s="592"/>
      <c r="Y409" s="519"/>
      <c r="Z409" s="592"/>
      <c r="AA409" s="519"/>
      <c r="AB409" s="592"/>
      <c r="AC409" s="519"/>
      <c r="AD409" s="592"/>
      <c r="AE409" s="519"/>
      <c r="AF409" s="595">
        <f t="shared" si="132"/>
        <v>0</v>
      </c>
      <c r="AG409" s="595">
        <f t="shared" si="133"/>
        <v>0</v>
      </c>
      <c r="AH409" s="596">
        <f t="shared" si="134"/>
        <v>0</v>
      </c>
      <c r="AI409" s="596">
        <f t="shared" si="135"/>
        <v>0</v>
      </c>
      <c r="AJ409" s="592"/>
      <c r="AK409" s="519"/>
      <c r="AL409" s="595">
        <f t="shared" si="136"/>
        <v>0</v>
      </c>
      <c r="AM409" s="596">
        <f t="shared" si="137"/>
        <v>0</v>
      </c>
      <c r="AN409" s="592"/>
      <c r="AO409" s="519"/>
      <c r="AP409" s="592">
        <v>2050</v>
      </c>
      <c r="AQ409" s="519">
        <v>4137</v>
      </c>
      <c r="AR409" s="592">
        <v>1334</v>
      </c>
      <c r="AS409" s="519">
        <v>2703</v>
      </c>
      <c r="AT409" s="592">
        <v>3498</v>
      </c>
      <c r="AU409" s="519">
        <v>4963</v>
      </c>
      <c r="AV409" s="595">
        <f t="shared" si="138"/>
        <v>6882</v>
      </c>
      <c r="AW409" s="595">
        <f t="shared" si="139"/>
        <v>286.75</v>
      </c>
      <c r="AX409" s="596">
        <f t="shared" si="140"/>
        <v>11803</v>
      </c>
      <c r="AY409" s="596">
        <f t="shared" si="141"/>
        <v>491.79166666666669</v>
      </c>
      <c r="AZ409" s="595">
        <f t="shared" si="142"/>
        <v>5730.05</v>
      </c>
      <c r="BA409" s="596">
        <f t="shared" si="143"/>
        <v>5876.0916666666672</v>
      </c>
    </row>
    <row r="410" spans="1:53" s="365" customFormat="1" ht="15" customHeight="1">
      <c r="A410" s="442" t="s">
        <v>359</v>
      </c>
      <c r="B410" s="418" t="s">
        <v>369</v>
      </c>
      <c r="C410" s="464"/>
      <c r="D410" s="417">
        <v>219824</v>
      </c>
      <c r="E410" s="417">
        <v>8</v>
      </c>
      <c r="F410" s="592"/>
      <c r="G410" s="519"/>
      <c r="H410" s="592"/>
      <c r="I410" s="519"/>
      <c r="J410" s="592">
        <v>69438</v>
      </c>
      <c r="K410" s="519">
        <v>68065</v>
      </c>
      <c r="L410" s="592">
        <v>13746</v>
      </c>
      <c r="M410" s="519">
        <v>13928</v>
      </c>
      <c r="N410" s="592">
        <v>80751</v>
      </c>
      <c r="O410" s="519">
        <v>74880</v>
      </c>
      <c r="P410" s="595">
        <f t="shared" si="126"/>
        <v>163935</v>
      </c>
      <c r="Q410" s="595">
        <f t="shared" si="127"/>
        <v>5464.5</v>
      </c>
      <c r="R410" s="596">
        <f t="shared" si="128"/>
        <v>156873</v>
      </c>
      <c r="S410" s="596">
        <f t="shared" si="129"/>
        <v>5229.1000000000004</v>
      </c>
      <c r="T410" s="592">
        <v>13493</v>
      </c>
      <c r="U410" s="519">
        <v>14596</v>
      </c>
      <c r="V410" s="595">
        <f t="shared" si="130"/>
        <v>163935</v>
      </c>
      <c r="W410" s="596">
        <f t="shared" si="131"/>
        <v>156873</v>
      </c>
      <c r="X410" s="592"/>
      <c r="Y410" s="519"/>
      <c r="Z410" s="592"/>
      <c r="AA410" s="519"/>
      <c r="AB410" s="592"/>
      <c r="AC410" s="519"/>
      <c r="AD410" s="592"/>
      <c r="AE410" s="519"/>
      <c r="AF410" s="595">
        <f t="shared" si="132"/>
        <v>0</v>
      </c>
      <c r="AG410" s="595">
        <f t="shared" si="133"/>
        <v>0</v>
      </c>
      <c r="AH410" s="596">
        <f t="shared" si="134"/>
        <v>0</v>
      </c>
      <c r="AI410" s="596">
        <f t="shared" si="135"/>
        <v>0</v>
      </c>
      <c r="AJ410" s="592"/>
      <c r="AK410" s="519"/>
      <c r="AL410" s="595">
        <f t="shared" si="136"/>
        <v>0</v>
      </c>
      <c r="AM410" s="596">
        <f t="shared" si="137"/>
        <v>0</v>
      </c>
      <c r="AN410" s="592"/>
      <c r="AO410" s="519"/>
      <c r="AP410" s="592"/>
      <c r="AQ410" s="519"/>
      <c r="AR410" s="592"/>
      <c r="AS410" s="519"/>
      <c r="AT410" s="592"/>
      <c r="AU410" s="519"/>
      <c r="AV410" s="595">
        <f t="shared" si="138"/>
        <v>0</v>
      </c>
      <c r="AW410" s="595">
        <f t="shared" si="139"/>
        <v>0</v>
      </c>
      <c r="AX410" s="596">
        <f t="shared" si="140"/>
        <v>0</v>
      </c>
      <c r="AY410" s="596">
        <f t="shared" si="141"/>
        <v>0</v>
      </c>
      <c r="AZ410" s="595">
        <f t="shared" si="142"/>
        <v>5464.5</v>
      </c>
      <c r="BA410" s="596">
        <f t="shared" si="143"/>
        <v>5229.1000000000004</v>
      </c>
    </row>
    <row r="411" spans="1:53" s="365" customFormat="1" ht="15" customHeight="1">
      <c r="A411" s="442" t="s">
        <v>359</v>
      </c>
      <c r="B411" s="418" t="s">
        <v>370</v>
      </c>
      <c r="C411" s="464"/>
      <c r="D411" s="417">
        <v>221184</v>
      </c>
      <c r="E411" s="417">
        <v>8</v>
      </c>
      <c r="F411" s="592"/>
      <c r="G411" s="519"/>
      <c r="H411" s="592"/>
      <c r="I411" s="519"/>
      <c r="J411" s="592">
        <v>67812</v>
      </c>
      <c r="K411" s="519">
        <v>66128</v>
      </c>
      <c r="L411" s="592">
        <v>14219</v>
      </c>
      <c r="M411" s="519">
        <v>14852</v>
      </c>
      <c r="N411" s="592">
        <v>74753</v>
      </c>
      <c r="O411" s="519">
        <v>66315.5</v>
      </c>
      <c r="P411" s="595">
        <f t="shared" si="126"/>
        <v>156784</v>
      </c>
      <c r="Q411" s="595">
        <f t="shared" si="127"/>
        <v>5226.1333333333332</v>
      </c>
      <c r="R411" s="596">
        <f t="shared" si="128"/>
        <v>147295.5</v>
      </c>
      <c r="S411" s="596">
        <f t="shared" si="129"/>
        <v>4909.8500000000004</v>
      </c>
      <c r="T411" s="592">
        <v>8569</v>
      </c>
      <c r="U411" s="519">
        <v>8232</v>
      </c>
      <c r="V411" s="595">
        <f t="shared" si="130"/>
        <v>156784</v>
      </c>
      <c r="W411" s="596">
        <f t="shared" si="131"/>
        <v>147295.5</v>
      </c>
      <c r="X411" s="592"/>
      <c r="Y411" s="519"/>
      <c r="Z411" s="592"/>
      <c r="AA411" s="519"/>
      <c r="AB411" s="592"/>
      <c r="AC411" s="519"/>
      <c r="AD411" s="592"/>
      <c r="AE411" s="519"/>
      <c r="AF411" s="595">
        <f t="shared" si="132"/>
        <v>0</v>
      </c>
      <c r="AG411" s="595">
        <f t="shared" si="133"/>
        <v>0</v>
      </c>
      <c r="AH411" s="596">
        <f t="shared" si="134"/>
        <v>0</v>
      </c>
      <c r="AI411" s="596">
        <f t="shared" si="135"/>
        <v>0</v>
      </c>
      <c r="AJ411" s="592"/>
      <c r="AK411" s="519"/>
      <c r="AL411" s="595">
        <f t="shared" si="136"/>
        <v>0</v>
      </c>
      <c r="AM411" s="596">
        <f t="shared" si="137"/>
        <v>0</v>
      </c>
      <c r="AN411" s="592"/>
      <c r="AO411" s="519"/>
      <c r="AP411" s="592"/>
      <c r="AQ411" s="519"/>
      <c r="AR411" s="592"/>
      <c r="AS411" s="519"/>
      <c r="AT411" s="592"/>
      <c r="AU411" s="519"/>
      <c r="AV411" s="595">
        <f t="shared" si="138"/>
        <v>0</v>
      </c>
      <c r="AW411" s="595">
        <f t="shared" si="139"/>
        <v>0</v>
      </c>
      <c r="AX411" s="596">
        <f t="shared" si="140"/>
        <v>0</v>
      </c>
      <c r="AY411" s="596">
        <f t="shared" si="141"/>
        <v>0</v>
      </c>
      <c r="AZ411" s="595">
        <f t="shared" si="142"/>
        <v>5226.1333333333332</v>
      </c>
      <c r="BA411" s="596">
        <f t="shared" si="143"/>
        <v>4909.8500000000004</v>
      </c>
    </row>
    <row r="412" spans="1:53" s="365" customFormat="1" ht="15" customHeight="1">
      <c r="A412" s="442" t="s">
        <v>359</v>
      </c>
      <c r="B412" s="418" t="s">
        <v>371</v>
      </c>
      <c r="C412" s="464"/>
      <c r="D412" s="417">
        <v>221643</v>
      </c>
      <c r="E412" s="417">
        <v>8</v>
      </c>
      <c r="F412" s="592"/>
      <c r="G412" s="519"/>
      <c r="H412" s="592"/>
      <c r="I412" s="519"/>
      <c r="J412" s="592">
        <v>90800</v>
      </c>
      <c r="K412" s="519">
        <v>86752</v>
      </c>
      <c r="L412" s="592">
        <v>19102</v>
      </c>
      <c r="M412" s="519">
        <v>20056</v>
      </c>
      <c r="N412" s="592">
        <v>104584</v>
      </c>
      <c r="O412" s="519">
        <v>91649</v>
      </c>
      <c r="P412" s="595">
        <f t="shared" si="126"/>
        <v>214486</v>
      </c>
      <c r="Q412" s="595">
        <f t="shared" si="127"/>
        <v>7149.5333333333338</v>
      </c>
      <c r="R412" s="596">
        <f t="shared" si="128"/>
        <v>198457</v>
      </c>
      <c r="S412" s="596">
        <f t="shared" si="129"/>
        <v>6615.2333333333336</v>
      </c>
      <c r="T412" s="592">
        <v>11325</v>
      </c>
      <c r="U412" s="519">
        <v>10753</v>
      </c>
      <c r="V412" s="595">
        <f t="shared" si="130"/>
        <v>214486</v>
      </c>
      <c r="W412" s="596">
        <f t="shared" si="131"/>
        <v>198457</v>
      </c>
      <c r="X412" s="592"/>
      <c r="Y412" s="519"/>
      <c r="Z412" s="592"/>
      <c r="AA412" s="519"/>
      <c r="AB412" s="592"/>
      <c r="AC412" s="519"/>
      <c r="AD412" s="592"/>
      <c r="AE412" s="519"/>
      <c r="AF412" s="595">
        <f t="shared" si="132"/>
        <v>0</v>
      </c>
      <c r="AG412" s="595">
        <f t="shared" si="133"/>
        <v>0</v>
      </c>
      <c r="AH412" s="596">
        <f t="shared" si="134"/>
        <v>0</v>
      </c>
      <c r="AI412" s="596">
        <f t="shared" si="135"/>
        <v>0</v>
      </c>
      <c r="AJ412" s="592"/>
      <c r="AK412" s="519"/>
      <c r="AL412" s="595">
        <f t="shared" si="136"/>
        <v>0</v>
      </c>
      <c r="AM412" s="596">
        <f t="shared" si="137"/>
        <v>0</v>
      </c>
      <c r="AN412" s="592"/>
      <c r="AO412" s="519"/>
      <c r="AP412" s="592"/>
      <c r="AQ412" s="519"/>
      <c r="AR412" s="592"/>
      <c r="AS412" s="519"/>
      <c r="AT412" s="592"/>
      <c r="AU412" s="519"/>
      <c r="AV412" s="595">
        <f t="shared" si="138"/>
        <v>0</v>
      </c>
      <c r="AW412" s="595">
        <f t="shared" si="139"/>
        <v>0</v>
      </c>
      <c r="AX412" s="596">
        <f t="shared" si="140"/>
        <v>0</v>
      </c>
      <c r="AY412" s="596">
        <f t="shared" si="141"/>
        <v>0</v>
      </c>
      <c r="AZ412" s="595">
        <f t="shared" si="142"/>
        <v>7149.5333333333338</v>
      </c>
      <c r="BA412" s="596">
        <f t="shared" si="143"/>
        <v>6615.2333333333336</v>
      </c>
    </row>
    <row r="413" spans="1:53" s="365" customFormat="1" ht="15" customHeight="1">
      <c r="A413" s="442" t="s">
        <v>359</v>
      </c>
      <c r="B413" s="418" t="s">
        <v>372</v>
      </c>
      <c r="C413" s="464"/>
      <c r="D413" s="417">
        <v>221485</v>
      </c>
      <c r="E413" s="417">
        <v>8</v>
      </c>
      <c r="F413" s="592"/>
      <c r="G413" s="519"/>
      <c r="H413" s="592"/>
      <c r="I413" s="519"/>
      <c r="J413" s="592">
        <v>76993</v>
      </c>
      <c r="K413" s="519">
        <v>75486</v>
      </c>
      <c r="L413" s="592">
        <v>19798</v>
      </c>
      <c r="M413" s="519">
        <v>21370</v>
      </c>
      <c r="N413" s="592">
        <v>90732</v>
      </c>
      <c r="O413" s="519">
        <v>72975</v>
      </c>
      <c r="P413" s="595">
        <f t="shared" si="126"/>
        <v>187523</v>
      </c>
      <c r="Q413" s="595">
        <f t="shared" si="127"/>
        <v>6250.7666666666664</v>
      </c>
      <c r="R413" s="596">
        <f t="shared" si="128"/>
        <v>169831</v>
      </c>
      <c r="S413" s="596">
        <f t="shared" si="129"/>
        <v>5661.0333333333338</v>
      </c>
      <c r="T413" s="592">
        <v>5807</v>
      </c>
      <c r="U413" s="519">
        <v>5196</v>
      </c>
      <c r="V413" s="595">
        <f t="shared" si="130"/>
        <v>187523</v>
      </c>
      <c r="W413" s="596">
        <f t="shared" si="131"/>
        <v>169831</v>
      </c>
      <c r="X413" s="592"/>
      <c r="Y413" s="519"/>
      <c r="Z413" s="592"/>
      <c r="AA413" s="519"/>
      <c r="AB413" s="592"/>
      <c r="AC413" s="519"/>
      <c r="AD413" s="592"/>
      <c r="AE413" s="519"/>
      <c r="AF413" s="595">
        <f t="shared" si="132"/>
        <v>0</v>
      </c>
      <c r="AG413" s="595">
        <f t="shared" si="133"/>
        <v>0</v>
      </c>
      <c r="AH413" s="596">
        <f t="shared" si="134"/>
        <v>0</v>
      </c>
      <c r="AI413" s="596">
        <f t="shared" si="135"/>
        <v>0</v>
      </c>
      <c r="AJ413" s="592"/>
      <c r="AK413" s="519"/>
      <c r="AL413" s="595">
        <f t="shared" si="136"/>
        <v>0</v>
      </c>
      <c r="AM413" s="596">
        <f t="shared" si="137"/>
        <v>0</v>
      </c>
      <c r="AN413" s="592"/>
      <c r="AO413" s="519"/>
      <c r="AP413" s="592"/>
      <c r="AQ413" s="519"/>
      <c r="AR413" s="592"/>
      <c r="AS413" s="519"/>
      <c r="AT413" s="592"/>
      <c r="AU413" s="519"/>
      <c r="AV413" s="595">
        <f t="shared" si="138"/>
        <v>0</v>
      </c>
      <c r="AW413" s="595">
        <f t="shared" si="139"/>
        <v>0</v>
      </c>
      <c r="AX413" s="596">
        <f t="shared" si="140"/>
        <v>0</v>
      </c>
      <c r="AY413" s="596">
        <f t="shared" si="141"/>
        <v>0</v>
      </c>
      <c r="AZ413" s="595">
        <f t="shared" si="142"/>
        <v>6250.7666666666664</v>
      </c>
      <c r="BA413" s="596">
        <f t="shared" si="143"/>
        <v>5661.0333333333338</v>
      </c>
    </row>
    <row r="414" spans="1:53" s="365" customFormat="1" ht="15" customHeight="1">
      <c r="A414" s="442" t="s">
        <v>359</v>
      </c>
      <c r="B414" s="418" t="s">
        <v>373</v>
      </c>
      <c r="C414" s="464"/>
      <c r="D414" s="417">
        <v>222053</v>
      </c>
      <c r="E414" s="417">
        <v>8</v>
      </c>
      <c r="F414" s="592"/>
      <c r="G414" s="519"/>
      <c r="H414" s="592"/>
      <c r="I414" s="519"/>
      <c r="J414" s="592">
        <v>76607</v>
      </c>
      <c r="K414" s="519">
        <v>75735</v>
      </c>
      <c r="L414" s="592">
        <v>16562</v>
      </c>
      <c r="M414" s="519">
        <v>17087</v>
      </c>
      <c r="N414" s="592">
        <v>92214</v>
      </c>
      <c r="O414" s="519">
        <v>87017</v>
      </c>
      <c r="P414" s="595">
        <f t="shared" si="126"/>
        <v>185383</v>
      </c>
      <c r="Q414" s="595">
        <f t="shared" si="127"/>
        <v>6179.4333333333334</v>
      </c>
      <c r="R414" s="596">
        <f t="shared" si="128"/>
        <v>179839</v>
      </c>
      <c r="S414" s="596">
        <f t="shared" si="129"/>
        <v>5994.6333333333332</v>
      </c>
      <c r="T414" s="592">
        <v>17302</v>
      </c>
      <c r="U414" s="519">
        <v>17262.5</v>
      </c>
      <c r="V414" s="595">
        <f t="shared" si="130"/>
        <v>185383</v>
      </c>
      <c r="W414" s="596">
        <f t="shared" si="131"/>
        <v>179839</v>
      </c>
      <c r="X414" s="592"/>
      <c r="Y414" s="519"/>
      <c r="Z414" s="592"/>
      <c r="AA414" s="519"/>
      <c r="AB414" s="592"/>
      <c r="AC414" s="519"/>
      <c r="AD414" s="592"/>
      <c r="AE414" s="519"/>
      <c r="AF414" s="595">
        <f t="shared" si="132"/>
        <v>0</v>
      </c>
      <c r="AG414" s="595">
        <f t="shared" si="133"/>
        <v>0</v>
      </c>
      <c r="AH414" s="596">
        <f t="shared" si="134"/>
        <v>0</v>
      </c>
      <c r="AI414" s="596">
        <f t="shared" si="135"/>
        <v>0</v>
      </c>
      <c r="AJ414" s="592"/>
      <c r="AK414" s="519"/>
      <c r="AL414" s="595">
        <f t="shared" si="136"/>
        <v>0</v>
      </c>
      <c r="AM414" s="596">
        <f t="shared" si="137"/>
        <v>0</v>
      </c>
      <c r="AN414" s="592"/>
      <c r="AO414" s="519"/>
      <c r="AP414" s="592"/>
      <c r="AQ414" s="519"/>
      <c r="AR414" s="592"/>
      <c r="AS414" s="519"/>
      <c r="AT414" s="592"/>
      <c r="AU414" s="519"/>
      <c r="AV414" s="595">
        <f t="shared" si="138"/>
        <v>0</v>
      </c>
      <c r="AW414" s="595">
        <f t="shared" si="139"/>
        <v>0</v>
      </c>
      <c r="AX414" s="596">
        <f t="shared" si="140"/>
        <v>0</v>
      </c>
      <c r="AY414" s="596">
        <f t="shared" si="141"/>
        <v>0</v>
      </c>
      <c r="AZ414" s="595">
        <f t="shared" si="142"/>
        <v>6179.4333333333334</v>
      </c>
      <c r="BA414" s="596">
        <f t="shared" si="143"/>
        <v>5994.6333333333332</v>
      </c>
    </row>
    <row r="415" spans="1:53" s="365" customFormat="1" ht="15" customHeight="1">
      <c r="A415" s="442" t="s">
        <v>359</v>
      </c>
      <c r="B415" s="418" t="s">
        <v>374</v>
      </c>
      <c r="C415" s="464"/>
      <c r="D415" s="417">
        <v>219879</v>
      </c>
      <c r="E415" s="417">
        <v>9</v>
      </c>
      <c r="F415" s="592"/>
      <c r="G415" s="519"/>
      <c r="H415" s="592"/>
      <c r="I415" s="519"/>
      <c r="J415" s="592">
        <v>27350</v>
      </c>
      <c r="K415" s="519">
        <v>28661</v>
      </c>
      <c r="L415" s="592">
        <v>4996</v>
      </c>
      <c r="M415" s="519">
        <v>5006</v>
      </c>
      <c r="N415" s="592">
        <v>35121</v>
      </c>
      <c r="O415" s="519">
        <v>32319</v>
      </c>
      <c r="P415" s="595">
        <f t="shared" si="126"/>
        <v>67467</v>
      </c>
      <c r="Q415" s="595">
        <f t="shared" si="127"/>
        <v>2248.9</v>
      </c>
      <c r="R415" s="596">
        <f t="shared" si="128"/>
        <v>65986</v>
      </c>
      <c r="S415" s="596">
        <f t="shared" si="129"/>
        <v>2199.5333333333333</v>
      </c>
      <c r="T415" s="592">
        <v>9627</v>
      </c>
      <c r="U415" s="519">
        <v>8637</v>
      </c>
      <c r="V415" s="595">
        <f t="shared" si="130"/>
        <v>67467</v>
      </c>
      <c r="W415" s="596">
        <f t="shared" si="131"/>
        <v>65986</v>
      </c>
      <c r="X415" s="592"/>
      <c r="Y415" s="519"/>
      <c r="Z415" s="592"/>
      <c r="AA415" s="519"/>
      <c r="AB415" s="592"/>
      <c r="AC415" s="519"/>
      <c r="AD415" s="592"/>
      <c r="AE415" s="519"/>
      <c r="AF415" s="595">
        <f t="shared" si="132"/>
        <v>0</v>
      </c>
      <c r="AG415" s="595">
        <f t="shared" si="133"/>
        <v>0</v>
      </c>
      <c r="AH415" s="596">
        <f t="shared" si="134"/>
        <v>0</v>
      </c>
      <c r="AI415" s="596">
        <f t="shared" si="135"/>
        <v>0</v>
      </c>
      <c r="AJ415" s="592"/>
      <c r="AK415" s="519"/>
      <c r="AL415" s="595">
        <f t="shared" si="136"/>
        <v>0</v>
      </c>
      <c r="AM415" s="596">
        <f t="shared" si="137"/>
        <v>0</v>
      </c>
      <c r="AN415" s="592"/>
      <c r="AO415" s="519"/>
      <c r="AP415" s="592"/>
      <c r="AQ415" s="519"/>
      <c r="AR415" s="592"/>
      <c r="AS415" s="519"/>
      <c r="AT415" s="592"/>
      <c r="AU415" s="519"/>
      <c r="AV415" s="595">
        <f t="shared" si="138"/>
        <v>0</v>
      </c>
      <c r="AW415" s="595">
        <f t="shared" si="139"/>
        <v>0</v>
      </c>
      <c r="AX415" s="596">
        <f t="shared" si="140"/>
        <v>0</v>
      </c>
      <c r="AY415" s="596">
        <f t="shared" si="141"/>
        <v>0</v>
      </c>
      <c r="AZ415" s="595">
        <f t="shared" si="142"/>
        <v>2248.9</v>
      </c>
      <c r="BA415" s="596">
        <f t="shared" si="143"/>
        <v>2199.5333333333333</v>
      </c>
    </row>
    <row r="416" spans="1:53" s="365" customFormat="1" ht="15" customHeight="1">
      <c r="A416" s="442" t="s">
        <v>359</v>
      </c>
      <c r="B416" s="418" t="s">
        <v>375</v>
      </c>
      <c r="C416" s="464"/>
      <c r="D416" s="417">
        <v>219888</v>
      </c>
      <c r="E416" s="417">
        <v>9</v>
      </c>
      <c r="F416" s="592"/>
      <c r="G416" s="519"/>
      <c r="H416" s="592"/>
      <c r="I416" s="519"/>
      <c r="J416" s="592">
        <v>54455</v>
      </c>
      <c r="K416" s="519">
        <v>56195</v>
      </c>
      <c r="L416" s="592">
        <v>11593</v>
      </c>
      <c r="M416" s="519">
        <v>13161</v>
      </c>
      <c r="N416" s="592">
        <v>66974</v>
      </c>
      <c r="O416" s="519">
        <v>63016</v>
      </c>
      <c r="P416" s="595">
        <f t="shared" si="126"/>
        <v>133022</v>
      </c>
      <c r="Q416" s="595">
        <f t="shared" si="127"/>
        <v>4434.0666666666666</v>
      </c>
      <c r="R416" s="596">
        <f t="shared" si="128"/>
        <v>132372</v>
      </c>
      <c r="S416" s="596">
        <f t="shared" si="129"/>
        <v>4412.3999999999996</v>
      </c>
      <c r="T416" s="592">
        <v>9327</v>
      </c>
      <c r="U416" s="519">
        <v>9368</v>
      </c>
      <c r="V416" s="595">
        <f t="shared" si="130"/>
        <v>133022</v>
      </c>
      <c r="W416" s="596">
        <f t="shared" si="131"/>
        <v>132372</v>
      </c>
      <c r="X416" s="592"/>
      <c r="Y416" s="519"/>
      <c r="Z416" s="592"/>
      <c r="AA416" s="519"/>
      <c r="AB416" s="592"/>
      <c r="AC416" s="519"/>
      <c r="AD416" s="592"/>
      <c r="AE416" s="519"/>
      <c r="AF416" s="595">
        <f t="shared" si="132"/>
        <v>0</v>
      </c>
      <c r="AG416" s="595">
        <f t="shared" si="133"/>
        <v>0</v>
      </c>
      <c r="AH416" s="596">
        <f t="shared" si="134"/>
        <v>0</v>
      </c>
      <c r="AI416" s="596">
        <f t="shared" si="135"/>
        <v>0</v>
      </c>
      <c r="AJ416" s="592"/>
      <c r="AK416" s="519"/>
      <c r="AL416" s="595">
        <f t="shared" si="136"/>
        <v>0</v>
      </c>
      <c r="AM416" s="596">
        <f t="shared" si="137"/>
        <v>0</v>
      </c>
      <c r="AN416" s="592"/>
      <c r="AO416" s="519"/>
      <c r="AP416" s="592"/>
      <c r="AQ416" s="519"/>
      <c r="AR416" s="592"/>
      <c r="AS416" s="519"/>
      <c r="AT416" s="592"/>
      <c r="AU416" s="519"/>
      <c r="AV416" s="595">
        <f t="shared" si="138"/>
        <v>0</v>
      </c>
      <c r="AW416" s="595">
        <f t="shared" si="139"/>
        <v>0</v>
      </c>
      <c r="AX416" s="596">
        <f t="shared" si="140"/>
        <v>0</v>
      </c>
      <c r="AY416" s="596">
        <f t="shared" si="141"/>
        <v>0</v>
      </c>
      <c r="AZ416" s="595">
        <f t="shared" si="142"/>
        <v>4434.0666666666666</v>
      </c>
      <c r="BA416" s="596">
        <f t="shared" si="143"/>
        <v>4412.3999999999996</v>
      </c>
    </row>
    <row r="417" spans="1:53" s="365" customFormat="1" ht="15" customHeight="1">
      <c r="A417" s="442" t="s">
        <v>359</v>
      </c>
      <c r="B417" s="418" t="s">
        <v>377</v>
      </c>
      <c r="C417" s="464"/>
      <c r="D417" s="417">
        <v>220400</v>
      </c>
      <c r="E417" s="417">
        <v>9</v>
      </c>
      <c r="F417" s="592"/>
      <c r="G417" s="519"/>
      <c r="H417" s="592"/>
      <c r="I417" s="519"/>
      <c r="J417" s="592">
        <v>37080</v>
      </c>
      <c r="K417" s="519">
        <v>39614</v>
      </c>
      <c r="L417" s="592">
        <v>7397</v>
      </c>
      <c r="M417" s="519">
        <v>8294</v>
      </c>
      <c r="N417" s="592">
        <v>47019</v>
      </c>
      <c r="O417" s="519">
        <v>39819</v>
      </c>
      <c r="P417" s="595">
        <f t="shared" si="126"/>
        <v>91496</v>
      </c>
      <c r="Q417" s="595">
        <f t="shared" si="127"/>
        <v>3049.8666666666668</v>
      </c>
      <c r="R417" s="596">
        <f t="shared" si="128"/>
        <v>87727</v>
      </c>
      <c r="S417" s="596">
        <f t="shared" si="129"/>
        <v>2924.2333333333331</v>
      </c>
      <c r="T417" s="592">
        <v>12523</v>
      </c>
      <c r="U417" s="519">
        <v>12319</v>
      </c>
      <c r="V417" s="595">
        <f t="shared" si="130"/>
        <v>91496</v>
      </c>
      <c r="W417" s="596">
        <f t="shared" si="131"/>
        <v>87727</v>
      </c>
      <c r="X417" s="592"/>
      <c r="Y417" s="519"/>
      <c r="Z417" s="592"/>
      <c r="AA417" s="519"/>
      <c r="AB417" s="592"/>
      <c r="AC417" s="519"/>
      <c r="AD417" s="592"/>
      <c r="AE417" s="519"/>
      <c r="AF417" s="595">
        <f t="shared" si="132"/>
        <v>0</v>
      </c>
      <c r="AG417" s="595">
        <f t="shared" si="133"/>
        <v>0</v>
      </c>
      <c r="AH417" s="596">
        <f t="shared" si="134"/>
        <v>0</v>
      </c>
      <c r="AI417" s="596">
        <f t="shared" si="135"/>
        <v>0</v>
      </c>
      <c r="AJ417" s="592"/>
      <c r="AK417" s="519"/>
      <c r="AL417" s="595">
        <f t="shared" si="136"/>
        <v>0</v>
      </c>
      <c r="AM417" s="596">
        <f t="shared" si="137"/>
        <v>0</v>
      </c>
      <c r="AN417" s="592"/>
      <c r="AO417" s="519"/>
      <c r="AP417" s="592"/>
      <c r="AQ417" s="519"/>
      <c r="AR417" s="592"/>
      <c r="AS417" s="519"/>
      <c r="AT417" s="592"/>
      <c r="AU417" s="519"/>
      <c r="AV417" s="595">
        <f t="shared" si="138"/>
        <v>0</v>
      </c>
      <c r="AW417" s="595">
        <f t="shared" si="139"/>
        <v>0</v>
      </c>
      <c r="AX417" s="596">
        <f t="shared" si="140"/>
        <v>0</v>
      </c>
      <c r="AY417" s="596">
        <f t="shared" si="141"/>
        <v>0</v>
      </c>
      <c r="AZ417" s="595">
        <f t="shared" si="142"/>
        <v>3049.8666666666668</v>
      </c>
      <c r="BA417" s="596">
        <f t="shared" si="143"/>
        <v>2924.2333333333331</v>
      </c>
    </row>
    <row r="418" spans="1:53" s="365" customFormat="1" ht="15" customHeight="1">
      <c r="A418" s="442" t="s">
        <v>359</v>
      </c>
      <c r="B418" s="418" t="s">
        <v>378</v>
      </c>
      <c r="C418" s="464"/>
      <c r="D418" s="417">
        <v>221096</v>
      </c>
      <c r="E418" s="417">
        <v>9</v>
      </c>
      <c r="F418" s="592"/>
      <c r="G418" s="519"/>
      <c r="H418" s="592"/>
      <c r="I418" s="519"/>
      <c r="J418" s="592">
        <v>57936</v>
      </c>
      <c r="K418" s="519">
        <v>59335</v>
      </c>
      <c r="L418" s="592">
        <v>12666</v>
      </c>
      <c r="M418" s="519">
        <v>11507</v>
      </c>
      <c r="N418" s="592">
        <v>68563</v>
      </c>
      <c r="O418" s="519">
        <v>62334</v>
      </c>
      <c r="P418" s="595">
        <f t="shared" si="126"/>
        <v>139165</v>
      </c>
      <c r="Q418" s="595">
        <f t="shared" si="127"/>
        <v>4638.833333333333</v>
      </c>
      <c r="R418" s="596">
        <f t="shared" si="128"/>
        <v>133176</v>
      </c>
      <c r="S418" s="596">
        <f t="shared" si="129"/>
        <v>4439.2</v>
      </c>
      <c r="T418" s="592">
        <v>18577</v>
      </c>
      <c r="U418" s="519">
        <v>19055</v>
      </c>
      <c r="V418" s="595">
        <f t="shared" si="130"/>
        <v>139165</v>
      </c>
      <c r="W418" s="596">
        <f t="shared" si="131"/>
        <v>133176</v>
      </c>
      <c r="X418" s="592"/>
      <c r="Y418" s="519"/>
      <c r="Z418" s="592"/>
      <c r="AA418" s="519"/>
      <c r="AB418" s="592"/>
      <c r="AC418" s="519"/>
      <c r="AD418" s="592"/>
      <c r="AE418" s="519"/>
      <c r="AF418" s="595">
        <f t="shared" si="132"/>
        <v>0</v>
      </c>
      <c r="AG418" s="595">
        <f t="shared" si="133"/>
        <v>0</v>
      </c>
      <c r="AH418" s="596">
        <f t="shared" si="134"/>
        <v>0</v>
      </c>
      <c r="AI418" s="596">
        <f t="shared" si="135"/>
        <v>0</v>
      </c>
      <c r="AJ418" s="592"/>
      <c r="AK418" s="519"/>
      <c r="AL418" s="595">
        <f t="shared" si="136"/>
        <v>0</v>
      </c>
      <c r="AM418" s="596">
        <f t="shared" si="137"/>
        <v>0</v>
      </c>
      <c r="AN418" s="592"/>
      <c r="AO418" s="519"/>
      <c r="AP418" s="592"/>
      <c r="AQ418" s="519"/>
      <c r="AR418" s="592"/>
      <c r="AS418" s="519"/>
      <c r="AT418" s="592"/>
      <c r="AU418" s="519"/>
      <c r="AV418" s="595">
        <f t="shared" si="138"/>
        <v>0</v>
      </c>
      <c r="AW418" s="595">
        <f t="shared" si="139"/>
        <v>0</v>
      </c>
      <c r="AX418" s="596">
        <f t="shared" si="140"/>
        <v>0</v>
      </c>
      <c r="AY418" s="596">
        <f t="shared" si="141"/>
        <v>0</v>
      </c>
      <c r="AZ418" s="595">
        <f t="shared" si="142"/>
        <v>4638.833333333333</v>
      </c>
      <c r="BA418" s="596">
        <f t="shared" si="143"/>
        <v>4439.2</v>
      </c>
    </row>
    <row r="419" spans="1:53" s="365" customFormat="1" ht="15" customHeight="1">
      <c r="A419" s="442" t="s">
        <v>359</v>
      </c>
      <c r="B419" s="418" t="s">
        <v>379</v>
      </c>
      <c r="C419" s="464"/>
      <c r="D419" s="417">
        <v>221908</v>
      </c>
      <c r="E419" s="417">
        <v>9</v>
      </c>
      <c r="F419" s="592"/>
      <c r="G419" s="519"/>
      <c r="H419" s="592"/>
      <c r="I419" s="519"/>
      <c r="J419" s="592">
        <v>53136</v>
      </c>
      <c r="K419" s="519">
        <v>52343</v>
      </c>
      <c r="L419" s="592">
        <v>7764</v>
      </c>
      <c r="M419" s="519">
        <v>8345</v>
      </c>
      <c r="N419" s="592">
        <v>62645</v>
      </c>
      <c r="O419" s="519">
        <v>55682</v>
      </c>
      <c r="P419" s="595">
        <f t="shared" si="126"/>
        <v>123545</v>
      </c>
      <c r="Q419" s="595">
        <f t="shared" si="127"/>
        <v>4118.166666666667</v>
      </c>
      <c r="R419" s="596">
        <f t="shared" si="128"/>
        <v>116370</v>
      </c>
      <c r="S419" s="596">
        <f t="shared" si="129"/>
        <v>3879</v>
      </c>
      <c r="T419" s="592">
        <v>8975</v>
      </c>
      <c r="U419" s="519">
        <v>8529</v>
      </c>
      <c r="V419" s="595">
        <f t="shared" si="130"/>
        <v>123545</v>
      </c>
      <c r="W419" s="596">
        <f t="shared" si="131"/>
        <v>116370</v>
      </c>
      <c r="X419" s="592"/>
      <c r="Y419" s="519"/>
      <c r="Z419" s="592"/>
      <c r="AA419" s="519"/>
      <c r="AB419" s="592"/>
      <c r="AC419" s="519"/>
      <c r="AD419" s="592"/>
      <c r="AE419" s="519"/>
      <c r="AF419" s="595">
        <f t="shared" si="132"/>
        <v>0</v>
      </c>
      <c r="AG419" s="595">
        <f t="shared" si="133"/>
        <v>0</v>
      </c>
      <c r="AH419" s="596">
        <f t="shared" si="134"/>
        <v>0</v>
      </c>
      <c r="AI419" s="596">
        <f t="shared" si="135"/>
        <v>0</v>
      </c>
      <c r="AJ419" s="592"/>
      <c r="AK419" s="519"/>
      <c r="AL419" s="595">
        <f t="shared" si="136"/>
        <v>0</v>
      </c>
      <c r="AM419" s="596">
        <f t="shared" si="137"/>
        <v>0</v>
      </c>
      <c r="AN419" s="592"/>
      <c r="AO419" s="519"/>
      <c r="AP419" s="592"/>
      <c r="AQ419" s="519"/>
      <c r="AR419" s="592"/>
      <c r="AS419" s="519"/>
      <c r="AT419" s="592"/>
      <c r="AU419" s="519"/>
      <c r="AV419" s="595">
        <f t="shared" si="138"/>
        <v>0</v>
      </c>
      <c r="AW419" s="595">
        <f t="shared" si="139"/>
        <v>0</v>
      </c>
      <c r="AX419" s="596">
        <f t="shared" si="140"/>
        <v>0</v>
      </c>
      <c r="AY419" s="596">
        <f t="shared" si="141"/>
        <v>0</v>
      </c>
      <c r="AZ419" s="595">
        <f t="shared" si="142"/>
        <v>4118.166666666667</v>
      </c>
      <c r="BA419" s="596">
        <f t="shared" si="143"/>
        <v>3879</v>
      </c>
    </row>
    <row r="420" spans="1:53" s="365" customFormat="1" ht="15" customHeight="1">
      <c r="A420" s="442" t="s">
        <v>359</v>
      </c>
      <c r="B420" s="418" t="s">
        <v>380</v>
      </c>
      <c r="C420" s="464"/>
      <c r="D420" s="417">
        <v>221397</v>
      </c>
      <c r="E420" s="417">
        <v>9</v>
      </c>
      <c r="F420" s="592"/>
      <c r="G420" s="519"/>
      <c r="H420" s="592"/>
      <c r="I420" s="519"/>
      <c r="J420" s="592">
        <v>52087</v>
      </c>
      <c r="K420" s="519">
        <v>51276</v>
      </c>
      <c r="L420" s="592">
        <v>7003</v>
      </c>
      <c r="M420" s="519">
        <v>7706</v>
      </c>
      <c r="N420" s="592">
        <v>59738</v>
      </c>
      <c r="O420" s="519">
        <v>52972</v>
      </c>
      <c r="P420" s="595">
        <f t="shared" si="126"/>
        <v>118828</v>
      </c>
      <c r="Q420" s="595">
        <f t="shared" si="127"/>
        <v>3960.9333333333334</v>
      </c>
      <c r="R420" s="596">
        <f t="shared" si="128"/>
        <v>111954</v>
      </c>
      <c r="S420" s="596">
        <f t="shared" si="129"/>
        <v>3731.8</v>
      </c>
      <c r="T420" s="592">
        <v>14953</v>
      </c>
      <c r="U420" s="519">
        <v>14910</v>
      </c>
      <c r="V420" s="595">
        <f t="shared" si="130"/>
        <v>118828</v>
      </c>
      <c r="W420" s="596">
        <f t="shared" si="131"/>
        <v>111954</v>
      </c>
      <c r="X420" s="592"/>
      <c r="Y420" s="519"/>
      <c r="Z420" s="592"/>
      <c r="AA420" s="519"/>
      <c r="AB420" s="592"/>
      <c r="AC420" s="519"/>
      <c r="AD420" s="592"/>
      <c r="AE420" s="519"/>
      <c r="AF420" s="595">
        <f t="shared" si="132"/>
        <v>0</v>
      </c>
      <c r="AG420" s="595">
        <f t="shared" si="133"/>
        <v>0</v>
      </c>
      <c r="AH420" s="596">
        <f t="shared" si="134"/>
        <v>0</v>
      </c>
      <c r="AI420" s="596">
        <f t="shared" si="135"/>
        <v>0</v>
      </c>
      <c r="AJ420" s="592"/>
      <c r="AK420" s="519"/>
      <c r="AL420" s="595">
        <f t="shared" si="136"/>
        <v>0</v>
      </c>
      <c r="AM420" s="596">
        <f t="shared" si="137"/>
        <v>0</v>
      </c>
      <c r="AN420" s="592"/>
      <c r="AO420" s="519"/>
      <c r="AP420" s="592"/>
      <c r="AQ420" s="519"/>
      <c r="AR420" s="592"/>
      <c r="AS420" s="519"/>
      <c r="AT420" s="592"/>
      <c r="AU420" s="519"/>
      <c r="AV420" s="595">
        <f t="shared" si="138"/>
        <v>0</v>
      </c>
      <c r="AW420" s="595">
        <f t="shared" si="139"/>
        <v>0</v>
      </c>
      <c r="AX420" s="596">
        <f t="shared" si="140"/>
        <v>0</v>
      </c>
      <c r="AY420" s="596">
        <f t="shared" si="141"/>
        <v>0</v>
      </c>
      <c r="AZ420" s="595">
        <f t="shared" si="142"/>
        <v>3960.9333333333334</v>
      </c>
      <c r="BA420" s="596">
        <f t="shared" si="143"/>
        <v>3731.8</v>
      </c>
    </row>
    <row r="421" spans="1:53" s="365" customFormat="1" ht="15" customHeight="1">
      <c r="A421" s="417" t="s">
        <v>359</v>
      </c>
      <c r="B421" s="418" t="s">
        <v>381</v>
      </c>
      <c r="C421" s="464"/>
      <c r="D421" s="417">
        <v>222062</v>
      </c>
      <c r="E421" s="417">
        <v>9</v>
      </c>
      <c r="F421" s="592"/>
      <c r="G421" s="519"/>
      <c r="H421" s="592"/>
      <c r="I421" s="519"/>
      <c r="J421" s="592">
        <v>54184</v>
      </c>
      <c r="K421" s="519">
        <v>51325</v>
      </c>
      <c r="L421" s="592">
        <v>6119</v>
      </c>
      <c r="M421" s="519">
        <v>8152</v>
      </c>
      <c r="N421" s="592">
        <v>63882</v>
      </c>
      <c r="O421" s="519">
        <v>57526</v>
      </c>
      <c r="P421" s="595">
        <f t="shared" si="126"/>
        <v>124185</v>
      </c>
      <c r="Q421" s="595">
        <f t="shared" si="127"/>
        <v>4139.5</v>
      </c>
      <c r="R421" s="596">
        <f t="shared" si="128"/>
        <v>117003</v>
      </c>
      <c r="S421" s="596">
        <f t="shared" si="129"/>
        <v>3900.1</v>
      </c>
      <c r="T421" s="592">
        <v>12800</v>
      </c>
      <c r="U421" s="519">
        <v>12784</v>
      </c>
      <c r="V421" s="595">
        <f t="shared" si="130"/>
        <v>124185</v>
      </c>
      <c r="W421" s="596">
        <f t="shared" si="131"/>
        <v>117003</v>
      </c>
      <c r="X421" s="592"/>
      <c r="Y421" s="519"/>
      <c r="Z421" s="592"/>
      <c r="AA421" s="519"/>
      <c r="AB421" s="592"/>
      <c r="AC421" s="519"/>
      <c r="AD421" s="592"/>
      <c r="AE421" s="519"/>
      <c r="AF421" s="595">
        <f t="shared" si="132"/>
        <v>0</v>
      </c>
      <c r="AG421" s="595">
        <f t="shared" si="133"/>
        <v>0</v>
      </c>
      <c r="AH421" s="596">
        <f t="shared" si="134"/>
        <v>0</v>
      </c>
      <c r="AI421" s="596">
        <f t="shared" si="135"/>
        <v>0</v>
      </c>
      <c r="AJ421" s="592"/>
      <c r="AK421" s="519"/>
      <c r="AL421" s="595">
        <f t="shared" si="136"/>
        <v>0</v>
      </c>
      <c r="AM421" s="596">
        <f t="shared" si="137"/>
        <v>0</v>
      </c>
      <c r="AN421" s="592"/>
      <c r="AO421" s="519"/>
      <c r="AP421" s="592"/>
      <c r="AQ421" s="519"/>
      <c r="AR421" s="592"/>
      <c r="AS421" s="519"/>
      <c r="AT421" s="592"/>
      <c r="AU421" s="519"/>
      <c r="AV421" s="595">
        <f t="shared" si="138"/>
        <v>0</v>
      </c>
      <c r="AW421" s="595">
        <f t="shared" si="139"/>
        <v>0</v>
      </c>
      <c r="AX421" s="596">
        <f t="shared" si="140"/>
        <v>0</v>
      </c>
      <c r="AY421" s="596">
        <f t="shared" si="141"/>
        <v>0</v>
      </c>
      <c r="AZ421" s="595">
        <f t="shared" si="142"/>
        <v>4139.5</v>
      </c>
      <c r="BA421" s="596">
        <f t="shared" si="143"/>
        <v>3900.1</v>
      </c>
    </row>
    <row r="422" spans="1:53" s="365" customFormat="1" ht="15" customHeight="1">
      <c r="A422" s="417" t="s">
        <v>359</v>
      </c>
      <c r="B422" s="418" t="s">
        <v>376</v>
      </c>
      <c r="C422" s="463"/>
      <c r="D422" s="417">
        <v>220057</v>
      </c>
      <c r="E422" s="417">
        <v>10</v>
      </c>
      <c r="F422" s="592"/>
      <c r="G422" s="519"/>
      <c r="H422" s="592"/>
      <c r="I422" s="519"/>
      <c r="J422" s="592">
        <v>22580</v>
      </c>
      <c r="K422" s="519">
        <v>22766</v>
      </c>
      <c r="L422" s="592">
        <v>4394</v>
      </c>
      <c r="M422" s="519">
        <v>4325</v>
      </c>
      <c r="N422" s="592">
        <v>26134</v>
      </c>
      <c r="O422" s="519">
        <v>24448</v>
      </c>
      <c r="P422" s="595">
        <f t="shared" si="126"/>
        <v>53108</v>
      </c>
      <c r="Q422" s="595">
        <f t="shared" si="127"/>
        <v>1770.2666666666667</v>
      </c>
      <c r="R422" s="596">
        <f t="shared" si="128"/>
        <v>51539</v>
      </c>
      <c r="S422" s="596">
        <f t="shared" si="129"/>
        <v>1717.9666666666667</v>
      </c>
      <c r="T422" s="592">
        <v>6012</v>
      </c>
      <c r="U422" s="519">
        <v>5504</v>
      </c>
      <c r="V422" s="595">
        <f t="shared" si="130"/>
        <v>53108</v>
      </c>
      <c r="W422" s="596">
        <f t="shared" si="131"/>
        <v>51539</v>
      </c>
      <c r="X422" s="592"/>
      <c r="Y422" s="519"/>
      <c r="Z422" s="592"/>
      <c r="AA422" s="519"/>
      <c r="AB422" s="592"/>
      <c r="AC422" s="519"/>
      <c r="AD422" s="592"/>
      <c r="AE422" s="519"/>
      <c r="AF422" s="595">
        <f t="shared" si="132"/>
        <v>0</v>
      </c>
      <c r="AG422" s="595">
        <f t="shared" si="133"/>
        <v>0</v>
      </c>
      <c r="AH422" s="596">
        <f t="shared" si="134"/>
        <v>0</v>
      </c>
      <c r="AI422" s="596">
        <f t="shared" si="135"/>
        <v>0</v>
      </c>
      <c r="AJ422" s="592"/>
      <c r="AK422" s="519"/>
      <c r="AL422" s="595">
        <f t="shared" si="136"/>
        <v>0</v>
      </c>
      <c r="AM422" s="596">
        <f t="shared" si="137"/>
        <v>0</v>
      </c>
      <c r="AN422" s="592"/>
      <c r="AO422" s="519"/>
      <c r="AP422" s="592"/>
      <c r="AQ422" s="519"/>
      <c r="AR422" s="592"/>
      <c r="AS422" s="519"/>
      <c r="AT422" s="592"/>
      <c r="AU422" s="519"/>
      <c r="AV422" s="595">
        <f t="shared" si="138"/>
        <v>0</v>
      </c>
      <c r="AW422" s="595">
        <f t="shared" si="139"/>
        <v>0</v>
      </c>
      <c r="AX422" s="596">
        <f t="shared" si="140"/>
        <v>0</v>
      </c>
      <c r="AY422" s="596">
        <f t="shared" si="141"/>
        <v>0</v>
      </c>
      <c r="AZ422" s="595">
        <f t="shared" si="142"/>
        <v>1770.2666666666667</v>
      </c>
      <c r="BA422" s="596">
        <f t="shared" si="143"/>
        <v>1717.9666666666667</v>
      </c>
    </row>
    <row r="423" spans="1:53" s="365" customFormat="1" ht="12.75" customHeight="1">
      <c r="A423" s="417" t="s">
        <v>359</v>
      </c>
      <c r="B423" s="418" t="s">
        <v>384</v>
      </c>
      <c r="C423" s="419"/>
      <c r="D423" s="417">
        <v>219596</v>
      </c>
      <c r="E423" s="417">
        <v>13</v>
      </c>
      <c r="F423" s="592"/>
      <c r="G423" s="519"/>
      <c r="H423" s="592"/>
      <c r="I423" s="519"/>
      <c r="J423" s="592"/>
      <c r="K423" s="519"/>
      <c r="L423" s="592"/>
      <c r="M423" s="519"/>
      <c r="N423" s="592"/>
      <c r="O423" s="519"/>
      <c r="P423" s="595">
        <f t="shared" si="126"/>
        <v>0</v>
      </c>
      <c r="Q423" s="595">
        <f t="shared" si="127"/>
        <v>0</v>
      </c>
      <c r="R423" s="596">
        <f t="shared" si="128"/>
        <v>0</v>
      </c>
      <c r="S423" s="596">
        <f t="shared" si="129"/>
        <v>0</v>
      </c>
      <c r="T423" s="592"/>
      <c r="U423" s="519"/>
      <c r="V423" s="595">
        <f t="shared" si="130"/>
        <v>0</v>
      </c>
      <c r="W423" s="596">
        <f t="shared" si="131"/>
        <v>0</v>
      </c>
      <c r="X423" s="592"/>
      <c r="Y423" s="519"/>
      <c r="Z423" s="592">
        <v>98018</v>
      </c>
      <c r="AA423" s="519">
        <v>89100</v>
      </c>
      <c r="AB423" s="592">
        <v>75283</v>
      </c>
      <c r="AC423" s="519">
        <v>67936</v>
      </c>
      <c r="AD423" s="592">
        <v>105359</v>
      </c>
      <c r="AE423" s="519">
        <v>78454</v>
      </c>
      <c r="AF423" s="595">
        <f t="shared" si="132"/>
        <v>278660</v>
      </c>
      <c r="AG423" s="595">
        <f t="shared" si="133"/>
        <v>309.62222222222221</v>
      </c>
      <c r="AH423" s="596">
        <f t="shared" si="134"/>
        <v>235490</v>
      </c>
      <c r="AI423" s="596">
        <f t="shared" si="135"/>
        <v>261.65555555555557</v>
      </c>
      <c r="AJ423" s="592"/>
      <c r="AK423" s="519"/>
      <c r="AL423" s="595">
        <f t="shared" si="136"/>
        <v>0</v>
      </c>
      <c r="AM423" s="596">
        <f t="shared" si="137"/>
        <v>0</v>
      </c>
      <c r="AN423" s="592"/>
      <c r="AO423" s="519"/>
      <c r="AP423" s="592"/>
      <c r="AQ423" s="519"/>
      <c r="AR423" s="592"/>
      <c r="AS423" s="519"/>
      <c r="AT423" s="592"/>
      <c r="AU423" s="519"/>
      <c r="AV423" s="595">
        <f t="shared" si="138"/>
        <v>0</v>
      </c>
      <c r="AW423" s="595">
        <f t="shared" si="139"/>
        <v>0</v>
      </c>
      <c r="AX423" s="596">
        <f t="shared" si="140"/>
        <v>0</v>
      </c>
      <c r="AY423" s="596">
        <f t="shared" si="141"/>
        <v>0</v>
      </c>
      <c r="AZ423" s="595">
        <f t="shared" si="142"/>
        <v>309.62222222222221</v>
      </c>
      <c r="BA423" s="596">
        <f t="shared" si="143"/>
        <v>261.65555555555557</v>
      </c>
    </row>
    <row r="424" spans="1:53" s="365" customFormat="1" ht="15" customHeight="1">
      <c r="A424" s="417" t="s">
        <v>359</v>
      </c>
      <c r="B424" s="418" t="s">
        <v>382</v>
      </c>
      <c r="C424" s="463"/>
      <c r="D424" s="417" t="s">
        <v>383</v>
      </c>
      <c r="E424" s="514">
        <v>13</v>
      </c>
      <c r="F424" s="592"/>
      <c r="G424" s="519"/>
      <c r="H424" s="592"/>
      <c r="I424" s="519"/>
      <c r="J424" s="592"/>
      <c r="K424" s="519"/>
      <c r="L424" s="592"/>
      <c r="M424" s="519"/>
      <c r="N424" s="592"/>
      <c r="O424" s="519"/>
      <c r="P424" s="595">
        <f t="shared" si="126"/>
        <v>0</v>
      </c>
      <c r="Q424" s="595">
        <f t="shared" si="127"/>
        <v>0</v>
      </c>
      <c r="R424" s="596">
        <f t="shared" si="128"/>
        <v>0</v>
      </c>
      <c r="S424" s="596">
        <f t="shared" si="129"/>
        <v>0</v>
      </c>
      <c r="T424" s="592"/>
      <c r="U424" s="519"/>
      <c r="V424" s="595">
        <f t="shared" si="130"/>
        <v>0</v>
      </c>
      <c r="W424" s="596">
        <f t="shared" si="131"/>
        <v>0</v>
      </c>
      <c r="X424" s="592"/>
      <c r="Y424" s="519"/>
      <c r="Z424" s="592">
        <v>315795</v>
      </c>
      <c r="AA424" s="519">
        <v>332363</v>
      </c>
      <c r="AB424" s="592">
        <v>197287</v>
      </c>
      <c r="AC424" s="519">
        <v>187331</v>
      </c>
      <c r="AD424" s="592">
        <v>329869</v>
      </c>
      <c r="AE424" s="519">
        <v>295842</v>
      </c>
      <c r="AF424" s="595">
        <f t="shared" si="132"/>
        <v>842951</v>
      </c>
      <c r="AG424" s="595">
        <f t="shared" si="133"/>
        <v>936.61222222222227</v>
      </c>
      <c r="AH424" s="596">
        <f t="shared" si="134"/>
        <v>815536</v>
      </c>
      <c r="AI424" s="596">
        <f t="shared" si="135"/>
        <v>906.15111111111116</v>
      </c>
      <c r="AJ424" s="592"/>
      <c r="AK424" s="519"/>
      <c r="AL424" s="595">
        <f t="shared" si="136"/>
        <v>0</v>
      </c>
      <c r="AM424" s="596">
        <f t="shared" si="137"/>
        <v>0</v>
      </c>
      <c r="AN424" s="592"/>
      <c r="AO424" s="519"/>
      <c r="AP424" s="592"/>
      <c r="AQ424" s="519"/>
      <c r="AR424" s="592"/>
      <c r="AS424" s="519"/>
      <c r="AT424" s="592"/>
      <c r="AU424" s="519"/>
      <c r="AV424" s="595">
        <f t="shared" si="138"/>
        <v>0</v>
      </c>
      <c r="AW424" s="595">
        <f t="shared" si="139"/>
        <v>0</v>
      </c>
      <c r="AX424" s="596">
        <f t="shared" si="140"/>
        <v>0</v>
      </c>
      <c r="AY424" s="596">
        <f t="shared" si="141"/>
        <v>0</v>
      </c>
      <c r="AZ424" s="595">
        <f t="shared" si="142"/>
        <v>936.61222222222227</v>
      </c>
      <c r="BA424" s="596">
        <f t="shared" si="143"/>
        <v>906.15111111111116</v>
      </c>
    </row>
    <row r="425" spans="1:53" s="1" customFormat="1">
      <c r="A425" s="417" t="s">
        <v>359</v>
      </c>
      <c r="B425" s="418" t="s">
        <v>385</v>
      </c>
      <c r="C425" s="419"/>
      <c r="D425" s="417">
        <v>219921</v>
      </c>
      <c r="E425" s="417">
        <v>13</v>
      </c>
      <c r="F425" s="592"/>
      <c r="G425" s="519"/>
      <c r="H425" s="592"/>
      <c r="I425" s="519"/>
      <c r="J425" s="592"/>
      <c r="K425" s="519"/>
      <c r="L425" s="592"/>
      <c r="M425" s="519"/>
      <c r="N425" s="592"/>
      <c r="O425" s="519"/>
      <c r="P425" s="595">
        <f t="shared" si="126"/>
        <v>0</v>
      </c>
      <c r="Q425" s="595">
        <f t="shared" si="127"/>
        <v>0</v>
      </c>
      <c r="R425" s="596">
        <f t="shared" si="128"/>
        <v>0</v>
      </c>
      <c r="S425" s="596">
        <f t="shared" si="129"/>
        <v>0</v>
      </c>
      <c r="T425" s="592"/>
      <c r="U425" s="519"/>
      <c r="V425" s="595">
        <f t="shared" si="130"/>
        <v>0</v>
      </c>
      <c r="W425" s="596">
        <f t="shared" si="131"/>
        <v>0</v>
      </c>
      <c r="X425" s="592"/>
      <c r="Y425" s="519"/>
      <c r="Z425" s="592">
        <v>72107</v>
      </c>
      <c r="AA425" s="519">
        <v>81592</v>
      </c>
      <c r="AB425" s="592">
        <v>55701</v>
      </c>
      <c r="AC425" s="519">
        <v>71588</v>
      </c>
      <c r="AD425" s="592">
        <v>94211</v>
      </c>
      <c r="AE425" s="519">
        <v>92879</v>
      </c>
      <c r="AF425" s="595">
        <f t="shared" si="132"/>
        <v>222019</v>
      </c>
      <c r="AG425" s="595">
        <f t="shared" si="133"/>
        <v>246.68777777777777</v>
      </c>
      <c r="AH425" s="596">
        <f t="shared" si="134"/>
        <v>246059</v>
      </c>
      <c r="AI425" s="596">
        <f t="shared" si="135"/>
        <v>273.39888888888891</v>
      </c>
      <c r="AJ425" s="592"/>
      <c r="AK425" s="519"/>
      <c r="AL425" s="595">
        <f t="shared" si="136"/>
        <v>0</v>
      </c>
      <c r="AM425" s="596">
        <f t="shared" si="137"/>
        <v>0</v>
      </c>
      <c r="AN425" s="592"/>
      <c r="AO425" s="519"/>
      <c r="AP425" s="592"/>
      <c r="AQ425" s="519"/>
      <c r="AR425" s="592"/>
      <c r="AS425" s="519"/>
      <c r="AT425" s="592"/>
      <c r="AU425" s="519"/>
      <c r="AV425" s="595">
        <f t="shared" si="138"/>
        <v>0</v>
      </c>
      <c r="AW425" s="595">
        <f t="shared" si="139"/>
        <v>0</v>
      </c>
      <c r="AX425" s="596">
        <f t="shared" si="140"/>
        <v>0</v>
      </c>
      <c r="AY425" s="596">
        <f t="shared" si="141"/>
        <v>0</v>
      </c>
      <c r="AZ425" s="595">
        <f t="shared" si="142"/>
        <v>246.68777777777777</v>
      </c>
      <c r="BA425" s="596">
        <f t="shared" si="143"/>
        <v>273.39888888888891</v>
      </c>
    </row>
    <row r="426" spans="1:53" s="1" customFormat="1">
      <c r="A426" s="417" t="s">
        <v>359</v>
      </c>
      <c r="B426" s="418" t="s">
        <v>386</v>
      </c>
      <c r="C426" s="420"/>
      <c r="D426" s="417">
        <v>221591</v>
      </c>
      <c r="E426" s="417">
        <v>13</v>
      </c>
      <c r="F426" s="592"/>
      <c r="G426" s="519"/>
      <c r="H426" s="592"/>
      <c r="I426" s="519"/>
      <c r="J426" s="592"/>
      <c r="K426" s="519"/>
      <c r="L426" s="592"/>
      <c r="M426" s="519"/>
      <c r="N426" s="592"/>
      <c r="O426" s="519"/>
      <c r="P426" s="595">
        <f t="shared" si="126"/>
        <v>0</v>
      </c>
      <c r="Q426" s="595">
        <f t="shared" si="127"/>
        <v>0</v>
      </c>
      <c r="R426" s="596">
        <f t="shared" si="128"/>
        <v>0</v>
      </c>
      <c r="S426" s="596">
        <f t="shared" si="129"/>
        <v>0</v>
      </c>
      <c r="T426" s="592"/>
      <c r="U426" s="519"/>
      <c r="V426" s="595">
        <f t="shared" si="130"/>
        <v>0</v>
      </c>
      <c r="W426" s="596">
        <f t="shared" si="131"/>
        <v>0</v>
      </c>
      <c r="X426" s="592"/>
      <c r="Y426" s="519"/>
      <c r="Z426" s="592">
        <v>133559</v>
      </c>
      <c r="AA426" s="519">
        <v>124158</v>
      </c>
      <c r="AB426" s="592">
        <v>119267</v>
      </c>
      <c r="AC426" s="519">
        <v>108760</v>
      </c>
      <c r="AD426" s="592">
        <v>140424</v>
      </c>
      <c r="AE426" s="519">
        <v>143991</v>
      </c>
      <c r="AF426" s="595">
        <f t="shared" si="132"/>
        <v>393250</v>
      </c>
      <c r="AG426" s="595">
        <f t="shared" si="133"/>
        <v>436.94444444444446</v>
      </c>
      <c r="AH426" s="596">
        <f t="shared" si="134"/>
        <v>376909</v>
      </c>
      <c r="AI426" s="596">
        <f t="shared" si="135"/>
        <v>418.78777777777776</v>
      </c>
      <c r="AJ426" s="592"/>
      <c r="AK426" s="519"/>
      <c r="AL426" s="595">
        <f t="shared" si="136"/>
        <v>0</v>
      </c>
      <c r="AM426" s="596">
        <f t="shared" si="137"/>
        <v>0</v>
      </c>
      <c r="AN426" s="592"/>
      <c r="AO426" s="519"/>
      <c r="AP426" s="592"/>
      <c r="AQ426" s="519"/>
      <c r="AR426" s="592"/>
      <c r="AS426" s="519"/>
      <c r="AT426" s="592"/>
      <c r="AU426" s="519"/>
      <c r="AV426" s="595">
        <f t="shared" si="138"/>
        <v>0</v>
      </c>
      <c r="AW426" s="595">
        <f t="shared" si="139"/>
        <v>0</v>
      </c>
      <c r="AX426" s="596">
        <f t="shared" si="140"/>
        <v>0</v>
      </c>
      <c r="AY426" s="596">
        <f t="shared" si="141"/>
        <v>0</v>
      </c>
      <c r="AZ426" s="595">
        <f t="shared" si="142"/>
        <v>436.94444444444446</v>
      </c>
      <c r="BA426" s="596">
        <f t="shared" si="143"/>
        <v>418.78777777777776</v>
      </c>
    </row>
    <row r="427" spans="1:53" s="1" customFormat="1">
      <c r="A427" s="417" t="s">
        <v>359</v>
      </c>
      <c r="B427" s="418" t="s">
        <v>387</v>
      </c>
      <c r="C427" s="419"/>
      <c r="D427" s="417">
        <v>221430</v>
      </c>
      <c r="E427" s="417">
        <v>13</v>
      </c>
      <c r="F427" s="592"/>
      <c r="G427" s="519"/>
      <c r="H427" s="592"/>
      <c r="I427" s="519"/>
      <c r="J427" s="592"/>
      <c r="K427" s="519"/>
      <c r="L427" s="592"/>
      <c r="M427" s="519"/>
      <c r="N427" s="592"/>
      <c r="O427" s="519"/>
      <c r="P427" s="595">
        <f t="shared" si="126"/>
        <v>0</v>
      </c>
      <c r="Q427" s="595">
        <f t="shared" si="127"/>
        <v>0</v>
      </c>
      <c r="R427" s="596">
        <f t="shared" si="128"/>
        <v>0</v>
      </c>
      <c r="S427" s="596">
        <f t="shared" si="129"/>
        <v>0</v>
      </c>
      <c r="T427" s="592"/>
      <c r="U427" s="519"/>
      <c r="V427" s="595">
        <f t="shared" si="130"/>
        <v>0</v>
      </c>
      <c r="W427" s="596">
        <f t="shared" si="131"/>
        <v>0</v>
      </c>
      <c r="X427" s="592"/>
      <c r="Y427" s="519"/>
      <c r="Z427" s="592">
        <v>74482</v>
      </c>
      <c r="AA427" s="519">
        <v>125883</v>
      </c>
      <c r="AB427" s="592">
        <v>63255</v>
      </c>
      <c r="AC427" s="519">
        <v>74810</v>
      </c>
      <c r="AD427" s="592">
        <v>166896</v>
      </c>
      <c r="AE427" s="519">
        <v>158002</v>
      </c>
      <c r="AF427" s="595">
        <f t="shared" si="132"/>
        <v>304633</v>
      </c>
      <c r="AG427" s="595">
        <f t="shared" si="133"/>
        <v>338.48111111111109</v>
      </c>
      <c r="AH427" s="596">
        <f t="shared" si="134"/>
        <v>358695</v>
      </c>
      <c r="AI427" s="596">
        <f t="shared" si="135"/>
        <v>398.55</v>
      </c>
      <c r="AJ427" s="592"/>
      <c r="AK427" s="519"/>
      <c r="AL427" s="595">
        <f t="shared" si="136"/>
        <v>0</v>
      </c>
      <c r="AM427" s="596">
        <f t="shared" si="137"/>
        <v>0</v>
      </c>
      <c r="AN427" s="592"/>
      <c r="AO427" s="519"/>
      <c r="AP427" s="592"/>
      <c r="AQ427" s="519"/>
      <c r="AR427" s="592"/>
      <c r="AS427" s="519"/>
      <c r="AT427" s="592"/>
      <c r="AU427" s="519"/>
      <c r="AV427" s="595">
        <f t="shared" si="138"/>
        <v>0</v>
      </c>
      <c r="AW427" s="595">
        <f t="shared" si="139"/>
        <v>0</v>
      </c>
      <c r="AX427" s="596">
        <f t="shared" si="140"/>
        <v>0</v>
      </c>
      <c r="AY427" s="596">
        <f t="shared" si="141"/>
        <v>0</v>
      </c>
      <c r="AZ427" s="595">
        <f t="shared" si="142"/>
        <v>338.48111111111109</v>
      </c>
      <c r="BA427" s="596">
        <f t="shared" si="143"/>
        <v>398.55</v>
      </c>
    </row>
    <row r="428" spans="1:53" s="1" customFormat="1">
      <c r="A428" s="417" t="s">
        <v>359</v>
      </c>
      <c r="B428" s="418" t="s">
        <v>388</v>
      </c>
      <c r="C428" s="419"/>
      <c r="D428" s="417">
        <v>219994</v>
      </c>
      <c r="E428" s="417">
        <v>13</v>
      </c>
      <c r="F428" s="592"/>
      <c r="G428" s="519"/>
      <c r="H428" s="592"/>
      <c r="I428" s="519"/>
      <c r="J428" s="592"/>
      <c r="K428" s="519"/>
      <c r="L428" s="592"/>
      <c r="M428" s="519"/>
      <c r="N428" s="592"/>
      <c r="O428" s="519"/>
      <c r="P428" s="595">
        <f t="shared" si="126"/>
        <v>0</v>
      </c>
      <c r="Q428" s="595">
        <f t="shared" si="127"/>
        <v>0</v>
      </c>
      <c r="R428" s="596">
        <f t="shared" si="128"/>
        <v>0</v>
      </c>
      <c r="S428" s="596">
        <f t="shared" si="129"/>
        <v>0</v>
      </c>
      <c r="T428" s="592"/>
      <c r="U428" s="519"/>
      <c r="V428" s="595">
        <f t="shared" si="130"/>
        <v>0</v>
      </c>
      <c r="W428" s="596">
        <f t="shared" si="131"/>
        <v>0</v>
      </c>
      <c r="X428" s="592"/>
      <c r="Y428" s="519"/>
      <c r="Z428" s="592">
        <v>224737</v>
      </c>
      <c r="AA428" s="519">
        <v>247400</v>
      </c>
      <c r="AB428" s="592">
        <v>186292</v>
      </c>
      <c r="AC428" s="519">
        <v>202300</v>
      </c>
      <c r="AD428" s="592">
        <v>246426</v>
      </c>
      <c r="AE428" s="519">
        <v>252017</v>
      </c>
      <c r="AF428" s="595">
        <f t="shared" si="132"/>
        <v>657455</v>
      </c>
      <c r="AG428" s="595">
        <f t="shared" si="133"/>
        <v>730.50555555555559</v>
      </c>
      <c r="AH428" s="596">
        <f t="shared" si="134"/>
        <v>701717</v>
      </c>
      <c r="AI428" s="596">
        <f t="shared" si="135"/>
        <v>779.68555555555554</v>
      </c>
      <c r="AJ428" s="592"/>
      <c r="AK428" s="519"/>
      <c r="AL428" s="595">
        <f t="shared" si="136"/>
        <v>0</v>
      </c>
      <c r="AM428" s="596">
        <f t="shared" si="137"/>
        <v>0</v>
      </c>
      <c r="AN428" s="592"/>
      <c r="AO428" s="519"/>
      <c r="AP428" s="592"/>
      <c r="AQ428" s="519"/>
      <c r="AR428" s="592"/>
      <c r="AS428" s="519"/>
      <c r="AT428" s="592"/>
      <c r="AU428" s="519"/>
      <c r="AV428" s="595">
        <f t="shared" si="138"/>
        <v>0</v>
      </c>
      <c r="AW428" s="595">
        <f t="shared" si="139"/>
        <v>0</v>
      </c>
      <c r="AX428" s="596">
        <f t="shared" si="140"/>
        <v>0</v>
      </c>
      <c r="AY428" s="596">
        <f t="shared" si="141"/>
        <v>0</v>
      </c>
      <c r="AZ428" s="595">
        <f t="shared" si="142"/>
        <v>730.50555555555559</v>
      </c>
      <c r="BA428" s="596">
        <f t="shared" si="143"/>
        <v>779.68555555555554</v>
      </c>
    </row>
    <row r="429" spans="1:53" s="365" customFormat="1" ht="12.75" customHeight="1">
      <c r="A429" s="417" t="s">
        <v>359</v>
      </c>
      <c r="B429" s="418" t="s">
        <v>389</v>
      </c>
      <c r="C429" s="420"/>
      <c r="D429" s="417">
        <v>220127</v>
      </c>
      <c r="E429" s="417">
        <v>13</v>
      </c>
      <c r="F429" s="592"/>
      <c r="G429" s="519"/>
      <c r="H429" s="592"/>
      <c r="I429" s="519"/>
      <c r="J429" s="592"/>
      <c r="K429" s="519"/>
      <c r="L429" s="592"/>
      <c r="M429" s="519"/>
      <c r="N429" s="592"/>
      <c r="O429" s="519"/>
      <c r="P429" s="595">
        <f t="shared" si="126"/>
        <v>0</v>
      </c>
      <c r="Q429" s="595">
        <f t="shared" si="127"/>
        <v>0</v>
      </c>
      <c r="R429" s="596">
        <f t="shared" si="128"/>
        <v>0</v>
      </c>
      <c r="S429" s="596">
        <f t="shared" si="129"/>
        <v>0</v>
      </c>
      <c r="T429" s="592"/>
      <c r="U429" s="519"/>
      <c r="V429" s="595">
        <f t="shared" si="130"/>
        <v>0</v>
      </c>
      <c r="W429" s="596">
        <f t="shared" si="131"/>
        <v>0</v>
      </c>
      <c r="X429" s="592"/>
      <c r="Y429" s="519"/>
      <c r="Z429" s="592">
        <v>167231</v>
      </c>
      <c r="AA429" s="519">
        <v>182440</v>
      </c>
      <c r="AB429" s="592">
        <v>151964</v>
      </c>
      <c r="AC429" s="519">
        <v>168363</v>
      </c>
      <c r="AD429" s="592">
        <v>176613</v>
      </c>
      <c r="AE429" s="519">
        <v>176639</v>
      </c>
      <c r="AF429" s="595">
        <f t="shared" si="132"/>
        <v>495808</v>
      </c>
      <c r="AG429" s="595">
        <f t="shared" si="133"/>
        <v>550.89777777777783</v>
      </c>
      <c r="AH429" s="596">
        <f t="shared" si="134"/>
        <v>527442</v>
      </c>
      <c r="AI429" s="596">
        <f t="shared" si="135"/>
        <v>586.04666666666662</v>
      </c>
      <c r="AJ429" s="592"/>
      <c r="AK429" s="519"/>
      <c r="AL429" s="595">
        <f t="shared" si="136"/>
        <v>0</v>
      </c>
      <c r="AM429" s="596">
        <f t="shared" si="137"/>
        <v>0</v>
      </c>
      <c r="AN429" s="592"/>
      <c r="AO429" s="519"/>
      <c r="AP429" s="592"/>
      <c r="AQ429" s="519"/>
      <c r="AR429" s="592"/>
      <c r="AS429" s="519"/>
      <c r="AT429" s="592"/>
      <c r="AU429" s="519"/>
      <c r="AV429" s="595">
        <f t="shared" si="138"/>
        <v>0</v>
      </c>
      <c r="AW429" s="595">
        <f t="shared" si="139"/>
        <v>0</v>
      </c>
      <c r="AX429" s="596">
        <f t="shared" si="140"/>
        <v>0</v>
      </c>
      <c r="AY429" s="596">
        <f t="shared" si="141"/>
        <v>0</v>
      </c>
      <c r="AZ429" s="595">
        <f t="shared" si="142"/>
        <v>550.89777777777783</v>
      </c>
      <c r="BA429" s="596">
        <f t="shared" si="143"/>
        <v>586.04666666666662</v>
      </c>
    </row>
    <row r="430" spans="1:53" s="1" customFormat="1">
      <c r="A430" s="417" t="s">
        <v>359</v>
      </c>
      <c r="B430" s="418" t="s">
        <v>390</v>
      </c>
      <c r="C430" s="419"/>
      <c r="D430" s="417">
        <v>220251</v>
      </c>
      <c r="E430" s="417">
        <v>13</v>
      </c>
      <c r="F430" s="592"/>
      <c r="G430" s="519"/>
      <c r="H430" s="592"/>
      <c r="I430" s="519"/>
      <c r="J430" s="592"/>
      <c r="K430" s="519"/>
      <c r="L430" s="592"/>
      <c r="M430" s="519"/>
      <c r="N430" s="592"/>
      <c r="O430" s="519"/>
      <c r="P430" s="595">
        <f t="shared" si="126"/>
        <v>0</v>
      </c>
      <c r="Q430" s="595">
        <f t="shared" si="127"/>
        <v>0</v>
      </c>
      <c r="R430" s="596">
        <f t="shared" si="128"/>
        <v>0</v>
      </c>
      <c r="S430" s="596">
        <f t="shared" si="129"/>
        <v>0</v>
      </c>
      <c r="T430" s="592"/>
      <c r="U430" s="519"/>
      <c r="V430" s="595">
        <f t="shared" si="130"/>
        <v>0</v>
      </c>
      <c r="W430" s="596">
        <f t="shared" si="131"/>
        <v>0</v>
      </c>
      <c r="X430" s="592"/>
      <c r="Y430" s="519"/>
      <c r="Z430" s="592">
        <v>109518</v>
      </c>
      <c r="AA430" s="519">
        <v>71693</v>
      </c>
      <c r="AB430" s="592">
        <v>62355</v>
      </c>
      <c r="AC430" s="519">
        <v>67098</v>
      </c>
      <c r="AD430" s="592">
        <v>104485</v>
      </c>
      <c r="AE430" s="519">
        <v>99460</v>
      </c>
      <c r="AF430" s="595">
        <f t="shared" si="132"/>
        <v>276358</v>
      </c>
      <c r="AG430" s="595">
        <f t="shared" si="133"/>
        <v>307.06444444444446</v>
      </c>
      <c r="AH430" s="596">
        <f t="shared" si="134"/>
        <v>238251</v>
      </c>
      <c r="AI430" s="596">
        <f t="shared" si="135"/>
        <v>264.72333333333336</v>
      </c>
      <c r="AJ430" s="592"/>
      <c r="AK430" s="519"/>
      <c r="AL430" s="595">
        <f t="shared" si="136"/>
        <v>0</v>
      </c>
      <c r="AM430" s="596">
        <f t="shared" si="137"/>
        <v>0</v>
      </c>
      <c r="AN430" s="592"/>
      <c r="AO430" s="519"/>
      <c r="AP430" s="592"/>
      <c r="AQ430" s="519"/>
      <c r="AR430" s="592"/>
      <c r="AS430" s="519"/>
      <c r="AT430" s="592"/>
      <c r="AU430" s="519"/>
      <c r="AV430" s="595">
        <f t="shared" si="138"/>
        <v>0</v>
      </c>
      <c r="AW430" s="595">
        <f t="shared" si="139"/>
        <v>0</v>
      </c>
      <c r="AX430" s="596">
        <f t="shared" si="140"/>
        <v>0</v>
      </c>
      <c r="AY430" s="596">
        <f t="shared" si="141"/>
        <v>0</v>
      </c>
      <c r="AZ430" s="595">
        <f t="shared" si="142"/>
        <v>307.06444444444446</v>
      </c>
      <c r="BA430" s="596">
        <f t="shared" si="143"/>
        <v>264.72333333333336</v>
      </c>
    </row>
    <row r="431" spans="1:53" s="365" customFormat="1" ht="12.75" customHeight="1">
      <c r="A431" s="417" t="s">
        <v>359</v>
      </c>
      <c r="B431" s="418" t="s">
        <v>391</v>
      </c>
      <c r="C431" s="419"/>
      <c r="D431" s="417">
        <v>220279</v>
      </c>
      <c r="E431" s="417">
        <v>13</v>
      </c>
      <c r="F431" s="592"/>
      <c r="G431" s="519"/>
      <c r="H431" s="592"/>
      <c r="I431" s="519"/>
      <c r="J431" s="592"/>
      <c r="K431" s="519"/>
      <c r="L431" s="592"/>
      <c r="M431" s="519"/>
      <c r="N431" s="592"/>
      <c r="O431" s="519"/>
      <c r="P431" s="595">
        <f t="shared" si="126"/>
        <v>0</v>
      </c>
      <c r="Q431" s="595">
        <f t="shared" si="127"/>
        <v>0</v>
      </c>
      <c r="R431" s="596">
        <f t="shared" si="128"/>
        <v>0</v>
      </c>
      <c r="S431" s="596">
        <f t="shared" si="129"/>
        <v>0</v>
      </c>
      <c r="T431" s="592"/>
      <c r="U431" s="519"/>
      <c r="V431" s="595">
        <f t="shared" si="130"/>
        <v>0</v>
      </c>
      <c r="W431" s="596">
        <f t="shared" si="131"/>
        <v>0</v>
      </c>
      <c r="X431" s="592"/>
      <c r="Y431" s="519"/>
      <c r="Z431" s="592">
        <v>120108</v>
      </c>
      <c r="AA431" s="519">
        <v>102119</v>
      </c>
      <c r="AB431" s="592">
        <v>71843</v>
      </c>
      <c r="AC431" s="519">
        <v>70094</v>
      </c>
      <c r="AD431" s="592">
        <v>136513</v>
      </c>
      <c r="AE431" s="519">
        <v>124442</v>
      </c>
      <c r="AF431" s="595">
        <f t="shared" si="132"/>
        <v>328464</v>
      </c>
      <c r="AG431" s="595">
        <f t="shared" si="133"/>
        <v>364.96</v>
      </c>
      <c r="AH431" s="596">
        <f t="shared" si="134"/>
        <v>296655</v>
      </c>
      <c r="AI431" s="596">
        <f t="shared" si="135"/>
        <v>329.61666666666667</v>
      </c>
      <c r="AJ431" s="592"/>
      <c r="AK431" s="519"/>
      <c r="AL431" s="595">
        <f t="shared" si="136"/>
        <v>0</v>
      </c>
      <c r="AM431" s="596">
        <f t="shared" si="137"/>
        <v>0</v>
      </c>
      <c r="AN431" s="592"/>
      <c r="AO431" s="519"/>
      <c r="AP431" s="592"/>
      <c r="AQ431" s="519"/>
      <c r="AR431" s="592"/>
      <c r="AS431" s="519"/>
      <c r="AT431" s="592"/>
      <c r="AU431" s="519"/>
      <c r="AV431" s="595">
        <f t="shared" si="138"/>
        <v>0</v>
      </c>
      <c r="AW431" s="595">
        <f t="shared" si="139"/>
        <v>0</v>
      </c>
      <c r="AX431" s="596">
        <f t="shared" si="140"/>
        <v>0</v>
      </c>
      <c r="AY431" s="596">
        <f t="shared" si="141"/>
        <v>0</v>
      </c>
      <c r="AZ431" s="595">
        <f t="shared" si="142"/>
        <v>364.96</v>
      </c>
      <c r="BA431" s="596">
        <f t="shared" si="143"/>
        <v>329.61666666666667</v>
      </c>
    </row>
    <row r="432" spans="1:53" s="1" customFormat="1">
      <c r="A432" s="417" t="s">
        <v>359</v>
      </c>
      <c r="B432" s="418" t="s">
        <v>392</v>
      </c>
      <c r="C432" s="420"/>
      <c r="D432" s="417">
        <v>220321</v>
      </c>
      <c r="E432" s="417">
        <v>13</v>
      </c>
      <c r="F432" s="592"/>
      <c r="G432" s="519"/>
      <c r="H432" s="592"/>
      <c r="I432" s="519"/>
      <c r="J432" s="592"/>
      <c r="K432" s="519"/>
      <c r="L432" s="592"/>
      <c r="M432" s="519"/>
      <c r="N432" s="592"/>
      <c r="O432" s="519"/>
      <c r="P432" s="595">
        <f t="shared" si="126"/>
        <v>0</v>
      </c>
      <c r="Q432" s="595">
        <f t="shared" si="127"/>
        <v>0</v>
      </c>
      <c r="R432" s="596">
        <f t="shared" si="128"/>
        <v>0</v>
      </c>
      <c r="S432" s="596">
        <f t="shared" si="129"/>
        <v>0</v>
      </c>
      <c r="T432" s="592"/>
      <c r="U432" s="519"/>
      <c r="V432" s="595">
        <f t="shared" si="130"/>
        <v>0</v>
      </c>
      <c r="W432" s="596">
        <f t="shared" si="131"/>
        <v>0</v>
      </c>
      <c r="X432" s="592"/>
      <c r="Y432" s="519"/>
      <c r="Z432" s="592">
        <v>135417</v>
      </c>
      <c r="AA432" s="519">
        <v>125147</v>
      </c>
      <c r="AB432" s="592">
        <v>100520</v>
      </c>
      <c r="AC432" s="519">
        <v>98161</v>
      </c>
      <c r="AD432" s="592">
        <v>143361</v>
      </c>
      <c r="AE432" s="519">
        <v>133516</v>
      </c>
      <c r="AF432" s="595">
        <f t="shared" si="132"/>
        <v>379298</v>
      </c>
      <c r="AG432" s="595">
        <f t="shared" si="133"/>
        <v>421.4422222222222</v>
      </c>
      <c r="AH432" s="596">
        <f t="shared" si="134"/>
        <v>356824</v>
      </c>
      <c r="AI432" s="596">
        <f t="shared" si="135"/>
        <v>396.4711111111111</v>
      </c>
      <c r="AJ432" s="592"/>
      <c r="AK432" s="519"/>
      <c r="AL432" s="595">
        <f t="shared" si="136"/>
        <v>0</v>
      </c>
      <c r="AM432" s="596">
        <f t="shared" si="137"/>
        <v>0</v>
      </c>
      <c r="AN432" s="592"/>
      <c r="AO432" s="519"/>
      <c r="AP432" s="592"/>
      <c r="AQ432" s="519"/>
      <c r="AR432" s="592"/>
      <c r="AS432" s="519"/>
      <c r="AT432" s="592"/>
      <c r="AU432" s="519"/>
      <c r="AV432" s="595">
        <f t="shared" si="138"/>
        <v>0</v>
      </c>
      <c r="AW432" s="595">
        <f t="shared" si="139"/>
        <v>0</v>
      </c>
      <c r="AX432" s="596">
        <f t="shared" si="140"/>
        <v>0</v>
      </c>
      <c r="AY432" s="596">
        <f t="shared" si="141"/>
        <v>0</v>
      </c>
      <c r="AZ432" s="595">
        <f t="shared" si="142"/>
        <v>421.4422222222222</v>
      </c>
      <c r="BA432" s="596">
        <f t="shared" si="143"/>
        <v>396.4711111111111</v>
      </c>
    </row>
    <row r="433" spans="1:53" s="1" customFormat="1">
      <c r="A433" s="417" t="s">
        <v>359</v>
      </c>
      <c r="B433" s="418" t="s">
        <v>393</v>
      </c>
      <c r="C433" s="419"/>
      <c r="D433" s="417">
        <v>220394</v>
      </c>
      <c r="E433" s="417">
        <v>13</v>
      </c>
      <c r="F433" s="592"/>
      <c r="G433" s="519"/>
      <c r="H433" s="592"/>
      <c r="I433" s="519"/>
      <c r="J433" s="592"/>
      <c r="K433" s="519"/>
      <c r="L433" s="592"/>
      <c r="M433" s="519"/>
      <c r="N433" s="592"/>
      <c r="O433" s="519"/>
      <c r="P433" s="595">
        <f t="shared" si="126"/>
        <v>0</v>
      </c>
      <c r="Q433" s="595">
        <f t="shared" si="127"/>
        <v>0</v>
      </c>
      <c r="R433" s="596">
        <f t="shared" si="128"/>
        <v>0</v>
      </c>
      <c r="S433" s="596">
        <f t="shared" si="129"/>
        <v>0</v>
      </c>
      <c r="T433" s="592"/>
      <c r="U433" s="519"/>
      <c r="V433" s="595">
        <f t="shared" si="130"/>
        <v>0</v>
      </c>
      <c r="W433" s="596">
        <f t="shared" si="131"/>
        <v>0</v>
      </c>
      <c r="X433" s="592"/>
      <c r="Y433" s="519"/>
      <c r="Z433" s="592">
        <v>61585</v>
      </c>
      <c r="AA433" s="519">
        <v>80310</v>
      </c>
      <c r="AB433" s="592">
        <v>65665</v>
      </c>
      <c r="AC433" s="519">
        <v>64620</v>
      </c>
      <c r="AD433" s="592">
        <v>90604</v>
      </c>
      <c r="AE433" s="519">
        <v>99359</v>
      </c>
      <c r="AF433" s="595">
        <f t="shared" si="132"/>
        <v>217854</v>
      </c>
      <c r="AG433" s="595">
        <f t="shared" si="133"/>
        <v>242.06</v>
      </c>
      <c r="AH433" s="596">
        <f t="shared" si="134"/>
        <v>244289</v>
      </c>
      <c r="AI433" s="596">
        <f t="shared" si="135"/>
        <v>271.43222222222221</v>
      </c>
      <c r="AJ433" s="592"/>
      <c r="AK433" s="519"/>
      <c r="AL433" s="595">
        <f t="shared" si="136"/>
        <v>0</v>
      </c>
      <c r="AM433" s="596">
        <f t="shared" si="137"/>
        <v>0</v>
      </c>
      <c r="AN433" s="592"/>
      <c r="AO433" s="519"/>
      <c r="AP433" s="592"/>
      <c r="AQ433" s="519"/>
      <c r="AR433" s="592"/>
      <c r="AS433" s="519"/>
      <c r="AT433" s="592"/>
      <c r="AU433" s="519"/>
      <c r="AV433" s="595">
        <f t="shared" si="138"/>
        <v>0</v>
      </c>
      <c r="AW433" s="595">
        <f t="shared" si="139"/>
        <v>0</v>
      </c>
      <c r="AX433" s="596">
        <f t="shared" si="140"/>
        <v>0</v>
      </c>
      <c r="AY433" s="596">
        <f t="shared" si="141"/>
        <v>0</v>
      </c>
      <c r="AZ433" s="595">
        <f t="shared" si="142"/>
        <v>242.06</v>
      </c>
      <c r="BA433" s="596">
        <f t="shared" si="143"/>
        <v>271.43222222222221</v>
      </c>
    </row>
    <row r="434" spans="1:53" s="1" customFormat="1">
      <c r="A434" s="417" t="s">
        <v>359</v>
      </c>
      <c r="B434" s="418" t="s">
        <v>394</v>
      </c>
      <c r="C434" s="419"/>
      <c r="D434" s="417">
        <v>221616</v>
      </c>
      <c r="E434" s="417">
        <v>13</v>
      </c>
      <c r="F434" s="592"/>
      <c r="G434" s="519"/>
      <c r="H434" s="592"/>
      <c r="I434" s="519"/>
      <c r="J434" s="592"/>
      <c r="K434" s="519"/>
      <c r="L434" s="592"/>
      <c r="M434" s="519"/>
      <c r="N434" s="592"/>
      <c r="O434" s="519"/>
      <c r="P434" s="595">
        <f t="shared" si="126"/>
        <v>0</v>
      </c>
      <c r="Q434" s="595">
        <f t="shared" si="127"/>
        <v>0</v>
      </c>
      <c r="R434" s="596">
        <f t="shared" si="128"/>
        <v>0</v>
      </c>
      <c r="S434" s="596">
        <f t="shared" si="129"/>
        <v>0</v>
      </c>
      <c r="T434" s="592"/>
      <c r="U434" s="519"/>
      <c r="V434" s="595">
        <f t="shared" si="130"/>
        <v>0</v>
      </c>
      <c r="W434" s="596">
        <f t="shared" si="131"/>
        <v>0</v>
      </c>
      <c r="X434" s="592"/>
      <c r="Y434" s="519"/>
      <c r="Z434" s="592">
        <v>176282</v>
      </c>
      <c r="AA434" s="519">
        <v>169953</v>
      </c>
      <c r="AB434" s="592">
        <v>134064</v>
      </c>
      <c r="AC434" s="519">
        <v>144499</v>
      </c>
      <c r="AD434" s="592">
        <v>165760</v>
      </c>
      <c r="AE434" s="519">
        <v>167689</v>
      </c>
      <c r="AF434" s="595">
        <f t="shared" si="132"/>
        <v>476106</v>
      </c>
      <c r="AG434" s="595">
        <f t="shared" si="133"/>
        <v>529.00666666666666</v>
      </c>
      <c r="AH434" s="596">
        <f t="shared" si="134"/>
        <v>482141</v>
      </c>
      <c r="AI434" s="596">
        <f t="shared" si="135"/>
        <v>535.71222222222218</v>
      </c>
      <c r="AJ434" s="592"/>
      <c r="AK434" s="519"/>
      <c r="AL434" s="595">
        <f t="shared" si="136"/>
        <v>0</v>
      </c>
      <c r="AM434" s="596">
        <f t="shared" si="137"/>
        <v>0</v>
      </c>
      <c r="AN434" s="592"/>
      <c r="AO434" s="519"/>
      <c r="AP434" s="592"/>
      <c r="AQ434" s="519"/>
      <c r="AR434" s="592"/>
      <c r="AS434" s="519"/>
      <c r="AT434" s="592"/>
      <c r="AU434" s="519"/>
      <c r="AV434" s="595">
        <f t="shared" si="138"/>
        <v>0</v>
      </c>
      <c r="AW434" s="595">
        <f t="shared" si="139"/>
        <v>0</v>
      </c>
      <c r="AX434" s="596">
        <f t="shared" si="140"/>
        <v>0</v>
      </c>
      <c r="AY434" s="596">
        <f t="shared" si="141"/>
        <v>0</v>
      </c>
      <c r="AZ434" s="595">
        <f t="shared" si="142"/>
        <v>529.00666666666666</v>
      </c>
      <c r="BA434" s="596">
        <f t="shared" si="143"/>
        <v>535.71222222222218</v>
      </c>
    </row>
    <row r="435" spans="1:53" s="1" customFormat="1">
      <c r="A435" s="417" t="s">
        <v>359</v>
      </c>
      <c r="B435" s="418" t="s">
        <v>395</v>
      </c>
      <c r="C435" s="420"/>
      <c r="D435" s="417">
        <v>221625</v>
      </c>
      <c r="E435" s="417">
        <v>13</v>
      </c>
      <c r="F435" s="592"/>
      <c r="G435" s="519"/>
      <c r="H435" s="592"/>
      <c r="I435" s="519"/>
      <c r="J435" s="592"/>
      <c r="K435" s="519"/>
      <c r="L435" s="592"/>
      <c r="M435" s="519"/>
      <c r="N435" s="592"/>
      <c r="O435" s="519"/>
      <c r="P435" s="595">
        <f t="shared" si="126"/>
        <v>0</v>
      </c>
      <c r="Q435" s="595">
        <f t="shared" si="127"/>
        <v>0</v>
      </c>
      <c r="R435" s="596">
        <f t="shared" si="128"/>
        <v>0</v>
      </c>
      <c r="S435" s="596">
        <f t="shared" si="129"/>
        <v>0</v>
      </c>
      <c r="T435" s="592"/>
      <c r="U435" s="519"/>
      <c r="V435" s="595">
        <f t="shared" si="130"/>
        <v>0</v>
      </c>
      <c r="W435" s="596">
        <f t="shared" si="131"/>
        <v>0</v>
      </c>
      <c r="X435" s="592"/>
      <c r="Y435" s="519"/>
      <c r="Z435" s="592">
        <v>249520</v>
      </c>
      <c r="AA435" s="519">
        <v>264105</v>
      </c>
      <c r="AB435" s="592">
        <v>207078</v>
      </c>
      <c r="AC435" s="519">
        <v>207348</v>
      </c>
      <c r="AD435" s="592">
        <v>258262</v>
      </c>
      <c r="AE435" s="519">
        <v>301050</v>
      </c>
      <c r="AF435" s="595">
        <f t="shared" si="132"/>
        <v>714860</v>
      </c>
      <c r="AG435" s="595">
        <f t="shared" si="133"/>
        <v>794.28888888888889</v>
      </c>
      <c r="AH435" s="596">
        <f t="shared" si="134"/>
        <v>772503</v>
      </c>
      <c r="AI435" s="596">
        <f t="shared" si="135"/>
        <v>858.3366666666667</v>
      </c>
      <c r="AJ435" s="592"/>
      <c r="AK435" s="519"/>
      <c r="AL435" s="595">
        <f t="shared" si="136"/>
        <v>0</v>
      </c>
      <c r="AM435" s="596">
        <f t="shared" si="137"/>
        <v>0</v>
      </c>
      <c r="AN435" s="592"/>
      <c r="AO435" s="519"/>
      <c r="AP435" s="592"/>
      <c r="AQ435" s="519"/>
      <c r="AR435" s="592"/>
      <c r="AS435" s="519"/>
      <c r="AT435" s="592"/>
      <c r="AU435" s="519"/>
      <c r="AV435" s="595">
        <f t="shared" si="138"/>
        <v>0</v>
      </c>
      <c r="AW435" s="595">
        <f t="shared" si="139"/>
        <v>0</v>
      </c>
      <c r="AX435" s="596">
        <f t="shared" si="140"/>
        <v>0</v>
      </c>
      <c r="AY435" s="596">
        <f t="shared" si="141"/>
        <v>0</v>
      </c>
      <c r="AZ435" s="595">
        <f t="shared" si="142"/>
        <v>794.28888888888889</v>
      </c>
      <c r="BA435" s="596">
        <f t="shared" si="143"/>
        <v>858.3366666666667</v>
      </c>
    </row>
    <row r="436" spans="1:53" s="1" customFormat="1">
      <c r="A436" s="417" t="s">
        <v>359</v>
      </c>
      <c r="B436" s="418" t="s">
        <v>396</v>
      </c>
      <c r="C436" s="419"/>
      <c r="D436" s="417">
        <v>220640</v>
      </c>
      <c r="E436" s="417">
        <v>13</v>
      </c>
      <c r="F436" s="592"/>
      <c r="G436" s="519"/>
      <c r="H436" s="592"/>
      <c r="I436" s="519"/>
      <c r="J436" s="592"/>
      <c r="K436" s="519"/>
      <c r="L436" s="592"/>
      <c r="M436" s="519"/>
      <c r="N436" s="592"/>
      <c r="O436" s="519"/>
      <c r="P436" s="595">
        <f t="shared" si="126"/>
        <v>0</v>
      </c>
      <c r="Q436" s="595">
        <f t="shared" si="127"/>
        <v>0</v>
      </c>
      <c r="R436" s="596">
        <f t="shared" si="128"/>
        <v>0</v>
      </c>
      <c r="S436" s="596">
        <f t="shared" si="129"/>
        <v>0</v>
      </c>
      <c r="T436" s="592"/>
      <c r="U436" s="519"/>
      <c r="V436" s="595">
        <f t="shared" si="130"/>
        <v>0</v>
      </c>
      <c r="W436" s="596">
        <f t="shared" si="131"/>
        <v>0</v>
      </c>
      <c r="X436" s="592"/>
      <c r="Y436" s="519"/>
      <c r="Z436" s="592">
        <v>198583</v>
      </c>
      <c r="AA436" s="519">
        <v>170602</v>
      </c>
      <c r="AB436" s="592">
        <v>117067</v>
      </c>
      <c r="AC436" s="519">
        <v>75987</v>
      </c>
      <c r="AD436" s="592">
        <v>200835</v>
      </c>
      <c r="AE436" s="519">
        <v>165959</v>
      </c>
      <c r="AF436" s="595">
        <f t="shared" si="132"/>
        <v>516485</v>
      </c>
      <c r="AG436" s="595">
        <f t="shared" si="133"/>
        <v>573.87222222222226</v>
      </c>
      <c r="AH436" s="596">
        <f t="shared" si="134"/>
        <v>412548</v>
      </c>
      <c r="AI436" s="596">
        <f t="shared" si="135"/>
        <v>458.38666666666666</v>
      </c>
      <c r="AJ436" s="592"/>
      <c r="AK436" s="519"/>
      <c r="AL436" s="595">
        <f t="shared" si="136"/>
        <v>0</v>
      </c>
      <c r="AM436" s="596">
        <f t="shared" si="137"/>
        <v>0</v>
      </c>
      <c r="AN436" s="592"/>
      <c r="AO436" s="519"/>
      <c r="AP436" s="592"/>
      <c r="AQ436" s="519"/>
      <c r="AR436" s="592"/>
      <c r="AS436" s="519"/>
      <c r="AT436" s="592"/>
      <c r="AU436" s="519"/>
      <c r="AV436" s="595">
        <f t="shared" si="138"/>
        <v>0</v>
      </c>
      <c r="AW436" s="595">
        <f t="shared" si="139"/>
        <v>0</v>
      </c>
      <c r="AX436" s="596">
        <f t="shared" si="140"/>
        <v>0</v>
      </c>
      <c r="AY436" s="596">
        <f t="shared" si="141"/>
        <v>0</v>
      </c>
      <c r="AZ436" s="595">
        <f t="shared" si="142"/>
        <v>573.87222222222226</v>
      </c>
      <c r="BA436" s="596">
        <f t="shared" si="143"/>
        <v>458.38666666666666</v>
      </c>
    </row>
    <row r="437" spans="1:53" s="1" customFormat="1">
      <c r="A437" s="417" t="s">
        <v>359</v>
      </c>
      <c r="B437" s="418" t="s">
        <v>397</v>
      </c>
      <c r="C437" s="419"/>
      <c r="D437" s="417">
        <v>220756</v>
      </c>
      <c r="E437" s="417">
        <v>13</v>
      </c>
      <c r="F437" s="592"/>
      <c r="G437" s="519"/>
      <c r="H437" s="592"/>
      <c r="I437" s="519"/>
      <c r="J437" s="592"/>
      <c r="K437" s="519"/>
      <c r="L437" s="592"/>
      <c r="M437" s="519"/>
      <c r="N437" s="592"/>
      <c r="O437" s="519"/>
      <c r="P437" s="595">
        <f t="shared" si="126"/>
        <v>0</v>
      </c>
      <c r="Q437" s="595">
        <f t="shared" si="127"/>
        <v>0</v>
      </c>
      <c r="R437" s="596">
        <f t="shared" si="128"/>
        <v>0</v>
      </c>
      <c r="S437" s="596">
        <f t="shared" si="129"/>
        <v>0</v>
      </c>
      <c r="T437" s="592"/>
      <c r="U437" s="519"/>
      <c r="V437" s="595">
        <f t="shared" si="130"/>
        <v>0</v>
      </c>
      <c r="W437" s="596">
        <f t="shared" si="131"/>
        <v>0</v>
      </c>
      <c r="X437" s="592"/>
      <c r="Y437" s="519"/>
      <c r="Z437" s="592">
        <v>54603</v>
      </c>
      <c r="AA437" s="519">
        <v>52013</v>
      </c>
      <c r="AB437" s="592">
        <v>47578</v>
      </c>
      <c r="AC437" s="519">
        <v>40200</v>
      </c>
      <c r="AD437" s="592">
        <v>56662</v>
      </c>
      <c r="AE437" s="519">
        <v>40514</v>
      </c>
      <c r="AF437" s="595">
        <f t="shared" si="132"/>
        <v>158843</v>
      </c>
      <c r="AG437" s="595">
        <f t="shared" si="133"/>
        <v>176.49222222222221</v>
      </c>
      <c r="AH437" s="596">
        <f t="shared" si="134"/>
        <v>132727</v>
      </c>
      <c r="AI437" s="596">
        <f t="shared" si="135"/>
        <v>147.47444444444446</v>
      </c>
      <c r="AJ437" s="592"/>
      <c r="AK437" s="519"/>
      <c r="AL437" s="595">
        <f t="shared" si="136"/>
        <v>0</v>
      </c>
      <c r="AM437" s="596">
        <f t="shared" si="137"/>
        <v>0</v>
      </c>
      <c r="AN437" s="592"/>
      <c r="AO437" s="519"/>
      <c r="AP437" s="592"/>
      <c r="AQ437" s="519"/>
      <c r="AR437" s="592"/>
      <c r="AS437" s="519"/>
      <c r="AT437" s="592"/>
      <c r="AU437" s="519"/>
      <c r="AV437" s="595">
        <f t="shared" si="138"/>
        <v>0</v>
      </c>
      <c r="AW437" s="595">
        <f t="shared" si="139"/>
        <v>0</v>
      </c>
      <c r="AX437" s="596">
        <f t="shared" si="140"/>
        <v>0</v>
      </c>
      <c r="AY437" s="596">
        <f t="shared" si="141"/>
        <v>0</v>
      </c>
      <c r="AZ437" s="595">
        <f t="shared" si="142"/>
        <v>176.49222222222221</v>
      </c>
      <c r="BA437" s="596">
        <f t="shared" si="143"/>
        <v>147.47444444444446</v>
      </c>
    </row>
    <row r="438" spans="1:53" s="1" customFormat="1">
      <c r="A438" s="417" t="s">
        <v>359</v>
      </c>
      <c r="B438" s="418" t="s">
        <v>398</v>
      </c>
      <c r="C438" s="420"/>
      <c r="D438" s="417">
        <v>221607</v>
      </c>
      <c r="E438" s="417">
        <v>13</v>
      </c>
      <c r="F438" s="592"/>
      <c r="G438" s="519"/>
      <c r="H438" s="592"/>
      <c r="I438" s="519"/>
      <c r="J438" s="592"/>
      <c r="K438" s="519"/>
      <c r="L438" s="592"/>
      <c r="M438" s="519"/>
      <c r="N438" s="592"/>
      <c r="O438" s="519"/>
      <c r="P438" s="595">
        <f t="shared" si="126"/>
        <v>0</v>
      </c>
      <c r="Q438" s="595">
        <f t="shared" si="127"/>
        <v>0</v>
      </c>
      <c r="R438" s="596">
        <f t="shared" si="128"/>
        <v>0</v>
      </c>
      <c r="S438" s="596">
        <f t="shared" si="129"/>
        <v>0</v>
      </c>
      <c r="T438" s="592"/>
      <c r="U438" s="519"/>
      <c r="V438" s="595">
        <f t="shared" si="130"/>
        <v>0</v>
      </c>
      <c r="W438" s="596">
        <f t="shared" si="131"/>
        <v>0</v>
      </c>
      <c r="X438" s="592"/>
      <c r="Y438" s="519"/>
      <c r="Z438" s="592">
        <v>65483</v>
      </c>
      <c r="AA438" s="519">
        <v>78745</v>
      </c>
      <c r="AB438" s="592">
        <v>66391</v>
      </c>
      <c r="AC438" s="519">
        <v>70687</v>
      </c>
      <c r="AD438" s="592">
        <v>82284</v>
      </c>
      <c r="AE438" s="519">
        <v>88996</v>
      </c>
      <c r="AF438" s="595">
        <f t="shared" si="132"/>
        <v>214158</v>
      </c>
      <c r="AG438" s="595">
        <f t="shared" si="133"/>
        <v>237.95333333333335</v>
      </c>
      <c r="AH438" s="596">
        <f t="shared" si="134"/>
        <v>238428</v>
      </c>
      <c r="AI438" s="596">
        <f t="shared" si="135"/>
        <v>264.92</v>
      </c>
      <c r="AJ438" s="592"/>
      <c r="AK438" s="519"/>
      <c r="AL438" s="595">
        <f t="shared" si="136"/>
        <v>0</v>
      </c>
      <c r="AM438" s="596">
        <f t="shared" si="137"/>
        <v>0</v>
      </c>
      <c r="AN438" s="592"/>
      <c r="AO438" s="519"/>
      <c r="AP438" s="592"/>
      <c r="AQ438" s="519"/>
      <c r="AR438" s="592"/>
      <c r="AS438" s="519"/>
      <c r="AT438" s="592"/>
      <c r="AU438" s="519"/>
      <c r="AV438" s="595">
        <f t="shared" si="138"/>
        <v>0</v>
      </c>
      <c r="AW438" s="595">
        <f t="shared" si="139"/>
        <v>0</v>
      </c>
      <c r="AX438" s="596">
        <f t="shared" si="140"/>
        <v>0</v>
      </c>
      <c r="AY438" s="596">
        <f t="shared" si="141"/>
        <v>0</v>
      </c>
      <c r="AZ438" s="595">
        <f t="shared" si="142"/>
        <v>237.95333333333335</v>
      </c>
      <c r="BA438" s="596">
        <f t="shared" si="143"/>
        <v>264.92</v>
      </c>
    </row>
    <row r="439" spans="1:53" s="365" customFormat="1" ht="12.75" customHeight="1">
      <c r="A439" s="417" t="s">
        <v>359</v>
      </c>
      <c r="B439" s="418" t="s">
        <v>399</v>
      </c>
      <c r="C439" s="540" t="s">
        <v>927</v>
      </c>
      <c r="D439" s="417">
        <v>220853</v>
      </c>
      <c r="E439" s="417">
        <v>13</v>
      </c>
      <c r="F439" s="592"/>
      <c r="G439" s="519"/>
      <c r="H439" s="592"/>
      <c r="I439" s="519"/>
      <c r="J439" s="592"/>
      <c r="K439" s="519"/>
      <c r="L439" s="592"/>
      <c r="M439" s="519"/>
      <c r="N439" s="592"/>
      <c r="O439" s="519"/>
      <c r="P439" s="595">
        <f t="shared" si="126"/>
        <v>0</v>
      </c>
      <c r="Q439" s="595">
        <f t="shared" si="127"/>
        <v>0</v>
      </c>
      <c r="R439" s="596">
        <f t="shared" si="128"/>
        <v>0</v>
      </c>
      <c r="S439" s="596">
        <f t="shared" si="129"/>
        <v>0</v>
      </c>
      <c r="T439" s="592"/>
      <c r="U439" s="519"/>
      <c r="V439" s="595">
        <f t="shared" si="130"/>
        <v>0</v>
      </c>
      <c r="W439" s="596">
        <f t="shared" si="131"/>
        <v>0</v>
      </c>
      <c r="X439" s="592"/>
      <c r="Y439" s="519"/>
      <c r="Z439" s="592">
        <v>312423</v>
      </c>
      <c r="AA439" s="519">
        <v>335548</v>
      </c>
      <c r="AB439" s="592">
        <v>245759</v>
      </c>
      <c r="AC439" s="519">
        <v>282602</v>
      </c>
      <c r="AD439" s="592">
        <v>353147</v>
      </c>
      <c r="AE439" s="519">
        <v>358913</v>
      </c>
      <c r="AF439" s="595">
        <f t="shared" si="132"/>
        <v>911329</v>
      </c>
      <c r="AG439" s="595">
        <f t="shared" si="133"/>
        <v>1012.5877777777778</v>
      </c>
      <c r="AH439" s="596">
        <f t="shared" si="134"/>
        <v>977063</v>
      </c>
      <c r="AI439" s="596">
        <f t="shared" si="135"/>
        <v>1085.6255555555556</v>
      </c>
      <c r="AJ439" s="592"/>
      <c r="AK439" s="519"/>
      <c r="AL439" s="595">
        <f t="shared" si="136"/>
        <v>0</v>
      </c>
      <c r="AM439" s="596">
        <f t="shared" si="137"/>
        <v>0</v>
      </c>
      <c r="AN439" s="592"/>
      <c r="AO439" s="519"/>
      <c r="AP439" s="592"/>
      <c r="AQ439" s="519"/>
      <c r="AR439" s="592"/>
      <c r="AS439" s="519"/>
      <c r="AT439" s="592"/>
      <c r="AU439" s="519"/>
      <c r="AV439" s="595">
        <f t="shared" si="138"/>
        <v>0</v>
      </c>
      <c r="AW439" s="595">
        <f t="shared" si="139"/>
        <v>0</v>
      </c>
      <c r="AX439" s="596">
        <f t="shared" si="140"/>
        <v>0</v>
      </c>
      <c r="AY439" s="596">
        <f t="shared" si="141"/>
        <v>0</v>
      </c>
      <c r="AZ439" s="595">
        <f t="shared" si="142"/>
        <v>1012.5877777777778</v>
      </c>
      <c r="BA439" s="596">
        <f t="shared" si="143"/>
        <v>1085.6255555555556</v>
      </c>
    </row>
    <row r="440" spans="1:53" s="365" customFormat="1" ht="12.75" customHeight="1">
      <c r="A440" s="417" t="s">
        <v>359</v>
      </c>
      <c r="B440" s="418" t="s">
        <v>400</v>
      </c>
      <c r="C440" s="419"/>
      <c r="D440" s="417">
        <v>221050</v>
      </c>
      <c r="E440" s="417">
        <v>13</v>
      </c>
      <c r="F440" s="592"/>
      <c r="G440" s="519"/>
      <c r="H440" s="592"/>
      <c r="I440" s="519"/>
      <c r="J440" s="592"/>
      <c r="K440" s="519"/>
      <c r="L440" s="592"/>
      <c r="M440" s="519"/>
      <c r="N440" s="592"/>
      <c r="O440" s="519"/>
      <c r="P440" s="595">
        <f t="shared" si="126"/>
        <v>0</v>
      </c>
      <c r="Q440" s="595">
        <f t="shared" si="127"/>
        <v>0</v>
      </c>
      <c r="R440" s="596">
        <f t="shared" si="128"/>
        <v>0</v>
      </c>
      <c r="S440" s="596">
        <f t="shared" si="129"/>
        <v>0</v>
      </c>
      <c r="T440" s="592"/>
      <c r="U440" s="519"/>
      <c r="V440" s="595">
        <f t="shared" si="130"/>
        <v>0</v>
      </c>
      <c r="W440" s="596">
        <f t="shared" si="131"/>
        <v>0</v>
      </c>
      <c r="X440" s="592"/>
      <c r="Y440" s="519"/>
      <c r="Z440" s="592">
        <v>250859</v>
      </c>
      <c r="AA440" s="519">
        <v>214530</v>
      </c>
      <c r="AB440" s="592">
        <v>204057</v>
      </c>
      <c r="AC440" s="519">
        <v>162466</v>
      </c>
      <c r="AD440" s="592">
        <v>259793</v>
      </c>
      <c r="AE440" s="519">
        <v>217295</v>
      </c>
      <c r="AF440" s="595">
        <f t="shared" si="132"/>
        <v>714709</v>
      </c>
      <c r="AG440" s="595">
        <f t="shared" si="133"/>
        <v>794.12111111111108</v>
      </c>
      <c r="AH440" s="596">
        <f t="shared" si="134"/>
        <v>594291</v>
      </c>
      <c r="AI440" s="596">
        <f t="shared" si="135"/>
        <v>660.32333333333338</v>
      </c>
      <c r="AJ440" s="592"/>
      <c r="AK440" s="519"/>
      <c r="AL440" s="595">
        <f t="shared" si="136"/>
        <v>0</v>
      </c>
      <c r="AM440" s="596">
        <f t="shared" si="137"/>
        <v>0</v>
      </c>
      <c r="AN440" s="592"/>
      <c r="AO440" s="519"/>
      <c r="AP440" s="592"/>
      <c r="AQ440" s="519"/>
      <c r="AR440" s="592"/>
      <c r="AS440" s="519"/>
      <c r="AT440" s="592"/>
      <c r="AU440" s="519"/>
      <c r="AV440" s="595">
        <f t="shared" si="138"/>
        <v>0</v>
      </c>
      <c r="AW440" s="595">
        <f t="shared" si="139"/>
        <v>0</v>
      </c>
      <c r="AX440" s="596">
        <f t="shared" si="140"/>
        <v>0</v>
      </c>
      <c r="AY440" s="596">
        <f t="shared" si="141"/>
        <v>0</v>
      </c>
      <c r="AZ440" s="595">
        <f t="shared" si="142"/>
        <v>794.12111111111108</v>
      </c>
      <c r="BA440" s="596">
        <f t="shared" si="143"/>
        <v>660.32333333333338</v>
      </c>
    </row>
    <row r="441" spans="1:53" s="1" customFormat="1">
      <c r="A441" s="417" t="s">
        <v>359</v>
      </c>
      <c r="B441" s="418" t="s">
        <v>401</v>
      </c>
      <c r="C441" s="420"/>
      <c r="D441" s="417">
        <v>221102</v>
      </c>
      <c r="E441" s="417">
        <v>13</v>
      </c>
      <c r="F441" s="592"/>
      <c r="G441" s="519"/>
      <c r="H441" s="592"/>
      <c r="I441" s="519"/>
      <c r="J441" s="592"/>
      <c r="K441" s="519"/>
      <c r="L441" s="592"/>
      <c r="M441" s="519"/>
      <c r="N441" s="592"/>
      <c r="O441" s="519"/>
      <c r="P441" s="595">
        <f t="shared" si="126"/>
        <v>0</v>
      </c>
      <c r="Q441" s="595">
        <f t="shared" si="127"/>
        <v>0</v>
      </c>
      <c r="R441" s="596">
        <f t="shared" si="128"/>
        <v>0</v>
      </c>
      <c r="S441" s="596">
        <f t="shared" si="129"/>
        <v>0</v>
      </c>
      <c r="T441" s="592"/>
      <c r="U441" s="519"/>
      <c r="V441" s="595">
        <f t="shared" si="130"/>
        <v>0</v>
      </c>
      <c r="W441" s="596">
        <f t="shared" si="131"/>
        <v>0</v>
      </c>
      <c r="X441" s="592"/>
      <c r="Y441" s="519"/>
      <c r="Z441" s="592">
        <v>243236</v>
      </c>
      <c r="AA441" s="519">
        <v>209345</v>
      </c>
      <c r="AB441" s="592">
        <v>221520</v>
      </c>
      <c r="AC441" s="519">
        <v>189316</v>
      </c>
      <c r="AD441" s="592">
        <v>224672</v>
      </c>
      <c r="AE441" s="519">
        <v>217383</v>
      </c>
      <c r="AF441" s="595">
        <f t="shared" si="132"/>
        <v>689428</v>
      </c>
      <c r="AG441" s="595">
        <f t="shared" si="133"/>
        <v>766.03111111111116</v>
      </c>
      <c r="AH441" s="596">
        <f t="shared" si="134"/>
        <v>616044</v>
      </c>
      <c r="AI441" s="596">
        <f t="shared" si="135"/>
        <v>684.49333333333334</v>
      </c>
      <c r="AJ441" s="592"/>
      <c r="AK441" s="519"/>
      <c r="AL441" s="595">
        <f t="shared" si="136"/>
        <v>0</v>
      </c>
      <c r="AM441" s="596">
        <f t="shared" si="137"/>
        <v>0</v>
      </c>
      <c r="AN441" s="592"/>
      <c r="AO441" s="519"/>
      <c r="AP441" s="592"/>
      <c r="AQ441" s="519"/>
      <c r="AR441" s="592"/>
      <c r="AS441" s="519"/>
      <c r="AT441" s="592"/>
      <c r="AU441" s="519"/>
      <c r="AV441" s="595">
        <f t="shared" si="138"/>
        <v>0</v>
      </c>
      <c r="AW441" s="595">
        <f t="shared" si="139"/>
        <v>0</v>
      </c>
      <c r="AX441" s="596">
        <f t="shared" si="140"/>
        <v>0</v>
      </c>
      <c r="AY441" s="596">
        <f t="shared" si="141"/>
        <v>0</v>
      </c>
      <c r="AZ441" s="595">
        <f t="shared" si="142"/>
        <v>766.03111111111116</v>
      </c>
      <c r="BA441" s="596">
        <f t="shared" si="143"/>
        <v>684.49333333333334</v>
      </c>
    </row>
    <row r="442" spans="1:53" s="365" customFormat="1" ht="12.75" customHeight="1">
      <c r="A442" s="417" t="s">
        <v>359</v>
      </c>
      <c r="B442" s="418" t="s">
        <v>402</v>
      </c>
      <c r="C442" s="419"/>
      <c r="D442" s="417">
        <v>248925</v>
      </c>
      <c r="E442" s="417">
        <v>13</v>
      </c>
      <c r="F442" s="592"/>
      <c r="G442" s="519"/>
      <c r="H442" s="592"/>
      <c r="I442" s="519"/>
      <c r="J442" s="592"/>
      <c r="K442" s="519"/>
      <c r="L442" s="592"/>
      <c r="M442" s="519"/>
      <c r="N442" s="592"/>
      <c r="O442" s="519"/>
      <c r="P442" s="595">
        <f t="shared" si="126"/>
        <v>0</v>
      </c>
      <c r="Q442" s="595">
        <f t="shared" si="127"/>
        <v>0</v>
      </c>
      <c r="R442" s="596">
        <f t="shared" si="128"/>
        <v>0</v>
      </c>
      <c r="S442" s="596">
        <f t="shared" si="129"/>
        <v>0</v>
      </c>
      <c r="T442" s="592"/>
      <c r="U442" s="519"/>
      <c r="V442" s="595">
        <f t="shared" si="130"/>
        <v>0</v>
      </c>
      <c r="W442" s="596">
        <f t="shared" si="131"/>
        <v>0</v>
      </c>
      <c r="X442" s="592"/>
      <c r="Y442" s="519"/>
      <c r="Z442" s="592">
        <v>308057</v>
      </c>
      <c r="AA442" s="519">
        <v>277727</v>
      </c>
      <c r="AB442" s="592">
        <v>236744</v>
      </c>
      <c r="AC442" s="519">
        <v>235696</v>
      </c>
      <c r="AD442" s="592">
        <v>305075</v>
      </c>
      <c r="AE442" s="519">
        <v>288403</v>
      </c>
      <c r="AF442" s="595">
        <f t="shared" si="132"/>
        <v>849876</v>
      </c>
      <c r="AG442" s="595">
        <f t="shared" si="133"/>
        <v>944.30666666666662</v>
      </c>
      <c r="AH442" s="596">
        <f t="shared" si="134"/>
        <v>801826</v>
      </c>
      <c r="AI442" s="596">
        <f t="shared" si="135"/>
        <v>890.91777777777781</v>
      </c>
      <c r="AJ442" s="592"/>
      <c r="AK442" s="519"/>
      <c r="AL442" s="595">
        <f t="shared" si="136"/>
        <v>0</v>
      </c>
      <c r="AM442" s="596">
        <f t="shared" si="137"/>
        <v>0</v>
      </c>
      <c r="AN442" s="592"/>
      <c r="AO442" s="519"/>
      <c r="AP442" s="592"/>
      <c r="AQ442" s="519"/>
      <c r="AR442" s="592"/>
      <c r="AS442" s="519"/>
      <c r="AT442" s="592"/>
      <c r="AU442" s="519"/>
      <c r="AV442" s="595">
        <f t="shared" si="138"/>
        <v>0</v>
      </c>
      <c r="AW442" s="595">
        <f t="shared" si="139"/>
        <v>0</v>
      </c>
      <c r="AX442" s="596">
        <f t="shared" si="140"/>
        <v>0</v>
      </c>
      <c r="AY442" s="596">
        <f t="shared" si="141"/>
        <v>0</v>
      </c>
      <c r="AZ442" s="595">
        <f t="shared" si="142"/>
        <v>944.30666666666662</v>
      </c>
      <c r="BA442" s="596">
        <f t="shared" si="143"/>
        <v>890.91777777777781</v>
      </c>
    </row>
    <row r="443" spans="1:53" s="365" customFormat="1" ht="12.75" customHeight="1">
      <c r="A443" s="417" t="s">
        <v>359</v>
      </c>
      <c r="B443" s="418" t="s">
        <v>403</v>
      </c>
      <c r="C443" s="419"/>
      <c r="D443" s="417">
        <v>221236</v>
      </c>
      <c r="E443" s="417">
        <v>13</v>
      </c>
      <c r="F443" s="592"/>
      <c r="G443" s="519"/>
      <c r="H443" s="592"/>
      <c r="I443" s="519"/>
      <c r="J443" s="592"/>
      <c r="K443" s="519"/>
      <c r="L443" s="592"/>
      <c r="M443" s="519"/>
      <c r="N443" s="592"/>
      <c r="O443" s="519"/>
      <c r="P443" s="595">
        <f t="shared" si="126"/>
        <v>0</v>
      </c>
      <c r="Q443" s="595">
        <f t="shared" si="127"/>
        <v>0</v>
      </c>
      <c r="R443" s="596">
        <f t="shared" si="128"/>
        <v>0</v>
      </c>
      <c r="S443" s="596">
        <f t="shared" si="129"/>
        <v>0</v>
      </c>
      <c r="T443" s="592"/>
      <c r="U443" s="519"/>
      <c r="V443" s="595">
        <f t="shared" si="130"/>
        <v>0</v>
      </c>
      <c r="W443" s="596">
        <f t="shared" si="131"/>
        <v>0</v>
      </c>
      <c r="X443" s="592"/>
      <c r="Y443" s="519"/>
      <c r="Z443" s="592">
        <v>120797</v>
      </c>
      <c r="AA443" s="519">
        <v>130305</v>
      </c>
      <c r="AB443" s="592">
        <v>89103</v>
      </c>
      <c r="AC443" s="519">
        <v>117939</v>
      </c>
      <c r="AD443" s="592">
        <v>127791</v>
      </c>
      <c r="AE443" s="519">
        <v>141733</v>
      </c>
      <c r="AF443" s="595">
        <f t="shared" si="132"/>
        <v>337691</v>
      </c>
      <c r="AG443" s="595">
        <f t="shared" si="133"/>
        <v>375.21222222222224</v>
      </c>
      <c r="AH443" s="596">
        <f t="shared" si="134"/>
        <v>389977</v>
      </c>
      <c r="AI443" s="596">
        <f t="shared" si="135"/>
        <v>433.3077777777778</v>
      </c>
      <c r="AJ443" s="592"/>
      <c r="AK443" s="519"/>
      <c r="AL443" s="595">
        <f t="shared" si="136"/>
        <v>0</v>
      </c>
      <c r="AM443" s="596">
        <f t="shared" si="137"/>
        <v>0</v>
      </c>
      <c r="AN443" s="592"/>
      <c r="AO443" s="519"/>
      <c r="AP443" s="592"/>
      <c r="AQ443" s="519"/>
      <c r="AR443" s="592"/>
      <c r="AS443" s="519"/>
      <c r="AT443" s="592"/>
      <c r="AU443" s="519"/>
      <c r="AV443" s="595">
        <f t="shared" si="138"/>
        <v>0</v>
      </c>
      <c r="AW443" s="595">
        <f t="shared" si="139"/>
        <v>0</v>
      </c>
      <c r="AX443" s="596">
        <f t="shared" si="140"/>
        <v>0</v>
      </c>
      <c r="AY443" s="596">
        <f t="shared" si="141"/>
        <v>0</v>
      </c>
      <c r="AZ443" s="595">
        <f t="shared" si="142"/>
        <v>375.21222222222224</v>
      </c>
      <c r="BA443" s="596">
        <f t="shared" si="143"/>
        <v>433.3077777777778</v>
      </c>
    </row>
    <row r="444" spans="1:53" s="365" customFormat="1" ht="12.75" customHeight="1">
      <c r="A444" s="417" t="s">
        <v>359</v>
      </c>
      <c r="B444" s="418" t="s">
        <v>404</v>
      </c>
      <c r="C444" s="420"/>
      <c r="D444" s="417">
        <v>221582</v>
      </c>
      <c r="E444" s="417">
        <v>13</v>
      </c>
      <c r="F444" s="592"/>
      <c r="G444" s="519"/>
      <c r="H444" s="592"/>
      <c r="I444" s="519"/>
      <c r="J444" s="592"/>
      <c r="K444" s="519"/>
      <c r="L444" s="592"/>
      <c r="M444" s="519"/>
      <c r="N444" s="592"/>
      <c r="O444" s="519"/>
      <c r="P444" s="595">
        <f t="shared" si="126"/>
        <v>0</v>
      </c>
      <c r="Q444" s="595">
        <f t="shared" si="127"/>
        <v>0</v>
      </c>
      <c r="R444" s="596">
        <f t="shared" si="128"/>
        <v>0</v>
      </c>
      <c r="S444" s="596">
        <f t="shared" si="129"/>
        <v>0</v>
      </c>
      <c r="T444" s="592"/>
      <c r="U444" s="519"/>
      <c r="V444" s="595">
        <f t="shared" si="130"/>
        <v>0</v>
      </c>
      <c r="W444" s="596">
        <f t="shared" si="131"/>
        <v>0</v>
      </c>
      <c r="X444" s="592"/>
      <c r="Y444" s="519"/>
      <c r="Z444" s="592">
        <v>60907</v>
      </c>
      <c r="AA444" s="519">
        <v>63031</v>
      </c>
      <c r="AB444" s="592">
        <v>31343</v>
      </c>
      <c r="AC444" s="519">
        <v>42308</v>
      </c>
      <c r="AD444" s="592">
        <v>73425</v>
      </c>
      <c r="AE444" s="519">
        <v>60630</v>
      </c>
      <c r="AF444" s="595">
        <f t="shared" si="132"/>
        <v>165675</v>
      </c>
      <c r="AG444" s="595">
        <f t="shared" si="133"/>
        <v>184.08333333333334</v>
      </c>
      <c r="AH444" s="596">
        <f t="shared" si="134"/>
        <v>165969</v>
      </c>
      <c r="AI444" s="596">
        <f t="shared" si="135"/>
        <v>184.41</v>
      </c>
      <c r="AJ444" s="592"/>
      <c r="AK444" s="519"/>
      <c r="AL444" s="595">
        <f t="shared" si="136"/>
        <v>0</v>
      </c>
      <c r="AM444" s="596">
        <f t="shared" si="137"/>
        <v>0</v>
      </c>
      <c r="AN444" s="592"/>
      <c r="AO444" s="519"/>
      <c r="AP444" s="592"/>
      <c r="AQ444" s="519"/>
      <c r="AR444" s="592"/>
      <c r="AS444" s="519"/>
      <c r="AT444" s="592"/>
      <c r="AU444" s="519"/>
      <c r="AV444" s="595">
        <f t="shared" si="138"/>
        <v>0</v>
      </c>
      <c r="AW444" s="595">
        <f t="shared" si="139"/>
        <v>0</v>
      </c>
      <c r="AX444" s="596">
        <f t="shared" si="140"/>
        <v>0</v>
      </c>
      <c r="AY444" s="596">
        <f t="shared" si="141"/>
        <v>0</v>
      </c>
      <c r="AZ444" s="595">
        <f t="shared" si="142"/>
        <v>184.08333333333334</v>
      </c>
      <c r="BA444" s="596">
        <f t="shared" si="143"/>
        <v>184.41</v>
      </c>
    </row>
    <row r="445" spans="1:53" s="365" customFormat="1" ht="12.75" customHeight="1">
      <c r="A445" s="417" t="s">
        <v>359</v>
      </c>
      <c r="B445" s="418" t="s">
        <v>405</v>
      </c>
      <c r="C445" s="419"/>
      <c r="D445" s="417">
        <v>221281</v>
      </c>
      <c r="E445" s="417">
        <v>13</v>
      </c>
      <c r="F445" s="592"/>
      <c r="G445" s="519"/>
      <c r="H445" s="592"/>
      <c r="I445" s="519"/>
      <c r="J445" s="592"/>
      <c r="K445" s="519"/>
      <c r="L445" s="592"/>
      <c r="M445" s="519"/>
      <c r="N445" s="592"/>
      <c r="O445" s="519"/>
      <c r="P445" s="595">
        <f t="shared" si="126"/>
        <v>0</v>
      </c>
      <c r="Q445" s="595">
        <f t="shared" si="127"/>
        <v>0</v>
      </c>
      <c r="R445" s="596">
        <f t="shared" si="128"/>
        <v>0</v>
      </c>
      <c r="S445" s="596">
        <f t="shared" si="129"/>
        <v>0</v>
      </c>
      <c r="T445" s="592"/>
      <c r="U445" s="519"/>
      <c r="V445" s="595">
        <f t="shared" si="130"/>
        <v>0</v>
      </c>
      <c r="W445" s="596">
        <f t="shared" si="131"/>
        <v>0</v>
      </c>
      <c r="X445" s="592"/>
      <c r="Y445" s="519"/>
      <c r="Z445" s="592">
        <v>85967</v>
      </c>
      <c r="AA445" s="519">
        <v>85330</v>
      </c>
      <c r="AB445" s="592">
        <v>65506</v>
      </c>
      <c r="AC445" s="519">
        <v>68827</v>
      </c>
      <c r="AD445" s="592">
        <v>99586</v>
      </c>
      <c r="AE445" s="519">
        <v>76163</v>
      </c>
      <c r="AF445" s="595">
        <f t="shared" si="132"/>
        <v>251059</v>
      </c>
      <c r="AG445" s="595">
        <f t="shared" si="133"/>
        <v>278.95444444444445</v>
      </c>
      <c r="AH445" s="596">
        <f t="shared" si="134"/>
        <v>230320</v>
      </c>
      <c r="AI445" s="596">
        <f t="shared" si="135"/>
        <v>255.9111111111111</v>
      </c>
      <c r="AJ445" s="592"/>
      <c r="AK445" s="519"/>
      <c r="AL445" s="595">
        <f t="shared" si="136"/>
        <v>0</v>
      </c>
      <c r="AM445" s="596">
        <f t="shared" si="137"/>
        <v>0</v>
      </c>
      <c r="AN445" s="592"/>
      <c r="AO445" s="519"/>
      <c r="AP445" s="592"/>
      <c r="AQ445" s="519"/>
      <c r="AR445" s="592"/>
      <c r="AS445" s="519"/>
      <c r="AT445" s="592"/>
      <c r="AU445" s="519"/>
      <c r="AV445" s="595">
        <f t="shared" si="138"/>
        <v>0</v>
      </c>
      <c r="AW445" s="595">
        <f t="shared" si="139"/>
        <v>0</v>
      </c>
      <c r="AX445" s="596">
        <f t="shared" si="140"/>
        <v>0</v>
      </c>
      <c r="AY445" s="596">
        <f t="shared" si="141"/>
        <v>0</v>
      </c>
      <c r="AZ445" s="595">
        <f t="shared" si="142"/>
        <v>278.95444444444445</v>
      </c>
      <c r="BA445" s="596">
        <f t="shared" si="143"/>
        <v>255.9111111111111</v>
      </c>
    </row>
    <row r="446" spans="1:53" s="365" customFormat="1" ht="12.75" customHeight="1">
      <c r="A446" s="417" t="s">
        <v>359</v>
      </c>
      <c r="B446" s="418" t="s">
        <v>406</v>
      </c>
      <c r="C446" s="419"/>
      <c r="D446" s="417">
        <v>221333</v>
      </c>
      <c r="E446" s="417">
        <v>13</v>
      </c>
      <c r="F446" s="592"/>
      <c r="G446" s="519"/>
      <c r="H446" s="592"/>
      <c r="I446" s="519"/>
      <c r="J446" s="592"/>
      <c r="K446" s="519"/>
      <c r="L446" s="592"/>
      <c r="M446" s="519"/>
      <c r="N446" s="592"/>
      <c r="O446" s="519"/>
      <c r="P446" s="595">
        <f t="shared" si="126"/>
        <v>0</v>
      </c>
      <c r="Q446" s="595">
        <f t="shared" si="127"/>
        <v>0</v>
      </c>
      <c r="R446" s="596">
        <f t="shared" si="128"/>
        <v>0</v>
      </c>
      <c r="S446" s="596">
        <f t="shared" si="129"/>
        <v>0</v>
      </c>
      <c r="T446" s="592"/>
      <c r="U446" s="519"/>
      <c r="V446" s="595">
        <f t="shared" si="130"/>
        <v>0</v>
      </c>
      <c r="W446" s="596">
        <f t="shared" si="131"/>
        <v>0</v>
      </c>
      <c r="X446" s="592"/>
      <c r="Y446" s="519"/>
      <c r="Z446" s="592">
        <v>143191</v>
      </c>
      <c r="AA446" s="519">
        <v>119455</v>
      </c>
      <c r="AB446" s="592">
        <v>73727</v>
      </c>
      <c r="AC446" s="519">
        <v>85250</v>
      </c>
      <c r="AD446" s="592">
        <v>146642</v>
      </c>
      <c r="AE446" s="519">
        <v>137369</v>
      </c>
      <c r="AF446" s="595">
        <f t="shared" si="132"/>
        <v>363560</v>
      </c>
      <c r="AG446" s="595">
        <f t="shared" si="133"/>
        <v>403.95555555555558</v>
      </c>
      <c r="AH446" s="596">
        <f t="shared" si="134"/>
        <v>342074</v>
      </c>
      <c r="AI446" s="596">
        <f t="shared" si="135"/>
        <v>380.08222222222224</v>
      </c>
      <c r="AJ446" s="592"/>
      <c r="AK446" s="519"/>
      <c r="AL446" s="595">
        <f t="shared" si="136"/>
        <v>0</v>
      </c>
      <c r="AM446" s="596">
        <f t="shared" si="137"/>
        <v>0</v>
      </c>
      <c r="AN446" s="592"/>
      <c r="AO446" s="519"/>
      <c r="AP446" s="592"/>
      <c r="AQ446" s="519"/>
      <c r="AR446" s="592"/>
      <c r="AS446" s="519"/>
      <c r="AT446" s="592"/>
      <c r="AU446" s="519"/>
      <c r="AV446" s="595">
        <f t="shared" si="138"/>
        <v>0</v>
      </c>
      <c r="AW446" s="595">
        <f t="shared" si="139"/>
        <v>0</v>
      </c>
      <c r="AX446" s="596">
        <f t="shared" si="140"/>
        <v>0</v>
      </c>
      <c r="AY446" s="596">
        <f t="shared" si="141"/>
        <v>0</v>
      </c>
      <c r="AZ446" s="595">
        <f t="shared" si="142"/>
        <v>403.95555555555558</v>
      </c>
      <c r="BA446" s="596">
        <f t="shared" si="143"/>
        <v>380.08222222222224</v>
      </c>
    </row>
    <row r="447" spans="1:53" s="365" customFormat="1" ht="12.75" customHeight="1">
      <c r="A447" s="417" t="s">
        <v>359</v>
      </c>
      <c r="B447" s="418" t="s">
        <v>407</v>
      </c>
      <c r="C447" s="420"/>
      <c r="D447" s="417">
        <v>221388</v>
      </c>
      <c r="E447" s="417">
        <v>13</v>
      </c>
      <c r="F447" s="592"/>
      <c r="G447" s="519"/>
      <c r="H447" s="592"/>
      <c r="I447" s="519"/>
      <c r="J447" s="592"/>
      <c r="K447" s="519"/>
      <c r="L447" s="592"/>
      <c r="M447" s="519"/>
      <c r="N447" s="592"/>
      <c r="O447" s="519"/>
      <c r="P447" s="595">
        <f t="shared" si="126"/>
        <v>0</v>
      </c>
      <c r="Q447" s="595">
        <f t="shared" si="127"/>
        <v>0</v>
      </c>
      <c r="R447" s="596">
        <f t="shared" si="128"/>
        <v>0</v>
      </c>
      <c r="S447" s="596">
        <f t="shared" si="129"/>
        <v>0</v>
      </c>
      <c r="T447" s="592"/>
      <c r="U447" s="519"/>
      <c r="V447" s="595">
        <f t="shared" si="130"/>
        <v>0</v>
      </c>
      <c r="W447" s="596">
        <f t="shared" si="131"/>
        <v>0</v>
      </c>
      <c r="X447" s="592"/>
      <c r="Y447" s="519"/>
      <c r="Z447" s="592">
        <v>68141</v>
      </c>
      <c r="AA447" s="519">
        <v>64572</v>
      </c>
      <c r="AB447" s="592">
        <v>45572</v>
      </c>
      <c r="AC447" s="519">
        <v>51038</v>
      </c>
      <c r="AD447" s="592">
        <v>62603</v>
      </c>
      <c r="AE447" s="519">
        <v>66660</v>
      </c>
      <c r="AF447" s="595">
        <f t="shared" si="132"/>
        <v>176316</v>
      </c>
      <c r="AG447" s="595">
        <f t="shared" si="133"/>
        <v>195.90666666666667</v>
      </c>
      <c r="AH447" s="596">
        <f t="shared" si="134"/>
        <v>182270</v>
      </c>
      <c r="AI447" s="596">
        <f t="shared" si="135"/>
        <v>202.52222222222221</v>
      </c>
      <c r="AJ447" s="592"/>
      <c r="AK447" s="519"/>
      <c r="AL447" s="595">
        <f t="shared" si="136"/>
        <v>0</v>
      </c>
      <c r="AM447" s="596">
        <f t="shared" si="137"/>
        <v>0</v>
      </c>
      <c r="AN447" s="592"/>
      <c r="AO447" s="519"/>
      <c r="AP447" s="592"/>
      <c r="AQ447" s="519"/>
      <c r="AR447" s="592"/>
      <c r="AS447" s="519"/>
      <c r="AT447" s="592"/>
      <c r="AU447" s="519"/>
      <c r="AV447" s="595">
        <f t="shared" si="138"/>
        <v>0</v>
      </c>
      <c r="AW447" s="595">
        <f t="shared" si="139"/>
        <v>0</v>
      </c>
      <c r="AX447" s="596">
        <f t="shared" si="140"/>
        <v>0</v>
      </c>
      <c r="AY447" s="596">
        <f t="shared" si="141"/>
        <v>0</v>
      </c>
      <c r="AZ447" s="595">
        <f t="shared" si="142"/>
        <v>195.90666666666667</v>
      </c>
      <c r="BA447" s="596">
        <f t="shared" si="143"/>
        <v>202.52222222222221</v>
      </c>
    </row>
    <row r="448" spans="1:53" s="365" customFormat="1" ht="12.75" customHeight="1">
      <c r="A448" s="417" t="s">
        <v>359</v>
      </c>
      <c r="B448" s="418" t="s">
        <v>408</v>
      </c>
      <c r="C448" s="419"/>
      <c r="D448" s="417">
        <v>221494</v>
      </c>
      <c r="E448" s="417">
        <v>13</v>
      </c>
      <c r="F448" s="592"/>
      <c r="G448" s="519"/>
      <c r="H448" s="592"/>
      <c r="I448" s="519"/>
      <c r="J448" s="592"/>
      <c r="K448" s="519"/>
      <c r="L448" s="592"/>
      <c r="M448" s="519"/>
      <c r="N448" s="592"/>
      <c r="O448" s="519"/>
      <c r="P448" s="595">
        <f t="shared" si="126"/>
        <v>0</v>
      </c>
      <c r="Q448" s="595">
        <f t="shared" si="127"/>
        <v>0</v>
      </c>
      <c r="R448" s="596">
        <f t="shared" si="128"/>
        <v>0</v>
      </c>
      <c r="S448" s="596">
        <f t="shared" si="129"/>
        <v>0</v>
      </c>
      <c r="T448" s="592"/>
      <c r="U448" s="519"/>
      <c r="V448" s="595">
        <f t="shared" si="130"/>
        <v>0</v>
      </c>
      <c r="W448" s="596">
        <f t="shared" si="131"/>
        <v>0</v>
      </c>
      <c r="X448" s="592"/>
      <c r="Y448" s="519"/>
      <c r="Z448" s="592">
        <v>152551</v>
      </c>
      <c r="AA448" s="519">
        <v>153962</v>
      </c>
      <c r="AB448" s="592">
        <v>143840</v>
      </c>
      <c r="AC448" s="519">
        <v>124412</v>
      </c>
      <c r="AD448" s="592">
        <v>166918</v>
      </c>
      <c r="AE448" s="519">
        <v>166188</v>
      </c>
      <c r="AF448" s="595">
        <f t="shared" si="132"/>
        <v>463309</v>
      </c>
      <c r="AG448" s="595">
        <f t="shared" si="133"/>
        <v>514.78777777777782</v>
      </c>
      <c r="AH448" s="596">
        <f t="shared" si="134"/>
        <v>444562</v>
      </c>
      <c r="AI448" s="596">
        <f t="shared" si="135"/>
        <v>493.95777777777778</v>
      </c>
      <c r="AJ448" s="592"/>
      <c r="AK448" s="519"/>
      <c r="AL448" s="595">
        <f t="shared" si="136"/>
        <v>0</v>
      </c>
      <c r="AM448" s="596">
        <f t="shared" si="137"/>
        <v>0</v>
      </c>
      <c r="AN448" s="592"/>
      <c r="AO448" s="519"/>
      <c r="AP448" s="592"/>
      <c r="AQ448" s="519"/>
      <c r="AR448" s="592"/>
      <c r="AS448" s="519"/>
      <c r="AT448" s="592"/>
      <c r="AU448" s="519"/>
      <c r="AV448" s="595">
        <f t="shared" si="138"/>
        <v>0</v>
      </c>
      <c r="AW448" s="595">
        <f t="shared" si="139"/>
        <v>0</v>
      </c>
      <c r="AX448" s="596">
        <f t="shared" si="140"/>
        <v>0</v>
      </c>
      <c r="AY448" s="596">
        <f t="shared" si="141"/>
        <v>0</v>
      </c>
      <c r="AZ448" s="595">
        <f t="shared" si="142"/>
        <v>514.78777777777782</v>
      </c>
      <c r="BA448" s="596">
        <f t="shared" si="143"/>
        <v>493.95777777777778</v>
      </c>
    </row>
    <row r="449" spans="1:53" s="365" customFormat="1" ht="12.75" customHeight="1">
      <c r="A449" s="417" t="s">
        <v>359</v>
      </c>
      <c r="B449" s="418" t="s">
        <v>409</v>
      </c>
      <c r="C449" s="419"/>
      <c r="D449" s="417">
        <v>221634</v>
      </c>
      <c r="E449" s="417">
        <v>13</v>
      </c>
      <c r="F449" s="592"/>
      <c r="G449" s="519"/>
      <c r="H449" s="592"/>
      <c r="I449" s="519"/>
      <c r="J449" s="592"/>
      <c r="K449" s="519"/>
      <c r="L449" s="592"/>
      <c r="M449" s="519"/>
      <c r="N449" s="592"/>
      <c r="O449" s="519"/>
      <c r="P449" s="595">
        <f t="shared" si="126"/>
        <v>0</v>
      </c>
      <c r="Q449" s="595">
        <f t="shared" si="127"/>
        <v>0</v>
      </c>
      <c r="R449" s="596">
        <f t="shared" si="128"/>
        <v>0</v>
      </c>
      <c r="S449" s="596">
        <f t="shared" si="129"/>
        <v>0</v>
      </c>
      <c r="T449" s="592"/>
      <c r="U449" s="519"/>
      <c r="V449" s="595">
        <f t="shared" si="130"/>
        <v>0</v>
      </c>
      <c r="W449" s="596">
        <f t="shared" si="131"/>
        <v>0</v>
      </c>
      <c r="X449" s="592"/>
      <c r="Y449" s="519"/>
      <c r="Z449" s="592">
        <v>61744</v>
      </c>
      <c r="AA449" s="519">
        <v>69075</v>
      </c>
      <c r="AB449" s="592">
        <v>48823</v>
      </c>
      <c r="AC449" s="519">
        <v>49088</v>
      </c>
      <c r="AD449" s="592">
        <v>61602</v>
      </c>
      <c r="AE449" s="519">
        <v>69009</v>
      </c>
      <c r="AF449" s="595">
        <f t="shared" si="132"/>
        <v>172169</v>
      </c>
      <c r="AG449" s="595">
        <f t="shared" si="133"/>
        <v>191.29888888888888</v>
      </c>
      <c r="AH449" s="596">
        <f t="shared" si="134"/>
        <v>187172</v>
      </c>
      <c r="AI449" s="596">
        <f t="shared" si="135"/>
        <v>207.9688888888889</v>
      </c>
      <c r="AJ449" s="592"/>
      <c r="AK449" s="519"/>
      <c r="AL449" s="595">
        <f t="shared" si="136"/>
        <v>0</v>
      </c>
      <c r="AM449" s="596">
        <f t="shared" si="137"/>
        <v>0</v>
      </c>
      <c r="AN449" s="592"/>
      <c r="AO449" s="519"/>
      <c r="AP449" s="592"/>
      <c r="AQ449" s="519"/>
      <c r="AR449" s="592"/>
      <c r="AS449" s="519"/>
      <c r="AT449" s="592"/>
      <c r="AU449" s="519"/>
      <c r="AV449" s="595">
        <f t="shared" si="138"/>
        <v>0</v>
      </c>
      <c r="AW449" s="595">
        <f t="shared" si="139"/>
        <v>0</v>
      </c>
      <c r="AX449" s="596">
        <f t="shared" si="140"/>
        <v>0</v>
      </c>
      <c r="AY449" s="596">
        <f t="shared" si="141"/>
        <v>0</v>
      </c>
      <c r="AZ449" s="595">
        <f t="shared" si="142"/>
        <v>191.29888888888888</v>
      </c>
      <c r="BA449" s="596">
        <f t="shared" si="143"/>
        <v>207.9688888888889</v>
      </c>
    </row>
    <row r="450" spans="1:53" customFormat="1" ht="13.5" customHeight="1">
      <c r="A450" s="447" t="s">
        <v>523</v>
      </c>
      <c r="B450" s="445" t="s">
        <v>524</v>
      </c>
      <c r="C450" s="446"/>
      <c r="D450" s="447">
        <v>228723</v>
      </c>
      <c r="E450" s="447">
        <v>1</v>
      </c>
      <c r="F450" s="592"/>
      <c r="G450" s="519"/>
      <c r="H450" s="592">
        <v>0</v>
      </c>
      <c r="I450" s="519">
        <v>0</v>
      </c>
      <c r="J450" s="592">
        <v>613953</v>
      </c>
      <c r="K450" s="519">
        <v>618157</v>
      </c>
      <c r="L450" s="592">
        <v>77421</v>
      </c>
      <c r="M450" s="519">
        <v>106529</v>
      </c>
      <c r="N450" s="592">
        <v>663528</v>
      </c>
      <c r="O450" s="519">
        <v>687589</v>
      </c>
      <c r="P450" s="595">
        <f t="shared" si="126"/>
        <v>1354902</v>
      </c>
      <c r="Q450" s="595">
        <f t="shared" si="127"/>
        <v>45163.4</v>
      </c>
      <c r="R450" s="596">
        <f t="shared" si="128"/>
        <v>1412275</v>
      </c>
      <c r="S450" s="596">
        <f t="shared" si="129"/>
        <v>47075.833333333336</v>
      </c>
      <c r="T450" s="592">
        <v>0</v>
      </c>
      <c r="U450" s="519">
        <v>0</v>
      </c>
      <c r="V450" s="595">
        <f t="shared" si="130"/>
        <v>1354902</v>
      </c>
      <c r="W450" s="596">
        <f t="shared" si="131"/>
        <v>1412275</v>
      </c>
      <c r="X450" s="592"/>
      <c r="Y450" s="519"/>
      <c r="Z450" s="592"/>
      <c r="AA450" s="519"/>
      <c r="AB450" s="592"/>
      <c r="AC450" s="519"/>
      <c r="AD450" s="592"/>
      <c r="AE450" s="519"/>
      <c r="AF450" s="595">
        <f t="shared" si="132"/>
        <v>0</v>
      </c>
      <c r="AG450" s="595">
        <f t="shared" si="133"/>
        <v>0</v>
      </c>
      <c r="AH450" s="596">
        <f t="shared" si="134"/>
        <v>0</v>
      </c>
      <c r="AI450" s="596">
        <f t="shared" si="135"/>
        <v>0</v>
      </c>
      <c r="AJ450" s="592"/>
      <c r="AK450" s="519"/>
      <c r="AL450" s="595">
        <f t="shared" si="136"/>
        <v>0</v>
      </c>
      <c r="AM450" s="596">
        <f t="shared" si="137"/>
        <v>0</v>
      </c>
      <c r="AN450" s="592"/>
      <c r="AO450" s="519"/>
      <c r="AP450" s="592">
        <v>94838</v>
      </c>
      <c r="AQ450" s="519">
        <v>95499</v>
      </c>
      <c r="AR450" s="592">
        <v>32516</v>
      </c>
      <c r="AS450" s="519">
        <v>33538</v>
      </c>
      <c r="AT450" s="592">
        <v>103507</v>
      </c>
      <c r="AU450" s="519">
        <v>101223</v>
      </c>
      <c r="AV450" s="595">
        <f t="shared" si="138"/>
        <v>230861</v>
      </c>
      <c r="AW450" s="595">
        <f t="shared" si="139"/>
        <v>9619.2083333333339</v>
      </c>
      <c r="AX450" s="596">
        <f t="shared" si="140"/>
        <v>230260</v>
      </c>
      <c r="AY450" s="596">
        <f t="shared" si="141"/>
        <v>9594.1666666666661</v>
      </c>
      <c r="AZ450" s="595">
        <f t="shared" si="142"/>
        <v>54782.608333333337</v>
      </c>
      <c r="BA450" s="596">
        <f t="shared" si="143"/>
        <v>56670</v>
      </c>
    </row>
    <row r="451" spans="1:53" customFormat="1" ht="12.75" customHeight="1">
      <c r="A451" s="447" t="s">
        <v>523</v>
      </c>
      <c r="B451" s="445" t="s">
        <v>525</v>
      </c>
      <c r="C451" s="446"/>
      <c r="D451" s="447">
        <v>229115</v>
      </c>
      <c r="E451" s="447">
        <v>1</v>
      </c>
      <c r="F451" s="592"/>
      <c r="G451" s="519"/>
      <c r="H451" s="592">
        <v>0</v>
      </c>
      <c r="I451" s="519">
        <v>0</v>
      </c>
      <c r="J451" s="592">
        <v>366209</v>
      </c>
      <c r="K451" s="519">
        <v>372727</v>
      </c>
      <c r="L451" s="592">
        <v>74344</v>
      </c>
      <c r="M451" s="519">
        <v>87314</v>
      </c>
      <c r="N451" s="592">
        <v>411531</v>
      </c>
      <c r="O451" s="519">
        <v>428759</v>
      </c>
      <c r="P451" s="595">
        <f t="shared" si="126"/>
        <v>852084</v>
      </c>
      <c r="Q451" s="595">
        <f t="shared" si="127"/>
        <v>28402.799999999999</v>
      </c>
      <c r="R451" s="596">
        <f t="shared" si="128"/>
        <v>888800</v>
      </c>
      <c r="S451" s="596">
        <f t="shared" si="129"/>
        <v>29626.666666666668</v>
      </c>
      <c r="T451" s="592">
        <v>4199</v>
      </c>
      <c r="U451" s="519">
        <v>2275</v>
      </c>
      <c r="V451" s="595">
        <f t="shared" si="130"/>
        <v>852084</v>
      </c>
      <c r="W451" s="596">
        <f t="shared" si="131"/>
        <v>888800</v>
      </c>
      <c r="X451" s="592"/>
      <c r="Y451" s="519"/>
      <c r="Z451" s="592"/>
      <c r="AA451" s="519"/>
      <c r="AB451" s="592"/>
      <c r="AC451" s="519"/>
      <c r="AD451" s="592"/>
      <c r="AE451" s="519"/>
      <c r="AF451" s="595">
        <f t="shared" si="132"/>
        <v>0</v>
      </c>
      <c r="AG451" s="595">
        <f t="shared" si="133"/>
        <v>0</v>
      </c>
      <c r="AH451" s="596">
        <f t="shared" si="134"/>
        <v>0</v>
      </c>
      <c r="AI451" s="596">
        <f t="shared" si="135"/>
        <v>0</v>
      </c>
      <c r="AJ451" s="592"/>
      <c r="AK451" s="519"/>
      <c r="AL451" s="595">
        <f t="shared" si="136"/>
        <v>0</v>
      </c>
      <c r="AM451" s="596">
        <f t="shared" si="137"/>
        <v>0</v>
      </c>
      <c r="AN451" s="592"/>
      <c r="AO451" s="519"/>
      <c r="AP451" s="592">
        <v>46853</v>
      </c>
      <c r="AQ451" s="519">
        <v>48111</v>
      </c>
      <c r="AR451" s="592">
        <v>23808</v>
      </c>
      <c r="AS451" s="519">
        <v>26376</v>
      </c>
      <c r="AT451" s="592">
        <v>50651</v>
      </c>
      <c r="AU451" s="519">
        <v>55054</v>
      </c>
      <c r="AV451" s="595">
        <f t="shared" si="138"/>
        <v>121312</v>
      </c>
      <c r="AW451" s="595">
        <f t="shared" si="139"/>
        <v>5054.666666666667</v>
      </c>
      <c r="AX451" s="596">
        <f t="shared" si="140"/>
        <v>129541</v>
      </c>
      <c r="AY451" s="596">
        <f t="shared" si="141"/>
        <v>5397.541666666667</v>
      </c>
      <c r="AZ451" s="595">
        <f t="shared" si="142"/>
        <v>33457.466666666667</v>
      </c>
      <c r="BA451" s="596">
        <f t="shared" si="143"/>
        <v>35024.208333333336</v>
      </c>
    </row>
    <row r="452" spans="1:53" customFormat="1" ht="12.75" customHeight="1">
      <c r="A452" s="447" t="s">
        <v>523</v>
      </c>
      <c r="B452" s="445" t="s">
        <v>526</v>
      </c>
      <c r="C452" s="446"/>
      <c r="D452" s="447">
        <v>225511</v>
      </c>
      <c r="E452" s="447">
        <v>1</v>
      </c>
      <c r="F452" s="592"/>
      <c r="G452" s="519"/>
      <c r="H452" s="592">
        <v>0</v>
      </c>
      <c r="I452" s="519">
        <v>0</v>
      </c>
      <c r="J452" s="592">
        <v>427518</v>
      </c>
      <c r="K452" s="519">
        <v>426560</v>
      </c>
      <c r="L452" s="592">
        <v>73620</v>
      </c>
      <c r="M452" s="519">
        <v>100530</v>
      </c>
      <c r="N452" s="592">
        <v>464662</v>
      </c>
      <c r="O452" s="519">
        <v>474900</v>
      </c>
      <c r="P452" s="595">
        <f t="shared" si="126"/>
        <v>965800</v>
      </c>
      <c r="Q452" s="595">
        <f t="shared" si="127"/>
        <v>32193.333333333332</v>
      </c>
      <c r="R452" s="596">
        <f t="shared" si="128"/>
        <v>1001990</v>
      </c>
      <c r="S452" s="596">
        <f t="shared" si="129"/>
        <v>33399.666666666664</v>
      </c>
      <c r="T452" s="592">
        <v>0</v>
      </c>
      <c r="U452" s="519">
        <v>0</v>
      </c>
      <c r="V452" s="595">
        <f t="shared" si="130"/>
        <v>965800</v>
      </c>
      <c r="W452" s="596">
        <f t="shared" si="131"/>
        <v>1001990</v>
      </c>
      <c r="X452" s="592"/>
      <c r="Y452" s="519"/>
      <c r="Z452" s="592"/>
      <c r="AA452" s="519"/>
      <c r="AB452" s="592"/>
      <c r="AC452" s="519"/>
      <c r="AD452" s="592"/>
      <c r="AE452" s="519"/>
      <c r="AF452" s="595">
        <f t="shared" si="132"/>
        <v>0</v>
      </c>
      <c r="AG452" s="595">
        <f t="shared" si="133"/>
        <v>0</v>
      </c>
      <c r="AH452" s="596">
        <f t="shared" si="134"/>
        <v>0</v>
      </c>
      <c r="AI452" s="596">
        <f t="shared" si="135"/>
        <v>0</v>
      </c>
      <c r="AJ452" s="592"/>
      <c r="AK452" s="519"/>
      <c r="AL452" s="595">
        <f t="shared" si="136"/>
        <v>0</v>
      </c>
      <c r="AM452" s="596">
        <f t="shared" si="137"/>
        <v>0</v>
      </c>
      <c r="AN452" s="592"/>
      <c r="AO452" s="519"/>
      <c r="AP452" s="592">
        <v>73523</v>
      </c>
      <c r="AQ452" s="519">
        <v>70368</v>
      </c>
      <c r="AR452" s="592">
        <v>21519</v>
      </c>
      <c r="AS452" s="519">
        <v>27733</v>
      </c>
      <c r="AT452" s="592">
        <v>73754</v>
      </c>
      <c r="AU452" s="519">
        <v>75309</v>
      </c>
      <c r="AV452" s="595">
        <f t="shared" si="138"/>
        <v>168796</v>
      </c>
      <c r="AW452" s="595">
        <f t="shared" si="139"/>
        <v>7033.166666666667</v>
      </c>
      <c r="AX452" s="596">
        <f t="shared" si="140"/>
        <v>173410</v>
      </c>
      <c r="AY452" s="596">
        <f t="shared" si="141"/>
        <v>7225.416666666667</v>
      </c>
      <c r="AZ452" s="595">
        <f t="shared" si="142"/>
        <v>39226.5</v>
      </c>
      <c r="BA452" s="596">
        <f t="shared" si="143"/>
        <v>40625.083333333328</v>
      </c>
    </row>
    <row r="453" spans="1:53" customFormat="1" ht="12.75" customHeight="1">
      <c r="A453" s="444" t="s">
        <v>523</v>
      </c>
      <c r="B453" s="445" t="s">
        <v>527</v>
      </c>
      <c r="C453" s="446"/>
      <c r="D453" s="447">
        <v>227216</v>
      </c>
      <c r="E453" s="447">
        <v>1</v>
      </c>
      <c r="F453" s="592"/>
      <c r="G453" s="519"/>
      <c r="H453" s="592">
        <v>0</v>
      </c>
      <c r="I453" s="519">
        <v>0</v>
      </c>
      <c r="J453" s="592">
        <v>356472</v>
      </c>
      <c r="K453" s="519">
        <v>367716</v>
      </c>
      <c r="L453" s="592">
        <v>73946</v>
      </c>
      <c r="M453" s="519">
        <v>86916</v>
      </c>
      <c r="N453" s="592">
        <v>400922</v>
      </c>
      <c r="O453" s="519">
        <v>408907</v>
      </c>
      <c r="P453" s="595">
        <f t="shared" si="126"/>
        <v>831340</v>
      </c>
      <c r="Q453" s="595">
        <f t="shared" si="127"/>
        <v>27711.333333333332</v>
      </c>
      <c r="R453" s="596">
        <f t="shared" si="128"/>
        <v>863539</v>
      </c>
      <c r="S453" s="596">
        <f t="shared" si="129"/>
        <v>28784.633333333335</v>
      </c>
      <c r="T453" s="592">
        <v>0</v>
      </c>
      <c r="U453" s="519">
        <v>0</v>
      </c>
      <c r="V453" s="595">
        <f t="shared" si="130"/>
        <v>831340</v>
      </c>
      <c r="W453" s="596">
        <f t="shared" si="131"/>
        <v>863539</v>
      </c>
      <c r="X453" s="592"/>
      <c r="Y453" s="519"/>
      <c r="Z453" s="592"/>
      <c r="AA453" s="519"/>
      <c r="AB453" s="592"/>
      <c r="AC453" s="519"/>
      <c r="AD453" s="592"/>
      <c r="AE453" s="519"/>
      <c r="AF453" s="595">
        <f t="shared" si="132"/>
        <v>0</v>
      </c>
      <c r="AG453" s="595">
        <f t="shared" si="133"/>
        <v>0</v>
      </c>
      <c r="AH453" s="596">
        <f t="shared" si="134"/>
        <v>0</v>
      </c>
      <c r="AI453" s="596">
        <f t="shared" si="135"/>
        <v>0</v>
      </c>
      <c r="AJ453" s="592"/>
      <c r="AK453" s="519"/>
      <c r="AL453" s="595">
        <f t="shared" si="136"/>
        <v>0</v>
      </c>
      <c r="AM453" s="596">
        <f t="shared" si="137"/>
        <v>0</v>
      </c>
      <c r="AN453" s="592"/>
      <c r="AO453" s="519"/>
      <c r="AP453" s="592">
        <v>44590</v>
      </c>
      <c r="AQ453" s="519">
        <v>48675</v>
      </c>
      <c r="AR453" s="592">
        <v>20478</v>
      </c>
      <c r="AS453" s="519">
        <v>23495</v>
      </c>
      <c r="AT453" s="592">
        <v>45362</v>
      </c>
      <c r="AU453" s="519">
        <v>51195</v>
      </c>
      <c r="AV453" s="595">
        <f t="shared" si="138"/>
        <v>110430</v>
      </c>
      <c r="AW453" s="595">
        <f t="shared" si="139"/>
        <v>4601.25</v>
      </c>
      <c r="AX453" s="596">
        <f t="shared" si="140"/>
        <v>123365</v>
      </c>
      <c r="AY453" s="596">
        <f t="shared" si="141"/>
        <v>5140.208333333333</v>
      </c>
      <c r="AZ453" s="595">
        <f t="shared" si="142"/>
        <v>32312.583333333332</v>
      </c>
      <c r="BA453" s="596">
        <f t="shared" si="143"/>
        <v>33924.841666666667</v>
      </c>
    </row>
    <row r="454" spans="1:53" customFormat="1" ht="12.75" customHeight="1">
      <c r="A454" s="444" t="s">
        <v>523</v>
      </c>
      <c r="B454" s="445" t="s">
        <v>528</v>
      </c>
      <c r="C454" s="446"/>
      <c r="D454" s="447">
        <v>228769</v>
      </c>
      <c r="E454" s="447">
        <v>1</v>
      </c>
      <c r="F454" s="592"/>
      <c r="G454" s="519"/>
      <c r="H454" s="592">
        <v>0</v>
      </c>
      <c r="I454" s="519">
        <v>0</v>
      </c>
      <c r="J454" s="592">
        <v>320709</v>
      </c>
      <c r="K454" s="519">
        <v>328968</v>
      </c>
      <c r="L454" s="592">
        <v>110325</v>
      </c>
      <c r="M454" s="519">
        <v>125850</v>
      </c>
      <c r="N454" s="592">
        <v>318412</v>
      </c>
      <c r="O454" s="519">
        <v>324905</v>
      </c>
      <c r="P454" s="595">
        <f t="shared" si="126"/>
        <v>749446</v>
      </c>
      <c r="Q454" s="595">
        <f t="shared" si="127"/>
        <v>24981.533333333333</v>
      </c>
      <c r="R454" s="596">
        <f t="shared" si="128"/>
        <v>779723</v>
      </c>
      <c r="S454" s="596">
        <f t="shared" si="129"/>
        <v>25990.766666666666</v>
      </c>
      <c r="T454" s="592">
        <v>2023</v>
      </c>
      <c r="U454" s="519">
        <v>1638</v>
      </c>
      <c r="V454" s="595">
        <f t="shared" si="130"/>
        <v>749446</v>
      </c>
      <c r="W454" s="596">
        <f t="shared" si="131"/>
        <v>779723</v>
      </c>
      <c r="X454" s="592"/>
      <c r="Y454" s="519"/>
      <c r="Z454" s="592"/>
      <c r="AA454" s="519"/>
      <c r="AB454" s="592"/>
      <c r="AC454" s="519"/>
      <c r="AD454" s="592"/>
      <c r="AE454" s="519"/>
      <c r="AF454" s="595">
        <f t="shared" si="132"/>
        <v>0</v>
      </c>
      <c r="AG454" s="595">
        <f t="shared" si="133"/>
        <v>0</v>
      </c>
      <c r="AH454" s="596">
        <f t="shared" si="134"/>
        <v>0</v>
      </c>
      <c r="AI454" s="596">
        <f t="shared" si="135"/>
        <v>0</v>
      </c>
      <c r="AJ454" s="592"/>
      <c r="AK454" s="519"/>
      <c r="AL454" s="595">
        <f t="shared" si="136"/>
        <v>0</v>
      </c>
      <c r="AM454" s="596">
        <f t="shared" si="137"/>
        <v>0</v>
      </c>
      <c r="AN454" s="592"/>
      <c r="AO454" s="519"/>
      <c r="AP454" s="592">
        <v>89706</v>
      </c>
      <c r="AQ454" s="519">
        <v>87235</v>
      </c>
      <c r="AR454" s="592">
        <v>58861</v>
      </c>
      <c r="AS454" s="519">
        <v>61755</v>
      </c>
      <c r="AT454" s="592">
        <v>67888</v>
      </c>
      <c r="AU454" s="519">
        <v>63836</v>
      </c>
      <c r="AV454" s="595">
        <f t="shared" si="138"/>
        <v>216455</v>
      </c>
      <c r="AW454" s="595">
        <f t="shared" si="139"/>
        <v>9018.9583333333339</v>
      </c>
      <c r="AX454" s="596">
        <f t="shared" si="140"/>
        <v>212826</v>
      </c>
      <c r="AY454" s="596">
        <f t="shared" si="141"/>
        <v>8867.75</v>
      </c>
      <c r="AZ454" s="595">
        <f t="shared" si="142"/>
        <v>34000.491666666669</v>
      </c>
      <c r="BA454" s="596">
        <f t="shared" si="143"/>
        <v>34858.516666666663</v>
      </c>
    </row>
    <row r="455" spans="1:53" customFormat="1" ht="12.75" customHeight="1">
      <c r="A455" s="444" t="s">
        <v>523</v>
      </c>
      <c r="B455" s="445" t="s">
        <v>529</v>
      </c>
      <c r="C455" s="446"/>
      <c r="D455" s="447">
        <v>228778</v>
      </c>
      <c r="E455" s="447">
        <v>1</v>
      </c>
      <c r="F455" s="592"/>
      <c r="G455" s="519"/>
      <c r="H455" s="592">
        <v>0</v>
      </c>
      <c r="I455" s="519">
        <v>0</v>
      </c>
      <c r="J455" s="592">
        <v>514424</v>
      </c>
      <c r="K455" s="519">
        <v>506449</v>
      </c>
      <c r="L455" s="592">
        <v>40383</v>
      </c>
      <c r="M455" s="569">
        <v>71982</v>
      </c>
      <c r="N455" s="592">
        <v>539827</v>
      </c>
      <c r="O455" s="519">
        <v>542029</v>
      </c>
      <c r="P455" s="595">
        <f t="shared" si="126"/>
        <v>1094634</v>
      </c>
      <c r="Q455" s="595">
        <f t="shared" si="127"/>
        <v>36487.800000000003</v>
      </c>
      <c r="R455" s="596">
        <f t="shared" si="128"/>
        <v>1120460</v>
      </c>
      <c r="S455" s="596">
        <f t="shared" si="129"/>
        <v>37348.666666666664</v>
      </c>
      <c r="T455" s="592">
        <v>0</v>
      </c>
      <c r="U455" s="519">
        <v>0</v>
      </c>
      <c r="V455" s="595">
        <f t="shared" si="130"/>
        <v>1094634</v>
      </c>
      <c r="W455" s="596">
        <f t="shared" si="131"/>
        <v>1120460</v>
      </c>
      <c r="X455" s="592"/>
      <c r="Y455" s="519"/>
      <c r="Z455" s="592"/>
      <c r="AA455" s="519"/>
      <c r="AB455" s="592"/>
      <c r="AC455" s="519"/>
      <c r="AD455" s="592"/>
      <c r="AE455" s="519"/>
      <c r="AF455" s="595">
        <f t="shared" si="132"/>
        <v>0</v>
      </c>
      <c r="AG455" s="595">
        <f t="shared" si="133"/>
        <v>0</v>
      </c>
      <c r="AH455" s="596">
        <f t="shared" si="134"/>
        <v>0</v>
      </c>
      <c r="AI455" s="596">
        <f t="shared" si="135"/>
        <v>0</v>
      </c>
      <c r="AJ455" s="592"/>
      <c r="AK455" s="519"/>
      <c r="AL455" s="595">
        <f t="shared" si="136"/>
        <v>0</v>
      </c>
      <c r="AM455" s="596">
        <f t="shared" si="137"/>
        <v>0</v>
      </c>
      <c r="AN455" s="592"/>
      <c r="AO455" s="519"/>
      <c r="AP455" s="592">
        <v>106645</v>
      </c>
      <c r="AQ455" s="519">
        <v>105938</v>
      </c>
      <c r="AR455" s="592">
        <v>18031</v>
      </c>
      <c r="AS455" s="519">
        <v>20163</v>
      </c>
      <c r="AT455" s="592">
        <v>111316</v>
      </c>
      <c r="AU455" s="519">
        <v>107077</v>
      </c>
      <c r="AV455" s="595">
        <f t="shared" si="138"/>
        <v>235992</v>
      </c>
      <c r="AW455" s="595">
        <f t="shared" si="139"/>
        <v>9833</v>
      </c>
      <c r="AX455" s="596">
        <f t="shared" si="140"/>
        <v>233178</v>
      </c>
      <c r="AY455" s="596">
        <f t="shared" si="141"/>
        <v>9715.75</v>
      </c>
      <c r="AZ455" s="595">
        <f t="shared" si="142"/>
        <v>46320.800000000003</v>
      </c>
      <c r="BA455" s="596">
        <f t="shared" si="143"/>
        <v>47064.416666666664</v>
      </c>
    </row>
    <row r="456" spans="1:53" customFormat="1" ht="12.75" customHeight="1">
      <c r="A456" s="444" t="s">
        <v>523</v>
      </c>
      <c r="B456" s="445" t="s">
        <v>530</v>
      </c>
      <c r="C456" s="446"/>
      <c r="D456" s="447">
        <v>228787</v>
      </c>
      <c r="E456" s="447">
        <v>1</v>
      </c>
      <c r="F456" s="592"/>
      <c r="G456" s="519"/>
      <c r="H456" s="592">
        <v>0</v>
      </c>
      <c r="I456" s="519">
        <v>0</v>
      </c>
      <c r="J456" s="592">
        <v>240608</v>
      </c>
      <c r="K456" s="519">
        <v>257129</v>
      </c>
      <c r="L456" s="592">
        <v>29328</v>
      </c>
      <c r="M456" s="519">
        <v>40418</v>
      </c>
      <c r="N456" s="592">
        <v>277510</v>
      </c>
      <c r="O456" s="519">
        <v>275329</v>
      </c>
      <c r="P456" s="595">
        <f t="shared" ref="P456:P519" si="144">SUM(H456,J456,L456,N456)</f>
        <v>547446</v>
      </c>
      <c r="Q456" s="595">
        <f t="shared" ref="Q456:Q519" si="145">+P456/30</f>
        <v>18248.2</v>
      </c>
      <c r="R456" s="596">
        <f t="shared" ref="R456:R519" si="146">SUM(I456,K456,M456,O456)</f>
        <v>572876</v>
      </c>
      <c r="S456" s="596">
        <f t="shared" ref="S456:S519" si="147">+R456/30</f>
        <v>19095.866666666665</v>
      </c>
      <c r="T456" s="592">
        <v>0</v>
      </c>
      <c r="U456" s="519">
        <v>0</v>
      </c>
      <c r="V456" s="595">
        <f t="shared" ref="V456:V519" si="148">IF(ISBLANK(T456),0,P456)</f>
        <v>547446</v>
      </c>
      <c r="W456" s="596">
        <f t="shared" ref="W456:W519" si="149">IF(ISBLANK(U456),0,R456)</f>
        <v>572876</v>
      </c>
      <c r="X456" s="592"/>
      <c r="Y456" s="519"/>
      <c r="Z456" s="592"/>
      <c r="AA456" s="519"/>
      <c r="AB456" s="592"/>
      <c r="AC456" s="519"/>
      <c r="AD456" s="592"/>
      <c r="AE456" s="519"/>
      <c r="AF456" s="595">
        <f t="shared" ref="AF456:AF519" si="150">SUM(X456,Z456,AB456,AD456)</f>
        <v>0</v>
      </c>
      <c r="AG456" s="595">
        <f t="shared" ref="AG456:AG519" si="151">+AF456/900</f>
        <v>0</v>
      </c>
      <c r="AH456" s="596">
        <f t="shared" ref="AH456:AH519" si="152">SUM(Y456,AA456,AC456,AE456)</f>
        <v>0</v>
      </c>
      <c r="AI456" s="596">
        <f t="shared" ref="AI456:AI519" si="153">+AH456/900</f>
        <v>0</v>
      </c>
      <c r="AJ456" s="592"/>
      <c r="AK456" s="519"/>
      <c r="AL456" s="595">
        <f t="shared" ref="AL456:AL519" si="154">IF(ISBLANK(AJ456),0,AF456)</f>
        <v>0</v>
      </c>
      <c r="AM456" s="596">
        <f t="shared" ref="AM456:AM519" si="155">IF(ISBLANK(AK456),0,AH456)</f>
        <v>0</v>
      </c>
      <c r="AN456" s="592"/>
      <c r="AO456" s="519"/>
      <c r="AP456" s="592">
        <v>62635</v>
      </c>
      <c r="AQ456" s="519">
        <v>61273</v>
      </c>
      <c r="AR456" s="592">
        <v>18644</v>
      </c>
      <c r="AS456" s="519">
        <v>20846</v>
      </c>
      <c r="AT456" s="592">
        <v>66078</v>
      </c>
      <c r="AU456" s="519">
        <v>53519</v>
      </c>
      <c r="AV456" s="595">
        <f t="shared" ref="AV456:AV519" si="156">SUM(AN456,AP456,AR456,AT456)</f>
        <v>147357</v>
      </c>
      <c r="AW456" s="595">
        <f t="shared" ref="AW456:AW519" si="157">+AV456/24</f>
        <v>6139.875</v>
      </c>
      <c r="AX456" s="596">
        <f t="shared" ref="AX456:AX519" si="158">SUM(AO456,AQ456,AS456,AU456)</f>
        <v>135638</v>
      </c>
      <c r="AY456" s="596">
        <f t="shared" ref="AY456:AY519" si="159">+AX456/24</f>
        <v>5651.583333333333</v>
      </c>
      <c r="AZ456" s="595">
        <f t="shared" ref="AZ456:AZ519" si="160">SUM(Q456,AG456,AW456)</f>
        <v>24388.075000000001</v>
      </c>
      <c r="BA456" s="596">
        <f t="shared" ref="BA456:BA519" si="161">SUM(S456,AI456,AY456)</f>
        <v>24747.449999999997</v>
      </c>
    </row>
    <row r="457" spans="1:53" customFormat="1" ht="15" customHeight="1">
      <c r="A457" s="444" t="s">
        <v>523</v>
      </c>
      <c r="B457" s="445" t="s">
        <v>533</v>
      </c>
      <c r="C457" s="448"/>
      <c r="D457" s="447">
        <v>229027</v>
      </c>
      <c r="E457" s="447">
        <v>1</v>
      </c>
      <c r="F457" s="592"/>
      <c r="G457" s="519"/>
      <c r="H457" s="592">
        <v>0</v>
      </c>
      <c r="I457" s="519">
        <v>0</v>
      </c>
      <c r="J457" s="592">
        <v>308648</v>
      </c>
      <c r="K457" s="519">
        <v>310970</v>
      </c>
      <c r="L457" s="592">
        <v>58852</v>
      </c>
      <c r="M457" s="519">
        <v>75703</v>
      </c>
      <c r="N457" s="592">
        <v>338349</v>
      </c>
      <c r="O457" s="519">
        <v>355487</v>
      </c>
      <c r="P457" s="595">
        <f t="shared" si="144"/>
        <v>705849</v>
      </c>
      <c r="Q457" s="595">
        <f t="shared" si="145"/>
        <v>23528.3</v>
      </c>
      <c r="R457" s="596">
        <f t="shared" si="146"/>
        <v>742160</v>
      </c>
      <c r="S457" s="596">
        <f t="shared" si="147"/>
        <v>24738.666666666668</v>
      </c>
      <c r="T457" s="592">
        <v>1314</v>
      </c>
      <c r="U457" s="569">
        <v>2394</v>
      </c>
      <c r="V457" s="595">
        <f t="shared" si="148"/>
        <v>705849</v>
      </c>
      <c r="W457" s="596">
        <f t="shared" si="149"/>
        <v>742160</v>
      </c>
      <c r="X457" s="592"/>
      <c r="Y457" s="519"/>
      <c r="Z457" s="592"/>
      <c r="AA457" s="519"/>
      <c r="AB457" s="592"/>
      <c r="AC457" s="519"/>
      <c r="AD457" s="592"/>
      <c r="AE457" s="519"/>
      <c r="AF457" s="595">
        <f t="shared" si="150"/>
        <v>0</v>
      </c>
      <c r="AG457" s="595">
        <f t="shared" si="151"/>
        <v>0</v>
      </c>
      <c r="AH457" s="596">
        <f t="shared" si="152"/>
        <v>0</v>
      </c>
      <c r="AI457" s="596">
        <f t="shared" si="153"/>
        <v>0</v>
      </c>
      <c r="AJ457" s="592"/>
      <c r="AK457" s="519"/>
      <c r="AL457" s="595">
        <f t="shared" si="154"/>
        <v>0</v>
      </c>
      <c r="AM457" s="596">
        <f t="shared" si="155"/>
        <v>0</v>
      </c>
      <c r="AN457" s="592"/>
      <c r="AO457" s="519"/>
      <c r="AP457" s="592">
        <v>28655</v>
      </c>
      <c r="AQ457" s="519">
        <v>29157</v>
      </c>
      <c r="AR457" s="592">
        <v>11683</v>
      </c>
      <c r="AS457" s="519">
        <v>12351</v>
      </c>
      <c r="AT457" s="592">
        <v>30532</v>
      </c>
      <c r="AU457" s="519">
        <v>34050</v>
      </c>
      <c r="AV457" s="595">
        <f t="shared" si="156"/>
        <v>70870</v>
      </c>
      <c r="AW457" s="595">
        <f t="shared" si="157"/>
        <v>2952.9166666666665</v>
      </c>
      <c r="AX457" s="596">
        <f t="shared" si="158"/>
        <v>75558</v>
      </c>
      <c r="AY457" s="596">
        <f t="shared" si="159"/>
        <v>3148.25</v>
      </c>
      <c r="AZ457" s="595">
        <f t="shared" si="160"/>
        <v>26481.216666666667</v>
      </c>
      <c r="BA457" s="596">
        <f t="shared" si="161"/>
        <v>27886.916666666668</v>
      </c>
    </row>
    <row r="458" spans="1:53" customFormat="1" ht="15" customHeight="1">
      <c r="A458" s="444" t="s">
        <v>523</v>
      </c>
      <c r="B458" s="465" t="s">
        <v>547</v>
      </c>
      <c r="C458" s="448"/>
      <c r="D458" s="447">
        <v>228459</v>
      </c>
      <c r="E458" s="447">
        <v>2</v>
      </c>
      <c r="F458" s="592"/>
      <c r="G458" s="519"/>
      <c r="H458" s="592">
        <v>0</v>
      </c>
      <c r="I458" s="519">
        <v>0</v>
      </c>
      <c r="J458" s="592">
        <v>382846</v>
      </c>
      <c r="K458" s="519">
        <v>378021</v>
      </c>
      <c r="L458" s="592">
        <v>64051</v>
      </c>
      <c r="M458" s="519">
        <v>71840</v>
      </c>
      <c r="N458" s="592">
        <v>424964</v>
      </c>
      <c r="O458" s="519">
        <v>410585</v>
      </c>
      <c r="P458" s="595">
        <f t="shared" si="144"/>
        <v>871861</v>
      </c>
      <c r="Q458" s="595">
        <f t="shared" si="145"/>
        <v>29062.033333333333</v>
      </c>
      <c r="R458" s="596">
        <f t="shared" si="146"/>
        <v>860446</v>
      </c>
      <c r="S458" s="596">
        <f t="shared" si="147"/>
        <v>28681.533333333333</v>
      </c>
      <c r="T458" s="592">
        <v>0</v>
      </c>
      <c r="U458" s="519">
        <v>0</v>
      </c>
      <c r="V458" s="595">
        <f t="shared" si="148"/>
        <v>871861</v>
      </c>
      <c r="W458" s="596">
        <f t="shared" si="149"/>
        <v>860446</v>
      </c>
      <c r="X458" s="592"/>
      <c r="Y458" s="519"/>
      <c r="Z458" s="592"/>
      <c r="AA458" s="519"/>
      <c r="AB458" s="592"/>
      <c r="AC458" s="519"/>
      <c r="AD458" s="592"/>
      <c r="AE458" s="519"/>
      <c r="AF458" s="595">
        <f t="shared" si="150"/>
        <v>0</v>
      </c>
      <c r="AG458" s="595">
        <f t="shared" si="151"/>
        <v>0</v>
      </c>
      <c r="AH458" s="596">
        <f t="shared" si="152"/>
        <v>0</v>
      </c>
      <c r="AI458" s="596">
        <f t="shared" si="153"/>
        <v>0</v>
      </c>
      <c r="AJ458" s="592"/>
      <c r="AK458" s="519"/>
      <c r="AL458" s="595">
        <f t="shared" si="154"/>
        <v>0</v>
      </c>
      <c r="AM458" s="596">
        <f t="shared" si="155"/>
        <v>0</v>
      </c>
      <c r="AN458" s="592"/>
      <c r="AO458" s="519"/>
      <c r="AP458" s="592">
        <v>28724</v>
      </c>
      <c r="AQ458" s="519">
        <v>28055</v>
      </c>
      <c r="AR458" s="592">
        <v>11160</v>
      </c>
      <c r="AS458" s="519">
        <v>11383</v>
      </c>
      <c r="AT458" s="592">
        <v>30367</v>
      </c>
      <c r="AU458" s="519">
        <v>33258</v>
      </c>
      <c r="AV458" s="595">
        <f t="shared" si="156"/>
        <v>70251</v>
      </c>
      <c r="AW458" s="595">
        <f t="shared" si="157"/>
        <v>2927.125</v>
      </c>
      <c r="AX458" s="596">
        <f t="shared" si="158"/>
        <v>72696</v>
      </c>
      <c r="AY458" s="596">
        <f t="shared" si="159"/>
        <v>3029</v>
      </c>
      <c r="AZ458" s="595">
        <f t="shared" si="160"/>
        <v>31989.158333333333</v>
      </c>
      <c r="BA458" s="596">
        <f t="shared" si="161"/>
        <v>31710.533333333333</v>
      </c>
    </row>
    <row r="459" spans="1:53" customFormat="1" ht="15" customHeight="1">
      <c r="A459" s="444" t="s">
        <v>523</v>
      </c>
      <c r="B459" s="445" t="s">
        <v>531</v>
      </c>
      <c r="C459" s="570" t="s">
        <v>928</v>
      </c>
      <c r="D459" s="447">
        <v>229179</v>
      </c>
      <c r="E459" s="447">
        <v>2</v>
      </c>
      <c r="F459" s="592"/>
      <c r="G459" s="519"/>
      <c r="H459" s="592">
        <v>0</v>
      </c>
      <c r="I459" s="519">
        <v>0</v>
      </c>
      <c r="J459" s="592">
        <v>108299</v>
      </c>
      <c r="K459" s="519">
        <v>107964</v>
      </c>
      <c r="L459" s="592">
        <v>22725</v>
      </c>
      <c r="M459" s="519">
        <v>25526</v>
      </c>
      <c r="N459" s="592">
        <v>117589</v>
      </c>
      <c r="O459" s="519">
        <v>117950</v>
      </c>
      <c r="P459" s="595">
        <f t="shared" si="144"/>
        <v>248613</v>
      </c>
      <c r="Q459" s="595">
        <f t="shared" si="145"/>
        <v>8287.1</v>
      </c>
      <c r="R459" s="596">
        <f t="shared" si="146"/>
        <v>251440</v>
      </c>
      <c r="S459" s="596">
        <f t="shared" si="147"/>
        <v>8381.3333333333339</v>
      </c>
      <c r="T459" s="592">
        <v>10870</v>
      </c>
      <c r="U459" s="519">
        <v>12311</v>
      </c>
      <c r="V459" s="595">
        <f t="shared" si="148"/>
        <v>248613</v>
      </c>
      <c r="W459" s="596">
        <f t="shared" si="149"/>
        <v>251440</v>
      </c>
      <c r="X459" s="592"/>
      <c r="Y459" s="519"/>
      <c r="Z459" s="592"/>
      <c r="AA459" s="519"/>
      <c r="AB459" s="592"/>
      <c r="AC459" s="519"/>
      <c r="AD459" s="592"/>
      <c r="AE459" s="519"/>
      <c r="AF459" s="595">
        <f t="shared" si="150"/>
        <v>0</v>
      </c>
      <c r="AG459" s="595">
        <f t="shared" si="151"/>
        <v>0</v>
      </c>
      <c r="AH459" s="596">
        <f t="shared" si="152"/>
        <v>0</v>
      </c>
      <c r="AI459" s="596">
        <f t="shared" si="153"/>
        <v>0</v>
      </c>
      <c r="AJ459" s="592"/>
      <c r="AK459" s="519"/>
      <c r="AL459" s="595">
        <f t="shared" si="154"/>
        <v>0</v>
      </c>
      <c r="AM459" s="596">
        <f t="shared" si="155"/>
        <v>0</v>
      </c>
      <c r="AN459" s="592"/>
      <c r="AO459" s="519"/>
      <c r="AP459" s="592">
        <v>35279</v>
      </c>
      <c r="AQ459" s="519">
        <v>35776</v>
      </c>
      <c r="AR459" s="592">
        <v>23157</v>
      </c>
      <c r="AS459" s="519">
        <v>28556</v>
      </c>
      <c r="AT459" s="592">
        <v>35560</v>
      </c>
      <c r="AU459" s="519">
        <v>37266</v>
      </c>
      <c r="AV459" s="595">
        <f t="shared" si="156"/>
        <v>93996</v>
      </c>
      <c r="AW459" s="595">
        <f t="shared" si="157"/>
        <v>3916.5</v>
      </c>
      <c r="AX459" s="596">
        <f t="shared" si="158"/>
        <v>101598</v>
      </c>
      <c r="AY459" s="596">
        <f t="shared" si="159"/>
        <v>4233.25</v>
      </c>
      <c r="AZ459" s="595">
        <f t="shared" si="160"/>
        <v>12203.6</v>
      </c>
      <c r="BA459" s="596">
        <f t="shared" si="161"/>
        <v>12614.583333333334</v>
      </c>
    </row>
    <row r="460" spans="1:53" customFormat="1" ht="15" customHeight="1">
      <c r="A460" s="444" t="s">
        <v>523</v>
      </c>
      <c r="B460" s="445" t="s">
        <v>532</v>
      </c>
      <c r="C460" s="571" t="s">
        <v>929</v>
      </c>
      <c r="D460" s="447">
        <v>228796</v>
      </c>
      <c r="E460" s="447">
        <v>2</v>
      </c>
      <c r="F460" s="592"/>
      <c r="G460" s="519"/>
      <c r="H460" s="592">
        <v>0</v>
      </c>
      <c r="I460" s="519">
        <v>0</v>
      </c>
      <c r="J460" s="592">
        <v>219907</v>
      </c>
      <c r="K460" s="519">
        <v>216528</v>
      </c>
      <c r="L460" s="592">
        <v>58384</v>
      </c>
      <c r="M460" s="519">
        <v>68562</v>
      </c>
      <c r="N460" s="592">
        <v>233247</v>
      </c>
      <c r="O460" s="519">
        <v>234262</v>
      </c>
      <c r="P460" s="595">
        <f t="shared" si="144"/>
        <v>511538</v>
      </c>
      <c r="Q460" s="595">
        <f t="shared" si="145"/>
        <v>17051.266666666666</v>
      </c>
      <c r="R460" s="596">
        <f t="shared" si="146"/>
        <v>519352</v>
      </c>
      <c r="S460" s="596">
        <f t="shared" si="147"/>
        <v>17311.733333333334</v>
      </c>
      <c r="T460" s="592">
        <v>0</v>
      </c>
      <c r="U460" s="519">
        <v>0</v>
      </c>
      <c r="V460" s="595">
        <f t="shared" si="148"/>
        <v>511538</v>
      </c>
      <c r="W460" s="596">
        <f t="shared" si="149"/>
        <v>519352</v>
      </c>
      <c r="X460" s="592"/>
      <c r="Y460" s="519"/>
      <c r="Z460" s="592"/>
      <c r="AA460" s="519"/>
      <c r="AB460" s="592"/>
      <c r="AC460" s="519"/>
      <c r="AD460" s="592"/>
      <c r="AE460" s="519"/>
      <c r="AF460" s="595">
        <f t="shared" si="150"/>
        <v>0</v>
      </c>
      <c r="AG460" s="595">
        <f t="shared" si="151"/>
        <v>0</v>
      </c>
      <c r="AH460" s="596">
        <f t="shared" si="152"/>
        <v>0</v>
      </c>
      <c r="AI460" s="596">
        <f t="shared" si="153"/>
        <v>0</v>
      </c>
      <c r="AJ460" s="592"/>
      <c r="AK460" s="519"/>
      <c r="AL460" s="595">
        <f t="shared" si="154"/>
        <v>0</v>
      </c>
      <c r="AM460" s="596">
        <f t="shared" si="155"/>
        <v>0</v>
      </c>
      <c r="AN460" s="592"/>
      <c r="AO460" s="519"/>
      <c r="AP460" s="592">
        <v>26348</v>
      </c>
      <c r="AQ460" s="519">
        <v>26781</v>
      </c>
      <c r="AR460" s="592">
        <v>13659</v>
      </c>
      <c r="AS460" s="519">
        <v>14389</v>
      </c>
      <c r="AT460" s="592">
        <v>24223</v>
      </c>
      <c r="AU460" s="519">
        <v>24079</v>
      </c>
      <c r="AV460" s="595">
        <f t="shared" si="156"/>
        <v>64230</v>
      </c>
      <c r="AW460" s="595">
        <f t="shared" si="157"/>
        <v>2676.25</v>
      </c>
      <c r="AX460" s="596">
        <f t="shared" si="158"/>
        <v>65249</v>
      </c>
      <c r="AY460" s="596">
        <f t="shared" si="159"/>
        <v>2718.7083333333335</v>
      </c>
      <c r="AZ460" s="595">
        <f t="shared" si="160"/>
        <v>19727.516666666666</v>
      </c>
      <c r="BA460" s="596">
        <f t="shared" si="161"/>
        <v>20030.441666666666</v>
      </c>
    </row>
    <row r="461" spans="1:53" customFormat="1" ht="15" customHeight="1">
      <c r="A461" s="444" t="s">
        <v>523</v>
      </c>
      <c r="B461" s="445" t="s">
        <v>534</v>
      </c>
      <c r="C461" s="466"/>
      <c r="D461" s="447">
        <v>222831</v>
      </c>
      <c r="E461" s="447">
        <v>3</v>
      </c>
      <c r="F461" s="592"/>
      <c r="G461" s="519"/>
      <c r="H461" s="592">
        <v>0</v>
      </c>
      <c r="I461" s="519">
        <v>0</v>
      </c>
      <c r="J461" s="592">
        <v>82432</v>
      </c>
      <c r="K461" s="519">
        <v>84921</v>
      </c>
      <c r="L461" s="592">
        <v>16829</v>
      </c>
      <c r="M461" s="519">
        <v>18081</v>
      </c>
      <c r="N461" s="592">
        <v>93546</v>
      </c>
      <c r="O461" s="519">
        <v>90009</v>
      </c>
      <c r="P461" s="595">
        <f t="shared" si="144"/>
        <v>192807</v>
      </c>
      <c r="Q461" s="595">
        <f t="shared" si="145"/>
        <v>6426.9</v>
      </c>
      <c r="R461" s="596">
        <f t="shared" si="146"/>
        <v>193011</v>
      </c>
      <c r="S461" s="596">
        <f t="shared" si="147"/>
        <v>6433.7</v>
      </c>
      <c r="T461" s="592">
        <v>27695</v>
      </c>
      <c r="U461" s="519">
        <v>32458</v>
      </c>
      <c r="V461" s="595">
        <f t="shared" si="148"/>
        <v>192807</v>
      </c>
      <c r="W461" s="596">
        <f t="shared" si="149"/>
        <v>193011</v>
      </c>
      <c r="X461" s="592"/>
      <c r="Y461" s="519"/>
      <c r="Z461" s="592"/>
      <c r="AA461" s="519"/>
      <c r="AB461" s="592"/>
      <c r="AC461" s="519"/>
      <c r="AD461" s="592"/>
      <c r="AE461" s="519"/>
      <c r="AF461" s="595">
        <f t="shared" si="150"/>
        <v>0</v>
      </c>
      <c r="AG461" s="595">
        <f t="shared" si="151"/>
        <v>0</v>
      </c>
      <c r="AH461" s="596">
        <f t="shared" si="152"/>
        <v>0</v>
      </c>
      <c r="AI461" s="596">
        <f t="shared" si="153"/>
        <v>0</v>
      </c>
      <c r="AJ461" s="592"/>
      <c r="AK461" s="519"/>
      <c r="AL461" s="595">
        <f t="shared" si="154"/>
        <v>0</v>
      </c>
      <c r="AM461" s="596">
        <f t="shared" si="155"/>
        <v>0</v>
      </c>
      <c r="AN461" s="592"/>
      <c r="AO461" s="519"/>
      <c r="AP461" s="592">
        <v>11745</v>
      </c>
      <c r="AQ461" s="519">
        <v>11691</v>
      </c>
      <c r="AR461" s="592">
        <v>8525</v>
      </c>
      <c r="AS461" s="519">
        <v>7367</v>
      </c>
      <c r="AT461" s="592">
        <v>7630</v>
      </c>
      <c r="AU461" s="519">
        <v>8418</v>
      </c>
      <c r="AV461" s="595">
        <f t="shared" si="156"/>
        <v>27900</v>
      </c>
      <c r="AW461" s="595">
        <f t="shared" si="157"/>
        <v>1162.5</v>
      </c>
      <c r="AX461" s="596">
        <f t="shared" si="158"/>
        <v>27476</v>
      </c>
      <c r="AY461" s="596">
        <f t="shared" si="159"/>
        <v>1144.8333333333333</v>
      </c>
      <c r="AZ461" s="595">
        <f t="shared" si="160"/>
        <v>7589.4</v>
      </c>
      <c r="BA461" s="596">
        <f t="shared" si="161"/>
        <v>7578.5333333333328</v>
      </c>
    </row>
    <row r="462" spans="1:53" customFormat="1" ht="15" customHeight="1">
      <c r="A462" s="444" t="s">
        <v>523</v>
      </c>
      <c r="B462" s="445" t="s">
        <v>535</v>
      </c>
      <c r="C462" s="466"/>
      <c r="D462" s="447">
        <v>226091</v>
      </c>
      <c r="E462" s="447">
        <v>3</v>
      </c>
      <c r="F462" s="592"/>
      <c r="G462" s="519"/>
      <c r="H462" s="592">
        <v>0</v>
      </c>
      <c r="I462" s="519">
        <v>0</v>
      </c>
      <c r="J462" s="592">
        <v>95780</v>
      </c>
      <c r="K462" s="519">
        <v>93735</v>
      </c>
      <c r="L462" s="592">
        <v>30424</v>
      </c>
      <c r="M462" s="519">
        <v>34210</v>
      </c>
      <c r="N462" s="592">
        <v>92533</v>
      </c>
      <c r="O462" s="519">
        <v>87986</v>
      </c>
      <c r="P462" s="595">
        <f t="shared" si="144"/>
        <v>218737</v>
      </c>
      <c r="Q462" s="595">
        <f t="shared" si="145"/>
        <v>7291.2333333333336</v>
      </c>
      <c r="R462" s="596">
        <f t="shared" si="146"/>
        <v>215931</v>
      </c>
      <c r="S462" s="596">
        <f t="shared" si="147"/>
        <v>7197.7</v>
      </c>
      <c r="T462" s="592">
        <v>3117</v>
      </c>
      <c r="U462" s="519">
        <v>3691</v>
      </c>
      <c r="V462" s="595">
        <f t="shared" si="148"/>
        <v>218737</v>
      </c>
      <c r="W462" s="596">
        <f t="shared" si="149"/>
        <v>215931</v>
      </c>
      <c r="X462" s="592"/>
      <c r="Y462" s="519"/>
      <c r="Z462" s="592"/>
      <c r="AA462" s="519"/>
      <c r="AB462" s="592"/>
      <c r="AC462" s="519"/>
      <c r="AD462" s="592"/>
      <c r="AE462" s="519"/>
      <c r="AF462" s="595">
        <f t="shared" si="150"/>
        <v>0</v>
      </c>
      <c r="AG462" s="595">
        <f t="shared" si="151"/>
        <v>0</v>
      </c>
      <c r="AH462" s="596">
        <f t="shared" si="152"/>
        <v>0</v>
      </c>
      <c r="AI462" s="596">
        <f t="shared" si="153"/>
        <v>0</v>
      </c>
      <c r="AJ462" s="592"/>
      <c r="AK462" s="519"/>
      <c r="AL462" s="595">
        <f t="shared" si="154"/>
        <v>0</v>
      </c>
      <c r="AM462" s="596">
        <f t="shared" si="155"/>
        <v>0</v>
      </c>
      <c r="AN462" s="592"/>
      <c r="AO462" s="519"/>
      <c r="AP462" s="592">
        <v>41955</v>
      </c>
      <c r="AQ462" s="519">
        <v>50476</v>
      </c>
      <c r="AR462" s="592">
        <v>40555</v>
      </c>
      <c r="AS462" s="519">
        <v>50209</v>
      </c>
      <c r="AT462" s="592">
        <v>33910</v>
      </c>
      <c r="AU462" s="519">
        <v>40460</v>
      </c>
      <c r="AV462" s="595">
        <f t="shared" si="156"/>
        <v>116420</v>
      </c>
      <c r="AW462" s="595">
        <f t="shared" si="157"/>
        <v>4850.833333333333</v>
      </c>
      <c r="AX462" s="596">
        <f t="shared" si="158"/>
        <v>141145</v>
      </c>
      <c r="AY462" s="596">
        <f t="shared" si="159"/>
        <v>5881.041666666667</v>
      </c>
      <c r="AZ462" s="595">
        <f t="shared" si="160"/>
        <v>12142.066666666666</v>
      </c>
      <c r="BA462" s="596">
        <f t="shared" si="161"/>
        <v>13078.741666666667</v>
      </c>
    </row>
    <row r="463" spans="1:53" customFormat="1" ht="15" customHeight="1">
      <c r="A463" s="444" t="s">
        <v>523</v>
      </c>
      <c r="B463" s="445" t="s">
        <v>536</v>
      </c>
      <c r="C463" s="466"/>
      <c r="D463" s="447">
        <v>226833</v>
      </c>
      <c r="E463" s="447">
        <v>3</v>
      </c>
      <c r="F463" s="592"/>
      <c r="G463" s="519"/>
      <c r="H463" s="592">
        <v>0</v>
      </c>
      <c r="I463" s="519">
        <v>0</v>
      </c>
      <c r="J463" s="592">
        <v>56170</v>
      </c>
      <c r="K463" s="519">
        <v>54366</v>
      </c>
      <c r="L463" s="592">
        <v>11207</v>
      </c>
      <c r="M463" s="519">
        <v>12049</v>
      </c>
      <c r="N463" s="592">
        <v>58981</v>
      </c>
      <c r="O463" s="519">
        <v>55292</v>
      </c>
      <c r="P463" s="595">
        <f t="shared" si="144"/>
        <v>126358</v>
      </c>
      <c r="Q463" s="595">
        <f t="shared" si="145"/>
        <v>4211.9333333333334</v>
      </c>
      <c r="R463" s="596">
        <f t="shared" si="146"/>
        <v>121707</v>
      </c>
      <c r="S463" s="596">
        <f t="shared" si="147"/>
        <v>4056.9</v>
      </c>
      <c r="T463" s="592">
        <v>348</v>
      </c>
      <c r="U463" s="572">
        <v>779</v>
      </c>
      <c r="V463" s="595">
        <f t="shared" si="148"/>
        <v>126358</v>
      </c>
      <c r="W463" s="596">
        <f t="shared" si="149"/>
        <v>121707</v>
      </c>
      <c r="X463" s="592"/>
      <c r="Y463" s="519"/>
      <c r="Z463" s="592"/>
      <c r="AA463" s="519"/>
      <c r="AB463" s="592"/>
      <c r="AC463" s="519"/>
      <c r="AD463" s="592"/>
      <c r="AE463" s="519"/>
      <c r="AF463" s="595">
        <f t="shared" si="150"/>
        <v>0</v>
      </c>
      <c r="AG463" s="595">
        <f t="shared" si="151"/>
        <v>0</v>
      </c>
      <c r="AH463" s="596">
        <f t="shared" si="152"/>
        <v>0</v>
      </c>
      <c r="AI463" s="596">
        <f t="shared" si="153"/>
        <v>0</v>
      </c>
      <c r="AJ463" s="592"/>
      <c r="AK463" s="519"/>
      <c r="AL463" s="595">
        <f t="shared" si="154"/>
        <v>0</v>
      </c>
      <c r="AM463" s="596">
        <f t="shared" si="155"/>
        <v>0</v>
      </c>
      <c r="AN463" s="592"/>
      <c r="AO463" s="519"/>
      <c r="AP463" s="592">
        <v>3866</v>
      </c>
      <c r="AQ463" s="519">
        <v>3476</v>
      </c>
      <c r="AR463" s="592">
        <v>2118</v>
      </c>
      <c r="AS463" s="519">
        <v>2396</v>
      </c>
      <c r="AT463" s="592">
        <v>3836</v>
      </c>
      <c r="AU463" s="519">
        <v>3787</v>
      </c>
      <c r="AV463" s="595">
        <f t="shared" si="156"/>
        <v>9820</v>
      </c>
      <c r="AW463" s="595">
        <f t="shared" si="157"/>
        <v>409.16666666666669</v>
      </c>
      <c r="AX463" s="596">
        <f t="shared" si="158"/>
        <v>9659</v>
      </c>
      <c r="AY463" s="596">
        <f t="shared" si="159"/>
        <v>402.45833333333331</v>
      </c>
      <c r="AZ463" s="595">
        <f t="shared" si="160"/>
        <v>4621.1000000000004</v>
      </c>
      <c r="BA463" s="596">
        <f t="shared" si="161"/>
        <v>4459.3583333333336</v>
      </c>
    </row>
    <row r="464" spans="1:53" customFormat="1" ht="15" customHeight="1">
      <c r="A464" s="444" t="s">
        <v>523</v>
      </c>
      <c r="B464" s="445" t="s">
        <v>537</v>
      </c>
      <c r="C464" s="466"/>
      <c r="D464" s="447">
        <v>227526</v>
      </c>
      <c r="E464" s="447">
        <v>3</v>
      </c>
      <c r="F464" s="592"/>
      <c r="G464" s="519"/>
      <c r="H464" s="592">
        <v>0</v>
      </c>
      <c r="I464" s="519">
        <v>0</v>
      </c>
      <c r="J464" s="592">
        <v>102339</v>
      </c>
      <c r="K464" s="519">
        <v>100613</v>
      </c>
      <c r="L464" s="592">
        <v>15020</v>
      </c>
      <c r="M464" s="519">
        <v>16639</v>
      </c>
      <c r="N464" s="592">
        <v>110493</v>
      </c>
      <c r="O464" s="519">
        <v>108702</v>
      </c>
      <c r="P464" s="595">
        <f t="shared" si="144"/>
        <v>227852</v>
      </c>
      <c r="Q464" s="595">
        <f t="shared" si="145"/>
        <v>7595.0666666666666</v>
      </c>
      <c r="R464" s="596">
        <f t="shared" si="146"/>
        <v>225954</v>
      </c>
      <c r="S464" s="596">
        <f t="shared" si="147"/>
        <v>7531.8</v>
      </c>
      <c r="T464" s="592">
        <v>4</v>
      </c>
      <c r="U464" s="569">
        <v>0</v>
      </c>
      <c r="V464" s="595">
        <f t="shared" si="148"/>
        <v>227852</v>
      </c>
      <c r="W464" s="596">
        <f t="shared" si="149"/>
        <v>225954</v>
      </c>
      <c r="X464" s="592"/>
      <c r="Y464" s="519"/>
      <c r="Z464" s="592"/>
      <c r="AA464" s="519"/>
      <c r="AB464" s="592"/>
      <c r="AC464" s="519"/>
      <c r="AD464" s="592"/>
      <c r="AE464" s="519"/>
      <c r="AF464" s="595">
        <f t="shared" si="150"/>
        <v>0</v>
      </c>
      <c r="AG464" s="595">
        <f t="shared" si="151"/>
        <v>0</v>
      </c>
      <c r="AH464" s="596">
        <f t="shared" si="152"/>
        <v>0</v>
      </c>
      <c r="AI464" s="596">
        <f t="shared" si="153"/>
        <v>0</v>
      </c>
      <c r="AJ464" s="592"/>
      <c r="AK464" s="519"/>
      <c r="AL464" s="595">
        <f t="shared" si="154"/>
        <v>0</v>
      </c>
      <c r="AM464" s="596">
        <f t="shared" si="155"/>
        <v>0</v>
      </c>
      <c r="AN464" s="592"/>
      <c r="AO464" s="519"/>
      <c r="AP464" s="592">
        <v>6497</v>
      </c>
      <c r="AQ464" s="519">
        <v>5531</v>
      </c>
      <c r="AR464" s="592">
        <v>2495</v>
      </c>
      <c r="AS464" s="519">
        <v>1914</v>
      </c>
      <c r="AT464" s="592">
        <v>5613</v>
      </c>
      <c r="AU464" s="519">
        <v>5459</v>
      </c>
      <c r="AV464" s="595">
        <f t="shared" si="156"/>
        <v>14605</v>
      </c>
      <c r="AW464" s="595">
        <f t="shared" si="157"/>
        <v>608.54166666666663</v>
      </c>
      <c r="AX464" s="596">
        <f t="shared" si="158"/>
        <v>12904</v>
      </c>
      <c r="AY464" s="596">
        <f t="shared" si="159"/>
        <v>537.66666666666663</v>
      </c>
      <c r="AZ464" s="595">
        <f t="shared" si="160"/>
        <v>8203.6083333333336</v>
      </c>
      <c r="BA464" s="596">
        <f t="shared" si="161"/>
        <v>8069.4666666666672</v>
      </c>
    </row>
    <row r="465" spans="1:53" customFormat="1" ht="15" customHeight="1">
      <c r="A465" s="444" t="s">
        <v>523</v>
      </c>
      <c r="B465" s="445" t="s">
        <v>538</v>
      </c>
      <c r="C465" s="466"/>
      <c r="D465" s="447">
        <v>227881</v>
      </c>
      <c r="E465" s="447">
        <v>3</v>
      </c>
      <c r="F465" s="592"/>
      <c r="G465" s="519"/>
      <c r="H465" s="592">
        <v>0</v>
      </c>
      <c r="I465" s="519">
        <v>0</v>
      </c>
      <c r="J465" s="592">
        <v>216441</v>
      </c>
      <c r="K465" s="519">
        <v>210085</v>
      </c>
      <c r="L465" s="592">
        <v>41153</v>
      </c>
      <c r="M465" s="519">
        <v>43027</v>
      </c>
      <c r="N465" s="592">
        <v>230210</v>
      </c>
      <c r="O465" s="519">
        <v>225806</v>
      </c>
      <c r="P465" s="595">
        <f t="shared" si="144"/>
        <v>487804</v>
      </c>
      <c r="Q465" s="595">
        <f t="shared" si="145"/>
        <v>16260.133333333333</v>
      </c>
      <c r="R465" s="596">
        <f t="shared" si="146"/>
        <v>478918</v>
      </c>
      <c r="S465" s="596">
        <f t="shared" si="147"/>
        <v>15963.933333333332</v>
      </c>
      <c r="T465" s="592">
        <v>0</v>
      </c>
      <c r="U465" s="519">
        <v>0</v>
      </c>
      <c r="V465" s="595">
        <f t="shared" si="148"/>
        <v>487804</v>
      </c>
      <c r="W465" s="596">
        <f t="shared" si="149"/>
        <v>478918</v>
      </c>
      <c r="X465" s="592"/>
      <c r="Y465" s="519"/>
      <c r="Z465" s="592"/>
      <c r="AA465" s="519"/>
      <c r="AB465" s="592"/>
      <c r="AC465" s="519"/>
      <c r="AD465" s="592"/>
      <c r="AE465" s="519"/>
      <c r="AF465" s="595">
        <f t="shared" si="150"/>
        <v>0</v>
      </c>
      <c r="AG465" s="595">
        <f t="shared" si="151"/>
        <v>0</v>
      </c>
      <c r="AH465" s="596">
        <f t="shared" si="152"/>
        <v>0</v>
      </c>
      <c r="AI465" s="596">
        <f t="shared" si="153"/>
        <v>0</v>
      </c>
      <c r="AJ465" s="592"/>
      <c r="AK465" s="519"/>
      <c r="AL465" s="595">
        <f t="shared" si="154"/>
        <v>0</v>
      </c>
      <c r="AM465" s="596">
        <f t="shared" si="155"/>
        <v>0</v>
      </c>
      <c r="AN465" s="592"/>
      <c r="AO465" s="519"/>
      <c r="AP465" s="592">
        <v>15200</v>
      </c>
      <c r="AQ465" s="519">
        <v>15244</v>
      </c>
      <c r="AR465" s="592">
        <v>9720</v>
      </c>
      <c r="AS465" s="519">
        <v>10526</v>
      </c>
      <c r="AT465" s="592">
        <v>15960</v>
      </c>
      <c r="AU465" s="519">
        <v>17720</v>
      </c>
      <c r="AV465" s="595">
        <f t="shared" si="156"/>
        <v>40880</v>
      </c>
      <c r="AW465" s="595">
        <f t="shared" si="157"/>
        <v>1703.3333333333333</v>
      </c>
      <c r="AX465" s="596">
        <f t="shared" si="158"/>
        <v>43490</v>
      </c>
      <c r="AY465" s="596">
        <f t="shared" si="159"/>
        <v>1812.0833333333333</v>
      </c>
      <c r="AZ465" s="595">
        <f t="shared" si="160"/>
        <v>17963.466666666667</v>
      </c>
      <c r="BA465" s="596">
        <f t="shared" si="161"/>
        <v>17776.016666666666</v>
      </c>
    </row>
    <row r="466" spans="1:53" customFormat="1" ht="15" customHeight="1">
      <c r="A466" s="444" t="s">
        <v>523</v>
      </c>
      <c r="B466" s="445" t="s">
        <v>539</v>
      </c>
      <c r="C466" s="466"/>
      <c r="D466" s="447">
        <v>228431</v>
      </c>
      <c r="E466" s="447">
        <v>3</v>
      </c>
      <c r="F466" s="592"/>
      <c r="G466" s="519"/>
      <c r="H466" s="592">
        <v>0</v>
      </c>
      <c r="I466" s="519">
        <v>0</v>
      </c>
      <c r="J466" s="592">
        <v>126636</v>
      </c>
      <c r="K466" s="519">
        <v>124979</v>
      </c>
      <c r="L466" s="592">
        <v>22468</v>
      </c>
      <c r="M466" s="519">
        <v>24648</v>
      </c>
      <c r="N466" s="592">
        <v>137307</v>
      </c>
      <c r="O466" s="519">
        <v>127857</v>
      </c>
      <c r="P466" s="595">
        <f t="shared" si="144"/>
        <v>286411</v>
      </c>
      <c r="Q466" s="595">
        <f t="shared" si="145"/>
        <v>9547.0333333333328</v>
      </c>
      <c r="R466" s="596">
        <f t="shared" si="146"/>
        <v>277484</v>
      </c>
      <c r="S466" s="596">
        <f t="shared" si="147"/>
        <v>9249.4666666666672</v>
      </c>
      <c r="T466" s="592">
        <v>9928</v>
      </c>
      <c r="U466" s="519">
        <v>10361</v>
      </c>
      <c r="V466" s="595">
        <f t="shared" si="148"/>
        <v>286411</v>
      </c>
      <c r="W466" s="596">
        <f t="shared" si="149"/>
        <v>277484</v>
      </c>
      <c r="X466" s="592"/>
      <c r="Y466" s="519"/>
      <c r="Z466" s="592"/>
      <c r="AA466" s="519"/>
      <c r="AB466" s="592"/>
      <c r="AC466" s="519"/>
      <c r="AD466" s="592"/>
      <c r="AE466" s="519"/>
      <c r="AF466" s="595">
        <f t="shared" si="150"/>
        <v>0</v>
      </c>
      <c r="AG466" s="595">
        <f t="shared" si="151"/>
        <v>0</v>
      </c>
      <c r="AH466" s="596">
        <f t="shared" si="152"/>
        <v>0</v>
      </c>
      <c r="AI466" s="596">
        <f t="shared" si="153"/>
        <v>0</v>
      </c>
      <c r="AJ466" s="592"/>
      <c r="AK466" s="519"/>
      <c r="AL466" s="595">
        <f t="shared" si="154"/>
        <v>0</v>
      </c>
      <c r="AM466" s="596">
        <f t="shared" si="155"/>
        <v>0</v>
      </c>
      <c r="AN466" s="592"/>
      <c r="AO466" s="519"/>
      <c r="AP466" s="592">
        <v>10944</v>
      </c>
      <c r="AQ466" s="519">
        <v>9432</v>
      </c>
      <c r="AR466" s="592">
        <v>6832</v>
      </c>
      <c r="AS466" s="519">
        <v>6666</v>
      </c>
      <c r="AT466" s="592">
        <v>9520</v>
      </c>
      <c r="AU466" s="519">
        <v>9091</v>
      </c>
      <c r="AV466" s="595">
        <f t="shared" si="156"/>
        <v>27296</v>
      </c>
      <c r="AW466" s="595">
        <f t="shared" si="157"/>
        <v>1137.3333333333333</v>
      </c>
      <c r="AX466" s="596">
        <f t="shared" si="158"/>
        <v>25189</v>
      </c>
      <c r="AY466" s="596">
        <f t="shared" si="159"/>
        <v>1049.5416666666667</v>
      </c>
      <c r="AZ466" s="595">
        <f t="shared" si="160"/>
        <v>10684.366666666667</v>
      </c>
      <c r="BA466" s="596">
        <f t="shared" si="161"/>
        <v>10299.008333333333</v>
      </c>
    </row>
    <row r="467" spans="1:53" customFormat="1" ht="15" customHeight="1">
      <c r="A467" s="444" t="s">
        <v>523</v>
      </c>
      <c r="B467" s="445" t="s">
        <v>540</v>
      </c>
      <c r="C467" s="466"/>
      <c r="D467" s="447">
        <v>228501</v>
      </c>
      <c r="E467" s="447">
        <v>3</v>
      </c>
      <c r="F467" s="592"/>
      <c r="G467" s="519"/>
      <c r="H467" s="592">
        <v>0</v>
      </c>
      <c r="I467" s="519">
        <v>0</v>
      </c>
      <c r="J467" s="592">
        <v>14125</v>
      </c>
      <c r="K467" s="519">
        <v>12644</v>
      </c>
      <c r="L467" s="592">
        <v>2640</v>
      </c>
      <c r="M467" s="519">
        <v>2439</v>
      </c>
      <c r="N467" s="592">
        <v>14708</v>
      </c>
      <c r="O467" s="519">
        <v>13095</v>
      </c>
      <c r="P467" s="595">
        <f t="shared" si="144"/>
        <v>31473</v>
      </c>
      <c r="Q467" s="595">
        <f t="shared" si="145"/>
        <v>1049.0999999999999</v>
      </c>
      <c r="R467" s="596">
        <f t="shared" si="146"/>
        <v>28178</v>
      </c>
      <c r="S467" s="596">
        <f t="shared" si="147"/>
        <v>939.26666666666665</v>
      </c>
      <c r="T467" s="592">
        <v>765</v>
      </c>
      <c r="U467" s="519">
        <v>537</v>
      </c>
      <c r="V467" s="595">
        <f t="shared" si="148"/>
        <v>31473</v>
      </c>
      <c r="W467" s="596">
        <f t="shared" si="149"/>
        <v>28178</v>
      </c>
      <c r="X467" s="592"/>
      <c r="Y467" s="519"/>
      <c r="Z467" s="592"/>
      <c r="AA467" s="519"/>
      <c r="AB467" s="592"/>
      <c r="AC467" s="519"/>
      <c r="AD467" s="592"/>
      <c r="AE467" s="519"/>
      <c r="AF467" s="595">
        <f t="shared" si="150"/>
        <v>0</v>
      </c>
      <c r="AG467" s="595">
        <f t="shared" si="151"/>
        <v>0</v>
      </c>
      <c r="AH467" s="596">
        <f t="shared" si="152"/>
        <v>0</v>
      </c>
      <c r="AI467" s="596">
        <f t="shared" si="153"/>
        <v>0</v>
      </c>
      <c r="AJ467" s="592"/>
      <c r="AK467" s="519"/>
      <c r="AL467" s="595">
        <f t="shared" si="154"/>
        <v>0</v>
      </c>
      <c r="AM467" s="596">
        <f t="shared" si="155"/>
        <v>0</v>
      </c>
      <c r="AN467" s="592"/>
      <c r="AO467" s="519"/>
      <c r="AP467" s="592">
        <v>3070</v>
      </c>
      <c r="AQ467" s="519">
        <v>2478</v>
      </c>
      <c r="AR467" s="592">
        <v>2211</v>
      </c>
      <c r="AS467" s="519">
        <v>1797</v>
      </c>
      <c r="AT467" s="592">
        <v>2481</v>
      </c>
      <c r="AU467" s="519">
        <v>2242</v>
      </c>
      <c r="AV467" s="595">
        <f t="shared" si="156"/>
        <v>7762</v>
      </c>
      <c r="AW467" s="595">
        <f t="shared" si="157"/>
        <v>323.41666666666669</v>
      </c>
      <c r="AX467" s="596">
        <f t="shared" si="158"/>
        <v>6517</v>
      </c>
      <c r="AY467" s="596">
        <f t="shared" si="159"/>
        <v>271.54166666666669</v>
      </c>
      <c r="AZ467" s="595">
        <f t="shared" si="160"/>
        <v>1372.5166666666667</v>
      </c>
      <c r="BA467" s="596">
        <f t="shared" si="161"/>
        <v>1210.8083333333334</v>
      </c>
    </row>
    <row r="468" spans="1:53" customFormat="1" ht="15" customHeight="1">
      <c r="A468" s="444" t="s">
        <v>523</v>
      </c>
      <c r="B468" s="445" t="s">
        <v>541</v>
      </c>
      <c r="C468" s="466"/>
      <c r="D468" s="447">
        <v>228529</v>
      </c>
      <c r="E468" s="447">
        <v>3</v>
      </c>
      <c r="F468" s="592"/>
      <c r="G468" s="519"/>
      <c r="H468" s="592">
        <v>0</v>
      </c>
      <c r="I468" s="519">
        <v>0</v>
      </c>
      <c r="J468" s="592">
        <v>124099</v>
      </c>
      <c r="K468" s="519">
        <v>123752</v>
      </c>
      <c r="L468" s="592">
        <v>30112</v>
      </c>
      <c r="M468" s="519">
        <v>34154</v>
      </c>
      <c r="N468" s="592">
        <v>131580</v>
      </c>
      <c r="O468" s="519">
        <v>136860</v>
      </c>
      <c r="P468" s="595">
        <f t="shared" si="144"/>
        <v>285791</v>
      </c>
      <c r="Q468" s="595">
        <f t="shared" si="145"/>
        <v>9526.3666666666668</v>
      </c>
      <c r="R468" s="596">
        <f t="shared" si="146"/>
        <v>294766</v>
      </c>
      <c r="S468" s="596">
        <f t="shared" si="147"/>
        <v>9825.5333333333328</v>
      </c>
      <c r="T468" s="592">
        <v>0</v>
      </c>
      <c r="U468" s="519">
        <v>0</v>
      </c>
      <c r="V468" s="595">
        <f t="shared" si="148"/>
        <v>285791</v>
      </c>
      <c r="W468" s="596">
        <f t="shared" si="149"/>
        <v>294766</v>
      </c>
      <c r="X468" s="592"/>
      <c r="Y468" s="519"/>
      <c r="Z468" s="592"/>
      <c r="AA468" s="519"/>
      <c r="AB468" s="592"/>
      <c r="AC468" s="519"/>
      <c r="AD468" s="592"/>
      <c r="AE468" s="519"/>
      <c r="AF468" s="595">
        <f t="shared" si="150"/>
        <v>0</v>
      </c>
      <c r="AG468" s="595">
        <f t="shared" si="151"/>
        <v>0</v>
      </c>
      <c r="AH468" s="596">
        <f t="shared" si="152"/>
        <v>0</v>
      </c>
      <c r="AI468" s="596">
        <f t="shared" si="153"/>
        <v>0</v>
      </c>
      <c r="AJ468" s="592"/>
      <c r="AK468" s="519"/>
      <c r="AL468" s="595">
        <f t="shared" si="154"/>
        <v>0</v>
      </c>
      <c r="AM468" s="596">
        <f t="shared" si="155"/>
        <v>0</v>
      </c>
      <c r="AN468" s="592"/>
      <c r="AO468" s="519"/>
      <c r="AP468" s="592">
        <v>11028</v>
      </c>
      <c r="AQ468" s="519">
        <v>11778</v>
      </c>
      <c r="AR468" s="592">
        <v>8143</v>
      </c>
      <c r="AS468" s="519">
        <v>9599</v>
      </c>
      <c r="AT468" s="592">
        <v>10380</v>
      </c>
      <c r="AU468" s="519">
        <v>12203</v>
      </c>
      <c r="AV468" s="595">
        <f t="shared" si="156"/>
        <v>29551</v>
      </c>
      <c r="AW468" s="595">
        <f t="shared" si="157"/>
        <v>1231.2916666666667</v>
      </c>
      <c r="AX468" s="596">
        <f t="shared" si="158"/>
        <v>33580</v>
      </c>
      <c r="AY468" s="596">
        <f t="shared" si="159"/>
        <v>1399.1666666666667</v>
      </c>
      <c r="AZ468" s="595">
        <f t="shared" si="160"/>
        <v>10757.658333333333</v>
      </c>
      <c r="BA468" s="596">
        <f t="shared" si="161"/>
        <v>11224.699999999999</v>
      </c>
    </row>
    <row r="469" spans="1:53" customFormat="1" ht="15" customHeight="1">
      <c r="A469" s="444" t="s">
        <v>523</v>
      </c>
      <c r="B469" s="445" t="s">
        <v>542</v>
      </c>
      <c r="C469" s="466"/>
      <c r="D469" s="447">
        <v>226152</v>
      </c>
      <c r="E469" s="447">
        <v>3</v>
      </c>
      <c r="F469" s="592"/>
      <c r="G469" s="519"/>
      <c r="H469" s="592">
        <v>0</v>
      </c>
      <c r="I469" s="519">
        <v>0</v>
      </c>
      <c r="J469" s="592">
        <v>78872</v>
      </c>
      <c r="K469" s="519">
        <v>73238</v>
      </c>
      <c r="L469" s="592">
        <v>16802</v>
      </c>
      <c r="M469" s="519">
        <v>23149</v>
      </c>
      <c r="N469" s="592">
        <v>86691</v>
      </c>
      <c r="O469" s="519">
        <v>84816</v>
      </c>
      <c r="P469" s="595">
        <f t="shared" si="144"/>
        <v>182365</v>
      </c>
      <c r="Q469" s="595">
        <f t="shared" si="145"/>
        <v>6078.833333333333</v>
      </c>
      <c r="R469" s="596">
        <f t="shared" si="146"/>
        <v>181203</v>
      </c>
      <c r="S469" s="596">
        <f t="shared" si="147"/>
        <v>6040.1</v>
      </c>
      <c r="T469" s="592">
        <v>8749</v>
      </c>
      <c r="U469" s="519">
        <v>7920</v>
      </c>
      <c r="V469" s="595">
        <f t="shared" si="148"/>
        <v>182365</v>
      </c>
      <c r="W469" s="596">
        <f t="shared" si="149"/>
        <v>181203</v>
      </c>
      <c r="X469" s="592"/>
      <c r="Y469" s="519"/>
      <c r="Z469" s="592"/>
      <c r="AA469" s="519"/>
      <c r="AB469" s="592"/>
      <c r="AC469" s="519"/>
      <c r="AD469" s="592"/>
      <c r="AE469" s="519"/>
      <c r="AF469" s="595">
        <f t="shared" si="150"/>
        <v>0</v>
      </c>
      <c r="AG469" s="595">
        <f t="shared" si="151"/>
        <v>0</v>
      </c>
      <c r="AH469" s="596">
        <f t="shared" si="152"/>
        <v>0</v>
      </c>
      <c r="AI469" s="596">
        <f t="shared" si="153"/>
        <v>0</v>
      </c>
      <c r="AJ469" s="592"/>
      <c r="AK469" s="519"/>
      <c r="AL469" s="595">
        <f t="shared" si="154"/>
        <v>0</v>
      </c>
      <c r="AM469" s="596">
        <f t="shared" si="155"/>
        <v>0</v>
      </c>
      <c r="AN469" s="592"/>
      <c r="AO469" s="519"/>
      <c r="AP469" s="592">
        <v>6203</v>
      </c>
      <c r="AQ469" s="519">
        <v>5654</v>
      </c>
      <c r="AR469" s="592">
        <v>6635</v>
      </c>
      <c r="AS469" s="569">
        <v>10819</v>
      </c>
      <c r="AT469" s="592">
        <v>5428</v>
      </c>
      <c r="AU469" s="519">
        <v>5678</v>
      </c>
      <c r="AV469" s="595">
        <f t="shared" si="156"/>
        <v>18266</v>
      </c>
      <c r="AW469" s="595">
        <f t="shared" si="157"/>
        <v>761.08333333333337</v>
      </c>
      <c r="AX469" s="596">
        <f t="shared" si="158"/>
        <v>22151</v>
      </c>
      <c r="AY469" s="596">
        <f t="shared" si="159"/>
        <v>922.95833333333337</v>
      </c>
      <c r="AZ469" s="595">
        <f t="shared" si="160"/>
        <v>6839.9166666666661</v>
      </c>
      <c r="BA469" s="596">
        <f t="shared" si="161"/>
        <v>6963.0583333333334</v>
      </c>
    </row>
    <row r="470" spans="1:53" customFormat="1" ht="15" customHeight="1">
      <c r="A470" s="444" t="s">
        <v>523</v>
      </c>
      <c r="B470" s="445" t="s">
        <v>543</v>
      </c>
      <c r="C470" s="466"/>
      <c r="D470" s="447">
        <v>224554</v>
      </c>
      <c r="E470" s="447">
        <v>3</v>
      </c>
      <c r="F470" s="592"/>
      <c r="G470" s="519"/>
      <c r="H470" s="592">
        <v>0</v>
      </c>
      <c r="I470" s="519">
        <v>0</v>
      </c>
      <c r="J470" s="592">
        <v>80022</v>
      </c>
      <c r="K470" s="519">
        <v>86644</v>
      </c>
      <c r="L470" s="592">
        <v>20401</v>
      </c>
      <c r="M470" s="519">
        <v>26367</v>
      </c>
      <c r="N470" s="592">
        <v>91681</v>
      </c>
      <c r="O470" s="519">
        <v>91977</v>
      </c>
      <c r="P470" s="595">
        <f t="shared" si="144"/>
        <v>192104</v>
      </c>
      <c r="Q470" s="595">
        <f t="shared" si="145"/>
        <v>6403.4666666666662</v>
      </c>
      <c r="R470" s="596">
        <f t="shared" si="146"/>
        <v>204988</v>
      </c>
      <c r="S470" s="596">
        <f t="shared" si="147"/>
        <v>6832.9333333333334</v>
      </c>
      <c r="T470" s="592">
        <v>4755</v>
      </c>
      <c r="U470" s="519">
        <v>5468</v>
      </c>
      <c r="V470" s="595">
        <f t="shared" si="148"/>
        <v>192104</v>
      </c>
      <c r="W470" s="596">
        <f t="shared" si="149"/>
        <v>204988</v>
      </c>
      <c r="X470" s="592"/>
      <c r="Y470" s="519"/>
      <c r="Z470" s="592"/>
      <c r="AA470" s="519"/>
      <c r="AB470" s="592"/>
      <c r="AC470" s="519"/>
      <c r="AD470" s="592"/>
      <c r="AE470" s="519"/>
      <c r="AF470" s="595">
        <f t="shared" si="150"/>
        <v>0</v>
      </c>
      <c r="AG470" s="595">
        <f t="shared" si="151"/>
        <v>0</v>
      </c>
      <c r="AH470" s="596">
        <f t="shared" si="152"/>
        <v>0</v>
      </c>
      <c r="AI470" s="596">
        <f t="shared" si="153"/>
        <v>0</v>
      </c>
      <c r="AJ470" s="592"/>
      <c r="AK470" s="519"/>
      <c r="AL470" s="595">
        <f t="shared" si="154"/>
        <v>0</v>
      </c>
      <c r="AM470" s="596">
        <f t="shared" si="155"/>
        <v>0</v>
      </c>
      <c r="AN470" s="592"/>
      <c r="AO470" s="519"/>
      <c r="AP470" s="592">
        <v>21128</v>
      </c>
      <c r="AQ470" s="569">
        <v>5838</v>
      </c>
      <c r="AR470" s="592">
        <v>14866</v>
      </c>
      <c r="AS470" s="572">
        <v>32927</v>
      </c>
      <c r="AT470" s="592">
        <v>20357</v>
      </c>
      <c r="AU470" s="519">
        <v>23072</v>
      </c>
      <c r="AV470" s="595">
        <f t="shared" si="156"/>
        <v>56351</v>
      </c>
      <c r="AW470" s="595">
        <f t="shared" si="157"/>
        <v>2347.9583333333335</v>
      </c>
      <c r="AX470" s="596">
        <f t="shared" si="158"/>
        <v>61837</v>
      </c>
      <c r="AY470" s="596">
        <f t="shared" si="159"/>
        <v>2576.5416666666665</v>
      </c>
      <c r="AZ470" s="595">
        <f t="shared" si="160"/>
        <v>8751.4249999999993</v>
      </c>
      <c r="BA470" s="596">
        <f t="shared" si="161"/>
        <v>9409.4750000000004</v>
      </c>
    </row>
    <row r="471" spans="1:53" customFormat="1" ht="15" customHeight="1">
      <c r="A471" s="444" t="s">
        <v>523</v>
      </c>
      <c r="B471" s="445" t="s">
        <v>544</v>
      </c>
      <c r="C471" s="466" t="s">
        <v>841</v>
      </c>
      <c r="D471" s="447">
        <v>224147</v>
      </c>
      <c r="E471" s="447">
        <v>3</v>
      </c>
      <c r="F471" s="592"/>
      <c r="G471" s="519"/>
      <c r="H471" s="592">
        <v>0</v>
      </c>
      <c r="I471" s="519">
        <v>0</v>
      </c>
      <c r="J471" s="592">
        <v>104996</v>
      </c>
      <c r="K471" s="519">
        <v>99390</v>
      </c>
      <c r="L471" s="592">
        <v>26034</v>
      </c>
      <c r="M471" s="519">
        <v>27482</v>
      </c>
      <c r="N471" s="592">
        <v>108024</v>
      </c>
      <c r="O471" s="519">
        <v>97477</v>
      </c>
      <c r="P471" s="595">
        <f t="shared" si="144"/>
        <v>239054</v>
      </c>
      <c r="Q471" s="595">
        <f t="shared" si="145"/>
        <v>7968.4666666666662</v>
      </c>
      <c r="R471" s="596">
        <f t="shared" si="146"/>
        <v>224349</v>
      </c>
      <c r="S471" s="596">
        <f t="shared" si="147"/>
        <v>7478.3</v>
      </c>
      <c r="T471" s="592">
        <v>1705</v>
      </c>
      <c r="U471" s="519">
        <v>1482</v>
      </c>
      <c r="V471" s="595">
        <f t="shared" si="148"/>
        <v>239054</v>
      </c>
      <c r="W471" s="596">
        <f t="shared" si="149"/>
        <v>224349</v>
      </c>
      <c r="X471" s="592"/>
      <c r="Y471" s="519"/>
      <c r="Z471" s="592"/>
      <c r="AA471" s="519"/>
      <c r="AB471" s="592"/>
      <c r="AC471" s="519"/>
      <c r="AD471" s="592"/>
      <c r="AE471" s="519"/>
      <c r="AF471" s="595">
        <f t="shared" si="150"/>
        <v>0</v>
      </c>
      <c r="AG471" s="595">
        <f t="shared" si="151"/>
        <v>0</v>
      </c>
      <c r="AH471" s="596">
        <f t="shared" si="152"/>
        <v>0</v>
      </c>
      <c r="AI471" s="596">
        <f t="shared" si="153"/>
        <v>0</v>
      </c>
      <c r="AJ471" s="592"/>
      <c r="AK471" s="519"/>
      <c r="AL471" s="595">
        <f t="shared" si="154"/>
        <v>0</v>
      </c>
      <c r="AM471" s="596">
        <f t="shared" si="155"/>
        <v>0</v>
      </c>
      <c r="AN471" s="592"/>
      <c r="AO471" s="519"/>
      <c r="AP471" s="592">
        <v>15205</v>
      </c>
      <c r="AQ471" s="519">
        <v>15674</v>
      </c>
      <c r="AR471" s="592">
        <v>13232</v>
      </c>
      <c r="AS471" s="519">
        <v>14941</v>
      </c>
      <c r="AT471" s="592">
        <v>11518</v>
      </c>
      <c r="AU471" s="519">
        <v>11915</v>
      </c>
      <c r="AV471" s="595">
        <f t="shared" si="156"/>
        <v>39955</v>
      </c>
      <c r="AW471" s="595">
        <f t="shared" si="157"/>
        <v>1664.7916666666667</v>
      </c>
      <c r="AX471" s="596">
        <f t="shared" si="158"/>
        <v>42530</v>
      </c>
      <c r="AY471" s="596">
        <f t="shared" si="159"/>
        <v>1772.0833333333333</v>
      </c>
      <c r="AZ471" s="595">
        <f t="shared" si="160"/>
        <v>9633.2583333333332</v>
      </c>
      <c r="BA471" s="596">
        <f t="shared" si="161"/>
        <v>9250.3833333333332</v>
      </c>
    </row>
    <row r="472" spans="1:53" customFormat="1" ht="15" customHeight="1">
      <c r="A472" s="444" t="s">
        <v>523</v>
      </c>
      <c r="B472" s="445" t="s">
        <v>545</v>
      </c>
      <c r="C472" s="466"/>
      <c r="D472" s="447">
        <v>228705</v>
      </c>
      <c r="E472" s="447">
        <v>3</v>
      </c>
      <c r="F472" s="592"/>
      <c r="G472" s="519"/>
      <c r="H472" s="592">
        <v>0</v>
      </c>
      <c r="I472" s="519">
        <v>0</v>
      </c>
      <c r="J472" s="592">
        <v>72436</v>
      </c>
      <c r="K472" s="519">
        <v>63620</v>
      </c>
      <c r="L472" s="592">
        <v>11297</v>
      </c>
      <c r="M472" s="519">
        <v>11624</v>
      </c>
      <c r="N472" s="592">
        <v>72881</v>
      </c>
      <c r="O472" s="519">
        <v>67527</v>
      </c>
      <c r="P472" s="595">
        <f t="shared" si="144"/>
        <v>156614</v>
      </c>
      <c r="Q472" s="595">
        <f t="shared" si="145"/>
        <v>5220.4666666666662</v>
      </c>
      <c r="R472" s="596">
        <f t="shared" si="146"/>
        <v>142771</v>
      </c>
      <c r="S472" s="596">
        <f t="shared" si="147"/>
        <v>4759.0333333333338</v>
      </c>
      <c r="T472" s="592">
        <v>10516</v>
      </c>
      <c r="U472" s="519">
        <v>6202</v>
      </c>
      <c r="V472" s="595">
        <f t="shared" si="148"/>
        <v>156614</v>
      </c>
      <c r="W472" s="596">
        <f t="shared" si="149"/>
        <v>142771</v>
      </c>
      <c r="X472" s="592"/>
      <c r="Y472" s="519"/>
      <c r="Z472" s="592"/>
      <c r="AA472" s="519"/>
      <c r="AB472" s="592"/>
      <c r="AC472" s="519"/>
      <c r="AD472" s="592"/>
      <c r="AE472" s="519"/>
      <c r="AF472" s="595">
        <f t="shared" si="150"/>
        <v>0</v>
      </c>
      <c r="AG472" s="595">
        <f t="shared" si="151"/>
        <v>0</v>
      </c>
      <c r="AH472" s="596">
        <f t="shared" si="152"/>
        <v>0</v>
      </c>
      <c r="AI472" s="596">
        <f t="shared" si="153"/>
        <v>0</v>
      </c>
      <c r="AJ472" s="592"/>
      <c r="AK472" s="519"/>
      <c r="AL472" s="595">
        <f t="shared" si="154"/>
        <v>0</v>
      </c>
      <c r="AM472" s="596">
        <f t="shared" si="155"/>
        <v>0</v>
      </c>
      <c r="AN472" s="592"/>
      <c r="AO472" s="519"/>
      <c r="AP472" s="592">
        <v>10742</v>
      </c>
      <c r="AQ472" s="519">
        <v>9486</v>
      </c>
      <c r="AR472" s="592">
        <v>6011</v>
      </c>
      <c r="AS472" s="519">
        <v>5761</v>
      </c>
      <c r="AT472" s="592">
        <v>9605</v>
      </c>
      <c r="AU472" s="519">
        <v>8870</v>
      </c>
      <c r="AV472" s="595">
        <f t="shared" si="156"/>
        <v>26358</v>
      </c>
      <c r="AW472" s="595">
        <f t="shared" si="157"/>
        <v>1098.25</v>
      </c>
      <c r="AX472" s="596">
        <f t="shared" si="158"/>
        <v>24117</v>
      </c>
      <c r="AY472" s="596">
        <f t="shared" si="159"/>
        <v>1004.875</v>
      </c>
      <c r="AZ472" s="595">
        <f t="shared" si="160"/>
        <v>6318.7166666666662</v>
      </c>
      <c r="BA472" s="596">
        <f t="shared" si="161"/>
        <v>5763.9083333333338</v>
      </c>
    </row>
    <row r="473" spans="1:53" customFormat="1" ht="15" customHeight="1">
      <c r="A473" s="444" t="s">
        <v>523</v>
      </c>
      <c r="B473" s="445" t="s">
        <v>546</v>
      </c>
      <c r="C473" s="466"/>
      <c r="D473" s="447">
        <v>229063</v>
      </c>
      <c r="E473" s="447">
        <v>3</v>
      </c>
      <c r="F473" s="592"/>
      <c r="G473" s="519"/>
      <c r="H473" s="592">
        <v>0</v>
      </c>
      <c r="I473" s="519">
        <v>0</v>
      </c>
      <c r="J473" s="592">
        <v>87932</v>
      </c>
      <c r="K473" s="519">
        <v>80828</v>
      </c>
      <c r="L473" s="592">
        <v>11175</v>
      </c>
      <c r="M473" s="519">
        <v>8548</v>
      </c>
      <c r="N473" s="592">
        <v>93480</v>
      </c>
      <c r="O473" s="519">
        <v>68291</v>
      </c>
      <c r="P473" s="595">
        <f t="shared" si="144"/>
        <v>192587</v>
      </c>
      <c r="Q473" s="595">
        <f t="shared" si="145"/>
        <v>6419.5666666666666</v>
      </c>
      <c r="R473" s="596">
        <f t="shared" si="146"/>
        <v>157667</v>
      </c>
      <c r="S473" s="596">
        <f t="shared" si="147"/>
        <v>5255.5666666666666</v>
      </c>
      <c r="T473" s="592">
        <v>3</v>
      </c>
      <c r="U473" s="569">
        <v>0</v>
      </c>
      <c r="V473" s="595">
        <f t="shared" si="148"/>
        <v>192587</v>
      </c>
      <c r="W473" s="596">
        <f t="shared" si="149"/>
        <v>157667</v>
      </c>
      <c r="X473" s="592"/>
      <c r="Y473" s="519"/>
      <c r="Z473" s="592"/>
      <c r="AA473" s="519"/>
      <c r="AB473" s="592"/>
      <c r="AC473" s="519"/>
      <c r="AD473" s="592"/>
      <c r="AE473" s="519"/>
      <c r="AF473" s="595">
        <f t="shared" si="150"/>
        <v>0</v>
      </c>
      <c r="AG473" s="595">
        <f t="shared" si="151"/>
        <v>0</v>
      </c>
      <c r="AH473" s="596">
        <f t="shared" si="152"/>
        <v>0</v>
      </c>
      <c r="AI473" s="596">
        <f t="shared" si="153"/>
        <v>0</v>
      </c>
      <c r="AJ473" s="592"/>
      <c r="AK473" s="519"/>
      <c r="AL473" s="595">
        <f t="shared" si="154"/>
        <v>0</v>
      </c>
      <c r="AM473" s="596">
        <f t="shared" si="155"/>
        <v>0</v>
      </c>
      <c r="AN473" s="592"/>
      <c r="AO473" s="519"/>
      <c r="AP473" s="592">
        <v>21690</v>
      </c>
      <c r="AQ473" s="519">
        <v>19551</v>
      </c>
      <c r="AR473" s="592">
        <v>4890</v>
      </c>
      <c r="AS473" s="519">
        <v>3715</v>
      </c>
      <c r="AT473" s="592">
        <v>20889</v>
      </c>
      <c r="AU473" s="519">
        <v>18669</v>
      </c>
      <c r="AV473" s="595">
        <f t="shared" si="156"/>
        <v>47469</v>
      </c>
      <c r="AW473" s="595">
        <f t="shared" si="157"/>
        <v>1977.875</v>
      </c>
      <c r="AX473" s="596">
        <f t="shared" si="158"/>
        <v>41935</v>
      </c>
      <c r="AY473" s="596">
        <f t="shared" si="159"/>
        <v>1747.2916666666667</v>
      </c>
      <c r="AZ473" s="595">
        <f t="shared" si="160"/>
        <v>8397.4416666666657</v>
      </c>
      <c r="BA473" s="596">
        <f t="shared" si="161"/>
        <v>7002.8583333333336</v>
      </c>
    </row>
    <row r="474" spans="1:53" customFormat="1" ht="15" customHeight="1">
      <c r="A474" s="444" t="s">
        <v>523</v>
      </c>
      <c r="B474" s="445" t="s">
        <v>548</v>
      </c>
      <c r="C474" s="466"/>
      <c r="D474" s="447">
        <v>225414</v>
      </c>
      <c r="E474" s="447">
        <v>3</v>
      </c>
      <c r="F474" s="592"/>
      <c r="G474" s="519"/>
      <c r="H474" s="592">
        <v>0</v>
      </c>
      <c r="I474" s="519">
        <v>0</v>
      </c>
      <c r="J474" s="592">
        <v>60361</v>
      </c>
      <c r="K474" s="519">
        <v>63458</v>
      </c>
      <c r="L474" s="592">
        <v>17086</v>
      </c>
      <c r="M474" s="519">
        <v>20677</v>
      </c>
      <c r="N474" s="592">
        <v>65896</v>
      </c>
      <c r="O474" s="519">
        <v>67145</v>
      </c>
      <c r="P474" s="595">
        <f t="shared" si="144"/>
        <v>143343</v>
      </c>
      <c r="Q474" s="595">
        <f t="shared" si="145"/>
        <v>4778.1000000000004</v>
      </c>
      <c r="R474" s="596">
        <f t="shared" si="146"/>
        <v>151280</v>
      </c>
      <c r="S474" s="596">
        <f t="shared" si="147"/>
        <v>5042.666666666667</v>
      </c>
      <c r="T474" s="592">
        <v>0</v>
      </c>
      <c r="U474" s="519">
        <v>0</v>
      </c>
      <c r="V474" s="595">
        <f t="shared" si="148"/>
        <v>143343</v>
      </c>
      <c r="W474" s="596">
        <f t="shared" si="149"/>
        <v>151280</v>
      </c>
      <c r="X474" s="592"/>
      <c r="Y474" s="519"/>
      <c r="Z474" s="592"/>
      <c r="AA474" s="519"/>
      <c r="AB474" s="592"/>
      <c r="AC474" s="519"/>
      <c r="AD474" s="592"/>
      <c r="AE474" s="519"/>
      <c r="AF474" s="595">
        <f t="shared" si="150"/>
        <v>0</v>
      </c>
      <c r="AG474" s="595">
        <f t="shared" si="151"/>
        <v>0</v>
      </c>
      <c r="AH474" s="596">
        <f t="shared" si="152"/>
        <v>0</v>
      </c>
      <c r="AI474" s="596">
        <f t="shared" si="153"/>
        <v>0</v>
      </c>
      <c r="AJ474" s="592"/>
      <c r="AK474" s="519"/>
      <c r="AL474" s="595">
        <f t="shared" si="154"/>
        <v>0</v>
      </c>
      <c r="AM474" s="596">
        <f t="shared" si="155"/>
        <v>0</v>
      </c>
      <c r="AN474" s="592"/>
      <c r="AO474" s="519"/>
      <c r="AP474" s="592">
        <v>17867</v>
      </c>
      <c r="AQ474" s="519">
        <v>17414</v>
      </c>
      <c r="AR474" s="592">
        <v>9951</v>
      </c>
      <c r="AS474" s="519">
        <v>10353</v>
      </c>
      <c r="AT474" s="592">
        <v>14299</v>
      </c>
      <c r="AU474" s="519">
        <v>13359</v>
      </c>
      <c r="AV474" s="595">
        <f t="shared" si="156"/>
        <v>42117</v>
      </c>
      <c r="AW474" s="595">
        <f t="shared" si="157"/>
        <v>1754.875</v>
      </c>
      <c r="AX474" s="596">
        <f t="shared" si="158"/>
        <v>41126</v>
      </c>
      <c r="AY474" s="596">
        <f t="shared" si="159"/>
        <v>1713.5833333333333</v>
      </c>
      <c r="AZ474" s="595">
        <f t="shared" si="160"/>
        <v>6532.9750000000004</v>
      </c>
      <c r="BA474" s="596">
        <f t="shared" si="161"/>
        <v>6756.25</v>
      </c>
    </row>
    <row r="475" spans="1:53" customFormat="1" ht="15" customHeight="1">
      <c r="A475" s="444" t="s">
        <v>523</v>
      </c>
      <c r="B475" s="445" t="s">
        <v>549</v>
      </c>
      <c r="C475" s="466"/>
      <c r="D475" s="447">
        <v>228802</v>
      </c>
      <c r="E475" s="447">
        <v>3</v>
      </c>
      <c r="F475" s="592"/>
      <c r="G475" s="519"/>
      <c r="H475" s="592">
        <v>0</v>
      </c>
      <c r="I475" s="519">
        <v>0</v>
      </c>
      <c r="J475" s="592">
        <v>73082</v>
      </c>
      <c r="K475" s="519">
        <v>74404</v>
      </c>
      <c r="L475" s="592">
        <v>16088</v>
      </c>
      <c r="M475" s="569">
        <v>24135</v>
      </c>
      <c r="N475" s="592">
        <v>78733</v>
      </c>
      <c r="O475" s="519">
        <v>81281</v>
      </c>
      <c r="P475" s="595">
        <f t="shared" si="144"/>
        <v>167903</v>
      </c>
      <c r="Q475" s="595">
        <f t="shared" si="145"/>
        <v>5596.7666666666664</v>
      </c>
      <c r="R475" s="596">
        <f t="shared" si="146"/>
        <v>179820</v>
      </c>
      <c r="S475" s="596">
        <f t="shared" si="147"/>
        <v>5994</v>
      </c>
      <c r="T475" s="592">
        <v>2153</v>
      </c>
      <c r="U475" s="519">
        <v>2969</v>
      </c>
      <c r="V475" s="595">
        <f t="shared" si="148"/>
        <v>167903</v>
      </c>
      <c r="W475" s="596">
        <f t="shared" si="149"/>
        <v>179820</v>
      </c>
      <c r="X475" s="592"/>
      <c r="Y475" s="519"/>
      <c r="Z475" s="592"/>
      <c r="AA475" s="519"/>
      <c r="AB475" s="592"/>
      <c r="AC475" s="519"/>
      <c r="AD475" s="592"/>
      <c r="AE475" s="519"/>
      <c r="AF475" s="595">
        <f t="shared" si="150"/>
        <v>0</v>
      </c>
      <c r="AG475" s="595">
        <f t="shared" si="151"/>
        <v>0</v>
      </c>
      <c r="AH475" s="596">
        <f t="shared" si="152"/>
        <v>0</v>
      </c>
      <c r="AI475" s="596">
        <f t="shared" si="153"/>
        <v>0</v>
      </c>
      <c r="AJ475" s="592"/>
      <c r="AK475" s="519"/>
      <c r="AL475" s="595">
        <f t="shared" si="154"/>
        <v>0</v>
      </c>
      <c r="AM475" s="596">
        <f t="shared" si="155"/>
        <v>0</v>
      </c>
      <c r="AN475" s="592"/>
      <c r="AO475" s="519"/>
      <c r="AP475" s="592">
        <v>14828</v>
      </c>
      <c r="AQ475" s="519">
        <v>14292</v>
      </c>
      <c r="AR475" s="592">
        <v>11028</v>
      </c>
      <c r="AS475" s="519">
        <v>10787</v>
      </c>
      <c r="AT475" s="592">
        <v>13511</v>
      </c>
      <c r="AU475" s="519">
        <v>13775</v>
      </c>
      <c r="AV475" s="595">
        <f t="shared" si="156"/>
        <v>39367</v>
      </c>
      <c r="AW475" s="595">
        <f t="shared" si="157"/>
        <v>1640.2916666666667</v>
      </c>
      <c r="AX475" s="596">
        <f t="shared" si="158"/>
        <v>38854</v>
      </c>
      <c r="AY475" s="596">
        <f t="shared" si="159"/>
        <v>1618.9166666666667</v>
      </c>
      <c r="AZ475" s="595">
        <f t="shared" si="160"/>
        <v>7237.0583333333334</v>
      </c>
      <c r="BA475" s="596">
        <f t="shared" si="161"/>
        <v>7612.916666666667</v>
      </c>
    </row>
    <row r="476" spans="1:53" customFormat="1" ht="15" customHeight="1">
      <c r="A476" s="444" t="s">
        <v>523</v>
      </c>
      <c r="B476" s="467" t="s">
        <v>862</v>
      </c>
      <c r="C476" s="466"/>
      <c r="D476" s="447">
        <v>229018</v>
      </c>
      <c r="E476" s="447">
        <v>3</v>
      </c>
      <c r="F476" s="592"/>
      <c r="G476" s="519"/>
      <c r="H476" s="592">
        <v>0</v>
      </c>
      <c r="I476" s="519">
        <v>0</v>
      </c>
      <c r="J476" s="592">
        <v>43516</v>
      </c>
      <c r="K476" s="519">
        <v>41240</v>
      </c>
      <c r="L476" s="592">
        <v>17358</v>
      </c>
      <c r="M476" s="519">
        <v>18791</v>
      </c>
      <c r="N476" s="592">
        <v>40050</v>
      </c>
      <c r="O476" s="519">
        <v>42710</v>
      </c>
      <c r="P476" s="595">
        <f t="shared" si="144"/>
        <v>100924</v>
      </c>
      <c r="Q476" s="595">
        <f t="shared" si="145"/>
        <v>3364.1333333333332</v>
      </c>
      <c r="R476" s="596">
        <f t="shared" si="146"/>
        <v>102741</v>
      </c>
      <c r="S476" s="596">
        <f t="shared" si="147"/>
        <v>3424.7</v>
      </c>
      <c r="T476" s="592">
        <v>7108</v>
      </c>
      <c r="U476" s="519">
        <v>7036</v>
      </c>
      <c r="V476" s="595">
        <f t="shared" si="148"/>
        <v>100924</v>
      </c>
      <c r="W476" s="596">
        <f t="shared" si="149"/>
        <v>102741</v>
      </c>
      <c r="X476" s="592"/>
      <c r="Y476" s="519"/>
      <c r="Z476" s="592"/>
      <c r="AA476" s="519"/>
      <c r="AB476" s="592"/>
      <c r="AC476" s="519"/>
      <c r="AD476" s="592"/>
      <c r="AE476" s="519"/>
      <c r="AF476" s="595">
        <f t="shared" si="150"/>
        <v>0</v>
      </c>
      <c r="AG476" s="595">
        <f t="shared" si="151"/>
        <v>0</v>
      </c>
      <c r="AH476" s="596">
        <f t="shared" si="152"/>
        <v>0</v>
      </c>
      <c r="AI476" s="596">
        <f t="shared" si="153"/>
        <v>0</v>
      </c>
      <c r="AJ476" s="592"/>
      <c r="AK476" s="519"/>
      <c r="AL476" s="595">
        <f t="shared" si="154"/>
        <v>0</v>
      </c>
      <c r="AM476" s="596">
        <f t="shared" si="155"/>
        <v>0</v>
      </c>
      <c r="AN476" s="592"/>
      <c r="AO476" s="519"/>
      <c r="AP476" s="592">
        <v>7251</v>
      </c>
      <c r="AQ476" s="519">
        <v>5449</v>
      </c>
      <c r="AR476" s="592">
        <v>7710</v>
      </c>
      <c r="AS476" s="519">
        <v>6702</v>
      </c>
      <c r="AT476" s="592">
        <v>3402</v>
      </c>
      <c r="AU476" s="519">
        <v>3830</v>
      </c>
      <c r="AV476" s="595">
        <f t="shared" si="156"/>
        <v>18363</v>
      </c>
      <c r="AW476" s="595">
        <f t="shared" si="157"/>
        <v>765.125</v>
      </c>
      <c r="AX476" s="596">
        <f t="shared" si="158"/>
        <v>15981</v>
      </c>
      <c r="AY476" s="596">
        <f t="shared" si="159"/>
        <v>665.875</v>
      </c>
      <c r="AZ476" s="595">
        <f t="shared" si="160"/>
        <v>4129.2583333333332</v>
      </c>
      <c r="BA476" s="596">
        <f t="shared" si="161"/>
        <v>4090.5749999999998</v>
      </c>
    </row>
    <row r="477" spans="1:53" customFormat="1" ht="15" customHeight="1">
      <c r="A477" s="444" t="s">
        <v>523</v>
      </c>
      <c r="B477" s="465" t="s">
        <v>863</v>
      </c>
      <c r="C477" s="466"/>
      <c r="D477" s="447">
        <v>227368</v>
      </c>
      <c r="E477" s="447">
        <v>3</v>
      </c>
      <c r="F477" s="592"/>
      <c r="G477" s="519"/>
      <c r="H477" s="592">
        <v>0</v>
      </c>
      <c r="I477" s="519">
        <v>0</v>
      </c>
      <c r="J477" s="592">
        <v>281152</v>
      </c>
      <c r="K477" s="519">
        <v>287507</v>
      </c>
      <c r="L477" s="592">
        <v>72151</v>
      </c>
      <c r="M477" s="519">
        <v>99548</v>
      </c>
      <c r="N477" s="592">
        <v>311726</v>
      </c>
      <c r="O477" s="519">
        <v>335363</v>
      </c>
      <c r="P477" s="595">
        <f t="shared" si="144"/>
        <v>665029</v>
      </c>
      <c r="Q477" s="595">
        <f t="shared" si="145"/>
        <v>22167.633333333335</v>
      </c>
      <c r="R477" s="596">
        <f t="shared" si="146"/>
        <v>722418</v>
      </c>
      <c r="S477" s="596">
        <f t="shared" si="147"/>
        <v>24080.6</v>
      </c>
      <c r="T477" s="592">
        <v>19152</v>
      </c>
      <c r="U477" s="519">
        <v>21495</v>
      </c>
      <c r="V477" s="595">
        <f t="shared" si="148"/>
        <v>665029</v>
      </c>
      <c r="W477" s="596">
        <f t="shared" si="149"/>
        <v>722418</v>
      </c>
      <c r="X477" s="592"/>
      <c r="Y477" s="519"/>
      <c r="Z477" s="592"/>
      <c r="AA477" s="519"/>
      <c r="AB477" s="592"/>
      <c r="AC477" s="519"/>
      <c r="AD477" s="592"/>
      <c r="AE477" s="519"/>
      <c r="AF477" s="595">
        <f t="shared" si="150"/>
        <v>0</v>
      </c>
      <c r="AG477" s="595">
        <f t="shared" si="151"/>
        <v>0</v>
      </c>
      <c r="AH477" s="596">
        <f t="shared" si="152"/>
        <v>0</v>
      </c>
      <c r="AI477" s="596">
        <f t="shared" si="153"/>
        <v>0</v>
      </c>
      <c r="AJ477" s="592"/>
      <c r="AK477" s="519"/>
      <c r="AL477" s="595">
        <f t="shared" si="154"/>
        <v>0</v>
      </c>
      <c r="AM477" s="596">
        <f t="shared" si="155"/>
        <v>0</v>
      </c>
      <c r="AN477" s="592"/>
      <c r="AO477" s="519"/>
      <c r="AP477" s="592">
        <v>25988</v>
      </c>
      <c r="AQ477" s="519">
        <v>27878</v>
      </c>
      <c r="AR477" s="592">
        <v>20477</v>
      </c>
      <c r="AS477" s="519">
        <v>27749</v>
      </c>
      <c r="AT477" s="592">
        <v>25682</v>
      </c>
      <c r="AU477" s="519">
        <v>33866</v>
      </c>
      <c r="AV477" s="595">
        <f t="shared" si="156"/>
        <v>72147</v>
      </c>
      <c r="AW477" s="595">
        <f t="shared" si="157"/>
        <v>3006.125</v>
      </c>
      <c r="AX477" s="596">
        <f t="shared" si="158"/>
        <v>89493</v>
      </c>
      <c r="AY477" s="596">
        <f t="shared" si="159"/>
        <v>3728.875</v>
      </c>
      <c r="AZ477" s="595">
        <f t="shared" si="160"/>
        <v>25173.758333333335</v>
      </c>
      <c r="BA477" s="596">
        <f t="shared" si="161"/>
        <v>27809.474999999999</v>
      </c>
    </row>
    <row r="478" spans="1:53" customFormat="1" ht="15" customHeight="1">
      <c r="A478" s="444" t="s">
        <v>523</v>
      </c>
      <c r="B478" s="445" t="s">
        <v>550</v>
      </c>
      <c r="C478" s="466"/>
      <c r="D478" s="447">
        <v>229814</v>
      </c>
      <c r="E478" s="447">
        <v>3</v>
      </c>
      <c r="F478" s="592"/>
      <c r="G478" s="519"/>
      <c r="H478" s="592">
        <v>0</v>
      </c>
      <c r="I478" s="519">
        <v>0</v>
      </c>
      <c r="J478" s="592">
        <v>81596</v>
      </c>
      <c r="K478" s="519">
        <v>80960</v>
      </c>
      <c r="L478" s="592">
        <v>15477</v>
      </c>
      <c r="M478" s="519">
        <v>15613</v>
      </c>
      <c r="N478" s="592">
        <v>91069</v>
      </c>
      <c r="O478" s="519">
        <v>90517</v>
      </c>
      <c r="P478" s="595">
        <f t="shared" si="144"/>
        <v>188142</v>
      </c>
      <c r="Q478" s="595">
        <f t="shared" si="145"/>
        <v>6271.4</v>
      </c>
      <c r="R478" s="596">
        <f t="shared" si="146"/>
        <v>187090</v>
      </c>
      <c r="S478" s="596">
        <f t="shared" si="147"/>
        <v>6236.333333333333</v>
      </c>
      <c r="T478" s="592">
        <v>0</v>
      </c>
      <c r="U478" s="519">
        <v>0</v>
      </c>
      <c r="V478" s="595">
        <f t="shared" si="148"/>
        <v>188142</v>
      </c>
      <c r="W478" s="596">
        <f t="shared" si="149"/>
        <v>187090</v>
      </c>
      <c r="X478" s="592"/>
      <c r="Y478" s="519"/>
      <c r="Z478" s="592"/>
      <c r="AA478" s="519"/>
      <c r="AB478" s="592"/>
      <c r="AC478" s="519"/>
      <c r="AD478" s="592"/>
      <c r="AE478" s="519"/>
      <c r="AF478" s="595">
        <f t="shared" si="150"/>
        <v>0</v>
      </c>
      <c r="AG478" s="595">
        <f t="shared" si="151"/>
        <v>0</v>
      </c>
      <c r="AH478" s="596">
        <f t="shared" si="152"/>
        <v>0</v>
      </c>
      <c r="AI478" s="596">
        <f t="shared" si="153"/>
        <v>0</v>
      </c>
      <c r="AJ478" s="592"/>
      <c r="AK478" s="519"/>
      <c r="AL478" s="595">
        <f t="shared" si="154"/>
        <v>0</v>
      </c>
      <c r="AM478" s="596">
        <f t="shared" si="155"/>
        <v>0</v>
      </c>
      <c r="AN478" s="592"/>
      <c r="AO478" s="519"/>
      <c r="AP478" s="592">
        <v>15504</v>
      </c>
      <c r="AQ478" s="519">
        <v>14114</v>
      </c>
      <c r="AR478" s="592">
        <v>8553</v>
      </c>
      <c r="AS478" s="519">
        <v>8872</v>
      </c>
      <c r="AT478" s="592">
        <v>14836</v>
      </c>
      <c r="AU478" s="519">
        <v>15589</v>
      </c>
      <c r="AV478" s="595">
        <f t="shared" si="156"/>
        <v>38893</v>
      </c>
      <c r="AW478" s="595">
        <f t="shared" si="157"/>
        <v>1620.5416666666667</v>
      </c>
      <c r="AX478" s="596">
        <f t="shared" si="158"/>
        <v>38575</v>
      </c>
      <c r="AY478" s="596">
        <f t="shared" si="159"/>
        <v>1607.2916666666667</v>
      </c>
      <c r="AZ478" s="595">
        <f t="shared" si="160"/>
        <v>7891.9416666666666</v>
      </c>
      <c r="BA478" s="596">
        <f t="shared" si="161"/>
        <v>7843.625</v>
      </c>
    </row>
    <row r="479" spans="1:53" customFormat="1" ht="15" customHeight="1">
      <c r="A479" s="444" t="s">
        <v>523</v>
      </c>
      <c r="B479" s="445" t="s">
        <v>551</v>
      </c>
      <c r="C479" s="466"/>
      <c r="D479" s="447">
        <v>224545</v>
      </c>
      <c r="E479" s="447">
        <v>4</v>
      </c>
      <c r="F479" s="592"/>
      <c r="G479" s="519"/>
      <c r="H479" s="592">
        <v>0</v>
      </c>
      <c r="I479" s="519">
        <v>0</v>
      </c>
      <c r="J479" s="592">
        <v>18043</v>
      </c>
      <c r="K479" s="519">
        <v>18651</v>
      </c>
      <c r="L479" s="592">
        <v>4431</v>
      </c>
      <c r="M479" s="519">
        <v>4916</v>
      </c>
      <c r="N479" s="592">
        <v>19678</v>
      </c>
      <c r="O479" s="519">
        <v>19946</v>
      </c>
      <c r="P479" s="595">
        <f t="shared" si="144"/>
        <v>42152</v>
      </c>
      <c r="Q479" s="595">
        <f t="shared" si="145"/>
        <v>1405.0666666666666</v>
      </c>
      <c r="R479" s="596">
        <f t="shared" si="146"/>
        <v>43513</v>
      </c>
      <c r="S479" s="596">
        <f t="shared" si="147"/>
        <v>1450.4333333333334</v>
      </c>
      <c r="T479" s="592">
        <v>0</v>
      </c>
      <c r="U479" s="519">
        <v>0</v>
      </c>
      <c r="V479" s="595">
        <f t="shared" si="148"/>
        <v>42152</v>
      </c>
      <c r="W479" s="596">
        <f t="shared" si="149"/>
        <v>43513</v>
      </c>
      <c r="X479" s="592"/>
      <c r="Y479" s="519"/>
      <c r="Z479" s="592"/>
      <c r="AA479" s="519"/>
      <c r="AB479" s="592"/>
      <c r="AC479" s="519"/>
      <c r="AD479" s="592"/>
      <c r="AE479" s="519"/>
      <c r="AF479" s="595">
        <f t="shared" si="150"/>
        <v>0</v>
      </c>
      <c r="AG479" s="595">
        <f t="shared" si="151"/>
        <v>0</v>
      </c>
      <c r="AH479" s="596">
        <f t="shared" si="152"/>
        <v>0</v>
      </c>
      <c r="AI479" s="596">
        <f t="shared" si="153"/>
        <v>0</v>
      </c>
      <c r="AJ479" s="592"/>
      <c r="AK479" s="519"/>
      <c r="AL479" s="595">
        <f t="shared" si="154"/>
        <v>0</v>
      </c>
      <c r="AM479" s="596">
        <f t="shared" si="155"/>
        <v>0</v>
      </c>
      <c r="AN479" s="592"/>
      <c r="AO479" s="519"/>
      <c r="AP479" s="592">
        <v>1857</v>
      </c>
      <c r="AQ479" s="519">
        <v>1829</v>
      </c>
      <c r="AR479" s="592">
        <v>1288</v>
      </c>
      <c r="AS479" s="519">
        <v>1490</v>
      </c>
      <c r="AT479" s="592">
        <v>1790</v>
      </c>
      <c r="AU479" s="519">
        <v>2209</v>
      </c>
      <c r="AV479" s="595">
        <f t="shared" si="156"/>
        <v>4935</v>
      </c>
      <c r="AW479" s="595">
        <f t="shared" si="157"/>
        <v>205.625</v>
      </c>
      <c r="AX479" s="596">
        <f t="shared" si="158"/>
        <v>5528</v>
      </c>
      <c r="AY479" s="596">
        <f t="shared" si="159"/>
        <v>230.33333333333334</v>
      </c>
      <c r="AZ479" s="595">
        <f t="shared" si="160"/>
        <v>1610.6916666666666</v>
      </c>
      <c r="BA479" s="596">
        <f t="shared" si="161"/>
        <v>1680.7666666666667</v>
      </c>
    </row>
    <row r="480" spans="1:53" customFormat="1" ht="15" customHeight="1">
      <c r="A480" s="444" t="s">
        <v>523</v>
      </c>
      <c r="B480" s="445" t="s">
        <v>864</v>
      </c>
      <c r="C480" s="573" t="s">
        <v>914</v>
      </c>
      <c r="D480" s="447">
        <v>483036</v>
      </c>
      <c r="E480" s="574">
        <v>3</v>
      </c>
      <c r="F480" s="592"/>
      <c r="G480" s="519"/>
      <c r="H480" s="592">
        <v>0</v>
      </c>
      <c r="I480" s="519">
        <v>0</v>
      </c>
      <c r="J480" s="592">
        <v>16148</v>
      </c>
      <c r="K480" s="519">
        <v>15868</v>
      </c>
      <c r="L480" s="592">
        <v>7429</v>
      </c>
      <c r="M480" s="519">
        <v>7476</v>
      </c>
      <c r="N480" s="592">
        <v>16225</v>
      </c>
      <c r="O480" s="519">
        <v>16096</v>
      </c>
      <c r="P480" s="595">
        <f t="shared" si="144"/>
        <v>39802</v>
      </c>
      <c r="Q480" s="595">
        <f t="shared" si="145"/>
        <v>1326.7333333333333</v>
      </c>
      <c r="R480" s="596">
        <f t="shared" si="146"/>
        <v>39440</v>
      </c>
      <c r="S480" s="596">
        <f t="shared" si="147"/>
        <v>1314.6666666666667</v>
      </c>
      <c r="T480" s="592">
        <v>0</v>
      </c>
      <c r="U480" s="519">
        <v>0</v>
      </c>
      <c r="V480" s="595">
        <f t="shared" si="148"/>
        <v>39802</v>
      </c>
      <c r="W480" s="596">
        <f t="shared" si="149"/>
        <v>39440</v>
      </c>
      <c r="X480" s="592"/>
      <c r="Y480" s="519"/>
      <c r="Z480" s="592"/>
      <c r="AA480" s="519"/>
      <c r="AB480" s="592"/>
      <c r="AC480" s="519"/>
      <c r="AD480" s="592"/>
      <c r="AE480" s="519"/>
      <c r="AF480" s="595">
        <f t="shared" si="150"/>
        <v>0</v>
      </c>
      <c r="AG480" s="595">
        <f t="shared" si="151"/>
        <v>0</v>
      </c>
      <c r="AH480" s="596">
        <f t="shared" si="152"/>
        <v>0</v>
      </c>
      <c r="AI480" s="596">
        <f t="shared" si="153"/>
        <v>0</v>
      </c>
      <c r="AJ480" s="592"/>
      <c r="AK480" s="519"/>
      <c r="AL480" s="595">
        <f t="shared" si="154"/>
        <v>0</v>
      </c>
      <c r="AM480" s="596">
        <f t="shared" si="155"/>
        <v>0</v>
      </c>
      <c r="AN480" s="592"/>
      <c r="AO480" s="519"/>
      <c r="AP480" s="592">
        <v>3216</v>
      </c>
      <c r="AQ480" s="519">
        <v>2739</v>
      </c>
      <c r="AR480" s="592">
        <v>1905</v>
      </c>
      <c r="AS480" s="519">
        <v>2039</v>
      </c>
      <c r="AT480" s="592">
        <v>2894</v>
      </c>
      <c r="AU480" s="519">
        <v>3113</v>
      </c>
      <c r="AV480" s="595">
        <f t="shared" si="156"/>
        <v>8015</v>
      </c>
      <c r="AW480" s="595">
        <f t="shared" si="157"/>
        <v>333.95833333333331</v>
      </c>
      <c r="AX480" s="596">
        <f t="shared" si="158"/>
        <v>7891</v>
      </c>
      <c r="AY480" s="596">
        <f t="shared" si="159"/>
        <v>328.79166666666669</v>
      </c>
      <c r="AZ480" s="595">
        <f t="shared" si="160"/>
        <v>1660.6916666666666</v>
      </c>
      <c r="BA480" s="596">
        <f t="shared" si="161"/>
        <v>1643.4583333333335</v>
      </c>
    </row>
    <row r="481" spans="1:53" customFormat="1" ht="15" customHeight="1">
      <c r="A481" s="444" t="s">
        <v>523</v>
      </c>
      <c r="B481" s="445" t="s">
        <v>555</v>
      </c>
      <c r="C481" s="448"/>
      <c r="D481" s="447">
        <v>225432</v>
      </c>
      <c r="E481" s="515">
        <v>4</v>
      </c>
      <c r="F481" s="592"/>
      <c r="G481" s="519"/>
      <c r="H481" s="592">
        <v>0</v>
      </c>
      <c r="I481" s="519">
        <v>0</v>
      </c>
      <c r="J481" s="592">
        <v>108080</v>
      </c>
      <c r="K481" s="519">
        <v>117046</v>
      </c>
      <c r="L481" s="592">
        <v>29669</v>
      </c>
      <c r="M481" s="519">
        <v>43063</v>
      </c>
      <c r="N481" s="592">
        <v>126358</v>
      </c>
      <c r="O481" s="519">
        <v>133433</v>
      </c>
      <c r="P481" s="595">
        <f t="shared" si="144"/>
        <v>264107</v>
      </c>
      <c r="Q481" s="595">
        <f t="shared" si="145"/>
        <v>8803.5666666666675</v>
      </c>
      <c r="R481" s="596">
        <f t="shared" si="146"/>
        <v>293542</v>
      </c>
      <c r="S481" s="596">
        <f t="shared" si="147"/>
        <v>9784.7333333333336</v>
      </c>
      <c r="T481" s="592">
        <v>3</v>
      </c>
      <c r="U481" s="569">
        <v>0</v>
      </c>
      <c r="V481" s="595">
        <f t="shared" si="148"/>
        <v>264107</v>
      </c>
      <c r="W481" s="596">
        <f t="shared" si="149"/>
        <v>293542</v>
      </c>
      <c r="X481" s="592"/>
      <c r="Y481" s="519"/>
      <c r="Z481" s="592"/>
      <c r="AA481" s="519"/>
      <c r="AB481" s="592"/>
      <c r="AC481" s="519"/>
      <c r="AD481" s="592"/>
      <c r="AE481" s="519"/>
      <c r="AF481" s="595">
        <f t="shared" si="150"/>
        <v>0</v>
      </c>
      <c r="AG481" s="595">
        <f t="shared" si="151"/>
        <v>0</v>
      </c>
      <c r="AH481" s="596">
        <f t="shared" si="152"/>
        <v>0</v>
      </c>
      <c r="AI481" s="596">
        <f t="shared" si="153"/>
        <v>0</v>
      </c>
      <c r="AJ481" s="592"/>
      <c r="AK481" s="519"/>
      <c r="AL481" s="595">
        <f t="shared" si="154"/>
        <v>0</v>
      </c>
      <c r="AM481" s="596">
        <f t="shared" si="155"/>
        <v>0</v>
      </c>
      <c r="AN481" s="592"/>
      <c r="AO481" s="519"/>
      <c r="AP481" s="592">
        <v>11154</v>
      </c>
      <c r="AQ481" s="519">
        <v>10531</v>
      </c>
      <c r="AR481" s="592">
        <v>10284</v>
      </c>
      <c r="AS481" s="519">
        <v>9875</v>
      </c>
      <c r="AT481" s="592">
        <v>6624</v>
      </c>
      <c r="AU481" s="519">
        <v>6930</v>
      </c>
      <c r="AV481" s="595">
        <f t="shared" si="156"/>
        <v>28062</v>
      </c>
      <c r="AW481" s="595">
        <f t="shared" si="157"/>
        <v>1169.25</v>
      </c>
      <c r="AX481" s="596">
        <f t="shared" si="158"/>
        <v>27336</v>
      </c>
      <c r="AY481" s="596">
        <f t="shared" si="159"/>
        <v>1139</v>
      </c>
      <c r="AZ481" s="595">
        <f t="shared" si="160"/>
        <v>9972.8166666666675</v>
      </c>
      <c r="BA481" s="596">
        <f t="shared" si="161"/>
        <v>10923.733333333334</v>
      </c>
    </row>
    <row r="482" spans="1:53" customFormat="1" ht="15" customHeight="1">
      <c r="A482" s="444" t="s">
        <v>523</v>
      </c>
      <c r="B482" s="445" t="s">
        <v>552</v>
      </c>
      <c r="C482" s="466"/>
      <c r="D482" s="447">
        <v>225502</v>
      </c>
      <c r="E482" s="447">
        <v>4</v>
      </c>
      <c r="F482" s="592"/>
      <c r="G482" s="519"/>
      <c r="H482" s="592">
        <v>0</v>
      </c>
      <c r="I482" s="519">
        <v>0</v>
      </c>
      <c r="J482" s="592">
        <v>29444</v>
      </c>
      <c r="K482" s="519">
        <v>29993</v>
      </c>
      <c r="L482" s="592">
        <v>8975</v>
      </c>
      <c r="M482" s="519">
        <v>10030</v>
      </c>
      <c r="N482" s="592">
        <v>33068</v>
      </c>
      <c r="O482" s="519">
        <v>35153</v>
      </c>
      <c r="P482" s="595">
        <f t="shared" si="144"/>
        <v>71487</v>
      </c>
      <c r="Q482" s="595">
        <f t="shared" si="145"/>
        <v>2382.9</v>
      </c>
      <c r="R482" s="596">
        <f t="shared" si="146"/>
        <v>75176</v>
      </c>
      <c r="S482" s="596">
        <f t="shared" si="147"/>
        <v>2505.8666666666668</v>
      </c>
      <c r="T482" s="592">
        <v>891</v>
      </c>
      <c r="U482" s="569">
        <v>0</v>
      </c>
      <c r="V482" s="595">
        <f t="shared" si="148"/>
        <v>71487</v>
      </c>
      <c r="W482" s="596">
        <f t="shared" si="149"/>
        <v>75176</v>
      </c>
      <c r="X482" s="592"/>
      <c r="Y482" s="519"/>
      <c r="Z482" s="592"/>
      <c r="AA482" s="519"/>
      <c r="AB482" s="592"/>
      <c r="AC482" s="519"/>
      <c r="AD482" s="592"/>
      <c r="AE482" s="519"/>
      <c r="AF482" s="595">
        <f t="shared" si="150"/>
        <v>0</v>
      </c>
      <c r="AG482" s="595">
        <f t="shared" si="151"/>
        <v>0</v>
      </c>
      <c r="AH482" s="596">
        <f t="shared" si="152"/>
        <v>0</v>
      </c>
      <c r="AI482" s="596">
        <f t="shared" si="153"/>
        <v>0</v>
      </c>
      <c r="AJ482" s="592"/>
      <c r="AK482" s="519"/>
      <c r="AL482" s="595">
        <f t="shared" si="154"/>
        <v>0</v>
      </c>
      <c r="AM482" s="596">
        <f t="shared" si="155"/>
        <v>0</v>
      </c>
      <c r="AN482" s="592"/>
      <c r="AO482" s="519"/>
      <c r="AP482" s="592">
        <v>6891</v>
      </c>
      <c r="AQ482" s="519">
        <v>8243</v>
      </c>
      <c r="AR482" s="592">
        <v>4524</v>
      </c>
      <c r="AS482" s="519">
        <v>6216</v>
      </c>
      <c r="AT482" s="592">
        <v>7490</v>
      </c>
      <c r="AU482" s="519">
        <v>10109</v>
      </c>
      <c r="AV482" s="595">
        <f t="shared" si="156"/>
        <v>18905</v>
      </c>
      <c r="AW482" s="595">
        <f t="shared" si="157"/>
        <v>787.70833333333337</v>
      </c>
      <c r="AX482" s="596">
        <f t="shared" si="158"/>
        <v>24568</v>
      </c>
      <c r="AY482" s="596">
        <f t="shared" si="159"/>
        <v>1023.6666666666666</v>
      </c>
      <c r="AZ482" s="595">
        <f t="shared" si="160"/>
        <v>3170.6083333333336</v>
      </c>
      <c r="BA482" s="596">
        <f t="shared" si="161"/>
        <v>3529.5333333333333</v>
      </c>
    </row>
    <row r="483" spans="1:53" customFormat="1" ht="15" customHeight="1">
      <c r="A483" s="444" t="s">
        <v>523</v>
      </c>
      <c r="B483" s="445" t="s">
        <v>553</v>
      </c>
      <c r="C483" s="466"/>
      <c r="D483" s="447" t="s">
        <v>554</v>
      </c>
      <c r="E483" s="447">
        <v>5</v>
      </c>
      <c r="F483" s="592"/>
      <c r="G483" s="519"/>
      <c r="H483" s="592">
        <v>0</v>
      </c>
      <c r="I483" s="519">
        <v>0</v>
      </c>
      <c r="J483" s="592">
        <v>5467</v>
      </c>
      <c r="K483" s="519">
        <v>5351</v>
      </c>
      <c r="L483" s="592">
        <v>2736</v>
      </c>
      <c r="M483" s="519">
        <v>2877</v>
      </c>
      <c r="N483" s="592">
        <v>5411</v>
      </c>
      <c r="O483" s="519">
        <v>6086</v>
      </c>
      <c r="P483" s="595">
        <f t="shared" si="144"/>
        <v>13614</v>
      </c>
      <c r="Q483" s="595">
        <f t="shared" si="145"/>
        <v>453.8</v>
      </c>
      <c r="R483" s="596">
        <f t="shared" si="146"/>
        <v>14314</v>
      </c>
      <c r="S483" s="596">
        <f t="shared" si="147"/>
        <v>477.13333333333333</v>
      </c>
      <c r="T483" s="592">
        <v>0</v>
      </c>
      <c r="U483" s="519">
        <v>0</v>
      </c>
      <c r="V483" s="595">
        <f t="shared" si="148"/>
        <v>13614</v>
      </c>
      <c r="W483" s="596">
        <f t="shared" si="149"/>
        <v>14314</v>
      </c>
      <c r="X483" s="592"/>
      <c r="Y483" s="519"/>
      <c r="Z483" s="592"/>
      <c r="AA483" s="519"/>
      <c r="AB483" s="592"/>
      <c r="AC483" s="519"/>
      <c r="AD483" s="592"/>
      <c r="AE483" s="519"/>
      <c r="AF483" s="595">
        <f t="shared" si="150"/>
        <v>0</v>
      </c>
      <c r="AG483" s="595">
        <f t="shared" si="151"/>
        <v>0</v>
      </c>
      <c r="AH483" s="596">
        <f t="shared" si="152"/>
        <v>0</v>
      </c>
      <c r="AI483" s="596">
        <f t="shared" si="153"/>
        <v>0</v>
      </c>
      <c r="AJ483" s="592"/>
      <c r="AK483" s="519"/>
      <c r="AL483" s="595">
        <f t="shared" si="154"/>
        <v>0</v>
      </c>
      <c r="AM483" s="596">
        <f t="shared" si="155"/>
        <v>0</v>
      </c>
      <c r="AN483" s="592"/>
      <c r="AO483" s="519"/>
      <c r="AP483" s="592">
        <v>585</v>
      </c>
      <c r="AQ483" s="519">
        <v>459</v>
      </c>
      <c r="AR483" s="592">
        <v>354</v>
      </c>
      <c r="AS483" s="519">
        <v>420</v>
      </c>
      <c r="AT483" s="592">
        <v>573</v>
      </c>
      <c r="AU483" s="519">
        <v>633</v>
      </c>
      <c r="AV483" s="595">
        <f t="shared" si="156"/>
        <v>1512</v>
      </c>
      <c r="AW483" s="595">
        <f t="shared" si="157"/>
        <v>63</v>
      </c>
      <c r="AX483" s="596">
        <f t="shared" si="158"/>
        <v>1512</v>
      </c>
      <c r="AY483" s="596">
        <f t="shared" si="159"/>
        <v>63</v>
      </c>
      <c r="AZ483" s="595">
        <f t="shared" si="160"/>
        <v>516.79999999999995</v>
      </c>
      <c r="BA483" s="596">
        <f t="shared" si="161"/>
        <v>540.13333333333333</v>
      </c>
    </row>
    <row r="484" spans="1:53" customFormat="1" ht="15" customHeight="1">
      <c r="A484" s="444" t="s">
        <v>523</v>
      </c>
      <c r="B484" s="445" t="s">
        <v>556</v>
      </c>
      <c r="C484" s="448"/>
      <c r="D484" s="447">
        <v>228714</v>
      </c>
      <c r="E484" s="447">
        <v>5</v>
      </c>
      <c r="F484" s="592"/>
      <c r="G484" s="519"/>
      <c r="H484" s="592">
        <v>0</v>
      </c>
      <c r="I484" s="519">
        <v>0</v>
      </c>
      <c r="J484" s="592">
        <v>24783</v>
      </c>
      <c r="K484" s="519">
        <v>22463</v>
      </c>
      <c r="L484" s="592">
        <v>3917</v>
      </c>
      <c r="M484" s="519">
        <v>4074</v>
      </c>
      <c r="N484" s="592">
        <v>25492</v>
      </c>
      <c r="O484" s="519">
        <v>24046</v>
      </c>
      <c r="P484" s="595">
        <f t="shared" si="144"/>
        <v>54192</v>
      </c>
      <c r="Q484" s="595">
        <f t="shared" si="145"/>
        <v>1806.4</v>
      </c>
      <c r="R484" s="596">
        <f t="shared" si="146"/>
        <v>50583</v>
      </c>
      <c r="S484" s="596">
        <f t="shared" si="147"/>
        <v>1686.1</v>
      </c>
      <c r="T484" s="592">
        <v>0</v>
      </c>
      <c r="U484" s="519">
        <v>0</v>
      </c>
      <c r="V484" s="595">
        <f t="shared" si="148"/>
        <v>54192</v>
      </c>
      <c r="W484" s="596">
        <f t="shared" si="149"/>
        <v>50583</v>
      </c>
      <c r="X484" s="592"/>
      <c r="Y484" s="519"/>
      <c r="Z484" s="592"/>
      <c r="AA484" s="519"/>
      <c r="AB484" s="592"/>
      <c r="AC484" s="519"/>
      <c r="AD484" s="592"/>
      <c r="AE484" s="519"/>
      <c r="AF484" s="595">
        <f t="shared" si="150"/>
        <v>0</v>
      </c>
      <c r="AG484" s="595">
        <f t="shared" si="151"/>
        <v>0</v>
      </c>
      <c r="AH484" s="596">
        <f t="shared" si="152"/>
        <v>0</v>
      </c>
      <c r="AI484" s="596">
        <f t="shared" si="153"/>
        <v>0</v>
      </c>
      <c r="AJ484" s="592"/>
      <c r="AK484" s="519"/>
      <c r="AL484" s="595">
        <f t="shared" si="154"/>
        <v>0</v>
      </c>
      <c r="AM484" s="596">
        <f t="shared" si="155"/>
        <v>0</v>
      </c>
      <c r="AN484" s="592"/>
      <c r="AO484" s="519"/>
      <c r="AP484" s="592">
        <v>1097</v>
      </c>
      <c r="AQ484" s="519">
        <v>1123</v>
      </c>
      <c r="AR484" s="592">
        <v>268</v>
      </c>
      <c r="AS484" s="569">
        <v>510</v>
      </c>
      <c r="AT484" s="592">
        <v>1133</v>
      </c>
      <c r="AU484" s="519">
        <v>1316</v>
      </c>
      <c r="AV484" s="595">
        <f t="shared" si="156"/>
        <v>2498</v>
      </c>
      <c r="AW484" s="595">
        <f t="shared" si="157"/>
        <v>104.08333333333333</v>
      </c>
      <c r="AX484" s="596">
        <f t="shared" si="158"/>
        <v>2949</v>
      </c>
      <c r="AY484" s="596">
        <f t="shared" si="159"/>
        <v>122.875</v>
      </c>
      <c r="AZ484" s="595">
        <f t="shared" si="160"/>
        <v>1910.4833333333333</v>
      </c>
      <c r="BA484" s="596">
        <f t="shared" si="161"/>
        <v>1808.9749999999999</v>
      </c>
    </row>
    <row r="485" spans="1:53" customFormat="1" ht="15" customHeight="1">
      <c r="A485" s="444" t="s">
        <v>523</v>
      </c>
      <c r="B485" s="445" t="s">
        <v>847</v>
      </c>
      <c r="C485" s="573" t="s">
        <v>915</v>
      </c>
      <c r="D485" s="447">
        <v>870501</v>
      </c>
      <c r="E485" s="574">
        <v>4</v>
      </c>
      <c r="F485" s="592"/>
      <c r="G485" s="519"/>
      <c r="H485" s="592">
        <v>0</v>
      </c>
      <c r="I485" s="519">
        <v>0</v>
      </c>
      <c r="J485" s="592">
        <v>56439</v>
      </c>
      <c r="K485" s="519">
        <v>56503</v>
      </c>
      <c r="L485" s="592">
        <v>13473</v>
      </c>
      <c r="M485" s="519">
        <v>17076</v>
      </c>
      <c r="N485" s="592">
        <v>61123</v>
      </c>
      <c r="O485" s="519">
        <v>61404</v>
      </c>
      <c r="P485" s="595">
        <f t="shared" si="144"/>
        <v>131035</v>
      </c>
      <c r="Q485" s="595">
        <f t="shared" si="145"/>
        <v>4367.833333333333</v>
      </c>
      <c r="R485" s="596">
        <f t="shared" si="146"/>
        <v>134983</v>
      </c>
      <c r="S485" s="596">
        <f t="shared" si="147"/>
        <v>4499.4333333333334</v>
      </c>
      <c r="T485" s="592">
        <v>567</v>
      </c>
      <c r="U485" s="519">
        <v>784</v>
      </c>
      <c r="V485" s="595">
        <f t="shared" si="148"/>
        <v>131035</v>
      </c>
      <c r="W485" s="596">
        <f t="shared" si="149"/>
        <v>134983</v>
      </c>
      <c r="X485" s="592"/>
      <c r="Y485" s="519"/>
      <c r="Z485" s="592"/>
      <c r="AA485" s="519"/>
      <c r="AB485" s="592"/>
      <c r="AC485" s="519"/>
      <c r="AD485" s="592"/>
      <c r="AE485" s="519"/>
      <c r="AF485" s="595">
        <f t="shared" si="150"/>
        <v>0</v>
      </c>
      <c r="AG485" s="595">
        <f t="shared" si="151"/>
        <v>0</v>
      </c>
      <c r="AH485" s="596">
        <f t="shared" si="152"/>
        <v>0</v>
      </c>
      <c r="AI485" s="596">
        <f t="shared" si="153"/>
        <v>0</v>
      </c>
      <c r="AJ485" s="592"/>
      <c r="AK485" s="519"/>
      <c r="AL485" s="595">
        <f t="shared" si="154"/>
        <v>0</v>
      </c>
      <c r="AM485" s="596">
        <f t="shared" si="155"/>
        <v>0</v>
      </c>
      <c r="AN485" s="592"/>
      <c r="AO485" s="519"/>
      <c r="AP485" s="592">
        <v>5211</v>
      </c>
      <c r="AQ485" s="519">
        <v>4161</v>
      </c>
      <c r="AR485" s="592">
        <v>2574</v>
      </c>
      <c r="AS485" s="519">
        <v>2748</v>
      </c>
      <c r="AT485" s="592">
        <v>3888</v>
      </c>
      <c r="AU485" s="519">
        <v>3804</v>
      </c>
      <c r="AV485" s="595">
        <f t="shared" si="156"/>
        <v>11673</v>
      </c>
      <c r="AW485" s="595">
        <f t="shared" si="157"/>
        <v>486.375</v>
      </c>
      <c r="AX485" s="596">
        <f t="shared" si="158"/>
        <v>10713</v>
      </c>
      <c r="AY485" s="596">
        <f t="shared" si="159"/>
        <v>446.375</v>
      </c>
      <c r="AZ485" s="595">
        <f t="shared" si="160"/>
        <v>4854.208333333333</v>
      </c>
      <c r="BA485" s="596">
        <f t="shared" si="161"/>
        <v>4945.8083333333334</v>
      </c>
    </row>
    <row r="486" spans="1:53" customFormat="1" ht="15" customHeight="1">
      <c r="A486" s="444" t="s">
        <v>523</v>
      </c>
      <c r="B486" s="468" t="s">
        <v>557</v>
      </c>
      <c r="C486" s="571" t="s">
        <v>930</v>
      </c>
      <c r="D486" s="447">
        <v>223506</v>
      </c>
      <c r="E486" s="447">
        <v>7</v>
      </c>
      <c r="F486" s="592"/>
      <c r="G486" s="519"/>
      <c r="H486" s="592">
        <v>29043</v>
      </c>
      <c r="I486" s="519">
        <v>27932</v>
      </c>
      <c r="J486" s="592">
        <v>11286</v>
      </c>
      <c r="K486" s="519">
        <v>9121</v>
      </c>
      <c r="L486" s="592">
        <v>3169</v>
      </c>
      <c r="M486" s="519">
        <v>2926</v>
      </c>
      <c r="N486" s="592">
        <v>30298</v>
      </c>
      <c r="O486" s="519">
        <v>26840</v>
      </c>
      <c r="P486" s="595">
        <f t="shared" si="144"/>
        <v>73796</v>
      </c>
      <c r="Q486" s="595">
        <f t="shared" si="145"/>
        <v>2459.8666666666668</v>
      </c>
      <c r="R486" s="596">
        <f t="shared" si="146"/>
        <v>66819</v>
      </c>
      <c r="S486" s="596">
        <f t="shared" si="147"/>
        <v>2227.3000000000002</v>
      </c>
      <c r="T486" s="592">
        <v>10466</v>
      </c>
      <c r="U486" s="519">
        <v>10576</v>
      </c>
      <c r="V486" s="595">
        <f t="shared" si="148"/>
        <v>73796</v>
      </c>
      <c r="W486" s="596">
        <f t="shared" si="149"/>
        <v>66819</v>
      </c>
      <c r="X486" s="592">
        <v>3958</v>
      </c>
      <c r="Y486" s="519">
        <v>4811</v>
      </c>
      <c r="Z486" s="592">
        <v>4688</v>
      </c>
      <c r="AA486" s="519">
        <v>2728</v>
      </c>
      <c r="AB486" s="592">
        <v>7316</v>
      </c>
      <c r="AC486" s="569">
        <v>2184</v>
      </c>
      <c r="AD486" s="592">
        <v>3476</v>
      </c>
      <c r="AE486" s="519">
        <v>3546</v>
      </c>
      <c r="AF486" s="595">
        <f t="shared" si="150"/>
        <v>19438</v>
      </c>
      <c r="AG486" s="595">
        <f t="shared" si="151"/>
        <v>21.597777777777779</v>
      </c>
      <c r="AH486" s="596">
        <f t="shared" si="152"/>
        <v>13269</v>
      </c>
      <c r="AI486" s="596">
        <f t="shared" si="153"/>
        <v>14.743333333333334</v>
      </c>
      <c r="AJ486" s="592"/>
      <c r="AK486" s="519"/>
      <c r="AL486" s="595">
        <f t="shared" si="154"/>
        <v>0</v>
      </c>
      <c r="AM486" s="596">
        <f t="shared" si="155"/>
        <v>0</v>
      </c>
      <c r="AN486" s="592"/>
      <c r="AO486" s="519"/>
      <c r="AP486" s="592"/>
      <c r="AQ486" s="519"/>
      <c r="AR486" s="592"/>
      <c r="AS486" s="519"/>
      <c r="AT486" s="592"/>
      <c r="AU486" s="519"/>
      <c r="AV486" s="595">
        <f t="shared" si="156"/>
        <v>0</v>
      </c>
      <c r="AW486" s="595">
        <f t="shared" si="157"/>
        <v>0</v>
      </c>
      <c r="AX486" s="596">
        <f t="shared" si="158"/>
        <v>0</v>
      </c>
      <c r="AY486" s="596">
        <f t="shared" si="159"/>
        <v>0</v>
      </c>
      <c r="AZ486" s="595">
        <f t="shared" si="160"/>
        <v>2481.4644444444448</v>
      </c>
      <c r="BA486" s="596">
        <f t="shared" si="161"/>
        <v>2242.0433333333335</v>
      </c>
    </row>
    <row r="487" spans="1:53" customFormat="1" ht="15" customHeight="1">
      <c r="A487" s="444" t="s">
        <v>523</v>
      </c>
      <c r="B487" s="468" t="s">
        <v>558</v>
      </c>
      <c r="C487" s="571" t="s">
        <v>930</v>
      </c>
      <c r="D487" s="447">
        <v>226806</v>
      </c>
      <c r="E487" s="447">
        <v>7</v>
      </c>
      <c r="F487" s="592"/>
      <c r="G487" s="519"/>
      <c r="H487" s="592">
        <v>40161</v>
      </c>
      <c r="I487" s="519">
        <v>37771</v>
      </c>
      <c r="J487" s="592">
        <v>14542</v>
      </c>
      <c r="K487" s="519">
        <v>13772</v>
      </c>
      <c r="L487" s="592">
        <v>0</v>
      </c>
      <c r="M487" s="519">
        <v>0</v>
      </c>
      <c r="N487" s="592">
        <v>39025</v>
      </c>
      <c r="O487" s="519">
        <v>36179</v>
      </c>
      <c r="P487" s="595">
        <f t="shared" si="144"/>
        <v>93728</v>
      </c>
      <c r="Q487" s="595">
        <f t="shared" si="145"/>
        <v>3124.2666666666669</v>
      </c>
      <c r="R487" s="596">
        <f t="shared" si="146"/>
        <v>87722</v>
      </c>
      <c r="S487" s="596">
        <f t="shared" si="147"/>
        <v>2924.0666666666666</v>
      </c>
      <c r="T487" s="592">
        <v>19308</v>
      </c>
      <c r="U487" s="519">
        <v>19854</v>
      </c>
      <c r="V487" s="595">
        <f t="shared" si="148"/>
        <v>93728</v>
      </c>
      <c r="W487" s="596">
        <f t="shared" si="149"/>
        <v>87722</v>
      </c>
      <c r="X487" s="592">
        <v>30196</v>
      </c>
      <c r="Y487" s="519">
        <v>27908</v>
      </c>
      <c r="Z487" s="592">
        <v>31994</v>
      </c>
      <c r="AA487" s="519">
        <v>16060</v>
      </c>
      <c r="AB487" s="592">
        <v>26943</v>
      </c>
      <c r="AC487" s="519">
        <v>13895</v>
      </c>
      <c r="AD487" s="592">
        <v>35554</v>
      </c>
      <c r="AE487" s="519">
        <v>38088</v>
      </c>
      <c r="AF487" s="595">
        <f t="shared" si="150"/>
        <v>124687</v>
      </c>
      <c r="AG487" s="595">
        <f t="shared" si="151"/>
        <v>138.54111111111112</v>
      </c>
      <c r="AH487" s="596">
        <f t="shared" si="152"/>
        <v>95951</v>
      </c>
      <c r="AI487" s="596">
        <f t="shared" si="153"/>
        <v>106.61222222222223</v>
      </c>
      <c r="AJ487" s="592"/>
      <c r="AK487" s="519"/>
      <c r="AL487" s="595">
        <f t="shared" si="154"/>
        <v>0</v>
      </c>
      <c r="AM487" s="596">
        <f t="shared" si="155"/>
        <v>0</v>
      </c>
      <c r="AN487" s="592"/>
      <c r="AO487" s="519"/>
      <c r="AP487" s="592"/>
      <c r="AQ487" s="519"/>
      <c r="AR487" s="592"/>
      <c r="AS487" s="519"/>
      <c r="AT487" s="592"/>
      <c r="AU487" s="519"/>
      <c r="AV487" s="595">
        <f t="shared" si="156"/>
        <v>0</v>
      </c>
      <c r="AW487" s="595">
        <f t="shared" si="157"/>
        <v>0</v>
      </c>
      <c r="AX487" s="596">
        <f t="shared" si="158"/>
        <v>0</v>
      </c>
      <c r="AY487" s="596">
        <f t="shared" si="159"/>
        <v>0</v>
      </c>
      <c r="AZ487" s="595">
        <f t="shared" si="160"/>
        <v>3262.807777777778</v>
      </c>
      <c r="BA487" s="596">
        <f t="shared" si="161"/>
        <v>3030.6788888888887</v>
      </c>
    </row>
    <row r="488" spans="1:53" customFormat="1" ht="15" customHeight="1">
      <c r="A488" s="444" t="s">
        <v>523</v>
      </c>
      <c r="B488" s="468" t="s">
        <v>559</v>
      </c>
      <c r="C488" s="571" t="s">
        <v>931</v>
      </c>
      <c r="D488" s="447">
        <v>409315</v>
      </c>
      <c r="E488" s="447">
        <v>7</v>
      </c>
      <c r="F488" s="592"/>
      <c r="G488" s="519"/>
      <c r="H488" s="592">
        <v>270182</v>
      </c>
      <c r="I488" s="519">
        <v>270144</v>
      </c>
      <c r="J488" s="592">
        <v>73142</v>
      </c>
      <c r="K488" s="519">
        <v>70042</v>
      </c>
      <c r="L488" s="592">
        <v>0</v>
      </c>
      <c r="M488" s="519">
        <v>0</v>
      </c>
      <c r="N488" s="592">
        <v>301381</v>
      </c>
      <c r="O488" s="519">
        <v>251086</v>
      </c>
      <c r="P488" s="595">
        <f t="shared" si="144"/>
        <v>644705</v>
      </c>
      <c r="Q488" s="595">
        <f t="shared" si="145"/>
        <v>21490.166666666668</v>
      </c>
      <c r="R488" s="596">
        <f t="shared" si="146"/>
        <v>591272</v>
      </c>
      <c r="S488" s="596">
        <f t="shared" si="147"/>
        <v>19709.066666666666</v>
      </c>
      <c r="T488" s="592">
        <v>212363</v>
      </c>
      <c r="U488" s="519">
        <v>210479</v>
      </c>
      <c r="V488" s="595">
        <f t="shared" si="148"/>
        <v>644705</v>
      </c>
      <c r="W488" s="596">
        <f t="shared" si="149"/>
        <v>591272</v>
      </c>
      <c r="X488" s="592">
        <v>75779</v>
      </c>
      <c r="Y488" s="519">
        <v>52314</v>
      </c>
      <c r="Z488" s="592">
        <v>50543</v>
      </c>
      <c r="AA488" s="519">
        <v>41310</v>
      </c>
      <c r="AB488" s="592">
        <v>39508</v>
      </c>
      <c r="AC488" s="519">
        <v>27105</v>
      </c>
      <c r="AD488" s="592">
        <v>56458</v>
      </c>
      <c r="AE488" s="519">
        <v>43786</v>
      </c>
      <c r="AF488" s="595">
        <f t="shared" si="150"/>
        <v>222288</v>
      </c>
      <c r="AG488" s="595">
        <f t="shared" si="151"/>
        <v>246.98666666666668</v>
      </c>
      <c r="AH488" s="596">
        <f t="shared" si="152"/>
        <v>164515</v>
      </c>
      <c r="AI488" s="596">
        <f t="shared" si="153"/>
        <v>182.79444444444445</v>
      </c>
      <c r="AJ488" s="592"/>
      <c r="AK488" s="519"/>
      <c r="AL488" s="595">
        <f t="shared" si="154"/>
        <v>0</v>
      </c>
      <c r="AM488" s="596">
        <f t="shared" si="155"/>
        <v>0</v>
      </c>
      <c r="AN488" s="592"/>
      <c r="AO488" s="519"/>
      <c r="AP488" s="592"/>
      <c r="AQ488" s="519"/>
      <c r="AR488" s="592"/>
      <c r="AS488" s="519"/>
      <c r="AT488" s="592"/>
      <c r="AU488" s="519"/>
      <c r="AV488" s="595">
        <f t="shared" si="156"/>
        <v>0</v>
      </c>
      <c r="AW488" s="595">
        <f t="shared" si="157"/>
        <v>0</v>
      </c>
      <c r="AX488" s="596">
        <f t="shared" si="158"/>
        <v>0</v>
      </c>
      <c r="AY488" s="596">
        <f t="shared" si="159"/>
        <v>0</v>
      </c>
      <c r="AZ488" s="595">
        <f t="shared" si="160"/>
        <v>21737.153333333335</v>
      </c>
      <c r="BA488" s="596">
        <f t="shared" si="161"/>
        <v>19891.861111111109</v>
      </c>
    </row>
    <row r="489" spans="1:53" customFormat="1" ht="15" customHeight="1">
      <c r="A489" s="444" t="s">
        <v>523</v>
      </c>
      <c r="B489" s="445" t="s">
        <v>560</v>
      </c>
      <c r="C489" s="466"/>
      <c r="D489" s="447">
        <v>222576</v>
      </c>
      <c r="E489" s="447">
        <v>8</v>
      </c>
      <c r="F489" s="592"/>
      <c r="G489" s="519"/>
      <c r="H489" s="592">
        <v>70858</v>
      </c>
      <c r="I489" s="519">
        <v>72096</v>
      </c>
      <c r="J489" s="592">
        <v>17868</v>
      </c>
      <c r="K489" s="519">
        <v>17951</v>
      </c>
      <c r="L489" s="592">
        <v>0</v>
      </c>
      <c r="M489" s="519">
        <v>0</v>
      </c>
      <c r="N489" s="592">
        <v>81490</v>
      </c>
      <c r="O489" s="519">
        <v>76821</v>
      </c>
      <c r="P489" s="595">
        <f t="shared" si="144"/>
        <v>170216</v>
      </c>
      <c r="Q489" s="595">
        <f t="shared" si="145"/>
        <v>5673.8666666666668</v>
      </c>
      <c r="R489" s="596">
        <f t="shared" si="146"/>
        <v>166868</v>
      </c>
      <c r="S489" s="596">
        <f t="shared" si="147"/>
        <v>5562.2666666666664</v>
      </c>
      <c r="T489" s="592">
        <v>24019</v>
      </c>
      <c r="U489" s="519">
        <v>23416</v>
      </c>
      <c r="V489" s="595">
        <f t="shared" si="148"/>
        <v>170216</v>
      </c>
      <c r="W489" s="596">
        <f t="shared" si="149"/>
        <v>166868</v>
      </c>
      <c r="X489" s="592">
        <v>86561</v>
      </c>
      <c r="Y489" s="519">
        <v>81838</v>
      </c>
      <c r="Z489" s="592">
        <v>90675</v>
      </c>
      <c r="AA489" s="569">
        <v>27967</v>
      </c>
      <c r="AB489" s="592">
        <v>69167</v>
      </c>
      <c r="AC489" s="519">
        <v>35190</v>
      </c>
      <c r="AD489" s="592">
        <v>99203</v>
      </c>
      <c r="AE489" s="569">
        <v>45276</v>
      </c>
      <c r="AF489" s="595">
        <f t="shared" si="150"/>
        <v>345606</v>
      </c>
      <c r="AG489" s="595">
        <f t="shared" si="151"/>
        <v>384.00666666666666</v>
      </c>
      <c r="AH489" s="596">
        <f t="shared" si="152"/>
        <v>190271</v>
      </c>
      <c r="AI489" s="596">
        <f t="shared" si="153"/>
        <v>211.41222222222223</v>
      </c>
      <c r="AJ489" s="592"/>
      <c r="AK489" s="519"/>
      <c r="AL489" s="595">
        <f t="shared" si="154"/>
        <v>0</v>
      </c>
      <c r="AM489" s="596">
        <f t="shared" si="155"/>
        <v>0</v>
      </c>
      <c r="AN489" s="592"/>
      <c r="AO489" s="519"/>
      <c r="AP489" s="592"/>
      <c r="AQ489" s="519"/>
      <c r="AR489" s="592"/>
      <c r="AS489" s="519"/>
      <c r="AT489" s="592"/>
      <c r="AU489" s="519"/>
      <c r="AV489" s="595">
        <f t="shared" si="156"/>
        <v>0</v>
      </c>
      <c r="AW489" s="595">
        <f t="shared" si="157"/>
        <v>0</v>
      </c>
      <c r="AX489" s="596">
        <f t="shared" si="158"/>
        <v>0</v>
      </c>
      <c r="AY489" s="596">
        <f t="shared" si="159"/>
        <v>0</v>
      </c>
      <c r="AZ489" s="595">
        <f t="shared" si="160"/>
        <v>6057.873333333333</v>
      </c>
      <c r="BA489" s="596">
        <f t="shared" si="161"/>
        <v>5773.6788888888887</v>
      </c>
    </row>
    <row r="490" spans="1:53" customFormat="1" ht="15" customHeight="1">
      <c r="A490" s="444" t="s">
        <v>523</v>
      </c>
      <c r="B490" s="445" t="s">
        <v>561</v>
      </c>
      <c r="C490" s="466" t="s">
        <v>848</v>
      </c>
      <c r="D490" s="447">
        <v>222992</v>
      </c>
      <c r="E490" s="447">
        <v>8</v>
      </c>
      <c r="F490" s="592"/>
      <c r="G490" s="519"/>
      <c r="H490" s="592">
        <v>287998</v>
      </c>
      <c r="I490" s="519">
        <v>290435</v>
      </c>
      <c r="J490" s="592">
        <v>150318</v>
      </c>
      <c r="K490" s="519">
        <v>172353</v>
      </c>
      <c r="L490" s="592">
        <v>0</v>
      </c>
      <c r="M490" s="519">
        <v>0</v>
      </c>
      <c r="N490" s="592">
        <v>273242</v>
      </c>
      <c r="O490" s="519">
        <v>260152</v>
      </c>
      <c r="P490" s="595">
        <f t="shared" si="144"/>
        <v>711558</v>
      </c>
      <c r="Q490" s="595">
        <f t="shared" si="145"/>
        <v>23718.6</v>
      </c>
      <c r="R490" s="596">
        <f t="shared" si="146"/>
        <v>722940</v>
      </c>
      <c r="S490" s="596">
        <f t="shared" si="147"/>
        <v>24098</v>
      </c>
      <c r="T490" s="592">
        <v>98636</v>
      </c>
      <c r="U490" s="519">
        <v>111260</v>
      </c>
      <c r="V490" s="595">
        <f t="shared" si="148"/>
        <v>711558</v>
      </c>
      <c r="W490" s="596">
        <f t="shared" si="149"/>
        <v>722940</v>
      </c>
      <c r="X490" s="592">
        <v>141019</v>
      </c>
      <c r="Y490" s="519">
        <v>152220</v>
      </c>
      <c r="Z490" s="592">
        <v>102843</v>
      </c>
      <c r="AA490" s="519">
        <v>64190</v>
      </c>
      <c r="AB490" s="592">
        <v>155536</v>
      </c>
      <c r="AC490" s="519">
        <v>176016</v>
      </c>
      <c r="AD490" s="592">
        <v>122477</v>
      </c>
      <c r="AE490" s="519">
        <v>112469</v>
      </c>
      <c r="AF490" s="595">
        <f t="shared" si="150"/>
        <v>521875</v>
      </c>
      <c r="AG490" s="595">
        <f t="shared" si="151"/>
        <v>579.86111111111109</v>
      </c>
      <c r="AH490" s="596">
        <f t="shared" si="152"/>
        <v>504895</v>
      </c>
      <c r="AI490" s="596">
        <f t="shared" si="153"/>
        <v>560.99444444444441</v>
      </c>
      <c r="AJ490" s="592"/>
      <c r="AK490" s="519"/>
      <c r="AL490" s="595">
        <f t="shared" si="154"/>
        <v>0</v>
      </c>
      <c r="AM490" s="596">
        <f t="shared" si="155"/>
        <v>0</v>
      </c>
      <c r="AN490" s="592"/>
      <c r="AO490" s="519"/>
      <c r="AP490" s="592"/>
      <c r="AQ490" s="519"/>
      <c r="AR490" s="592"/>
      <c r="AS490" s="519"/>
      <c r="AT490" s="592"/>
      <c r="AU490" s="519"/>
      <c r="AV490" s="595">
        <f t="shared" si="156"/>
        <v>0</v>
      </c>
      <c r="AW490" s="595">
        <f t="shared" si="157"/>
        <v>0</v>
      </c>
      <c r="AX490" s="596">
        <f t="shared" si="158"/>
        <v>0</v>
      </c>
      <c r="AY490" s="596">
        <f t="shared" si="159"/>
        <v>0</v>
      </c>
      <c r="AZ490" s="595">
        <f t="shared" si="160"/>
        <v>24298.461111111108</v>
      </c>
      <c r="BA490" s="596">
        <f t="shared" si="161"/>
        <v>24658.994444444445</v>
      </c>
    </row>
    <row r="491" spans="1:53" customFormat="1" ht="15" customHeight="1">
      <c r="A491" s="444" t="s">
        <v>523</v>
      </c>
      <c r="B491" s="445" t="s">
        <v>865</v>
      </c>
      <c r="C491" s="466"/>
      <c r="D491" s="447">
        <v>223427</v>
      </c>
      <c r="E491" s="447">
        <v>8</v>
      </c>
      <c r="F491" s="592"/>
      <c r="G491" s="519"/>
      <c r="H491" s="592">
        <v>171160</v>
      </c>
      <c r="I491" s="519">
        <v>175038</v>
      </c>
      <c r="J491" s="592">
        <v>36734</v>
      </c>
      <c r="K491" s="519">
        <v>38626</v>
      </c>
      <c r="L491" s="592">
        <v>17054</v>
      </c>
      <c r="M491" s="519">
        <v>17806</v>
      </c>
      <c r="N491" s="592">
        <v>188122</v>
      </c>
      <c r="O491" s="519">
        <v>176943</v>
      </c>
      <c r="P491" s="595">
        <f t="shared" si="144"/>
        <v>413070</v>
      </c>
      <c r="Q491" s="595">
        <f t="shared" si="145"/>
        <v>13769</v>
      </c>
      <c r="R491" s="596">
        <f t="shared" si="146"/>
        <v>408413</v>
      </c>
      <c r="S491" s="596">
        <f t="shared" si="147"/>
        <v>13613.766666666666</v>
      </c>
      <c r="T491" s="592">
        <v>18234</v>
      </c>
      <c r="U491" s="519">
        <v>19375</v>
      </c>
      <c r="V491" s="595">
        <f t="shared" si="148"/>
        <v>413070</v>
      </c>
      <c r="W491" s="596">
        <f t="shared" si="149"/>
        <v>408413</v>
      </c>
      <c r="X491" s="592">
        <v>26370</v>
      </c>
      <c r="Y491" s="519">
        <v>21290</v>
      </c>
      <c r="Z491" s="592">
        <v>16638</v>
      </c>
      <c r="AA491" s="569">
        <v>482</v>
      </c>
      <c r="AB491" s="592">
        <v>24853</v>
      </c>
      <c r="AC491" s="569">
        <v>8990</v>
      </c>
      <c r="AD491" s="592">
        <v>25527</v>
      </c>
      <c r="AE491" s="519">
        <v>22255</v>
      </c>
      <c r="AF491" s="595">
        <f t="shared" si="150"/>
        <v>93388</v>
      </c>
      <c r="AG491" s="595">
        <f t="shared" si="151"/>
        <v>103.76444444444445</v>
      </c>
      <c r="AH491" s="596">
        <f t="shared" si="152"/>
        <v>53017</v>
      </c>
      <c r="AI491" s="596">
        <f t="shared" si="153"/>
        <v>58.907777777777781</v>
      </c>
      <c r="AJ491" s="592"/>
      <c r="AK491" s="519"/>
      <c r="AL491" s="595">
        <f t="shared" si="154"/>
        <v>0</v>
      </c>
      <c r="AM491" s="596">
        <f t="shared" si="155"/>
        <v>0</v>
      </c>
      <c r="AN491" s="592"/>
      <c r="AO491" s="519"/>
      <c r="AP491" s="592"/>
      <c r="AQ491" s="519"/>
      <c r="AR491" s="592"/>
      <c r="AS491" s="519"/>
      <c r="AT491" s="592"/>
      <c r="AU491" s="519"/>
      <c r="AV491" s="595">
        <f t="shared" si="156"/>
        <v>0</v>
      </c>
      <c r="AW491" s="595">
        <f t="shared" si="157"/>
        <v>0</v>
      </c>
      <c r="AX491" s="596">
        <f t="shared" si="158"/>
        <v>0</v>
      </c>
      <c r="AY491" s="596">
        <f t="shared" si="159"/>
        <v>0</v>
      </c>
      <c r="AZ491" s="595">
        <f t="shared" si="160"/>
        <v>13872.764444444445</v>
      </c>
      <c r="BA491" s="596">
        <f t="shared" si="161"/>
        <v>13672.674444444445</v>
      </c>
    </row>
    <row r="492" spans="1:53" customFormat="1" ht="15" customHeight="1">
      <c r="A492" s="444" t="s">
        <v>523</v>
      </c>
      <c r="B492" s="469" t="s">
        <v>820</v>
      </c>
      <c r="C492" s="571" t="s">
        <v>930</v>
      </c>
      <c r="D492" s="447">
        <v>223524</v>
      </c>
      <c r="E492" s="447">
        <v>8</v>
      </c>
      <c r="F492" s="592"/>
      <c r="G492" s="519"/>
      <c r="H492" s="592">
        <v>76341</v>
      </c>
      <c r="I492" s="519">
        <v>79755</v>
      </c>
      <c r="J492" s="592">
        <v>57405</v>
      </c>
      <c r="K492" s="519">
        <v>56213</v>
      </c>
      <c r="L492" s="592">
        <v>0</v>
      </c>
      <c r="M492" s="519">
        <v>0</v>
      </c>
      <c r="N492" s="592">
        <v>68250</v>
      </c>
      <c r="O492" s="569">
        <v>0</v>
      </c>
      <c r="P492" s="595">
        <f t="shared" si="144"/>
        <v>201996</v>
      </c>
      <c r="Q492" s="595">
        <f t="shared" si="145"/>
        <v>6733.2</v>
      </c>
      <c r="R492" s="596">
        <f t="shared" si="146"/>
        <v>135968</v>
      </c>
      <c r="S492" s="596">
        <f t="shared" si="147"/>
        <v>4532.2666666666664</v>
      </c>
      <c r="T492" s="592">
        <v>23583</v>
      </c>
      <c r="U492" s="519">
        <v>13270</v>
      </c>
      <c r="V492" s="595">
        <f t="shared" si="148"/>
        <v>201996</v>
      </c>
      <c r="W492" s="596">
        <f t="shared" si="149"/>
        <v>135968</v>
      </c>
      <c r="X492" s="592">
        <v>36152</v>
      </c>
      <c r="Y492" s="519">
        <v>32686</v>
      </c>
      <c r="Z492" s="592">
        <v>33625</v>
      </c>
      <c r="AA492" s="569">
        <v>14456</v>
      </c>
      <c r="AB492" s="592">
        <v>41218</v>
      </c>
      <c r="AC492" s="569">
        <v>14917</v>
      </c>
      <c r="AD492" s="592">
        <v>47340</v>
      </c>
      <c r="AE492" s="569">
        <v>0</v>
      </c>
      <c r="AF492" s="595">
        <f t="shared" si="150"/>
        <v>158335</v>
      </c>
      <c r="AG492" s="595">
        <f t="shared" si="151"/>
        <v>175.92777777777778</v>
      </c>
      <c r="AH492" s="596">
        <f t="shared" si="152"/>
        <v>62059</v>
      </c>
      <c r="AI492" s="596">
        <f t="shared" si="153"/>
        <v>68.954444444444448</v>
      </c>
      <c r="AJ492" s="592"/>
      <c r="AK492" s="519"/>
      <c r="AL492" s="595">
        <f t="shared" si="154"/>
        <v>0</v>
      </c>
      <c r="AM492" s="596">
        <f t="shared" si="155"/>
        <v>0</v>
      </c>
      <c r="AN492" s="592"/>
      <c r="AO492" s="519"/>
      <c r="AP492" s="592"/>
      <c r="AQ492" s="519"/>
      <c r="AR492" s="592"/>
      <c r="AS492" s="519"/>
      <c r="AT492" s="592"/>
      <c r="AU492" s="519"/>
      <c r="AV492" s="595">
        <f t="shared" si="156"/>
        <v>0</v>
      </c>
      <c r="AW492" s="595">
        <f t="shared" si="157"/>
        <v>0</v>
      </c>
      <c r="AX492" s="596">
        <f t="shared" si="158"/>
        <v>0</v>
      </c>
      <c r="AY492" s="596">
        <f t="shared" si="159"/>
        <v>0</v>
      </c>
      <c r="AZ492" s="595">
        <f t="shared" si="160"/>
        <v>6909.1277777777777</v>
      </c>
      <c r="BA492" s="596">
        <f t="shared" si="161"/>
        <v>4601.221111111111</v>
      </c>
    </row>
    <row r="493" spans="1:53" customFormat="1" ht="15" customHeight="1">
      <c r="A493" s="444" t="s">
        <v>523</v>
      </c>
      <c r="B493" s="468" t="s">
        <v>562</v>
      </c>
      <c r="C493" s="466"/>
      <c r="D493" s="447">
        <v>223816</v>
      </c>
      <c r="E493" s="447">
        <v>8</v>
      </c>
      <c r="F493" s="592"/>
      <c r="G493" s="519"/>
      <c r="H493" s="592">
        <v>94173</v>
      </c>
      <c r="I493" s="519">
        <v>89855</v>
      </c>
      <c r="J493" s="592">
        <v>56277</v>
      </c>
      <c r="K493" s="519">
        <v>46775</v>
      </c>
      <c r="L493" s="592">
        <v>6032</v>
      </c>
      <c r="M493" s="519">
        <v>6068</v>
      </c>
      <c r="N493" s="592">
        <v>75952</v>
      </c>
      <c r="O493" s="519">
        <v>58911</v>
      </c>
      <c r="P493" s="595">
        <f t="shared" si="144"/>
        <v>232434</v>
      </c>
      <c r="Q493" s="595">
        <f t="shared" si="145"/>
        <v>7747.8</v>
      </c>
      <c r="R493" s="596">
        <f t="shared" si="146"/>
        <v>201609</v>
      </c>
      <c r="S493" s="596">
        <f t="shared" si="147"/>
        <v>6720.3</v>
      </c>
      <c r="T493" s="592">
        <v>32773</v>
      </c>
      <c r="U493" s="519">
        <v>34252</v>
      </c>
      <c r="V493" s="595">
        <f t="shared" si="148"/>
        <v>232434</v>
      </c>
      <c r="W493" s="596">
        <f t="shared" si="149"/>
        <v>201609</v>
      </c>
      <c r="X493" s="592">
        <v>61325</v>
      </c>
      <c r="Y493" s="519">
        <v>70597</v>
      </c>
      <c r="Z493" s="592">
        <v>104884</v>
      </c>
      <c r="AA493" s="569">
        <v>52114</v>
      </c>
      <c r="AB493" s="592">
        <v>86144</v>
      </c>
      <c r="AC493" s="519">
        <v>69655</v>
      </c>
      <c r="AD493" s="592">
        <v>74243</v>
      </c>
      <c r="AE493" s="519">
        <v>75201</v>
      </c>
      <c r="AF493" s="595">
        <f t="shared" si="150"/>
        <v>326596</v>
      </c>
      <c r="AG493" s="595">
        <f t="shared" si="151"/>
        <v>362.88444444444445</v>
      </c>
      <c r="AH493" s="596">
        <f t="shared" si="152"/>
        <v>267567</v>
      </c>
      <c r="AI493" s="596">
        <f t="shared" si="153"/>
        <v>297.29666666666668</v>
      </c>
      <c r="AJ493" s="592"/>
      <c r="AK493" s="519"/>
      <c r="AL493" s="595">
        <f t="shared" si="154"/>
        <v>0</v>
      </c>
      <c r="AM493" s="596">
        <f t="shared" si="155"/>
        <v>0</v>
      </c>
      <c r="AN493" s="592"/>
      <c r="AO493" s="519"/>
      <c r="AP493" s="592"/>
      <c r="AQ493" s="519"/>
      <c r="AR493" s="592"/>
      <c r="AS493" s="519"/>
      <c r="AT493" s="592"/>
      <c r="AU493" s="519"/>
      <c r="AV493" s="595">
        <f t="shared" si="156"/>
        <v>0</v>
      </c>
      <c r="AW493" s="595">
        <f t="shared" si="157"/>
        <v>0</v>
      </c>
      <c r="AX493" s="596">
        <f t="shared" si="158"/>
        <v>0</v>
      </c>
      <c r="AY493" s="596">
        <f t="shared" si="159"/>
        <v>0</v>
      </c>
      <c r="AZ493" s="595">
        <f t="shared" si="160"/>
        <v>8110.684444444445</v>
      </c>
      <c r="BA493" s="596">
        <f t="shared" si="161"/>
        <v>7017.5966666666673</v>
      </c>
    </row>
    <row r="494" spans="1:53" customFormat="1" ht="15" customHeight="1">
      <c r="A494" s="444" t="s">
        <v>523</v>
      </c>
      <c r="B494" s="468" t="s">
        <v>563</v>
      </c>
      <c r="C494" s="466"/>
      <c r="D494" s="447">
        <v>247834</v>
      </c>
      <c r="E494" s="447">
        <v>8</v>
      </c>
      <c r="F494" s="592"/>
      <c r="G494" s="519"/>
      <c r="H494" s="592">
        <v>262043</v>
      </c>
      <c r="I494" s="519">
        <v>267116</v>
      </c>
      <c r="J494" s="592">
        <v>67662</v>
      </c>
      <c r="K494" s="519">
        <v>77238</v>
      </c>
      <c r="L494" s="592">
        <v>0</v>
      </c>
      <c r="M494" s="519">
        <v>0</v>
      </c>
      <c r="N494" s="592">
        <v>295058</v>
      </c>
      <c r="O494" s="519">
        <v>296253</v>
      </c>
      <c r="P494" s="595">
        <f t="shared" si="144"/>
        <v>624763</v>
      </c>
      <c r="Q494" s="595">
        <f t="shared" si="145"/>
        <v>20825.433333333334</v>
      </c>
      <c r="R494" s="596">
        <f t="shared" si="146"/>
        <v>640607</v>
      </c>
      <c r="S494" s="596">
        <f t="shared" si="147"/>
        <v>21353.566666666666</v>
      </c>
      <c r="T494" s="592">
        <v>83675</v>
      </c>
      <c r="U494" s="519">
        <v>99603</v>
      </c>
      <c r="V494" s="595">
        <f t="shared" si="148"/>
        <v>624763</v>
      </c>
      <c r="W494" s="596">
        <f t="shared" si="149"/>
        <v>640607</v>
      </c>
      <c r="X494" s="592">
        <v>147471</v>
      </c>
      <c r="Y494" s="519">
        <v>144151</v>
      </c>
      <c r="Z494" s="592">
        <v>144424</v>
      </c>
      <c r="AA494" s="569">
        <v>66374</v>
      </c>
      <c r="AB494" s="592">
        <v>113589</v>
      </c>
      <c r="AC494" s="519">
        <v>88991</v>
      </c>
      <c r="AD494" s="592">
        <v>222238</v>
      </c>
      <c r="AE494" s="519">
        <v>135009</v>
      </c>
      <c r="AF494" s="595">
        <f t="shared" si="150"/>
        <v>627722</v>
      </c>
      <c r="AG494" s="595">
        <f t="shared" si="151"/>
        <v>697.46888888888884</v>
      </c>
      <c r="AH494" s="596">
        <f t="shared" si="152"/>
        <v>434525</v>
      </c>
      <c r="AI494" s="596">
        <f t="shared" si="153"/>
        <v>482.80555555555554</v>
      </c>
      <c r="AJ494" s="592"/>
      <c r="AK494" s="519"/>
      <c r="AL494" s="595">
        <f t="shared" si="154"/>
        <v>0</v>
      </c>
      <c r="AM494" s="596">
        <f t="shared" si="155"/>
        <v>0</v>
      </c>
      <c r="AN494" s="592"/>
      <c r="AO494" s="519"/>
      <c r="AP494" s="592"/>
      <c r="AQ494" s="519"/>
      <c r="AR494" s="592"/>
      <c r="AS494" s="519"/>
      <c r="AT494" s="592"/>
      <c r="AU494" s="519"/>
      <c r="AV494" s="595">
        <f t="shared" si="156"/>
        <v>0</v>
      </c>
      <c r="AW494" s="595">
        <f t="shared" si="157"/>
        <v>0</v>
      </c>
      <c r="AX494" s="596">
        <f t="shared" si="158"/>
        <v>0</v>
      </c>
      <c r="AY494" s="596">
        <f t="shared" si="159"/>
        <v>0</v>
      </c>
      <c r="AZ494" s="595">
        <f t="shared" si="160"/>
        <v>21522.902222222223</v>
      </c>
      <c r="BA494" s="596">
        <f t="shared" si="161"/>
        <v>21836.37222222222</v>
      </c>
    </row>
    <row r="495" spans="1:53" customFormat="1" ht="15" customHeight="1">
      <c r="A495" s="444" t="s">
        <v>523</v>
      </c>
      <c r="B495" s="468" t="s">
        <v>564</v>
      </c>
      <c r="C495" s="466"/>
      <c r="D495" s="447">
        <v>224350</v>
      </c>
      <c r="E495" s="447">
        <v>8</v>
      </c>
      <c r="F495" s="592"/>
      <c r="G495" s="519"/>
      <c r="H495" s="592">
        <v>84022</v>
      </c>
      <c r="I495" s="519">
        <v>85205</v>
      </c>
      <c r="J495" s="592">
        <v>15284</v>
      </c>
      <c r="K495" s="519">
        <v>16694</v>
      </c>
      <c r="L495" s="592">
        <v>16056</v>
      </c>
      <c r="M495" s="519">
        <v>18313</v>
      </c>
      <c r="N495" s="592">
        <v>91970</v>
      </c>
      <c r="O495" s="519">
        <v>72840</v>
      </c>
      <c r="P495" s="595">
        <f t="shared" si="144"/>
        <v>207332</v>
      </c>
      <c r="Q495" s="595">
        <f t="shared" si="145"/>
        <v>6911.0666666666666</v>
      </c>
      <c r="R495" s="596">
        <f t="shared" si="146"/>
        <v>193052</v>
      </c>
      <c r="S495" s="596">
        <f t="shared" si="147"/>
        <v>6435.0666666666666</v>
      </c>
      <c r="T495" s="592">
        <v>32731</v>
      </c>
      <c r="U495" s="519">
        <v>32179</v>
      </c>
      <c r="V495" s="595">
        <f t="shared" si="148"/>
        <v>207332</v>
      </c>
      <c r="W495" s="596">
        <f t="shared" si="149"/>
        <v>193052</v>
      </c>
      <c r="X495" s="592">
        <v>185552</v>
      </c>
      <c r="Y495" s="519">
        <v>160894</v>
      </c>
      <c r="Z495" s="592">
        <v>92943</v>
      </c>
      <c r="AA495" s="569">
        <v>33572</v>
      </c>
      <c r="AB495" s="592">
        <v>97632</v>
      </c>
      <c r="AC495" s="519">
        <v>114067</v>
      </c>
      <c r="AD495" s="592">
        <v>212319</v>
      </c>
      <c r="AE495" s="519">
        <v>185493</v>
      </c>
      <c r="AF495" s="595">
        <f t="shared" si="150"/>
        <v>588446</v>
      </c>
      <c r="AG495" s="595">
        <f t="shared" si="151"/>
        <v>653.82888888888886</v>
      </c>
      <c r="AH495" s="596">
        <f t="shared" si="152"/>
        <v>494026</v>
      </c>
      <c r="AI495" s="596">
        <f t="shared" si="153"/>
        <v>548.91777777777781</v>
      </c>
      <c r="AJ495" s="592"/>
      <c r="AK495" s="519"/>
      <c r="AL495" s="595">
        <f t="shared" si="154"/>
        <v>0</v>
      </c>
      <c r="AM495" s="596">
        <f t="shared" si="155"/>
        <v>0</v>
      </c>
      <c r="AN495" s="592"/>
      <c r="AO495" s="519"/>
      <c r="AP495" s="592"/>
      <c r="AQ495" s="519"/>
      <c r="AR495" s="592"/>
      <c r="AS495" s="519"/>
      <c r="AT495" s="592"/>
      <c r="AU495" s="519"/>
      <c r="AV495" s="595">
        <f t="shared" si="156"/>
        <v>0</v>
      </c>
      <c r="AW495" s="595">
        <f t="shared" si="157"/>
        <v>0</v>
      </c>
      <c r="AX495" s="596">
        <f t="shared" si="158"/>
        <v>0</v>
      </c>
      <c r="AY495" s="596">
        <f t="shared" si="159"/>
        <v>0</v>
      </c>
      <c r="AZ495" s="595">
        <f t="shared" si="160"/>
        <v>7564.8955555555558</v>
      </c>
      <c r="BA495" s="596">
        <f t="shared" si="161"/>
        <v>6983.9844444444443</v>
      </c>
    </row>
    <row r="496" spans="1:53" customFormat="1" ht="15" customHeight="1">
      <c r="A496" s="444" t="s">
        <v>523</v>
      </c>
      <c r="B496" s="469" t="s">
        <v>821</v>
      </c>
      <c r="C496" s="466"/>
      <c r="D496" s="447">
        <v>224572</v>
      </c>
      <c r="E496" s="447">
        <v>8</v>
      </c>
      <c r="F496" s="592"/>
      <c r="G496" s="519"/>
      <c r="H496" s="592">
        <v>109621</v>
      </c>
      <c r="I496" s="519">
        <v>112770</v>
      </c>
      <c r="J496" s="592">
        <v>75260</v>
      </c>
      <c r="K496" s="519">
        <v>80845</v>
      </c>
      <c r="L496" s="592">
        <v>0</v>
      </c>
      <c r="M496" s="519">
        <v>0</v>
      </c>
      <c r="N496" s="592">
        <v>80052</v>
      </c>
      <c r="O496" s="569">
        <v>0</v>
      </c>
      <c r="P496" s="595">
        <f t="shared" si="144"/>
        <v>264933</v>
      </c>
      <c r="Q496" s="595">
        <f t="shared" si="145"/>
        <v>8831.1</v>
      </c>
      <c r="R496" s="596">
        <f t="shared" si="146"/>
        <v>193615</v>
      </c>
      <c r="S496" s="596">
        <f t="shared" si="147"/>
        <v>6453.833333333333</v>
      </c>
      <c r="T496" s="592">
        <v>63812</v>
      </c>
      <c r="U496" s="519">
        <v>36729</v>
      </c>
      <c r="V496" s="595">
        <f t="shared" si="148"/>
        <v>264933</v>
      </c>
      <c r="W496" s="596">
        <f t="shared" si="149"/>
        <v>193615</v>
      </c>
      <c r="X496" s="592">
        <v>31308</v>
      </c>
      <c r="Y496" s="519">
        <v>27167</v>
      </c>
      <c r="Z496" s="592">
        <v>34626</v>
      </c>
      <c r="AA496" s="569">
        <v>14928</v>
      </c>
      <c r="AB496" s="592">
        <v>46440</v>
      </c>
      <c r="AC496" s="569">
        <v>18238</v>
      </c>
      <c r="AD496" s="592">
        <v>51570</v>
      </c>
      <c r="AE496" s="569">
        <v>0</v>
      </c>
      <c r="AF496" s="595">
        <f t="shared" si="150"/>
        <v>163944</v>
      </c>
      <c r="AG496" s="595">
        <f t="shared" si="151"/>
        <v>182.16</v>
      </c>
      <c r="AH496" s="596">
        <f t="shared" si="152"/>
        <v>60333</v>
      </c>
      <c r="AI496" s="596">
        <f t="shared" si="153"/>
        <v>67.036666666666662</v>
      </c>
      <c r="AJ496" s="592"/>
      <c r="AK496" s="519"/>
      <c r="AL496" s="595">
        <f t="shared" si="154"/>
        <v>0</v>
      </c>
      <c r="AM496" s="596">
        <f t="shared" si="155"/>
        <v>0</v>
      </c>
      <c r="AN496" s="592"/>
      <c r="AO496" s="519"/>
      <c r="AP496" s="592"/>
      <c r="AQ496" s="519"/>
      <c r="AR496" s="592"/>
      <c r="AS496" s="519"/>
      <c r="AT496" s="592"/>
      <c r="AU496" s="519"/>
      <c r="AV496" s="595">
        <f t="shared" si="156"/>
        <v>0</v>
      </c>
      <c r="AW496" s="595">
        <f t="shared" si="157"/>
        <v>0</v>
      </c>
      <c r="AX496" s="596">
        <f t="shared" si="158"/>
        <v>0</v>
      </c>
      <c r="AY496" s="596">
        <f t="shared" si="159"/>
        <v>0</v>
      </c>
      <c r="AZ496" s="595">
        <f t="shared" si="160"/>
        <v>9013.26</v>
      </c>
      <c r="BA496" s="596">
        <f t="shared" si="161"/>
        <v>6520.87</v>
      </c>
    </row>
    <row r="497" spans="1:53" customFormat="1" ht="15" customHeight="1">
      <c r="A497" s="444" t="s">
        <v>523</v>
      </c>
      <c r="B497" s="469" t="s">
        <v>859</v>
      </c>
      <c r="C497" s="466"/>
      <c r="D497" s="447">
        <v>224615</v>
      </c>
      <c r="E497" s="447">
        <v>8</v>
      </c>
      <c r="F497" s="592"/>
      <c r="G497" s="519"/>
      <c r="H497" s="592">
        <v>76431</v>
      </c>
      <c r="I497" s="519">
        <v>68199</v>
      </c>
      <c r="J497" s="592">
        <v>32522</v>
      </c>
      <c r="K497" s="519">
        <v>39011</v>
      </c>
      <c r="L497" s="592">
        <v>0</v>
      </c>
      <c r="M497" s="519">
        <v>0</v>
      </c>
      <c r="N497" s="592">
        <v>67189</v>
      </c>
      <c r="O497" s="569">
        <v>0</v>
      </c>
      <c r="P497" s="595">
        <f t="shared" si="144"/>
        <v>176142</v>
      </c>
      <c r="Q497" s="595">
        <f t="shared" si="145"/>
        <v>5871.4</v>
      </c>
      <c r="R497" s="596">
        <f t="shared" si="146"/>
        <v>107210</v>
      </c>
      <c r="S497" s="596">
        <f t="shared" si="147"/>
        <v>3573.6666666666665</v>
      </c>
      <c r="T497" s="592">
        <v>39103</v>
      </c>
      <c r="U497" s="569">
        <v>18254</v>
      </c>
      <c r="V497" s="595">
        <f t="shared" si="148"/>
        <v>176142</v>
      </c>
      <c r="W497" s="596">
        <f t="shared" si="149"/>
        <v>107210</v>
      </c>
      <c r="X497" s="592">
        <v>87409</v>
      </c>
      <c r="Y497" s="572">
        <v>242746</v>
      </c>
      <c r="Z497" s="592">
        <v>104706</v>
      </c>
      <c r="AA497" s="519">
        <v>115022</v>
      </c>
      <c r="AB497" s="592">
        <v>134576</v>
      </c>
      <c r="AC497" s="569">
        <v>60844</v>
      </c>
      <c r="AD497" s="592">
        <v>153645</v>
      </c>
      <c r="AE497" s="569">
        <v>0</v>
      </c>
      <c r="AF497" s="595">
        <f t="shared" si="150"/>
        <v>480336</v>
      </c>
      <c r="AG497" s="595">
        <f t="shared" si="151"/>
        <v>533.70666666666671</v>
      </c>
      <c r="AH497" s="596">
        <f t="shared" si="152"/>
        <v>418612</v>
      </c>
      <c r="AI497" s="596">
        <f t="shared" si="153"/>
        <v>465.12444444444446</v>
      </c>
      <c r="AJ497" s="592"/>
      <c r="AK497" s="519"/>
      <c r="AL497" s="595">
        <f t="shared" si="154"/>
        <v>0</v>
      </c>
      <c r="AM497" s="596">
        <f t="shared" si="155"/>
        <v>0</v>
      </c>
      <c r="AN497" s="592"/>
      <c r="AO497" s="519"/>
      <c r="AP497" s="592"/>
      <c r="AQ497" s="519"/>
      <c r="AR497" s="592"/>
      <c r="AS497" s="519"/>
      <c r="AT497" s="592"/>
      <c r="AU497" s="519"/>
      <c r="AV497" s="595">
        <f t="shared" si="156"/>
        <v>0</v>
      </c>
      <c r="AW497" s="595">
        <f t="shared" si="157"/>
        <v>0</v>
      </c>
      <c r="AX497" s="596">
        <f t="shared" si="158"/>
        <v>0</v>
      </c>
      <c r="AY497" s="596">
        <f t="shared" si="159"/>
        <v>0</v>
      </c>
      <c r="AZ497" s="595">
        <f t="shared" si="160"/>
        <v>6405.1066666666666</v>
      </c>
      <c r="BA497" s="596">
        <f t="shared" si="161"/>
        <v>4038.7911111111111</v>
      </c>
    </row>
    <row r="498" spans="1:53" customFormat="1" ht="15" customHeight="1">
      <c r="A498" s="444" t="s">
        <v>523</v>
      </c>
      <c r="B498" s="468" t="s">
        <v>565</v>
      </c>
      <c r="C498" s="466"/>
      <c r="D498" s="447">
        <v>224642</v>
      </c>
      <c r="E498" s="447">
        <v>8</v>
      </c>
      <c r="F498" s="592"/>
      <c r="G498" s="519"/>
      <c r="H498" s="592">
        <v>213202</v>
      </c>
      <c r="I498" s="519">
        <v>211599</v>
      </c>
      <c r="J498" s="592">
        <v>53574</v>
      </c>
      <c r="K498" s="519">
        <v>57973</v>
      </c>
      <c r="L498" s="592">
        <v>0</v>
      </c>
      <c r="M498" s="519">
        <v>0</v>
      </c>
      <c r="N498" s="592">
        <v>238956</v>
      </c>
      <c r="O498" s="519">
        <v>219969</v>
      </c>
      <c r="P498" s="595">
        <f t="shared" si="144"/>
        <v>505732</v>
      </c>
      <c r="Q498" s="595">
        <f t="shared" si="145"/>
        <v>16857.733333333334</v>
      </c>
      <c r="R498" s="596">
        <f t="shared" si="146"/>
        <v>489541</v>
      </c>
      <c r="S498" s="596">
        <f t="shared" si="147"/>
        <v>16318.033333333333</v>
      </c>
      <c r="T498" s="592">
        <v>111488</v>
      </c>
      <c r="U498" s="519">
        <v>124321</v>
      </c>
      <c r="V498" s="595">
        <f t="shared" si="148"/>
        <v>505732</v>
      </c>
      <c r="W498" s="596">
        <f t="shared" si="149"/>
        <v>489541</v>
      </c>
      <c r="X498" s="592">
        <v>87412</v>
      </c>
      <c r="Y498" s="519">
        <v>72307</v>
      </c>
      <c r="Z498" s="592">
        <v>69475</v>
      </c>
      <c r="AA498" s="569">
        <v>10852</v>
      </c>
      <c r="AB498" s="592">
        <v>67443</v>
      </c>
      <c r="AC498" s="569">
        <v>25009</v>
      </c>
      <c r="AD498" s="592">
        <v>85920</v>
      </c>
      <c r="AE498" s="569">
        <v>29514</v>
      </c>
      <c r="AF498" s="595">
        <f t="shared" si="150"/>
        <v>310250</v>
      </c>
      <c r="AG498" s="595">
        <f t="shared" si="151"/>
        <v>344.72222222222223</v>
      </c>
      <c r="AH498" s="596">
        <f t="shared" si="152"/>
        <v>137682</v>
      </c>
      <c r="AI498" s="596">
        <f t="shared" si="153"/>
        <v>152.97999999999999</v>
      </c>
      <c r="AJ498" s="592"/>
      <c r="AK498" s="519"/>
      <c r="AL498" s="595">
        <f t="shared" si="154"/>
        <v>0</v>
      </c>
      <c r="AM498" s="596">
        <f t="shared" si="155"/>
        <v>0</v>
      </c>
      <c r="AN498" s="592"/>
      <c r="AO498" s="519"/>
      <c r="AP498" s="592"/>
      <c r="AQ498" s="519"/>
      <c r="AR498" s="592"/>
      <c r="AS498" s="519"/>
      <c r="AT498" s="592"/>
      <c r="AU498" s="519"/>
      <c r="AV498" s="595">
        <f t="shared" si="156"/>
        <v>0</v>
      </c>
      <c r="AW498" s="595">
        <f t="shared" si="157"/>
        <v>0</v>
      </c>
      <c r="AX498" s="596">
        <f t="shared" si="158"/>
        <v>0</v>
      </c>
      <c r="AY498" s="596">
        <f t="shared" si="159"/>
        <v>0</v>
      </c>
      <c r="AZ498" s="595">
        <f t="shared" si="160"/>
        <v>17202.455555555556</v>
      </c>
      <c r="BA498" s="596">
        <f t="shared" si="161"/>
        <v>16471.013333333332</v>
      </c>
    </row>
    <row r="499" spans="1:53" customFormat="1" ht="15" customHeight="1">
      <c r="A499" s="444" t="s">
        <v>523</v>
      </c>
      <c r="B499" s="468" t="s">
        <v>566</v>
      </c>
      <c r="C499" s="466"/>
      <c r="D499" s="447">
        <v>225423</v>
      </c>
      <c r="E499" s="447">
        <v>8</v>
      </c>
      <c r="F499" s="592"/>
      <c r="G499" s="519"/>
      <c r="H499" s="592">
        <v>450749</v>
      </c>
      <c r="I499" s="519">
        <v>436694</v>
      </c>
      <c r="J499" s="592">
        <v>232307</v>
      </c>
      <c r="K499" s="519">
        <v>252453</v>
      </c>
      <c r="L499" s="592">
        <v>0</v>
      </c>
      <c r="M499" s="519">
        <v>0</v>
      </c>
      <c r="N499" s="592">
        <v>336799</v>
      </c>
      <c r="O499" s="519">
        <v>266027</v>
      </c>
      <c r="P499" s="595">
        <f t="shared" si="144"/>
        <v>1019855</v>
      </c>
      <c r="Q499" s="595">
        <f t="shared" si="145"/>
        <v>33995.166666666664</v>
      </c>
      <c r="R499" s="596">
        <f t="shared" si="146"/>
        <v>955174</v>
      </c>
      <c r="S499" s="596">
        <f t="shared" si="147"/>
        <v>31839.133333333335</v>
      </c>
      <c r="T499" s="592">
        <v>105757</v>
      </c>
      <c r="U499" s="519">
        <v>103429</v>
      </c>
      <c r="V499" s="595">
        <f t="shared" si="148"/>
        <v>1019855</v>
      </c>
      <c r="W499" s="596">
        <f t="shared" si="149"/>
        <v>955174</v>
      </c>
      <c r="X499" s="592">
        <v>427303</v>
      </c>
      <c r="Y499" s="519">
        <v>473804</v>
      </c>
      <c r="Z499" s="592">
        <v>394718</v>
      </c>
      <c r="AA499" s="519">
        <v>311931</v>
      </c>
      <c r="AB499" s="592">
        <v>424225</v>
      </c>
      <c r="AC499" s="519">
        <v>238983</v>
      </c>
      <c r="AD499" s="592">
        <v>690814</v>
      </c>
      <c r="AE499" s="519">
        <v>391025</v>
      </c>
      <c r="AF499" s="595">
        <f t="shared" si="150"/>
        <v>1937060</v>
      </c>
      <c r="AG499" s="595">
        <f t="shared" si="151"/>
        <v>2152.2888888888888</v>
      </c>
      <c r="AH499" s="596">
        <f t="shared" si="152"/>
        <v>1415743</v>
      </c>
      <c r="AI499" s="596">
        <f t="shared" si="153"/>
        <v>1573.0477777777778</v>
      </c>
      <c r="AJ499" s="592"/>
      <c r="AK499" s="519"/>
      <c r="AL499" s="595">
        <f t="shared" si="154"/>
        <v>0</v>
      </c>
      <c r="AM499" s="596">
        <f t="shared" si="155"/>
        <v>0</v>
      </c>
      <c r="AN499" s="592"/>
      <c r="AO499" s="519"/>
      <c r="AP499" s="592"/>
      <c r="AQ499" s="519"/>
      <c r="AR499" s="592"/>
      <c r="AS499" s="519"/>
      <c r="AT499" s="592"/>
      <c r="AU499" s="519"/>
      <c r="AV499" s="595">
        <f t="shared" si="156"/>
        <v>0</v>
      </c>
      <c r="AW499" s="595">
        <f t="shared" si="157"/>
        <v>0</v>
      </c>
      <c r="AX499" s="596">
        <f t="shared" si="158"/>
        <v>0</v>
      </c>
      <c r="AY499" s="596">
        <f t="shared" si="159"/>
        <v>0</v>
      </c>
      <c r="AZ499" s="595">
        <f t="shared" si="160"/>
        <v>36147.455555555556</v>
      </c>
      <c r="BA499" s="596">
        <f t="shared" si="161"/>
        <v>33412.181111111116</v>
      </c>
    </row>
    <row r="500" spans="1:53" customFormat="1" ht="15" customHeight="1">
      <c r="A500" s="444" t="s">
        <v>523</v>
      </c>
      <c r="B500" s="469" t="s">
        <v>866</v>
      </c>
      <c r="C500" s="466"/>
      <c r="D500" s="447">
        <v>226134</v>
      </c>
      <c r="E500" s="447">
        <v>8</v>
      </c>
      <c r="F500" s="592"/>
      <c r="G500" s="519"/>
      <c r="H500" s="592">
        <v>70039</v>
      </c>
      <c r="I500" s="519">
        <v>79173</v>
      </c>
      <c r="J500" s="592">
        <v>14231</v>
      </c>
      <c r="K500" s="519">
        <v>12516</v>
      </c>
      <c r="L500" s="592">
        <v>5129</v>
      </c>
      <c r="M500" s="519">
        <v>6061</v>
      </c>
      <c r="N500" s="592">
        <v>77784</v>
      </c>
      <c r="O500" s="519">
        <v>47641</v>
      </c>
      <c r="P500" s="595">
        <f t="shared" si="144"/>
        <v>167183</v>
      </c>
      <c r="Q500" s="595">
        <f t="shared" si="145"/>
        <v>5572.7666666666664</v>
      </c>
      <c r="R500" s="596">
        <f t="shared" si="146"/>
        <v>145391</v>
      </c>
      <c r="S500" s="596">
        <f t="shared" si="147"/>
        <v>4846.3666666666668</v>
      </c>
      <c r="T500" s="592">
        <v>38522</v>
      </c>
      <c r="U500" s="519">
        <v>29099</v>
      </c>
      <c r="V500" s="595">
        <f t="shared" si="148"/>
        <v>167183</v>
      </c>
      <c r="W500" s="596">
        <f t="shared" si="149"/>
        <v>145391</v>
      </c>
      <c r="X500" s="592">
        <v>9907</v>
      </c>
      <c r="Y500" s="569">
        <v>16860</v>
      </c>
      <c r="Z500" s="592">
        <v>22170</v>
      </c>
      <c r="AA500" s="569">
        <v>8631</v>
      </c>
      <c r="AB500" s="592">
        <v>21958</v>
      </c>
      <c r="AC500" s="519">
        <v>19077</v>
      </c>
      <c r="AD500" s="592">
        <v>30804</v>
      </c>
      <c r="AE500" s="519">
        <v>41552</v>
      </c>
      <c r="AF500" s="595">
        <f t="shared" si="150"/>
        <v>84839</v>
      </c>
      <c r="AG500" s="595">
        <f t="shared" si="151"/>
        <v>94.265555555555551</v>
      </c>
      <c r="AH500" s="596">
        <f t="shared" si="152"/>
        <v>86120</v>
      </c>
      <c r="AI500" s="596">
        <f t="shared" si="153"/>
        <v>95.688888888888883</v>
      </c>
      <c r="AJ500" s="592"/>
      <c r="AK500" s="519"/>
      <c r="AL500" s="595">
        <f t="shared" si="154"/>
        <v>0</v>
      </c>
      <c r="AM500" s="596">
        <f t="shared" si="155"/>
        <v>0</v>
      </c>
      <c r="AN500" s="592"/>
      <c r="AO500" s="519"/>
      <c r="AP500" s="592"/>
      <c r="AQ500" s="519"/>
      <c r="AR500" s="592"/>
      <c r="AS500" s="519"/>
      <c r="AT500" s="592"/>
      <c r="AU500" s="519"/>
      <c r="AV500" s="595">
        <f t="shared" si="156"/>
        <v>0</v>
      </c>
      <c r="AW500" s="595">
        <f t="shared" si="157"/>
        <v>0</v>
      </c>
      <c r="AX500" s="596">
        <f t="shared" si="158"/>
        <v>0</v>
      </c>
      <c r="AY500" s="596">
        <f t="shared" si="159"/>
        <v>0</v>
      </c>
      <c r="AZ500" s="595">
        <f t="shared" si="160"/>
        <v>5667.0322222222221</v>
      </c>
      <c r="BA500" s="596">
        <f t="shared" si="161"/>
        <v>4942.0555555555557</v>
      </c>
    </row>
    <row r="501" spans="1:53" customFormat="1" ht="15" customHeight="1">
      <c r="A501" s="444" t="s">
        <v>523</v>
      </c>
      <c r="B501" s="445" t="s">
        <v>567</v>
      </c>
      <c r="C501" s="466"/>
      <c r="D501" s="447">
        <v>227182</v>
      </c>
      <c r="E501" s="447">
        <v>8</v>
      </c>
      <c r="F501" s="592"/>
      <c r="G501" s="519"/>
      <c r="H501" s="592">
        <v>534215</v>
      </c>
      <c r="I501" s="519">
        <v>539418</v>
      </c>
      <c r="J501" s="592">
        <v>262061</v>
      </c>
      <c r="K501" s="519">
        <v>256686</v>
      </c>
      <c r="L501" s="592">
        <v>0</v>
      </c>
      <c r="M501" s="519">
        <v>0</v>
      </c>
      <c r="N501" s="592">
        <v>511797</v>
      </c>
      <c r="O501" s="519">
        <v>440544</v>
      </c>
      <c r="P501" s="595">
        <f t="shared" si="144"/>
        <v>1308073</v>
      </c>
      <c r="Q501" s="595">
        <f t="shared" si="145"/>
        <v>43602.433333333334</v>
      </c>
      <c r="R501" s="596">
        <f t="shared" si="146"/>
        <v>1236648</v>
      </c>
      <c r="S501" s="596">
        <f t="shared" si="147"/>
        <v>41221.599999999999</v>
      </c>
      <c r="T501" s="592">
        <v>204193</v>
      </c>
      <c r="U501" s="519">
        <v>207745</v>
      </c>
      <c r="V501" s="595">
        <f t="shared" si="148"/>
        <v>1308073</v>
      </c>
      <c r="W501" s="596">
        <f t="shared" si="149"/>
        <v>1236648</v>
      </c>
      <c r="X501" s="592">
        <v>63864</v>
      </c>
      <c r="Y501" s="519">
        <v>67582</v>
      </c>
      <c r="Z501" s="592">
        <v>62551</v>
      </c>
      <c r="AA501" s="569">
        <v>10620</v>
      </c>
      <c r="AB501" s="592">
        <v>60010</v>
      </c>
      <c r="AC501" s="519">
        <v>53288</v>
      </c>
      <c r="AD501" s="592">
        <v>89923</v>
      </c>
      <c r="AE501" s="519">
        <v>84121</v>
      </c>
      <c r="AF501" s="595">
        <f t="shared" si="150"/>
        <v>276348</v>
      </c>
      <c r="AG501" s="595">
        <f t="shared" si="151"/>
        <v>307.05333333333334</v>
      </c>
      <c r="AH501" s="596">
        <f t="shared" si="152"/>
        <v>215611</v>
      </c>
      <c r="AI501" s="596">
        <f t="shared" si="153"/>
        <v>239.56777777777779</v>
      </c>
      <c r="AJ501" s="592"/>
      <c r="AK501" s="519"/>
      <c r="AL501" s="595">
        <f t="shared" si="154"/>
        <v>0</v>
      </c>
      <c r="AM501" s="596">
        <f t="shared" si="155"/>
        <v>0</v>
      </c>
      <c r="AN501" s="592"/>
      <c r="AO501" s="519"/>
      <c r="AP501" s="592"/>
      <c r="AQ501" s="519"/>
      <c r="AR501" s="592"/>
      <c r="AS501" s="519"/>
      <c r="AT501" s="592"/>
      <c r="AU501" s="519"/>
      <c r="AV501" s="595">
        <f t="shared" si="156"/>
        <v>0</v>
      </c>
      <c r="AW501" s="595">
        <f t="shared" si="157"/>
        <v>0</v>
      </c>
      <c r="AX501" s="596">
        <f t="shared" si="158"/>
        <v>0</v>
      </c>
      <c r="AY501" s="596">
        <f t="shared" si="159"/>
        <v>0</v>
      </c>
      <c r="AZ501" s="595">
        <f t="shared" si="160"/>
        <v>43909.486666666671</v>
      </c>
      <c r="BA501" s="596">
        <f t="shared" si="161"/>
        <v>41461.167777777773</v>
      </c>
    </row>
    <row r="502" spans="1:53" customFormat="1" ht="15" customHeight="1">
      <c r="A502" s="444" t="s">
        <v>523</v>
      </c>
      <c r="B502" s="468" t="s">
        <v>568</v>
      </c>
      <c r="C502" s="466"/>
      <c r="D502" s="447">
        <v>226578</v>
      </c>
      <c r="E502" s="447">
        <v>8</v>
      </c>
      <c r="F502" s="592"/>
      <c r="G502" s="519"/>
      <c r="H502" s="592">
        <v>74502</v>
      </c>
      <c r="I502" s="519">
        <v>72494</v>
      </c>
      <c r="J502" s="592">
        <v>18486</v>
      </c>
      <c r="K502" s="519">
        <v>21619</v>
      </c>
      <c r="L502" s="592">
        <v>11407</v>
      </c>
      <c r="M502" s="519">
        <v>12119</v>
      </c>
      <c r="N502" s="592">
        <v>72581</v>
      </c>
      <c r="O502" s="519">
        <v>62084</v>
      </c>
      <c r="P502" s="595">
        <f t="shared" si="144"/>
        <v>176976</v>
      </c>
      <c r="Q502" s="595">
        <f t="shared" si="145"/>
        <v>5899.2</v>
      </c>
      <c r="R502" s="596">
        <f t="shared" si="146"/>
        <v>168316</v>
      </c>
      <c r="S502" s="596">
        <f t="shared" si="147"/>
        <v>5610.5333333333338</v>
      </c>
      <c r="T502" s="592">
        <v>22068</v>
      </c>
      <c r="U502" s="519">
        <v>21894</v>
      </c>
      <c r="V502" s="595">
        <f t="shared" si="148"/>
        <v>176976</v>
      </c>
      <c r="W502" s="596">
        <f t="shared" si="149"/>
        <v>168316</v>
      </c>
      <c r="X502" s="592">
        <v>37337</v>
      </c>
      <c r="Y502" s="519">
        <v>42310</v>
      </c>
      <c r="Z502" s="592">
        <v>29247</v>
      </c>
      <c r="AA502" s="519">
        <v>15686</v>
      </c>
      <c r="AB502" s="592">
        <v>44206</v>
      </c>
      <c r="AC502" s="519">
        <v>37933</v>
      </c>
      <c r="AD502" s="592">
        <v>45704</v>
      </c>
      <c r="AE502" s="519">
        <v>43200</v>
      </c>
      <c r="AF502" s="595">
        <f t="shared" si="150"/>
        <v>156494</v>
      </c>
      <c r="AG502" s="595">
        <f t="shared" si="151"/>
        <v>173.88222222222223</v>
      </c>
      <c r="AH502" s="596">
        <f t="shared" si="152"/>
        <v>139129</v>
      </c>
      <c r="AI502" s="596">
        <f t="shared" si="153"/>
        <v>154.58777777777777</v>
      </c>
      <c r="AJ502" s="592"/>
      <c r="AK502" s="519"/>
      <c r="AL502" s="595">
        <f t="shared" si="154"/>
        <v>0</v>
      </c>
      <c r="AM502" s="596">
        <f t="shared" si="155"/>
        <v>0</v>
      </c>
      <c r="AN502" s="592"/>
      <c r="AO502" s="519"/>
      <c r="AP502" s="592"/>
      <c r="AQ502" s="519"/>
      <c r="AR502" s="592"/>
      <c r="AS502" s="519"/>
      <c r="AT502" s="592"/>
      <c r="AU502" s="519"/>
      <c r="AV502" s="595">
        <f t="shared" si="156"/>
        <v>0</v>
      </c>
      <c r="AW502" s="595">
        <f t="shared" si="157"/>
        <v>0</v>
      </c>
      <c r="AX502" s="596">
        <f t="shared" si="158"/>
        <v>0</v>
      </c>
      <c r="AY502" s="596">
        <f t="shared" si="159"/>
        <v>0</v>
      </c>
      <c r="AZ502" s="595">
        <f t="shared" si="160"/>
        <v>6073.0822222222223</v>
      </c>
      <c r="BA502" s="596">
        <f t="shared" si="161"/>
        <v>5765.1211111111115</v>
      </c>
    </row>
    <row r="503" spans="1:53" customFormat="1" ht="15" customHeight="1">
      <c r="A503" s="444" t="s">
        <v>523</v>
      </c>
      <c r="B503" s="469" t="s">
        <v>860</v>
      </c>
      <c r="C503" s="448"/>
      <c r="D503" s="447">
        <v>226930</v>
      </c>
      <c r="E503" s="450">
        <v>8</v>
      </c>
      <c r="F503" s="592"/>
      <c r="G503" s="519"/>
      <c r="H503" s="592">
        <v>72632</v>
      </c>
      <c r="I503" s="519">
        <v>78668</v>
      </c>
      <c r="J503" s="592">
        <v>34618</v>
      </c>
      <c r="K503" s="519">
        <v>41033</v>
      </c>
      <c r="L503" s="592">
        <v>0</v>
      </c>
      <c r="M503" s="519">
        <v>0</v>
      </c>
      <c r="N503" s="592">
        <v>76442</v>
      </c>
      <c r="O503" s="569">
        <v>0</v>
      </c>
      <c r="P503" s="595">
        <f t="shared" si="144"/>
        <v>183692</v>
      </c>
      <c r="Q503" s="595">
        <f t="shared" si="145"/>
        <v>6123.0666666666666</v>
      </c>
      <c r="R503" s="596">
        <f t="shared" si="146"/>
        <v>119701</v>
      </c>
      <c r="S503" s="596">
        <f t="shared" si="147"/>
        <v>3990.0333333333333</v>
      </c>
      <c r="T503" s="592">
        <v>40358</v>
      </c>
      <c r="U503" s="519">
        <v>26408</v>
      </c>
      <c r="V503" s="595">
        <f t="shared" si="148"/>
        <v>183692</v>
      </c>
      <c r="W503" s="596">
        <f t="shared" si="149"/>
        <v>119701</v>
      </c>
      <c r="X503" s="592">
        <v>30112</v>
      </c>
      <c r="Y503" s="519">
        <v>31500</v>
      </c>
      <c r="Z503" s="592">
        <v>33519</v>
      </c>
      <c r="AA503" s="569">
        <v>13465</v>
      </c>
      <c r="AB503" s="592">
        <v>39364</v>
      </c>
      <c r="AC503" s="569">
        <v>13576</v>
      </c>
      <c r="AD503" s="592">
        <v>36545</v>
      </c>
      <c r="AE503" s="569">
        <v>0</v>
      </c>
      <c r="AF503" s="595">
        <f t="shared" si="150"/>
        <v>139540</v>
      </c>
      <c r="AG503" s="595">
        <f t="shared" si="151"/>
        <v>155.04444444444445</v>
      </c>
      <c r="AH503" s="596">
        <f t="shared" si="152"/>
        <v>58541</v>
      </c>
      <c r="AI503" s="596">
        <f t="shared" si="153"/>
        <v>65.045555555555552</v>
      </c>
      <c r="AJ503" s="592"/>
      <c r="AK503" s="519"/>
      <c r="AL503" s="595">
        <f t="shared" si="154"/>
        <v>0</v>
      </c>
      <c r="AM503" s="596">
        <f t="shared" si="155"/>
        <v>0</v>
      </c>
      <c r="AN503" s="592"/>
      <c r="AO503" s="519"/>
      <c r="AP503" s="592"/>
      <c r="AQ503" s="519"/>
      <c r="AR503" s="592"/>
      <c r="AS503" s="519"/>
      <c r="AT503" s="592"/>
      <c r="AU503" s="519"/>
      <c r="AV503" s="595">
        <f t="shared" si="156"/>
        <v>0</v>
      </c>
      <c r="AW503" s="595">
        <f t="shared" si="157"/>
        <v>0</v>
      </c>
      <c r="AX503" s="596">
        <f t="shared" si="158"/>
        <v>0</v>
      </c>
      <c r="AY503" s="596">
        <f t="shared" si="159"/>
        <v>0</v>
      </c>
      <c r="AZ503" s="595">
        <f t="shared" si="160"/>
        <v>6278.1111111111113</v>
      </c>
      <c r="BA503" s="596">
        <f t="shared" si="161"/>
        <v>4055.0788888888887</v>
      </c>
    </row>
    <row r="504" spans="1:53" customFormat="1" ht="15" customHeight="1">
      <c r="A504" s="444" t="s">
        <v>523</v>
      </c>
      <c r="B504" s="468" t="s">
        <v>569</v>
      </c>
      <c r="C504" s="466"/>
      <c r="D504" s="447">
        <v>227146</v>
      </c>
      <c r="E504" s="447">
        <v>8</v>
      </c>
      <c r="F504" s="592"/>
      <c r="G504" s="519"/>
      <c r="H504" s="592">
        <v>73051</v>
      </c>
      <c r="I504" s="519">
        <v>66967</v>
      </c>
      <c r="J504" s="592">
        <v>14379</v>
      </c>
      <c r="K504" s="519">
        <v>11002</v>
      </c>
      <c r="L504" s="592">
        <v>8637</v>
      </c>
      <c r="M504" s="519">
        <v>8939</v>
      </c>
      <c r="N504" s="592">
        <v>72821</v>
      </c>
      <c r="O504" s="519">
        <v>64917</v>
      </c>
      <c r="P504" s="595">
        <f t="shared" si="144"/>
        <v>168888</v>
      </c>
      <c r="Q504" s="595">
        <f t="shared" si="145"/>
        <v>5629.6</v>
      </c>
      <c r="R504" s="596">
        <f t="shared" si="146"/>
        <v>151825</v>
      </c>
      <c r="S504" s="596">
        <f t="shared" si="147"/>
        <v>5060.833333333333</v>
      </c>
      <c r="T504" s="592">
        <v>40886</v>
      </c>
      <c r="U504" s="519">
        <v>37729</v>
      </c>
      <c r="V504" s="595">
        <f t="shared" si="148"/>
        <v>168888</v>
      </c>
      <c r="W504" s="596">
        <f t="shared" si="149"/>
        <v>151825</v>
      </c>
      <c r="X504" s="592">
        <v>53442</v>
      </c>
      <c r="Y504" s="519">
        <v>34060</v>
      </c>
      <c r="Z504" s="592">
        <v>32959</v>
      </c>
      <c r="AA504" s="519">
        <v>19285</v>
      </c>
      <c r="AB504" s="592">
        <v>53490</v>
      </c>
      <c r="AC504" s="519">
        <v>61176</v>
      </c>
      <c r="AD504" s="592">
        <v>25050</v>
      </c>
      <c r="AE504" s="519">
        <v>37226</v>
      </c>
      <c r="AF504" s="595">
        <f t="shared" si="150"/>
        <v>164941</v>
      </c>
      <c r="AG504" s="595">
        <f t="shared" si="151"/>
        <v>183.26777777777778</v>
      </c>
      <c r="AH504" s="596">
        <f t="shared" si="152"/>
        <v>151747</v>
      </c>
      <c r="AI504" s="596">
        <f t="shared" si="153"/>
        <v>168.60777777777778</v>
      </c>
      <c r="AJ504" s="592"/>
      <c r="AK504" s="519"/>
      <c r="AL504" s="595">
        <f t="shared" si="154"/>
        <v>0</v>
      </c>
      <c r="AM504" s="596">
        <f t="shared" si="155"/>
        <v>0</v>
      </c>
      <c r="AN504" s="592"/>
      <c r="AO504" s="519"/>
      <c r="AP504" s="592"/>
      <c r="AQ504" s="519"/>
      <c r="AR504" s="592"/>
      <c r="AS504" s="519"/>
      <c r="AT504" s="592"/>
      <c r="AU504" s="519"/>
      <c r="AV504" s="595">
        <f t="shared" si="156"/>
        <v>0</v>
      </c>
      <c r="AW504" s="595">
        <f t="shared" si="157"/>
        <v>0</v>
      </c>
      <c r="AX504" s="596">
        <f t="shared" si="158"/>
        <v>0</v>
      </c>
      <c r="AY504" s="596">
        <f t="shared" si="159"/>
        <v>0</v>
      </c>
      <c r="AZ504" s="595">
        <f t="shared" si="160"/>
        <v>5812.8677777777784</v>
      </c>
      <c r="BA504" s="596">
        <f t="shared" si="161"/>
        <v>5229.4411111111112</v>
      </c>
    </row>
    <row r="505" spans="1:53" customFormat="1" ht="15" customHeight="1">
      <c r="A505" s="444" t="s">
        <v>523</v>
      </c>
      <c r="B505" s="468" t="s">
        <v>570</v>
      </c>
      <c r="C505" s="466"/>
      <c r="D505" s="447">
        <v>224110</v>
      </c>
      <c r="E505" s="447">
        <v>8</v>
      </c>
      <c r="F505" s="592"/>
      <c r="G505" s="519"/>
      <c r="H505" s="592">
        <v>77584</v>
      </c>
      <c r="I505" s="519">
        <v>75454</v>
      </c>
      <c r="J505" s="592">
        <v>27589</v>
      </c>
      <c r="K505" s="519">
        <v>31024</v>
      </c>
      <c r="L505" s="592">
        <v>0</v>
      </c>
      <c r="M505" s="519">
        <v>0</v>
      </c>
      <c r="N505" s="592">
        <v>72325</v>
      </c>
      <c r="O505" s="519">
        <v>62006</v>
      </c>
      <c r="P505" s="595">
        <f t="shared" si="144"/>
        <v>177498</v>
      </c>
      <c r="Q505" s="595">
        <f t="shared" si="145"/>
        <v>5916.6</v>
      </c>
      <c r="R505" s="596">
        <f t="shared" si="146"/>
        <v>168484</v>
      </c>
      <c r="S505" s="596">
        <f t="shared" si="147"/>
        <v>5616.1333333333332</v>
      </c>
      <c r="T505" s="592">
        <v>26804</v>
      </c>
      <c r="U505" s="519">
        <v>26088</v>
      </c>
      <c r="V505" s="595">
        <f t="shared" si="148"/>
        <v>177498</v>
      </c>
      <c r="W505" s="596">
        <f t="shared" si="149"/>
        <v>168484</v>
      </c>
      <c r="X505" s="592">
        <v>9470</v>
      </c>
      <c r="Y505" s="519">
        <v>8698</v>
      </c>
      <c r="Z505" s="592">
        <v>5522</v>
      </c>
      <c r="AA505" s="519">
        <v>3772</v>
      </c>
      <c r="AB505" s="592">
        <v>5261</v>
      </c>
      <c r="AC505" s="519">
        <v>3798</v>
      </c>
      <c r="AD505" s="592">
        <v>11899</v>
      </c>
      <c r="AE505" s="519">
        <v>6705</v>
      </c>
      <c r="AF505" s="595">
        <f t="shared" si="150"/>
        <v>32152</v>
      </c>
      <c r="AG505" s="595">
        <f t="shared" si="151"/>
        <v>35.724444444444444</v>
      </c>
      <c r="AH505" s="596">
        <f t="shared" si="152"/>
        <v>22973</v>
      </c>
      <c r="AI505" s="596">
        <f t="shared" si="153"/>
        <v>25.525555555555556</v>
      </c>
      <c r="AJ505" s="592"/>
      <c r="AK505" s="519"/>
      <c r="AL505" s="595">
        <f t="shared" si="154"/>
        <v>0</v>
      </c>
      <c r="AM505" s="596">
        <f t="shared" si="155"/>
        <v>0</v>
      </c>
      <c r="AN505" s="592"/>
      <c r="AO505" s="519"/>
      <c r="AP505" s="592"/>
      <c r="AQ505" s="519"/>
      <c r="AR505" s="592"/>
      <c r="AS505" s="519"/>
      <c r="AT505" s="592"/>
      <c r="AU505" s="519"/>
      <c r="AV505" s="595">
        <f t="shared" si="156"/>
        <v>0</v>
      </c>
      <c r="AW505" s="595">
        <f t="shared" si="157"/>
        <v>0</v>
      </c>
      <c r="AX505" s="596">
        <f t="shared" si="158"/>
        <v>0</v>
      </c>
      <c r="AY505" s="596">
        <f t="shared" si="159"/>
        <v>0</v>
      </c>
      <c r="AZ505" s="595">
        <f t="shared" si="160"/>
        <v>5952.3244444444445</v>
      </c>
      <c r="BA505" s="596">
        <f t="shared" si="161"/>
        <v>5641.6588888888891</v>
      </c>
    </row>
    <row r="506" spans="1:53" customFormat="1" ht="15" customHeight="1">
      <c r="A506" s="444" t="s">
        <v>523</v>
      </c>
      <c r="B506" s="469" t="s">
        <v>822</v>
      </c>
      <c r="C506" s="466"/>
      <c r="D506" s="447">
        <v>227191</v>
      </c>
      <c r="E506" s="447">
        <v>8</v>
      </c>
      <c r="F506" s="592"/>
      <c r="G506" s="519"/>
      <c r="H506" s="592">
        <v>64458</v>
      </c>
      <c r="I506" s="519">
        <v>71451</v>
      </c>
      <c r="J506" s="592">
        <v>47453</v>
      </c>
      <c r="K506" s="519">
        <v>52425</v>
      </c>
      <c r="L506" s="592">
        <v>0</v>
      </c>
      <c r="M506" s="519">
        <v>0</v>
      </c>
      <c r="N506" s="592">
        <v>55015</v>
      </c>
      <c r="O506" s="569">
        <v>0</v>
      </c>
      <c r="P506" s="595">
        <f t="shared" si="144"/>
        <v>166926</v>
      </c>
      <c r="Q506" s="595">
        <f t="shared" si="145"/>
        <v>5564.2</v>
      </c>
      <c r="R506" s="596">
        <f t="shared" si="146"/>
        <v>123876</v>
      </c>
      <c r="S506" s="596">
        <f t="shared" si="147"/>
        <v>4129.2</v>
      </c>
      <c r="T506" s="592">
        <v>20395</v>
      </c>
      <c r="U506" s="519">
        <v>13178</v>
      </c>
      <c r="V506" s="595">
        <f t="shared" si="148"/>
        <v>166926</v>
      </c>
      <c r="W506" s="596">
        <f t="shared" si="149"/>
        <v>123876</v>
      </c>
      <c r="X506" s="592">
        <v>176016</v>
      </c>
      <c r="Y506" s="519">
        <v>132919</v>
      </c>
      <c r="Z506" s="592">
        <v>91267</v>
      </c>
      <c r="AA506" s="569">
        <v>20000</v>
      </c>
      <c r="AB506" s="592">
        <v>93231</v>
      </c>
      <c r="AC506" s="569">
        <v>20698</v>
      </c>
      <c r="AD506" s="592">
        <v>189515</v>
      </c>
      <c r="AE506" s="569">
        <v>0</v>
      </c>
      <c r="AF506" s="595">
        <f t="shared" si="150"/>
        <v>550029</v>
      </c>
      <c r="AG506" s="595">
        <f t="shared" si="151"/>
        <v>611.14333333333332</v>
      </c>
      <c r="AH506" s="596">
        <f t="shared" si="152"/>
        <v>173617</v>
      </c>
      <c r="AI506" s="596">
        <f t="shared" si="153"/>
        <v>192.90777777777777</v>
      </c>
      <c r="AJ506" s="592"/>
      <c r="AK506" s="519"/>
      <c r="AL506" s="595">
        <f t="shared" si="154"/>
        <v>0</v>
      </c>
      <c r="AM506" s="596">
        <f t="shared" si="155"/>
        <v>0</v>
      </c>
      <c r="AN506" s="592"/>
      <c r="AO506" s="519"/>
      <c r="AP506" s="592"/>
      <c r="AQ506" s="519"/>
      <c r="AR506" s="592"/>
      <c r="AS506" s="519"/>
      <c r="AT506" s="592"/>
      <c r="AU506" s="519"/>
      <c r="AV506" s="595">
        <f t="shared" si="156"/>
        <v>0</v>
      </c>
      <c r="AW506" s="595">
        <f t="shared" si="157"/>
        <v>0</v>
      </c>
      <c r="AX506" s="596">
        <f t="shared" si="158"/>
        <v>0</v>
      </c>
      <c r="AY506" s="596">
        <f t="shared" si="159"/>
        <v>0</v>
      </c>
      <c r="AZ506" s="595">
        <f t="shared" si="160"/>
        <v>6175.3433333333332</v>
      </c>
      <c r="BA506" s="596">
        <f t="shared" si="161"/>
        <v>4322.1077777777773</v>
      </c>
    </row>
    <row r="507" spans="1:53" customFormat="1" ht="15" customHeight="1">
      <c r="A507" s="444" t="s">
        <v>523</v>
      </c>
      <c r="B507" s="470" t="s">
        <v>571</v>
      </c>
      <c r="C507" s="466"/>
      <c r="D507" s="447">
        <v>420398</v>
      </c>
      <c r="E507" s="447">
        <v>8</v>
      </c>
      <c r="F507" s="592"/>
      <c r="G507" s="519"/>
      <c r="H507" s="592">
        <v>121783</v>
      </c>
      <c r="I507" s="519">
        <v>118232</v>
      </c>
      <c r="J507" s="592">
        <v>41892</v>
      </c>
      <c r="K507" s="519">
        <v>37888</v>
      </c>
      <c r="L507" s="592">
        <v>0</v>
      </c>
      <c r="M507" s="519">
        <v>0</v>
      </c>
      <c r="N507" s="592">
        <v>137401</v>
      </c>
      <c r="O507" s="519">
        <v>130014</v>
      </c>
      <c r="P507" s="595">
        <f t="shared" si="144"/>
        <v>301076</v>
      </c>
      <c r="Q507" s="595">
        <f t="shared" si="145"/>
        <v>10035.866666666667</v>
      </c>
      <c r="R507" s="596">
        <f t="shared" si="146"/>
        <v>286134</v>
      </c>
      <c r="S507" s="596">
        <f t="shared" si="147"/>
        <v>9537.7999999999993</v>
      </c>
      <c r="T507" s="592">
        <v>39944</v>
      </c>
      <c r="U507" s="519">
        <v>43397</v>
      </c>
      <c r="V507" s="595">
        <f t="shared" si="148"/>
        <v>301076</v>
      </c>
      <c r="W507" s="596">
        <f t="shared" si="149"/>
        <v>286134</v>
      </c>
      <c r="X507" s="592">
        <v>12146</v>
      </c>
      <c r="Y507" s="519">
        <v>14264</v>
      </c>
      <c r="Z507" s="592">
        <v>15413</v>
      </c>
      <c r="AA507" s="569">
        <v>6390</v>
      </c>
      <c r="AB507" s="592">
        <v>15118</v>
      </c>
      <c r="AC507" s="519">
        <v>19056</v>
      </c>
      <c r="AD507" s="592">
        <v>19556</v>
      </c>
      <c r="AE507" s="519">
        <v>16556</v>
      </c>
      <c r="AF507" s="595">
        <f t="shared" si="150"/>
        <v>62233</v>
      </c>
      <c r="AG507" s="595">
        <f t="shared" si="151"/>
        <v>69.147777777777776</v>
      </c>
      <c r="AH507" s="596">
        <f t="shared" si="152"/>
        <v>56266</v>
      </c>
      <c r="AI507" s="596">
        <f t="shared" si="153"/>
        <v>62.517777777777781</v>
      </c>
      <c r="AJ507" s="592"/>
      <c r="AK507" s="519"/>
      <c r="AL507" s="595">
        <f t="shared" si="154"/>
        <v>0</v>
      </c>
      <c r="AM507" s="596">
        <f t="shared" si="155"/>
        <v>0</v>
      </c>
      <c r="AN507" s="592"/>
      <c r="AO507" s="519"/>
      <c r="AP507" s="592"/>
      <c r="AQ507" s="519"/>
      <c r="AR507" s="592"/>
      <c r="AS507" s="519"/>
      <c r="AT507" s="592"/>
      <c r="AU507" s="519"/>
      <c r="AV507" s="595">
        <f t="shared" si="156"/>
        <v>0</v>
      </c>
      <c r="AW507" s="595">
        <f t="shared" si="157"/>
        <v>0</v>
      </c>
      <c r="AX507" s="596">
        <f t="shared" si="158"/>
        <v>0</v>
      </c>
      <c r="AY507" s="596">
        <f t="shared" si="159"/>
        <v>0</v>
      </c>
      <c r="AZ507" s="595">
        <f t="shared" si="160"/>
        <v>10105.014444444445</v>
      </c>
      <c r="BA507" s="596">
        <f t="shared" si="161"/>
        <v>9600.3177777777764</v>
      </c>
    </row>
    <row r="508" spans="1:53" customFormat="1" ht="15" customHeight="1">
      <c r="A508" s="444" t="s">
        <v>523</v>
      </c>
      <c r="B508" s="469" t="s">
        <v>823</v>
      </c>
      <c r="C508" s="466"/>
      <c r="D508" s="447">
        <v>246354</v>
      </c>
      <c r="E508" s="447">
        <v>8</v>
      </c>
      <c r="F508" s="592"/>
      <c r="G508" s="519"/>
      <c r="H508" s="592">
        <v>68749</v>
      </c>
      <c r="I508" s="519">
        <v>67722</v>
      </c>
      <c r="J508" s="592">
        <v>23353</v>
      </c>
      <c r="K508" s="519">
        <v>22327</v>
      </c>
      <c r="L508" s="592">
        <v>0</v>
      </c>
      <c r="M508" s="519">
        <v>0</v>
      </c>
      <c r="N508" s="592">
        <v>75026</v>
      </c>
      <c r="O508" s="519">
        <v>73085</v>
      </c>
      <c r="P508" s="595">
        <f t="shared" si="144"/>
        <v>167128</v>
      </c>
      <c r="Q508" s="595">
        <f t="shared" si="145"/>
        <v>5570.9333333333334</v>
      </c>
      <c r="R508" s="596">
        <f t="shared" si="146"/>
        <v>163134</v>
      </c>
      <c r="S508" s="596">
        <f t="shared" si="147"/>
        <v>5437.8</v>
      </c>
      <c r="T508" s="592">
        <v>35169</v>
      </c>
      <c r="U508" s="519">
        <v>38070</v>
      </c>
      <c r="V508" s="595">
        <f t="shared" si="148"/>
        <v>167128</v>
      </c>
      <c r="W508" s="596">
        <f t="shared" si="149"/>
        <v>163134</v>
      </c>
      <c r="X508" s="592">
        <v>14004</v>
      </c>
      <c r="Y508" s="519">
        <v>14826</v>
      </c>
      <c r="Z508" s="592">
        <v>19569</v>
      </c>
      <c r="AA508" s="519">
        <v>10919</v>
      </c>
      <c r="AB508" s="592">
        <v>8306</v>
      </c>
      <c r="AC508" s="519">
        <v>11456</v>
      </c>
      <c r="AD508" s="592">
        <v>18096</v>
      </c>
      <c r="AE508" s="569">
        <v>6427</v>
      </c>
      <c r="AF508" s="595">
        <f t="shared" si="150"/>
        <v>59975</v>
      </c>
      <c r="AG508" s="595">
        <f t="shared" si="151"/>
        <v>66.638888888888886</v>
      </c>
      <c r="AH508" s="596">
        <f t="shared" si="152"/>
        <v>43628</v>
      </c>
      <c r="AI508" s="596">
        <f t="shared" si="153"/>
        <v>48.475555555555559</v>
      </c>
      <c r="AJ508" s="592"/>
      <c r="AK508" s="519"/>
      <c r="AL508" s="595">
        <f t="shared" si="154"/>
        <v>0</v>
      </c>
      <c r="AM508" s="596">
        <f t="shared" si="155"/>
        <v>0</v>
      </c>
      <c r="AN508" s="592"/>
      <c r="AO508" s="519"/>
      <c r="AP508" s="592"/>
      <c r="AQ508" s="519"/>
      <c r="AR508" s="592"/>
      <c r="AS508" s="519"/>
      <c r="AT508" s="592"/>
      <c r="AU508" s="519"/>
      <c r="AV508" s="595">
        <f t="shared" si="156"/>
        <v>0</v>
      </c>
      <c r="AW508" s="595">
        <f t="shared" si="157"/>
        <v>0</v>
      </c>
      <c r="AX508" s="596">
        <f t="shared" si="158"/>
        <v>0</v>
      </c>
      <c r="AY508" s="596">
        <f t="shared" si="159"/>
        <v>0</v>
      </c>
      <c r="AZ508" s="595">
        <f t="shared" si="160"/>
        <v>5637.5722222222221</v>
      </c>
      <c r="BA508" s="596">
        <f t="shared" si="161"/>
        <v>5486.2755555555559</v>
      </c>
    </row>
    <row r="509" spans="1:53" customFormat="1" ht="15" customHeight="1">
      <c r="A509" s="444" t="s">
        <v>523</v>
      </c>
      <c r="B509" s="469" t="s">
        <v>824</v>
      </c>
      <c r="C509" s="466"/>
      <c r="D509" s="447">
        <v>227766</v>
      </c>
      <c r="E509" s="447">
        <v>8</v>
      </c>
      <c r="F509" s="592"/>
      <c r="G509" s="519"/>
      <c r="H509" s="592">
        <v>138811</v>
      </c>
      <c r="I509" s="519">
        <v>141822</v>
      </c>
      <c r="J509" s="592">
        <v>72761</v>
      </c>
      <c r="K509" s="519">
        <v>78958</v>
      </c>
      <c r="L509" s="592">
        <v>0</v>
      </c>
      <c r="M509" s="519">
        <v>0</v>
      </c>
      <c r="N509" s="592">
        <v>121369</v>
      </c>
      <c r="O509" s="569">
        <v>0</v>
      </c>
      <c r="P509" s="595">
        <f t="shared" si="144"/>
        <v>332941</v>
      </c>
      <c r="Q509" s="595">
        <f t="shared" si="145"/>
        <v>11098.033333333333</v>
      </c>
      <c r="R509" s="596">
        <f t="shared" si="146"/>
        <v>220780</v>
      </c>
      <c r="S509" s="596">
        <f t="shared" si="147"/>
        <v>7359.333333333333</v>
      </c>
      <c r="T509" s="592">
        <v>58238</v>
      </c>
      <c r="U509" s="519">
        <v>32442</v>
      </c>
      <c r="V509" s="595">
        <f t="shared" si="148"/>
        <v>332941</v>
      </c>
      <c r="W509" s="596">
        <f t="shared" si="149"/>
        <v>220780</v>
      </c>
      <c r="X509" s="592">
        <v>72987</v>
      </c>
      <c r="Y509" s="519">
        <v>81457</v>
      </c>
      <c r="Z509" s="592">
        <v>83631</v>
      </c>
      <c r="AA509" s="519">
        <v>54372</v>
      </c>
      <c r="AB509" s="592">
        <v>89957</v>
      </c>
      <c r="AC509" s="569">
        <v>22428</v>
      </c>
      <c r="AD509" s="592">
        <v>127154</v>
      </c>
      <c r="AE509" s="569">
        <v>0</v>
      </c>
      <c r="AF509" s="595">
        <f t="shared" si="150"/>
        <v>373729</v>
      </c>
      <c r="AG509" s="595">
        <f t="shared" si="151"/>
        <v>415.25444444444446</v>
      </c>
      <c r="AH509" s="596">
        <f t="shared" si="152"/>
        <v>158257</v>
      </c>
      <c r="AI509" s="596">
        <f t="shared" si="153"/>
        <v>175.8411111111111</v>
      </c>
      <c r="AJ509" s="592"/>
      <c r="AK509" s="519"/>
      <c r="AL509" s="595">
        <f t="shared" si="154"/>
        <v>0</v>
      </c>
      <c r="AM509" s="596">
        <f t="shared" si="155"/>
        <v>0</v>
      </c>
      <c r="AN509" s="592"/>
      <c r="AO509" s="519"/>
      <c r="AP509" s="592"/>
      <c r="AQ509" s="519"/>
      <c r="AR509" s="592"/>
      <c r="AS509" s="519"/>
      <c r="AT509" s="592"/>
      <c r="AU509" s="519"/>
      <c r="AV509" s="595">
        <f t="shared" si="156"/>
        <v>0</v>
      </c>
      <c r="AW509" s="595">
        <f t="shared" si="157"/>
        <v>0</v>
      </c>
      <c r="AX509" s="596">
        <f t="shared" si="158"/>
        <v>0</v>
      </c>
      <c r="AY509" s="596">
        <f t="shared" si="159"/>
        <v>0</v>
      </c>
      <c r="AZ509" s="595">
        <f t="shared" si="160"/>
        <v>11513.287777777778</v>
      </c>
      <c r="BA509" s="596">
        <f t="shared" si="161"/>
        <v>7535.1744444444439</v>
      </c>
    </row>
    <row r="510" spans="1:53" customFormat="1" ht="15" customHeight="1">
      <c r="A510" s="447" t="s">
        <v>523</v>
      </c>
      <c r="B510" s="470" t="s">
        <v>572</v>
      </c>
      <c r="C510" s="466"/>
      <c r="D510" s="447">
        <v>227924</v>
      </c>
      <c r="E510" s="447">
        <v>8</v>
      </c>
      <c r="F510" s="592"/>
      <c r="G510" s="519"/>
      <c r="H510" s="592">
        <v>130631</v>
      </c>
      <c r="I510" s="519">
        <v>130371</v>
      </c>
      <c r="J510" s="592">
        <v>53043</v>
      </c>
      <c r="K510" s="519">
        <v>42730</v>
      </c>
      <c r="L510" s="592">
        <v>0</v>
      </c>
      <c r="M510" s="519">
        <v>0</v>
      </c>
      <c r="N510" s="592">
        <v>139993</v>
      </c>
      <c r="O510" s="519">
        <v>130351</v>
      </c>
      <c r="P510" s="595">
        <f t="shared" si="144"/>
        <v>323667</v>
      </c>
      <c r="Q510" s="595">
        <f t="shared" si="145"/>
        <v>10788.9</v>
      </c>
      <c r="R510" s="596">
        <f t="shared" si="146"/>
        <v>303452</v>
      </c>
      <c r="S510" s="596">
        <f t="shared" si="147"/>
        <v>10115.066666666668</v>
      </c>
      <c r="T510" s="592">
        <v>26563</v>
      </c>
      <c r="U510" s="519">
        <v>24701</v>
      </c>
      <c r="V510" s="595">
        <f t="shared" si="148"/>
        <v>323667</v>
      </c>
      <c r="W510" s="596">
        <f t="shared" si="149"/>
        <v>303452</v>
      </c>
      <c r="X510" s="592">
        <v>8547</v>
      </c>
      <c r="Y510" s="519">
        <v>7372</v>
      </c>
      <c r="Z510" s="592">
        <v>9036</v>
      </c>
      <c r="AA510" s="519">
        <v>6576</v>
      </c>
      <c r="AB510" s="592">
        <v>6552</v>
      </c>
      <c r="AC510" s="519">
        <v>6624</v>
      </c>
      <c r="AD510" s="592">
        <v>8522</v>
      </c>
      <c r="AE510" s="519">
        <v>5070</v>
      </c>
      <c r="AF510" s="595">
        <f t="shared" si="150"/>
        <v>32657</v>
      </c>
      <c r="AG510" s="595">
        <f t="shared" si="151"/>
        <v>36.285555555555554</v>
      </c>
      <c r="AH510" s="596">
        <f t="shared" si="152"/>
        <v>25642</v>
      </c>
      <c r="AI510" s="596">
        <f t="shared" si="153"/>
        <v>28.49111111111111</v>
      </c>
      <c r="AJ510" s="592"/>
      <c r="AK510" s="519"/>
      <c r="AL510" s="595">
        <f t="shared" si="154"/>
        <v>0</v>
      </c>
      <c r="AM510" s="596">
        <f t="shared" si="155"/>
        <v>0</v>
      </c>
      <c r="AN510" s="592"/>
      <c r="AO510" s="519"/>
      <c r="AP510" s="592"/>
      <c r="AQ510" s="519"/>
      <c r="AR510" s="592"/>
      <c r="AS510" s="519"/>
      <c r="AT510" s="592"/>
      <c r="AU510" s="519"/>
      <c r="AV510" s="595">
        <f t="shared" si="156"/>
        <v>0</v>
      </c>
      <c r="AW510" s="595">
        <f t="shared" si="157"/>
        <v>0</v>
      </c>
      <c r="AX510" s="596">
        <f t="shared" si="158"/>
        <v>0</v>
      </c>
      <c r="AY510" s="596">
        <f t="shared" si="159"/>
        <v>0</v>
      </c>
      <c r="AZ510" s="595">
        <f t="shared" si="160"/>
        <v>10825.185555555556</v>
      </c>
      <c r="BA510" s="596">
        <f t="shared" si="161"/>
        <v>10143.557777777778</v>
      </c>
    </row>
    <row r="511" spans="1:53" customFormat="1" ht="15" customHeight="1">
      <c r="A511" s="447" t="s">
        <v>523</v>
      </c>
      <c r="B511" s="468" t="s">
        <v>573</v>
      </c>
      <c r="C511" s="466"/>
      <c r="D511" s="447">
        <v>227979</v>
      </c>
      <c r="E511" s="447">
        <v>8</v>
      </c>
      <c r="F511" s="592"/>
      <c r="G511" s="519"/>
      <c r="H511" s="592">
        <v>258116</v>
      </c>
      <c r="I511" s="519">
        <v>242491</v>
      </c>
      <c r="J511" s="592">
        <v>87826</v>
      </c>
      <c r="K511" s="519">
        <v>89936</v>
      </c>
      <c r="L511" s="592">
        <v>0</v>
      </c>
      <c r="M511" s="519">
        <v>0</v>
      </c>
      <c r="N511" s="592">
        <v>267742</v>
      </c>
      <c r="O511" s="519">
        <v>256587</v>
      </c>
      <c r="P511" s="595">
        <f t="shared" si="144"/>
        <v>613684</v>
      </c>
      <c r="Q511" s="595">
        <f t="shared" si="145"/>
        <v>20456.133333333335</v>
      </c>
      <c r="R511" s="596">
        <f t="shared" si="146"/>
        <v>589014</v>
      </c>
      <c r="S511" s="596">
        <f t="shared" si="147"/>
        <v>19633.8</v>
      </c>
      <c r="T511" s="592">
        <v>75879</v>
      </c>
      <c r="U511" s="519">
        <v>90956</v>
      </c>
      <c r="V511" s="595">
        <f t="shared" si="148"/>
        <v>613684</v>
      </c>
      <c r="W511" s="596">
        <f t="shared" si="149"/>
        <v>589014</v>
      </c>
      <c r="X511" s="592">
        <v>75581</v>
      </c>
      <c r="Y511" s="519">
        <v>61128</v>
      </c>
      <c r="Z511" s="592">
        <v>39885</v>
      </c>
      <c r="AA511" s="569">
        <v>8557</v>
      </c>
      <c r="AB511" s="592">
        <v>47935</v>
      </c>
      <c r="AC511" s="569">
        <v>16672</v>
      </c>
      <c r="AD511" s="592">
        <v>69555</v>
      </c>
      <c r="AE511" s="569">
        <v>31090</v>
      </c>
      <c r="AF511" s="595">
        <f t="shared" si="150"/>
        <v>232956</v>
      </c>
      <c r="AG511" s="595">
        <f t="shared" si="151"/>
        <v>258.83999999999997</v>
      </c>
      <c r="AH511" s="596">
        <f t="shared" si="152"/>
        <v>117447</v>
      </c>
      <c r="AI511" s="596">
        <f t="shared" si="153"/>
        <v>130.49666666666667</v>
      </c>
      <c r="AJ511" s="592"/>
      <c r="AK511" s="519"/>
      <c r="AL511" s="595">
        <f t="shared" si="154"/>
        <v>0</v>
      </c>
      <c r="AM511" s="596">
        <f t="shared" si="155"/>
        <v>0</v>
      </c>
      <c r="AN511" s="592"/>
      <c r="AO511" s="519"/>
      <c r="AP511" s="592"/>
      <c r="AQ511" s="519"/>
      <c r="AR511" s="592"/>
      <c r="AS511" s="519"/>
      <c r="AT511" s="592"/>
      <c r="AU511" s="519"/>
      <c r="AV511" s="595">
        <f t="shared" si="156"/>
        <v>0</v>
      </c>
      <c r="AW511" s="595">
        <f t="shared" si="157"/>
        <v>0</v>
      </c>
      <c r="AX511" s="596">
        <f t="shared" si="158"/>
        <v>0</v>
      </c>
      <c r="AY511" s="596">
        <f t="shared" si="159"/>
        <v>0</v>
      </c>
      <c r="AZ511" s="595">
        <f t="shared" si="160"/>
        <v>20714.973333333335</v>
      </c>
      <c r="BA511" s="596">
        <f t="shared" si="161"/>
        <v>19764.296666666665</v>
      </c>
    </row>
    <row r="512" spans="1:53" customFormat="1" ht="15" customHeight="1">
      <c r="A512" s="447" t="s">
        <v>523</v>
      </c>
      <c r="B512" s="468" t="s">
        <v>574</v>
      </c>
      <c r="C512" s="466"/>
      <c r="D512" s="447">
        <v>228158</v>
      </c>
      <c r="E512" s="447">
        <v>8</v>
      </c>
      <c r="F512" s="592"/>
      <c r="G512" s="519"/>
      <c r="H512" s="592">
        <v>79435</v>
      </c>
      <c r="I512" s="519">
        <v>78310</v>
      </c>
      <c r="J512" s="592">
        <v>18397</v>
      </c>
      <c r="K512" s="519">
        <v>19209</v>
      </c>
      <c r="L512" s="592">
        <v>0</v>
      </c>
      <c r="M512" s="519">
        <v>0</v>
      </c>
      <c r="N512" s="592">
        <v>85565</v>
      </c>
      <c r="O512" s="519">
        <v>80920</v>
      </c>
      <c r="P512" s="595">
        <f t="shared" si="144"/>
        <v>183397</v>
      </c>
      <c r="Q512" s="595">
        <f t="shared" si="145"/>
        <v>6113.2333333333336</v>
      </c>
      <c r="R512" s="596">
        <f t="shared" si="146"/>
        <v>178439</v>
      </c>
      <c r="S512" s="596">
        <f t="shared" si="147"/>
        <v>5947.9666666666662</v>
      </c>
      <c r="T512" s="592">
        <v>23176</v>
      </c>
      <c r="U512" s="519">
        <v>24701</v>
      </c>
      <c r="V512" s="595">
        <f t="shared" si="148"/>
        <v>183397</v>
      </c>
      <c r="W512" s="596">
        <f t="shared" si="149"/>
        <v>178439</v>
      </c>
      <c r="X512" s="592">
        <v>13896</v>
      </c>
      <c r="Y512" s="519">
        <v>19232</v>
      </c>
      <c r="Z512" s="592">
        <v>12654</v>
      </c>
      <c r="AA512" s="519">
        <v>8255</v>
      </c>
      <c r="AB512" s="592">
        <v>14323</v>
      </c>
      <c r="AC512" s="519">
        <v>13180</v>
      </c>
      <c r="AD512" s="592">
        <v>15989</v>
      </c>
      <c r="AE512" s="519">
        <v>19631</v>
      </c>
      <c r="AF512" s="595">
        <f t="shared" si="150"/>
        <v>56862</v>
      </c>
      <c r="AG512" s="595">
        <f t="shared" si="151"/>
        <v>63.18</v>
      </c>
      <c r="AH512" s="596">
        <f t="shared" si="152"/>
        <v>60298</v>
      </c>
      <c r="AI512" s="596">
        <f t="shared" si="153"/>
        <v>66.997777777777785</v>
      </c>
      <c r="AJ512" s="592"/>
      <c r="AK512" s="519"/>
      <c r="AL512" s="595">
        <f t="shared" si="154"/>
        <v>0</v>
      </c>
      <c r="AM512" s="596">
        <f t="shared" si="155"/>
        <v>0</v>
      </c>
      <c r="AN512" s="592"/>
      <c r="AO512" s="519"/>
      <c r="AP512" s="592"/>
      <c r="AQ512" s="519"/>
      <c r="AR512" s="592"/>
      <c r="AS512" s="519"/>
      <c r="AT512" s="592"/>
      <c r="AU512" s="519"/>
      <c r="AV512" s="595">
        <f t="shared" si="156"/>
        <v>0</v>
      </c>
      <c r="AW512" s="595">
        <f t="shared" si="157"/>
        <v>0</v>
      </c>
      <c r="AX512" s="596">
        <f t="shared" si="158"/>
        <v>0</v>
      </c>
      <c r="AY512" s="596">
        <f t="shared" si="159"/>
        <v>0</v>
      </c>
      <c r="AZ512" s="595">
        <f t="shared" si="160"/>
        <v>6176.4133333333339</v>
      </c>
      <c r="BA512" s="596">
        <f t="shared" si="161"/>
        <v>6014.9644444444439</v>
      </c>
    </row>
    <row r="513" spans="1:53" customFormat="1" ht="15" customHeight="1">
      <c r="A513" s="447" t="s">
        <v>523</v>
      </c>
      <c r="B513" s="469" t="s">
        <v>825</v>
      </c>
      <c r="C513" s="466"/>
      <c r="D513" s="447">
        <v>227854</v>
      </c>
      <c r="E513" s="447">
        <v>8</v>
      </c>
      <c r="F513" s="592"/>
      <c r="G513" s="519"/>
      <c r="H513" s="592">
        <v>85933</v>
      </c>
      <c r="I513" s="519">
        <v>82580</v>
      </c>
      <c r="J513" s="592">
        <v>32095</v>
      </c>
      <c r="K513" s="519">
        <v>24838</v>
      </c>
      <c r="L513" s="592">
        <v>0</v>
      </c>
      <c r="M513" s="519">
        <v>0</v>
      </c>
      <c r="N513" s="592">
        <v>83369</v>
      </c>
      <c r="O513" s="519">
        <v>76428</v>
      </c>
      <c r="P513" s="595">
        <f t="shared" si="144"/>
        <v>201397</v>
      </c>
      <c r="Q513" s="595">
        <f t="shared" si="145"/>
        <v>6713.2333333333336</v>
      </c>
      <c r="R513" s="596">
        <f t="shared" si="146"/>
        <v>183846</v>
      </c>
      <c r="S513" s="596">
        <f t="shared" si="147"/>
        <v>6128.2</v>
      </c>
      <c r="T513" s="592">
        <v>44470</v>
      </c>
      <c r="U513" s="519">
        <v>41474</v>
      </c>
      <c r="V513" s="595">
        <f t="shared" si="148"/>
        <v>201397</v>
      </c>
      <c r="W513" s="596">
        <f t="shared" si="149"/>
        <v>183846</v>
      </c>
      <c r="X513" s="592">
        <v>31830</v>
      </c>
      <c r="Y513" s="519">
        <v>30534</v>
      </c>
      <c r="Z513" s="592">
        <v>28785</v>
      </c>
      <c r="AA513" s="569">
        <v>9254</v>
      </c>
      <c r="AB513" s="592">
        <v>32729</v>
      </c>
      <c r="AC513" s="569">
        <v>8056</v>
      </c>
      <c r="AD513" s="592">
        <v>33033</v>
      </c>
      <c r="AE513" s="569">
        <v>8493</v>
      </c>
      <c r="AF513" s="595">
        <f t="shared" si="150"/>
        <v>126377</v>
      </c>
      <c r="AG513" s="595">
        <f t="shared" si="151"/>
        <v>140.41888888888889</v>
      </c>
      <c r="AH513" s="596">
        <f t="shared" si="152"/>
        <v>56337</v>
      </c>
      <c r="AI513" s="596">
        <f t="shared" si="153"/>
        <v>62.596666666666664</v>
      </c>
      <c r="AJ513" s="592"/>
      <c r="AK513" s="519"/>
      <c r="AL513" s="595">
        <f t="shared" si="154"/>
        <v>0</v>
      </c>
      <c r="AM513" s="596">
        <f t="shared" si="155"/>
        <v>0</v>
      </c>
      <c r="AN513" s="592"/>
      <c r="AO513" s="519"/>
      <c r="AP513" s="592"/>
      <c r="AQ513" s="519"/>
      <c r="AR513" s="592"/>
      <c r="AS513" s="519"/>
      <c r="AT513" s="592"/>
      <c r="AU513" s="519"/>
      <c r="AV513" s="595">
        <f t="shared" si="156"/>
        <v>0</v>
      </c>
      <c r="AW513" s="595">
        <f t="shared" si="157"/>
        <v>0</v>
      </c>
      <c r="AX513" s="596">
        <f t="shared" si="158"/>
        <v>0</v>
      </c>
      <c r="AY513" s="596">
        <f t="shared" si="159"/>
        <v>0</v>
      </c>
      <c r="AZ513" s="595">
        <f t="shared" si="160"/>
        <v>6853.6522222222229</v>
      </c>
      <c r="BA513" s="596">
        <f t="shared" si="161"/>
        <v>6190.7966666666662</v>
      </c>
    </row>
    <row r="514" spans="1:53" customFormat="1" ht="15" customHeight="1">
      <c r="A514" s="447" t="s">
        <v>523</v>
      </c>
      <c r="B514" s="468" t="s">
        <v>575</v>
      </c>
      <c r="C514" s="466"/>
      <c r="D514" s="447">
        <v>228547</v>
      </c>
      <c r="E514" s="447">
        <v>8</v>
      </c>
      <c r="F514" s="592"/>
      <c r="G514" s="519"/>
      <c r="H514" s="592">
        <v>359044</v>
      </c>
      <c r="I514" s="519">
        <v>367816</v>
      </c>
      <c r="J514" s="592">
        <v>189128</v>
      </c>
      <c r="K514" s="519">
        <v>206272</v>
      </c>
      <c r="L514" s="592">
        <v>0</v>
      </c>
      <c r="M514" s="519">
        <v>0</v>
      </c>
      <c r="N514" s="592">
        <v>346034</v>
      </c>
      <c r="O514" s="519">
        <v>318185</v>
      </c>
      <c r="P514" s="595">
        <f t="shared" si="144"/>
        <v>894206</v>
      </c>
      <c r="Q514" s="595">
        <f t="shared" si="145"/>
        <v>29806.866666666665</v>
      </c>
      <c r="R514" s="596">
        <f t="shared" si="146"/>
        <v>892273</v>
      </c>
      <c r="S514" s="596">
        <f t="shared" si="147"/>
        <v>29742.433333333334</v>
      </c>
      <c r="T514" s="592">
        <v>115694</v>
      </c>
      <c r="U514" s="519">
        <v>121026</v>
      </c>
      <c r="V514" s="595">
        <f t="shared" si="148"/>
        <v>894206</v>
      </c>
      <c r="W514" s="596">
        <f t="shared" si="149"/>
        <v>892273</v>
      </c>
      <c r="X514" s="592">
        <v>165699</v>
      </c>
      <c r="Y514" s="519">
        <v>142215</v>
      </c>
      <c r="Z514" s="592">
        <v>172722</v>
      </c>
      <c r="AA514" s="569">
        <v>76805</v>
      </c>
      <c r="AB514" s="592">
        <v>130505</v>
      </c>
      <c r="AC514" s="519">
        <v>76082</v>
      </c>
      <c r="AD514" s="592">
        <v>145414</v>
      </c>
      <c r="AE514" s="519">
        <v>96718</v>
      </c>
      <c r="AF514" s="595">
        <f t="shared" si="150"/>
        <v>614340</v>
      </c>
      <c r="AG514" s="595">
        <f t="shared" si="151"/>
        <v>682.6</v>
      </c>
      <c r="AH514" s="596">
        <f t="shared" si="152"/>
        <v>391820</v>
      </c>
      <c r="AI514" s="596">
        <f t="shared" si="153"/>
        <v>435.35555555555555</v>
      </c>
      <c r="AJ514" s="592"/>
      <c r="AK514" s="519"/>
      <c r="AL514" s="595">
        <f t="shared" si="154"/>
        <v>0</v>
      </c>
      <c r="AM514" s="596">
        <f t="shared" si="155"/>
        <v>0</v>
      </c>
      <c r="AN514" s="592"/>
      <c r="AO514" s="519"/>
      <c r="AP514" s="592"/>
      <c r="AQ514" s="519"/>
      <c r="AR514" s="592"/>
      <c r="AS514" s="519"/>
      <c r="AT514" s="592"/>
      <c r="AU514" s="519"/>
      <c r="AV514" s="595">
        <f t="shared" si="156"/>
        <v>0</v>
      </c>
      <c r="AW514" s="595">
        <f t="shared" si="157"/>
        <v>0</v>
      </c>
      <c r="AX514" s="596">
        <f t="shared" si="158"/>
        <v>0</v>
      </c>
      <c r="AY514" s="596">
        <f t="shared" si="159"/>
        <v>0</v>
      </c>
      <c r="AZ514" s="595">
        <f t="shared" si="160"/>
        <v>30489.466666666664</v>
      </c>
      <c r="BA514" s="596">
        <f t="shared" si="161"/>
        <v>30177.788888888888</v>
      </c>
    </row>
    <row r="515" spans="1:53" customFormat="1" ht="15" customHeight="1">
      <c r="A515" s="447" t="s">
        <v>523</v>
      </c>
      <c r="B515" s="445" t="s">
        <v>576</v>
      </c>
      <c r="C515" s="466"/>
      <c r="D515" s="447">
        <v>225308</v>
      </c>
      <c r="E515" s="447">
        <v>8</v>
      </c>
      <c r="F515" s="592"/>
      <c r="G515" s="519"/>
      <c r="H515" s="592">
        <v>54611</v>
      </c>
      <c r="I515" s="519">
        <v>54084</v>
      </c>
      <c r="J515" s="592">
        <v>12593</v>
      </c>
      <c r="K515" s="519">
        <v>11319</v>
      </c>
      <c r="L515" s="592">
        <v>8822</v>
      </c>
      <c r="M515" s="569">
        <v>0</v>
      </c>
      <c r="N515" s="592">
        <v>55249</v>
      </c>
      <c r="O515" s="519">
        <v>54207</v>
      </c>
      <c r="P515" s="595">
        <f t="shared" si="144"/>
        <v>131275</v>
      </c>
      <c r="Q515" s="595">
        <f t="shared" si="145"/>
        <v>4375.833333333333</v>
      </c>
      <c r="R515" s="596">
        <f t="shared" si="146"/>
        <v>119610</v>
      </c>
      <c r="S515" s="596">
        <f t="shared" si="147"/>
        <v>3987</v>
      </c>
      <c r="T515" s="592">
        <v>32626</v>
      </c>
      <c r="U515" s="519">
        <v>28008</v>
      </c>
      <c r="V515" s="595">
        <f t="shared" si="148"/>
        <v>131275</v>
      </c>
      <c r="W515" s="596">
        <f t="shared" si="149"/>
        <v>119610</v>
      </c>
      <c r="X515" s="592">
        <v>154804</v>
      </c>
      <c r="Y515" s="519">
        <v>108186</v>
      </c>
      <c r="Z515" s="592">
        <v>171591</v>
      </c>
      <c r="AA515" s="519">
        <v>96114</v>
      </c>
      <c r="AB515" s="592">
        <v>110745</v>
      </c>
      <c r="AC515" s="569">
        <v>46116</v>
      </c>
      <c r="AD515" s="592">
        <v>202166</v>
      </c>
      <c r="AE515" s="569">
        <v>87630</v>
      </c>
      <c r="AF515" s="595">
        <f t="shared" si="150"/>
        <v>639306</v>
      </c>
      <c r="AG515" s="595">
        <f t="shared" si="151"/>
        <v>710.34</v>
      </c>
      <c r="AH515" s="596">
        <f t="shared" si="152"/>
        <v>338046</v>
      </c>
      <c r="AI515" s="596">
        <f t="shared" si="153"/>
        <v>375.60666666666668</v>
      </c>
      <c r="AJ515" s="592"/>
      <c r="AK515" s="519"/>
      <c r="AL515" s="595">
        <f t="shared" si="154"/>
        <v>0</v>
      </c>
      <c r="AM515" s="596">
        <f t="shared" si="155"/>
        <v>0</v>
      </c>
      <c r="AN515" s="592"/>
      <c r="AO515" s="519"/>
      <c r="AP515" s="592"/>
      <c r="AQ515" s="519"/>
      <c r="AR515" s="592"/>
      <c r="AS515" s="519"/>
      <c r="AT515" s="592"/>
      <c r="AU515" s="519"/>
      <c r="AV515" s="595">
        <f t="shared" si="156"/>
        <v>0</v>
      </c>
      <c r="AW515" s="595">
        <f t="shared" si="157"/>
        <v>0</v>
      </c>
      <c r="AX515" s="596">
        <f t="shared" si="158"/>
        <v>0</v>
      </c>
      <c r="AY515" s="596">
        <f t="shared" si="159"/>
        <v>0</v>
      </c>
      <c r="AZ515" s="595">
        <f t="shared" si="160"/>
        <v>5086.1733333333332</v>
      </c>
      <c r="BA515" s="596">
        <f t="shared" si="161"/>
        <v>4362.6066666666666</v>
      </c>
    </row>
    <row r="516" spans="1:53" customFormat="1" ht="15" customHeight="1">
      <c r="A516" s="447" t="s">
        <v>523</v>
      </c>
      <c r="B516" s="468" t="s">
        <v>577</v>
      </c>
      <c r="C516" s="466" t="s">
        <v>840</v>
      </c>
      <c r="D516" s="447">
        <v>229355</v>
      </c>
      <c r="E516" s="447">
        <v>8</v>
      </c>
      <c r="F516" s="592"/>
      <c r="G516" s="519"/>
      <c r="H516" s="592">
        <v>111328</v>
      </c>
      <c r="I516" s="519">
        <v>108603</v>
      </c>
      <c r="J516" s="592">
        <v>30475</v>
      </c>
      <c r="K516" s="519">
        <v>25210</v>
      </c>
      <c r="L516" s="592">
        <v>7278</v>
      </c>
      <c r="M516" s="519">
        <v>7522</v>
      </c>
      <c r="N516" s="592">
        <v>113617</v>
      </c>
      <c r="O516" s="519">
        <v>106585</v>
      </c>
      <c r="P516" s="595">
        <f t="shared" si="144"/>
        <v>262698</v>
      </c>
      <c r="Q516" s="595">
        <f t="shared" si="145"/>
        <v>8756.6</v>
      </c>
      <c r="R516" s="596">
        <f t="shared" si="146"/>
        <v>247920</v>
      </c>
      <c r="S516" s="596">
        <f t="shared" si="147"/>
        <v>8264</v>
      </c>
      <c r="T516" s="592">
        <v>42383</v>
      </c>
      <c r="U516" s="519">
        <v>30619</v>
      </c>
      <c r="V516" s="595">
        <f t="shared" si="148"/>
        <v>262698</v>
      </c>
      <c r="W516" s="596">
        <f t="shared" si="149"/>
        <v>247920</v>
      </c>
      <c r="X516" s="592">
        <v>21022</v>
      </c>
      <c r="Y516" s="519">
        <v>25303</v>
      </c>
      <c r="Z516" s="592">
        <v>35753</v>
      </c>
      <c r="AA516" s="569">
        <v>3538</v>
      </c>
      <c r="AB516" s="592">
        <v>20396</v>
      </c>
      <c r="AC516" s="519">
        <v>27128</v>
      </c>
      <c r="AD516" s="592">
        <v>29702</v>
      </c>
      <c r="AE516" s="519">
        <v>31938</v>
      </c>
      <c r="AF516" s="595">
        <f t="shared" si="150"/>
        <v>106873</v>
      </c>
      <c r="AG516" s="595">
        <f t="shared" si="151"/>
        <v>118.74777777777778</v>
      </c>
      <c r="AH516" s="596">
        <f t="shared" si="152"/>
        <v>87907</v>
      </c>
      <c r="AI516" s="596">
        <f t="shared" si="153"/>
        <v>97.674444444444447</v>
      </c>
      <c r="AJ516" s="592"/>
      <c r="AK516" s="519"/>
      <c r="AL516" s="595">
        <f t="shared" si="154"/>
        <v>0</v>
      </c>
      <c r="AM516" s="596">
        <f t="shared" si="155"/>
        <v>0</v>
      </c>
      <c r="AN516" s="592"/>
      <c r="AO516" s="519"/>
      <c r="AP516" s="592"/>
      <c r="AQ516" s="519"/>
      <c r="AR516" s="592"/>
      <c r="AS516" s="519"/>
      <c r="AT516" s="592"/>
      <c r="AU516" s="519"/>
      <c r="AV516" s="595">
        <f t="shared" si="156"/>
        <v>0</v>
      </c>
      <c r="AW516" s="595">
        <f t="shared" si="157"/>
        <v>0</v>
      </c>
      <c r="AX516" s="596">
        <f t="shared" si="158"/>
        <v>0</v>
      </c>
      <c r="AY516" s="596">
        <f t="shared" si="159"/>
        <v>0</v>
      </c>
      <c r="AZ516" s="595">
        <f t="shared" si="160"/>
        <v>8875.3477777777789</v>
      </c>
      <c r="BA516" s="596">
        <f t="shared" si="161"/>
        <v>8361.6744444444448</v>
      </c>
    </row>
    <row r="517" spans="1:53" customFormat="1" ht="15" customHeight="1">
      <c r="A517" s="447" t="s">
        <v>523</v>
      </c>
      <c r="B517" s="468" t="s">
        <v>578</v>
      </c>
      <c r="C517" s="466"/>
      <c r="D517" s="447">
        <v>222567</v>
      </c>
      <c r="E517" s="447">
        <v>9</v>
      </c>
      <c r="F517" s="592"/>
      <c r="G517" s="519"/>
      <c r="H517" s="592">
        <v>43188</v>
      </c>
      <c r="I517" s="519">
        <v>42909</v>
      </c>
      <c r="J517" s="592">
        <v>18579</v>
      </c>
      <c r="K517" s="519">
        <v>17873</v>
      </c>
      <c r="L517" s="592">
        <v>0</v>
      </c>
      <c r="M517" s="519">
        <v>0</v>
      </c>
      <c r="N517" s="592">
        <v>45108</v>
      </c>
      <c r="O517" s="519">
        <v>40377</v>
      </c>
      <c r="P517" s="595">
        <f t="shared" si="144"/>
        <v>106875</v>
      </c>
      <c r="Q517" s="595">
        <f t="shared" si="145"/>
        <v>3562.5</v>
      </c>
      <c r="R517" s="596">
        <f t="shared" si="146"/>
        <v>101159</v>
      </c>
      <c r="S517" s="596">
        <f t="shared" si="147"/>
        <v>3371.9666666666667</v>
      </c>
      <c r="T517" s="592">
        <v>29151</v>
      </c>
      <c r="U517" s="519">
        <v>31000</v>
      </c>
      <c r="V517" s="595">
        <f t="shared" si="148"/>
        <v>106875</v>
      </c>
      <c r="W517" s="596">
        <f t="shared" si="149"/>
        <v>101159</v>
      </c>
      <c r="X517" s="592">
        <v>19831</v>
      </c>
      <c r="Y517" s="519">
        <v>22814</v>
      </c>
      <c r="Z517" s="592">
        <v>9045</v>
      </c>
      <c r="AA517" s="519">
        <v>4536</v>
      </c>
      <c r="AB517" s="592">
        <v>15828</v>
      </c>
      <c r="AC517" s="519">
        <v>9928</v>
      </c>
      <c r="AD517" s="592">
        <v>24814</v>
      </c>
      <c r="AE517" s="519">
        <v>17450</v>
      </c>
      <c r="AF517" s="595">
        <f t="shared" si="150"/>
        <v>69518</v>
      </c>
      <c r="AG517" s="595">
        <f t="shared" si="151"/>
        <v>77.242222222222225</v>
      </c>
      <c r="AH517" s="596">
        <f t="shared" si="152"/>
        <v>54728</v>
      </c>
      <c r="AI517" s="596">
        <f t="shared" si="153"/>
        <v>60.808888888888887</v>
      </c>
      <c r="AJ517" s="592"/>
      <c r="AK517" s="519"/>
      <c r="AL517" s="595">
        <f t="shared" si="154"/>
        <v>0</v>
      </c>
      <c r="AM517" s="596">
        <f t="shared" si="155"/>
        <v>0</v>
      </c>
      <c r="AN517" s="592"/>
      <c r="AO517" s="519"/>
      <c r="AP517" s="592"/>
      <c r="AQ517" s="519"/>
      <c r="AR517" s="592"/>
      <c r="AS517" s="519"/>
      <c r="AT517" s="592"/>
      <c r="AU517" s="519"/>
      <c r="AV517" s="595">
        <f t="shared" si="156"/>
        <v>0</v>
      </c>
      <c r="AW517" s="595">
        <f t="shared" si="157"/>
        <v>0</v>
      </c>
      <c r="AX517" s="596">
        <f t="shared" si="158"/>
        <v>0</v>
      </c>
      <c r="AY517" s="596">
        <f t="shared" si="159"/>
        <v>0</v>
      </c>
      <c r="AZ517" s="595">
        <f t="shared" si="160"/>
        <v>3639.7422222222222</v>
      </c>
      <c r="BA517" s="596">
        <f t="shared" si="161"/>
        <v>3432.7755555555555</v>
      </c>
    </row>
    <row r="518" spans="1:53" customFormat="1" ht="15" customHeight="1">
      <c r="A518" s="447" t="s">
        <v>523</v>
      </c>
      <c r="B518" s="468" t="s">
        <v>579</v>
      </c>
      <c r="C518" s="466"/>
      <c r="D518" s="447">
        <v>222822</v>
      </c>
      <c r="E518" s="447">
        <v>9</v>
      </c>
      <c r="F518" s="592"/>
      <c r="G518" s="519"/>
      <c r="H518" s="592">
        <v>35984</v>
      </c>
      <c r="I518" s="519">
        <v>33392</v>
      </c>
      <c r="J518" s="592">
        <v>6219</v>
      </c>
      <c r="K518" s="519">
        <v>8127</v>
      </c>
      <c r="L518" s="592">
        <v>0</v>
      </c>
      <c r="M518" s="519">
        <v>0</v>
      </c>
      <c r="N518" s="592">
        <v>40481</v>
      </c>
      <c r="O518" s="519">
        <v>36131</v>
      </c>
      <c r="P518" s="595">
        <f t="shared" si="144"/>
        <v>82684</v>
      </c>
      <c r="Q518" s="595">
        <f t="shared" si="145"/>
        <v>2756.1333333333332</v>
      </c>
      <c r="R518" s="596">
        <f t="shared" si="146"/>
        <v>77650</v>
      </c>
      <c r="S518" s="596">
        <f t="shared" si="147"/>
        <v>2588.3333333333335</v>
      </c>
      <c r="T518" s="592">
        <v>16679</v>
      </c>
      <c r="U518" s="519">
        <v>17817</v>
      </c>
      <c r="V518" s="595">
        <f t="shared" si="148"/>
        <v>82684</v>
      </c>
      <c r="W518" s="596">
        <f t="shared" si="149"/>
        <v>77650</v>
      </c>
      <c r="X518" s="592">
        <v>67659</v>
      </c>
      <c r="Y518" s="569">
        <v>23143</v>
      </c>
      <c r="Z518" s="592">
        <v>15088</v>
      </c>
      <c r="AA518" s="572">
        <v>39697</v>
      </c>
      <c r="AB518" s="592">
        <v>47541</v>
      </c>
      <c r="AC518" s="519">
        <v>63699</v>
      </c>
      <c r="AD518" s="592">
        <v>30900</v>
      </c>
      <c r="AE518" s="519">
        <v>22529</v>
      </c>
      <c r="AF518" s="595">
        <f t="shared" si="150"/>
        <v>161188</v>
      </c>
      <c r="AG518" s="595">
        <f t="shared" si="151"/>
        <v>179.09777777777776</v>
      </c>
      <c r="AH518" s="596">
        <f t="shared" si="152"/>
        <v>149068</v>
      </c>
      <c r="AI518" s="596">
        <f t="shared" si="153"/>
        <v>165.63111111111112</v>
      </c>
      <c r="AJ518" s="592"/>
      <c r="AK518" s="519"/>
      <c r="AL518" s="595">
        <f t="shared" si="154"/>
        <v>0</v>
      </c>
      <c r="AM518" s="596">
        <f t="shared" si="155"/>
        <v>0</v>
      </c>
      <c r="AN518" s="592"/>
      <c r="AO518" s="519"/>
      <c r="AP518" s="592"/>
      <c r="AQ518" s="519"/>
      <c r="AR518" s="592"/>
      <c r="AS518" s="519"/>
      <c r="AT518" s="592"/>
      <c r="AU518" s="519"/>
      <c r="AV518" s="595">
        <f t="shared" si="156"/>
        <v>0</v>
      </c>
      <c r="AW518" s="595">
        <f t="shared" si="157"/>
        <v>0</v>
      </c>
      <c r="AX518" s="596">
        <f t="shared" si="158"/>
        <v>0</v>
      </c>
      <c r="AY518" s="596">
        <f t="shared" si="159"/>
        <v>0</v>
      </c>
      <c r="AZ518" s="595">
        <f t="shared" si="160"/>
        <v>2935.2311111111112</v>
      </c>
      <c r="BA518" s="596">
        <f t="shared" si="161"/>
        <v>2753.9644444444448</v>
      </c>
    </row>
    <row r="519" spans="1:53" customFormat="1" ht="15" customHeight="1">
      <c r="A519" s="447" t="s">
        <v>523</v>
      </c>
      <c r="B519" s="469" t="s">
        <v>826</v>
      </c>
      <c r="C519" s="466"/>
      <c r="D519" s="447">
        <v>223773</v>
      </c>
      <c r="E519" s="447">
        <v>9</v>
      </c>
      <c r="F519" s="592"/>
      <c r="G519" s="519"/>
      <c r="H519" s="592">
        <v>55167</v>
      </c>
      <c r="I519" s="519">
        <v>60014</v>
      </c>
      <c r="J519" s="592">
        <v>34177</v>
      </c>
      <c r="K519" s="519">
        <v>35867</v>
      </c>
      <c r="L519" s="592">
        <v>0</v>
      </c>
      <c r="M519" s="519">
        <v>0</v>
      </c>
      <c r="N519" s="592">
        <v>46970</v>
      </c>
      <c r="O519" s="569">
        <v>0</v>
      </c>
      <c r="P519" s="595">
        <f t="shared" si="144"/>
        <v>136314</v>
      </c>
      <c r="Q519" s="595">
        <f t="shared" si="145"/>
        <v>4543.8</v>
      </c>
      <c r="R519" s="596">
        <f t="shared" si="146"/>
        <v>95881</v>
      </c>
      <c r="S519" s="596">
        <f t="shared" si="147"/>
        <v>3196.0333333333333</v>
      </c>
      <c r="T519" s="592">
        <v>25347</v>
      </c>
      <c r="U519" s="519">
        <v>13858</v>
      </c>
      <c r="V519" s="595">
        <f t="shared" si="148"/>
        <v>136314</v>
      </c>
      <c r="W519" s="596">
        <f t="shared" si="149"/>
        <v>95881</v>
      </c>
      <c r="X519" s="592">
        <v>38445</v>
      </c>
      <c r="Y519" s="519">
        <v>45895</v>
      </c>
      <c r="Z519" s="592">
        <v>35226</v>
      </c>
      <c r="AA519" s="572">
        <v>125379</v>
      </c>
      <c r="AB519" s="592">
        <v>79272</v>
      </c>
      <c r="AC519" s="519">
        <v>48404</v>
      </c>
      <c r="AD519" s="592">
        <v>28540</v>
      </c>
      <c r="AE519" s="569">
        <v>0</v>
      </c>
      <c r="AF519" s="595">
        <f t="shared" si="150"/>
        <v>181483</v>
      </c>
      <c r="AG519" s="595">
        <f t="shared" si="151"/>
        <v>201.64777777777778</v>
      </c>
      <c r="AH519" s="596">
        <f t="shared" si="152"/>
        <v>219678</v>
      </c>
      <c r="AI519" s="596">
        <f t="shared" si="153"/>
        <v>244.08666666666667</v>
      </c>
      <c r="AJ519" s="592"/>
      <c r="AK519" s="519"/>
      <c r="AL519" s="595">
        <f t="shared" si="154"/>
        <v>0</v>
      </c>
      <c r="AM519" s="596">
        <f t="shared" si="155"/>
        <v>0</v>
      </c>
      <c r="AN519" s="592"/>
      <c r="AO519" s="519"/>
      <c r="AP519" s="592"/>
      <c r="AQ519" s="519"/>
      <c r="AR519" s="592"/>
      <c r="AS519" s="519"/>
      <c r="AT519" s="592"/>
      <c r="AU519" s="519"/>
      <c r="AV519" s="595">
        <f t="shared" si="156"/>
        <v>0</v>
      </c>
      <c r="AW519" s="595">
        <f t="shared" si="157"/>
        <v>0</v>
      </c>
      <c r="AX519" s="596">
        <f t="shared" si="158"/>
        <v>0</v>
      </c>
      <c r="AY519" s="596">
        <f t="shared" si="159"/>
        <v>0</v>
      </c>
      <c r="AZ519" s="595">
        <f t="shared" si="160"/>
        <v>4745.4477777777784</v>
      </c>
      <c r="BA519" s="596">
        <f t="shared" si="161"/>
        <v>3440.12</v>
      </c>
    </row>
    <row r="520" spans="1:53" customFormat="1" ht="15" customHeight="1">
      <c r="A520" s="447" t="s">
        <v>523</v>
      </c>
      <c r="B520" s="471" t="s">
        <v>861</v>
      </c>
      <c r="C520" s="466"/>
      <c r="D520" s="447">
        <v>223898</v>
      </c>
      <c r="E520" s="447">
        <v>9</v>
      </c>
      <c r="F520" s="592"/>
      <c r="G520" s="519"/>
      <c r="H520" s="592">
        <v>29132</v>
      </c>
      <c r="I520" s="519">
        <v>28502</v>
      </c>
      <c r="J520" s="592">
        <v>7205</v>
      </c>
      <c r="K520" s="519">
        <v>6632</v>
      </c>
      <c r="L520" s="592">
        <v>2759</v>
      </c>
      <c r="M520" s="519">
        <v>2720</v>
      </c>
      <c r="N520" s="592">
        <v>31306</v>
      </c>
      <c r="O520" s="519">
        <v>28293</v>
      </c>
      <c r="P520" s="595">
        <f t="shared" ref="P520:P583" si="162">SUM(H520,J520,L520,N520)</f>
        <v>70402</v>
      </c>
      <c r="Q520" s="595">
        <f t="shared" ref="Q520:Q583" si="163">+P520/30</f>
        <v>2346.7333333333331</v>
      </c>
      <c r="R520" s="596">
        <f t="shared" ref="R520:R583" si="164">SUM(I520,K520,M520,O520)</f>
        <v>66147</v>
      </c>
      <c r="S520" s="596">
        <f t="shared" ref="S520:S583" si="165">+R520/30</f>
        <v>2204.9</v>
      </c>
      <c r="T520" s="592">
        <v>11425</v>
      </c>
      <c r="U520" s="519">
        <v>12466</v>
      </c>
      <c r="V520" s="595">
        <f t="shared" ref="V520:V583" si="166">IF(ISBLANK(T520),0,P520)</f>
        <v>70402</v>
      </c>
      <c r="W520" s="596">
        <f t="shared" ref="W520:W583" si="167">IF(ISBLANK(U520),0,R520)</f>
        <v>66147</v>
      </c>
      <c r="X520" s="592">
        <v>2440</v>
      </c>
      <c r="Y520" s="569">
        <v>4228</v>
      </c>
      <c r="Z520" s="592">
        <v>4100</v>
      </c>
      <c r="AA520" s="569">
        <v>1000</v>
      </c>
      <c r="AB520" s="592">
        <v>5644</v>
      </c>
      <c r="AC520" s="519">
        <v>3516</v>
      </c>
      <c r="AD520" s="592">
        <v>3576</v>
      </c>
      <c r="AE520" s="519">
        <v>3703</v>
      </c>
      <c r="AF520" s="595">
        <f t="shared" ref="AF520:AF583" si="168">SUM(X520,Z520,AB520,AD520)</f>
        <v>15760</v>
      </c>
      <c r="AG520" s="595">
        <f t="shared" ref="AG520:AG583" si="169">+AF520/900</f>
        <v>17.511111111111113</v>
      </c>
      <c r="AH520" s="596">
        <f t="shared" ref="AH520:AH583" si="170">SUM(Y520,AA520,AC520,AE520)</f>
        <v>12447</v>
      </c>
      <c r="AI520" s="596">
        <f t="shared" ref="AI520:AI583" si="171">+AH520/900</f>
        <v>13.83</v>
      </c>
      <c r="AJ520" s="592"/>
      <c r="AK520" s="519"/>
      <c r="AL520" s="595">
        <f t="shared" ref="AL520:AL583" si="172">IF(ISBLANK(AJ520),0,AF520)</f>
        <v>0</v>
      </c>
      <c r="AM520" s="596">
        <f t="shared" ref="AM520:AM583" si="173">IF(ISBLANK(AK520),0,AH520)</f>
        <v>0</v>
      </c>
      <c r="AN520" s="592"/>
      <c r="AO520" s="519"/>
      <c r="AP520" s="592"/>
      <c r="AQ520" s="519"/>
      <c r="AR520" s="592"/>
      <c r="AS520" s="519"/>
      <c r="AT520" s="592"/>
      <c r="AU520" s="519"/>
      <c r="AV520" s="595">
        <f t="shared" ref="AV520:AV583" si="174">SUM(AN520,AP520,AR520,AT520)</f>
        <v>0</v>
      </c>
      <c r="AW520" s="595">
        <f t="shared" ref="AW520:AW583" si="175">+AV520/24</f>
        <v>0</v>
      </c>
      <c r="AX520" s="596">
        <f t="shared" ref="AX520:AX583" si="176">SUM(AO520,AQ520,AS520,AU520)</f>
        <v>0</v>
      </c>
      <c r="AY520" s="596">
        <f t="shared" ref="AY520:AY583" si="177">+AX520/24</f>
        <v>0</v>
      </c>
      <c r="AZ520" s="595">
        <f t="shared" ref="AZ520:AZ583" si="178">SUM(Q520,AG520,AW520)</f>
        <v>2364.2444444444441</v>
      </c>
      <c r="BA520" s="596">
        <f t="shared" ref="BA520:BA583" si="179">SUM(S520,AI520,AY520)</f>
        <v>2218.73</v>
      </c>
    </row>
    <row r="521" spans="1:53" customFormat="1" ht="15" customHeight="1">
      <c r="A521" s="447" t="s">
        <v>523</v>
      </c>
      <c r="B521" s="468" t="s">
        <v>580</v>
      </c>
      <c r="C521" s="466"/>
      <c r="D521" s="447">
        <v>223320</v>
      </c>
      <c r="E521" s="447">
        <v>9</v>
      </c>
      <c r="F521" s="592"/>
      <c r="G521" s="519"/>
      <c r="H521" s="592">
        <v>32249</v>
      </c>
      <c r="I521" s="519">
        <v>35600</v>
      </c>
      <c r="J521" s="592">
        <v>5501</v>
      </c>
      <c r="K521" s="519">
        <v>6559</v>
      </c>
      <c r="L521" s="592">
        <v>4472</v>
      </c>
      <c r="M521" s="519">
        <v>3445</v>
      </c>
      <c r="N521" s="592">
        <v>35495</v>
      </c>
      <c r="O521" s="519">
        <v>30785</v>
      </c>
      <c r="P521" s="595">
        <f t="shared" si="162"/>
        <v>77717</v>
      </c>
      <c r="Q521" s="595">
        <f t="shared" si="163"/>
        <v>2590.5666666666666</v>
      </c>
      <c r="R521" s="596">
        <f t="shared" si="164"/>
        <v>76389</v>
      </c>
      <c r="S521" s="596">
        <f t="shared" si="165"/>
        <v>2546.3000000000002</v>
      </c>
      <c r="T521" s="592">
        <v>30911</v>
      </c>
      <c r="U521" s="519">
        <v>28242</v>
      </c>
      <c r="V521" s="595">
        <f t="shared" si="166"/>
        <v>77717</v>
      </c>
      <c r="W521" s="596">
        <f t="shared" si="167"/>
        <v>76389</v>
      </c>
      <c r="X521" s="592">
        <v>833</v>
      </c>
      <c r="Y521" s="572">
        <v>1678</v>
      </c>
      <c r="Z521" s="592">
        <v>4833</v>
      </c>
      <c r="AA521" s="569">
        <v>0</v>
      </c>
      <c r="AB521" s="592">
        <v>3316</v>
      </c>
      <c r="AC521" s="569">
        <v>6593</v>
      </c>
      <c r="AD521" s="592">
        <v>7985</v>
      </c>
      <c r="AE521" s="572">
        <v>49932</v>
      </c>
      <c r="AF521" s="595">
        <f t="shared" si="168"/>
        <v>16967</v>
      </c>
      <c r="AG521" s="595">
        <f t="shared" si="169"/>
        <v>18.852222222222224</v>
      </c>
      <c r="AH521" s="596">
        <f t="shared" si="170"/>
        <v>58203</v>
      </c>
      <c r="AI521" s="596">
        <f t="shared" si="171"/>
        <v>64.67</v>
      </c>
      <c r="AJ521" s="592"/>
      <c r="AK521" s="519"/>
      <c r="AL521" s="595">
        <f t="shared" si="172"/>
        <v>0</v>
      </c>
      <c r="AM521" s="596">
        <f t="shared" si="173"/>
        <v>0</v>
      </c>
      <c r="AN521" s="592"/>
      <c r="AO521" s="519"/>
      <c r="AP521" s="592"/>
      <c r="AQ521" s="519"/>
      <c r="AR521" s="592"/>
      <c r="AS521" s="519"/>
      <c r="AT521" s="592"/>
      <c r="AU521" s="519"/>
      <c r="AV521" s="595">
        <f t="shared" si="174"/>
        <v>0</v>
      </c>
      <c r="AW521" s="595">
        <f t="shared" si="175"/>
        <v>0</v>
      </c>
      <c r="AX521" s="596">
        <f t="shared" si="176"/>
        <v>0</v>
      </c>
      <c r="AY521" s="596">
        <f t="shared" si="177"/>
        <v>0</v>
      </c>
      <c r="AZ521" s="595">
        <f t="shared" si="178"/>
        <v>2609.4188888888889</v>
      </c>
      <c r="BA521" s="596">
        <f t="shared" si="179"/>
        <v>2610.9700000000003</v>
      </c>
    </row>
    <row r="522" spans="1:53" customFormat="1" ht="15" customHeight="1">
      <c r="A522" s="447" t="s">
        <v>523</v>
      </c>
      <c r="B522" s="468" t="s">
        <v>581</v>
      </c>
      <c r="C522" s="466"/>
      <c r="D522" s="447">
        <v>226408</v>
      </c>
      <c r="E522" s="447">
        <v>9</v>
      </c>
      <c r="F522" s="592"/>
      <c r="G522" s="519"/>
      <c r="H522" s="592">
        <v>34846</v>
      </c>
      <c r="I522" s="519">
        <v>36237</v>
      </c>
      <c r="J522" s="592">
        <v>9804</v>
      </c>
      <c r="K522" s="519">
        <v>10632</v>
      </c>
      <c r="L522" s="592">
        <v>0</v>
      </c>
      <c r="M522" s="519">
        <v>0</v>
      </c>
      <c r="N522" s="592">
        <v>35499</v>
      </c>
      <c r="O522" s="519">
        <v>39016</v>
      </c>
      <c r="P522" s="595">
        <f t="shared" si="162"/>
        <v>80149</v>
      </c>
      <c r="Q522" s="595">
        <f t="shared" si="163"/>
        <v>2671.6333333333332</v>
      </c>
      <c r="R522" s="596">
        <f t="shared" si="164"/>
        <v>85885</v>
      </c>
      <c r="S522" s="596">
        <f t="shared" si="165"/>
        <v>2862.8333333333335</v>
      </c>
      <c r="T522" s="592">
        <v>20845</v>
      </c>
      <c r="U522" s="519">
        <v>21807</v>
      </c>
      <c r="V522" s="595">
        <f t="shared" si="166"/>
        <v>80149</v>
      </c>
      <c r="W522" s="596">
        <f t="shared" si="167"/>
        <v>85885</v>
      </c>
      <c r="X522" s="592">
        <v>62428</v>
      </c>
      <c r="Y522" s="569">
        <v>29949</v>
      </c>
      <c r="Z522" s="592">
        <v>18192</v>
      </c>
      <c r="AA522" s="569">
        <v>2382</v>
      </c>
      <c r="AB522" s="592">
        <v>21742</v>
      </c>
      <c r="AC522" s="569">
        <v>9690</v>
      </c>
      <c r="AD522" s="592">
        <v>12985</v>
      </c>
      <c r="AE522" s="519">
        <v>10069</v>
      </c>
      <c r="AF522" s="595">
        <f t="shared" si="168"/>
        <v>115347</v>
      </c>
      <c r="AG522" s="595">
        <f t="shared" si="169"/>
        <v>128.16333333333333</v>
      </c>
      <c r="AH522" s="596">
        <f t="shared" si="170"/>
        <v>52090</v>
      </c>
      <c r="AI522" s="596">
        <f t="shared" si="171"/>
        <v>57.87777777777778</v>
      </c>
      <c r="AJ522" s="592"/>
      <c r="AK522" s="519"/>
      <c r="AL522" s="595">
        <f t="shared" si="172"/>
        <v>0</v>
      </c>
      <c r="AM522" s="596">
        <f t="shared" si="173"/>
        <v>0</v>
      </c>
      <c r="AN522" s="592"/>
      <c r="AO522" s="519"/>
      <c r="AP522" s="592"/>
      <c r="AQ522" s="519"/>
      <c r="AR522" s="592"/>
      <c r="AS522" s="519"/>
      <c r="AT522" s="592"/>
      <c r="AU522" s="519"/>
      <c r="AV522" s="595">
        <f t="shared" si="174"/>
        <v>0</v>
      </c>
      <c r="AW522" s="595">
        <f t="shared" si="175"/>
        <v>0</v>
      </c>
      <c r="AX522" s="596">
        <f t="shared" si="176"/>
        <v>0</v>
      </c>
      <c r="AY522" s="596">
        <f t="shared" si="177"/>
        <v>0</v>
      </c>
      <c r="AZ522" s="595">
        <f t="shared" si="178"/>
        <v>2799.7966666666666</v>
      </c>
      <c r="BA522" s="596">
        <f t="shared" si="179"/>
        <v>2920.7111111111112</v>
      </c>
    </row>
    <row r="523" spans="1:53" customFormat="1" ht="15" customHeight="1">
      <c r="A523" s="447" t="s">
        <v>523</v>
      </c>
      <c r="B523" s="471" t="s">
        <v>582</v>
      </c>
      <c r="C523" s="466"/>
      <c r="D523" s="447">
        <v>225070</v>
      </c>
      <c r="E523" s="447">
        <v>9</v>
      </c>
      <c r="F523" s="592"/>
      <c r="G523" s="519"/>
      <c r="H523" s="592">
        <v>32945</v>
      </c>
      <c r="I523" s="519">
        <v>33036</v>
      </c>
      <c r="J523" s="592">
        <v>9225</v>
      </c>
      <c r="K523" s="519">
        <v>9891</v>
      </c>
      <c r="L523" s="592">
        <v>0</v>
      </c>
      <c r="M523" s="519">
        <v>0</v>
      </c>
      <c r="N523" s="592">
        <v>39104</v>
      </c>
      <c r="O523" s="519">
        <v>33893</v>
      </c>
      <c r="P523" s="595">
        <f t="shared" si="162"/>
        <v>81274</v>
      </c>
      <c r="Q523" s="595">
        <f t="shared" si="163"/>
        <v>2709.1333333333332</v>
      </c>
      <c r="R523" s="596">
        <f t="shared" si="164"/>
        <v>76820</v>
      </c>
      <c r="S523" s="596">
        <f t="shared" si="165"/>
        <v>2560.6666666666665</v>
      </c>
      <c r="T523" s="592">
        <v>12344</v>
      </c>
      <c r="U523" s="519">
        <v>12370</v>
      </c>
      <c r="V523" s="595">
        <f t="shared" si="166"/>
        <v>81274</v>
      </c>
      <c r="W523" s="596">
        <f t="shared" si="167"/>
        <v>76820</v>
      </c>
      <c r="X523" s="592">
        <v>19002</v>
      </c>
      <c r="Y523" s="519">
        <v>16399</v>
      </c>
      <c r="Z523" s="592">
        <v>12055</v>
      </c>
      <c r="AA523" s="519">
        <v>8230</v>
      </c>
      <c r="AB523" s="592">
        <v>16365</v>
      </c>
      <c r="AC523" s="519">
        <v>10718</v>
      </c>
      <c r="AD523" s="592">
        <v>17687</v>
      </c>
      <c r="AE523" s="519">
        <v>16229</v>
      </c>
      <c r="AF523" s="595">
        <f t="shared" si="168"/>
        <v>65109</v>
      </c>
      <c r="AG523" s="595">
        <f t="shared" si="169"/>
        <v>72.343333333333334</v>
      </c>
      <c r="AH523" s="596">
        <f t="shared" si="170"/>
        <v>51576</v>
      </c>
      <c r="AI523" s="596">
        <f t="shared" si="171"/>
        <v>57.306666666666665</v>
      </c>
      <c r="AJ523" s="592"/>
      <c r="AK523" s="519"/>
      <c r="AL523" s="595">
        <f t="shared" si="172"/>
        <v>0</v>
      </c>
      <c r="AM523" s="596">
        <f t="shared" si="173"/>
        <v>0</v>
      </c>
      <c r="AN523" s="592"/>
      <c r="AO523" s="519"/>
      <c r="AP523" s="592"/>
      <c r="AQ523" s="519"/>
      <c r="AR523" s="592"/>
      <c r="AS523" s="519"/>
      <c r="AT523" s="592"/>
      <c r="AU523" s="519"/>
      <c r="AV523" s="595">
        <f t="shared" si="174"/>
        <v>0</v>
      </c>
      <c r="AW523" s="595">
        <f t="shared" si="175"/>
        <v>0</v>
      </c>
      <c r="AX523" s="596">
        <f t="shared" si="176"/>
        <v>0</v>
      </c>
      <c r="AY523" s="596">
        <f t="shared" si="177"/>
        <v>0</v>
      </c>
      <c r="AZ523" s="595">
        <f t="shared" si="178"/>
        <v>2781.4766666666665</v>
      </c>
      <c r="BA523" s="596">
        <f t="shared" si="179"/>
        <v>2617.9733333333334</v>
      </c>
    </row>
    <row r="524" spans="1:53" customFormat="1" ht="15" customHeight="1">
      <c r="A524" s="447" t="s">
        <v>523</v>
      </c>
      <c r="B524" s="468" t="s">
        <v>583</v>
      </c>
      <c r="C524" s="466"/>
      <c r="D524" s="447">
        <v>225371</v>
      </c>
      <c r="E524" s="447">
        <v>9</v>
      </c>
      <c r="F524" s="592"/>
      <c r="G524" s="519"/>
      <c r="H524" s="592">
        <v>36210</v>
      </c>
      <c r="I524" s="519">
        <v>35967</v>
      </c>
      <c r="J524" s="592">
        <v>10205</v>
      </c>
      <c r="K524" s="519">
        <v>9619</v>
      </c>
      <c r="L524" s="592">
        <v>3361</v>
      </c>
      <c r="M524" s="519">
        <v>3450</v>
      </c>
      <c r="N524" s="592">
        <v>36221</v>
      </c>
      <c r="O524" s="519">
        <v>32839</v>
      </c>
      <c r="P524" s="595">
        <f t="shared" si="162"/>
        <v>85997</v>
      </c>
      <c r="Q524" s="595">
        <f t="shared" si="163"/>
        <v>2866.5666666666666</v>
      </c>
      <c r="R524" s="596">
        <f t="shared" si="164"/>
        <v>81875</v>
      </c>
      <c r="S524" s="596">
        <f t="shared" si="165"/>
        <v>2729.1666666666665</v>
      </c>
      <c r="T524" s="592">
        <v>17013</v>
      </c>
      <c r="U524" s="519">
        <v>16219</v>
      </c>
      <c r="V524" s="595">
        <f t="shared" si="166"/>
        <v>85997</v>
      </c>
      <c r="W524" s="596">
        <f t="shared" si="167"/>
        <v>81875</v>
      </c>
      <c r="X524" s="592">
        <v>20870</v>
      </c>
      <c r="Y524" s="519">
        <v>25286</v>
      </c>
      <c r="Z524" s="592">
        <v>22290</v>
      </c>
      <c r="AA524" s="569">
        <v>3046</v>
      </c>
      <c r="AB524" s="592">
        <v>18012</v>
      </c>
      <c r="AC524" s="569">
        <v>4342</v>
      </c>
      <c r="AD524" s="592">
        <v>16688</v>
      </c>
      <c r="AE524" s="569">
        <v>5068</v>
      </c>
      <c r="AF524" s="595">
        <f t="shared" si="168"/>
        <v>77860</v>
      </c>
      <c r="AG524" s="595">
        <f t="shared" si="169"/>
        <v>86.511111111111106</v>
      </c>
      <c r="AH524" s="596">
        <f t="shared" si="170"/>
        <v>37742</v>
      </c>
      <c r="AI524" s="596">
        <f t="shared" si="171"/>
        <v>41.935555555555553</v>
      </c>
      <c r="AJ524" s="592"/>
      <c r="AK524" s="519"/>
      <c r="AL524" s="595">
        <f t="shared" si="172"/>
        <v>0</v>
      </c>
      <c r="AM524" s="596">
        <f t="shared" si="173"/>
        <v>0</v>
      </c>
      <c r="AN524" s="592"/>
      <c r="AO524" s="519"/>
      <c r="AP524" s="592"/>
      <c r="AQ524" s="519"/>
      <c r="AR524" s="592"/>
      <c r="AS524" s="519"/>
      <c r="AT524" s="592"/>
      <c r="AU524" s="519"/>
      <c r="AV524" s="595">
        <f t="shared" si="174"/>
        <v>0</v>
      </c>
      <c r="AW524" s="595">
        <f t="shared" si="175"/>
        <v>0</v>
      </c>
      <c r="AX524" s="596">
        <f t="shared" si="176"/>
        <v>0</v>
      </c>
      <c r="AY524" s="596">
        <f t="shared" si="177"/>
        <v>0</v>
      </c>
      <c r="AZ524" s="595">
        <f t="shared" si="178"/>
        <v>2953.0777777777776</v>
      </c>
      <c r="BA524" s="596">
        <f t="shared" si="179"/>
        <v>2771.1022222222223</v>
      </c>
    </row>
    <row r="525" spans="1:53" customFormat="1" ht="15" customHeight="1">
      <c r="A525" s="447" t="s">
        <v>523</v>
      </c>
      <c r="B525" s="472" t="s">
        <v>584</v>
      </c>
      <c r="C525" s="466"/>
      <c r="D525" s="447">
        <v>225520</v>
      </c>
      <c r="E525" s="447">
        <v>9</v>
      </c>
      <c r="F525" s="592"/>
      <c r="G525" s="519"/>
      <c r="H525" s="592">
        <v>26824</v>
      </c>
      <c r="I525" s="519">
        <v>25072</v>
      </c>
      <c r="J525" s="592">
        <v>4527</v>
      </c>
      <c r="K525" s="519">
        <v>4414</v>
      </c>
      <c r="L525" s="592">
        <v>1948</v>
      </c>
      <c r="M525" s="519">
        <v>2174</v>
      </c>
      <c r="N525" s="592">
        <v>31481</v>
      </c>
      <c r="O525" s="519">
        <v>28078</v>
      </c>
      <c r="P525" s="595">
        <f t="shared" si="162"/>
        <v>64780</v>
      </c>
      <c r="Q525" s="595">
        <f t="shared" si="163"/>
        <v>2159.3333333333335</v>
      </c>
      <c r="R525" s="596">
        <f t="shared" si="164"/>
        <v>59738</v>
      </c>
      <c r="S525" s="596">
        <f t="shared" si="165"/>
        <v>1991.2666666666667</v>
      </c>
      <c r="T525" s="592">
        <v>18252</v>
      </c>
      <c r="U525" s="519">
        <v>15202</v>
      </c>
      <c r="V525" s="595">
        <f t="shared" si="166"/>
        <v>64780</v>
      </c>
      <c r="W525" s="596">
        <f t="shared" si="167"/>
        <v>59738</v>
      </c>
      <c r="X525" s="592">
        <v>118680</v>
      </c>
      <c r="Y525" s="519">
        <v>112996</v>
      </c>
      <c r="Z525" s="592">
        <v>152630</v>
      </c>
      <c r="AA525" s="569">
        <v>14690</v>
      </c>
      <c r="AB525" s="592">
        <v>96293</v>
      </c>
      <c r="AC525" s="569">
        <v>31336</v>
      </c>
      <c r="AD525" s="592">
        <v>128831</v>
      </c>
      <c r="AE525" s="569">
        <v>40849</v>
      </c>
      <c r="AF525" s="595">
        <f t="shared" si="168"/>
        <v>496434</v>
      </c>
      <c r="AG525" s="595">
        <f t="shared" si="169"/>
        <v>551.59333333333336</v>
      </c>
      <c r="AH525" s="596">
        <f t="shared" si="170"/>
        <v>199871</v>
      </c>
      <c r="AI525" s="596">
        <f t="shared" si="171"/>
        <v>222.07888888888888</v>
      </c>
      <c r="AJ525" s="592"/>
      <c r="AK525" s="519"/>
      <c r="AL525" s="595">
        <f t="shared" si="172"/>
        <v>0</v>
      </c>
      <c r="AM525" s="596">
        <f t="shared" si="173"/>
        <v>0</v>
      </c>
      <c r="AN525" s="592"/>
      <c r="AO525" s="519"/>
      <c r="AP525" s="592"/>
      <c r="AQ525" s="519"/>
      <c r="AR525" s="592"/>
      <c r="AS525" s="519"/>
      <c r="AT525" s="592"/>
      <c r="AU525" s="519"/>
      <c r="AV525" s="595">
        <f t="shared" si="174"/>
        <v>0</v>
      </c>
      <c r="AW525" s="595">
        <f t="shared" si="175"/>
        <v>0</v>
      </c>
      <c r="AX525" s="596">
        <f t="shared" si="176"/>
        <v>0</v>
      </c>
      <c r="AY525" s="596">
        <f t="shared" si="177"/>
        <v>0</v>
      </c>
      <c r="AZ525" s="595">
        <f t="shared" si="178"/>
        <v>2710.9266666666667</v>
      </c>
      <c r="BA525" s="596">
        <f t="shared" si="179"/>
        <v>2213.3455555555556</v>
      </c>
    </row>
    <row r="526" spans="1:53" customFormat="1" ht="15" customHeight="1">
      <c r="A526" s="444" t="s">
        <v>523</v>
      </c>
      <c r="B526" s="445" t="s">
        <v>585</v>
      </c>
      <c r="C526" s="466"/>
      <c r="D526" s="447">
        <v>226019</v>
      </c>
      <c r="E526" s="447">
        <v>9</v>
      </c>
      <c r="F526" s="592"/>
      <c r="G526" s="519"/>
      <c r="H526" s="592">
        <v>44820</v>
      </c>
      <c r="I526" s="519">
        <v>62906</v>
      </c>
      <c r="J526" s="592">
        <v>9178</v>
      </c>
      <c r="K526" s="519">
        <v>7020</v>
      </c>
      <c r="L526" s="592">
        <v>0</v>
      </c>
      <c r="M526" s="519">
        <v>0</v>
      </c>
      <c r="N526" s="592">
        <v>38156</v>
      </c>
      <c r="O526" s="519">
        <v>50850</v>
      </c>
      <c r="P526" s="595">
        <f t="shared" si="162"/>
        <v>92154</v>
      </c>
      <c r="Q526" s="595">
        <f t="shared" si="163"/>
        <v>3071.8</v>
      </c>
      <c r="R526" s="596">
        <f t="shared" si="164"/>
        <v>120776</v>
      </c>
      <c r="S526" s="596">
        <f t="shared" si="165"/>
        <v>4025.8666666666668</v>
      </c>
      <c r="T526" s="592">
        <v>17721</v>
      </c>
      <c r="U526" s="519">
        <v>18815</v>
      </c>
      <c r="V526" s="595">
        <f t="shared" si="166"/>
        <v>92154</v>
      </c>
      <c r="W526" s="596">
        <f t="shared" si="167"/>
        <v>120776</v>
      </c>
      <c r="X526" s="592">
        <v>113697</v>
      </c>
      <c r="Y526" s="519">
        <v>94426</v>
      </c>
      <c r="Z526" s="592">
        <v>72643</v>
      </c>
      <c r="AA526" s="569">
        <v>32272</v>
      </c>
      <c r="AB526" s="592">
        <v>139192</v>
      </c>
      <c r="AC526" s="519">
        <v>119621</v>
      </c>
      <c r="AD526" s="592">
        <v>101775</v>
      </c>
      <c r="AE526" s="519">
        <v>116810</v>
      </c>
      <c r="AF526" s="595">
        <f t="shared" si="168"/>
        <v>427307</v>
      </c>
      <c r="AG526" s="595">
        <f t="shared" si="169"/>
        <v>474.78555555555556</v>
      </c>
      <c r="AH526" s="596">
        <f t="shared" si="170"/>
        <v>363129</v>
      </c>
      <c r="AI526" s="596">
        <f t="shared" si="171"/>
        <v>403.47666666666669</v>
      </c>
      <c r="AJ526" s="592"/>
      <c r="AK526" s="519"/>
      <c r="AL526" s="595">
        <f t="shared" si="172"/>
        <v>0</v>
      </c>
      <c r="AM526" s="596">
        <f t="shared" si="173"/>
        <v>0</v>
      </c>
      <c r="AN526" s="592"/>
      <c r="AO526" s="519"/>
      <c r="AP526" s="592"/>
      <c r="AQ526" s="519"/>
      <c r="AR526" s="592"/>
      <c r="AS526" s="519"/>
      <c r="AT526" s="592"/>
      <c r="AU526" s="519"/>
      <c r="AV526" s="595">
        <f t="shared" si="174"/>
        <v>0</v>
      </c>
      <c r="AW526" s="595">
        <f t="shared" si="175"/>
        <v>0</v>
      </c>
      <c r="AX526" s="596">
        <f t="shared" si="176"/>
        <v>0</v>
      </c>
      <c r="AY526" s="596">
        <f t="shared" si="177"/>
        <v>0</v>
      </c>
      <c r="AZ526" s="595">
        <f t="shared" si="178"/>
        <v>3546.5855555555559</v>
      </c>
      <c r="BA526" s="596">
        <f t="shared" si="179"/>
        <v>4429.3433333333332</v>
      </c>
    </row>
    <row r="527" spans="1:53" customFormat="1" ht="15" customHeight="1">
      <c r="A527" s="444" t="s">
        <v>523</v>
      </c>
      <c r="B527" s="468" t="s">
        <v>586</v>
      </c>
      <c r="C527" s="466"/>
      <c r="D527" s="447">
        <v>441760</v>
      </c>
      <c r="E527" s="447">
        <v>9</v>
      </c>
      <c r="F527" s="592"/>
      <c r="G527" s="519"/>
      <c r="H527" s="592">
        <v>26426</v>
      </c>
      <c r="I527" s="519">
        <v>32004</v>
      </c>
      <c r="J527" s="592">
        <v>4355</v>
      </c>
      <c r="K527" s="569">
        <v>6842</v>
      </c>
      <c r="L527" s="592">
        <v>0</v>
      </c>
      <c r="M527" s="519">
        <v>0</v>
      </c>
      <c r="N527" s="592">
        <v>36543</v>
      </c>
      <c r="O527" s="519">
        <v>38512</v>
      </c>
      <c r="P527" s="595">
        <f t="shared" si="162"/>
        <v>67324</v>
      </c>
      <c r="Q527" s="595">
        <f t="shared" si="163"/>
        <v>2244.1333333333332</v>
      </c>
      <c r="R527" s="596">
        <f t="shared" si="164"/>
        <v>77358</v>
      </c>
      <c r="S527" s="596">
        <f t="shared" si="165"/>
        <v>2578.6</v>
      </c>
      <c r="T527" s="592">
        <v>8770</v>
      </c>
      <c r="U527" s="569">
        <v>13239</v>
      </c>
      <c r="V527" s="595">
        <f t="shared" si="166"/>
        <v>67324</v>
      </c>
      <c r="W527" s="596">
        <f t="shared" si="167"/>
        <v>77358</v>
      </c>
      <c r="X527" s="592">
        <v>73761</v>
      </c>
      <c r="Y527" s="519">
        <v>52880</v>
      </c>
      <c r="Z527" s="592">
        <v>63497</v>
      </c>
      <c r="AA527" s="569">
        <v>30582</v>
      </c>
      <c r="AB527" s="592">
        <v>82543</v>
      </c>
      <c r="AC527" s="569">
        <v>37281</v>
      </c>
      <c r="AD527" s="592">
        <v>68305</v>
      </c>
      <c r="AE527" s="519">
        <v>44733</v>
      </c>
      <c r="AF527" s="595">
        <f t="shared" si="168"/>
        <v>288106</v>
      </c>
      <c r="AG527" s="595">
        <f t="shared" si="169"/>
        <v>320.1177777777778</v>
      </c>
      <c r="AH527" s="596">
        <f t="shared" si="170"/>
        <v>165476</v>
      </c>
      <c r="AI527" s="596">
        <f t="shared" si="171"/>
        <v>183.86222222222221</v>
      </c>
      <c r="AJ527" s="592"/>
      <c r="AK527" s="519"/>
      <c r="AL527" s="595">
        <f t="shared" si="172"/>
        <v>0</v>
      </c>
      <c r="AM527" s="596">
        <f t="shared" si="173"/>
        <v>0</v>
      </c>
      <c r="AN527" s="592"/>
      <c r="AO527" s="519"/>
      <c r="AP527" s="592"/>
      <c r="AQ527" s="519"/>
      <c r="AR527" s="592"/>
      <c r="AS527" s="519"/>
      <c r="AT527" s="592"/>
      <c r="AU527" s="519"/>
      <c r="AV527" s="595">
        <f t="shared" si="174"/>
        <v>0</v>
      </c>
      <c r="AW527" s="595">
        <f t="shared" si="175"/>
        <v>0</v>
      </c>
      <c r="AX527" s="596">
        <f t="shared" si="176"/>
        <v>0</v>
      </c>
      <c r="AY527" s="596">
        <f t="shared" si="177"/>
        <v>0</v>
      </c>
      <c r="AZ527" s="595">
        <f t="shared" si="178"/>
        <v>2564.2511111111112</v>
      </c>
      <c r="BA527" s="596">
        <f t="shared" si="179"/>
        <v>2762.462222222222</v>
      </c>
    </row>
    <row r="528" spans="1:53" customFormat="1" ht="15" customHeight="1">
      <c r="A528" s="444" t="s">
        <v>523</v>
      </c>
      <c r="B528" s="468" t="s">
        <v>588</v>
      </c>
      <c r="C528" s="466"/>
      <c r="D528" s="447">
        <v>226204</v>
      </c>
      <c r="E528" s="447">
        <v>9</v>
      </c>
      <c r="F528" s="592"/>
      <c r="G528" s="519"/>
      <c r="H528" s="592">
        <v>60295</v>
      </c>
      <c r="I528" s="519">
        <v>60919</v>
      </c>
      <c r="J528" s="592">
        <v>28308</v>
      </c>
      <c r="K528" s="519">
        <v>31586</v>
      </c>
      <c r="L528" s="592">
        <v>2929</v>
      </c>
      <c r="M528" s="569">
        <v>0</v>
      </c>
      <c r="N528" s="592">
        <v>56105</v>
      </c>
      <c r="O528" s="519">
        <v>37710</v>
      </c>
      <c r="P528" s="595">
        <f t="shared" si="162"/>
        <v>147637</v>
      </c>
      <c r="Q528" s="595">
        <f t="shared" si="163"/>
        <v>4921.2333333333336</v>
      </c>
      <c r="R528" s="596">
        <f t="shared" si="164"/>
        <v>130215</v>
      </c>
      <c r="S528" s="596">
        <f t="shared" si="165"/>
        <v>4340.5</v>
      </c>
      <c r="T528" s="592">
        <v>25021</v>
      </c>
      <c r="U528" s="519">
        <v>21062</v>
      </c>
      <c r="V528" s="595">
        <f t="shared" si="166"/>
        <v>147637</v>
      </c>
      <c r="W528" s="596">
        <f t="shared" si="167"/>
        <v>130215</v>
      </c>
      <c r="X528" s="592">
        <v>12680</v>
      </c>
      <c r="Y528" s="519">
        <v>16100</v>
      </c>
      <c r="Z528" s="592">
        <v>8758</v>
      </c>
      <c r="AA528" s="569">
        <v>407</v>
      </c>
      <c r="AB528" s="592">
        <v>16125</v>
      </c>
      <c r="AC528" s="519">
        <v>8345</v>
      </c>
      <c r="AD528" s="592">
        <v>14706</v>
      </c>
      <c r="AE528" s="569">
        <v>5000</v>
      </c>
      <c r="AF528" s="595">
        <f t="shared" si="168"/>
        <v>52269</v>
      </c>
      <c r="AG528" s="595">
        <f t="shared" si="169"/>
        <v>58.076666666666668</v>
      </c>
      <c r="AH528" s="596">
        <f t="shared" si="170"/>
        <v>29852</v>
      </c>
      <c r="AI528" s="596">
        <f t="shared" si="171"/>
        <v>33.168888888888887</v>
      </c>
      <c r="AJ528" s="592"/>
      <c r="AK528" s="519"/>
      <c r="AL528" s="595">
        <f t="shared" si="172"/>
        <v>0</v>
      </c>
      <c r="AM528" s="596">
        <f t="shared" si="173"/>
        <v>0</v>
      </c>
      <c r="AN528" s="592"/>
      <c r="AO528" s="519"/>
      <c r="AP528" s="592"/>
      <c r="AQ528" s="519"/>
      <c r="AR528" s="592"/>
      <c r="AS528" s="519"/>
      <c r="AT528" s="592"/>
      <c r="AU528" s="519"/>
      <c r="AV528" s="595">
        <f t="shared" si="174"/>
        <v>0</v>
      </c>
      <c r="AW528" s="595">
        <f t="shared" si="175"/>
        <v>0</v>
      </c>
      <c r="AX528" s="596">
        <f t="shared" si="176"/>
        <v>0</v>
      </c>
      <c r="AY528" s="596">
        <f t="shared" si="177"/>
        <v>0</v>
      </c>
      <c r="AZ528" s="595">
        <f t="shared" si="178"/>
        <v>4979.3100000000004</v>
      </c>
      <c r="BA528" s="596">
        <f t="shared" si="179"/>
        <v>4373.6688888888893</v>
      </c>
    </row>
    <row r="529" spans="1:53" customFormat="1" ht="15" customHeight="1">
      <c r="A529" s="444" t="s">
        <v>523</v>
      </c>
      <c r="B529" s="445" t="s">
        <v>589</v>
      </c>
      <c r="C529" s="575" t="s">
        <v>932</v>
      </c>
      <c r="D529" s="447">
        <v>227225</v>
      </c>
      <c r="E529" s="447">
        <v>9</v>
      </c>
      <c r="F529" s="592"/>
      <c r="G529" s="519"/>
      <c r="H529" s="592">
        <v>25735</v>
      </c>
      <c r="I529" s="519">
        <v>25503</v>
      </c>
      <c r="J529" s="592">
        <v>9279</v>
      </c>
      <c r="K529" s="519">
        <v>8126</v>
      </c>
      <c r="L529" s="592">
        <v>0</v>
      </c>
      <c r="M529" s="519">
        <v>0</v>
      </c>
      <c r="N529" s="592">
        <v>27985</v>
      </c>
      <c r="O529" s="519">
        <v>24893</v>
      </c>
      <c r="P529" s="595">
        <f t="shared" si="162"/>
        <v>62999</v>
      </c>
      <c r="Q529" s="595">
        <f t="shared" si="163"/>
        <v>2099.9666666666667</v>
      </c>
      <c r="R529" s="596">
        <f t="shared" si="164"/>
        <v>58522</v>
      </c>
      <c r="S529" s="596">
        <f t="shared" si="165"/>
        <v>1950.7333333333333</v>
      </c>
      <c r="T529" s="592">
        <v>10764</v>
      </c>
      <c r="U529" s="519">
        <v>10041</v>
      </c>
      <c r="V529" s="595">
        <f t="shared" si="166"/>
        <v>62999</v>
      </c>
      <c r="W529" s="596">
        <f t="shared" si="167"/>
        <v>58522</v>
      </c>
      <c r="X529" s="592">
        <v>4935</v>
      </c>
      <c r="Y529" s="519">
        <v>6647</v>
      </c>
      <c r="Z529" s="592">
        <v>5567</v>
      </c>
      <c r="AA529" s="519">
        <v>2944</v>
      </c>
      <c r="AB529" s="592">
        <v>5127</v>
      </c>
      <c r="AC529" s="569">
        <v>2486</v>
      </c>
      <c r="AD529" s="592">
        <v>6596</v>
      </c>
      <c r="AE529" s="519">
        <v>3957</v>
      </c>
      <c r="AF529" s="595">
        <f t="shared" si="168"/>
        <v>22225</v>
      </c>
      <c r="AG529" s="595">
        <f t="shared" si="169"/>
        <v>24.694444444444443</v>
      </c>
      <c r="AH529" s="596">
        <f t="shared" si="170"/>
        <v>16034</v>
      </c>
      <c r="AI529" s="596">
        <f t="shared" si="171"/>
        <v>17.815555555555555</v>
      </c>
      <c r="AJ529" s="592"/>
      <c r="AK529" s="519"/>
      <c r="AL529" s="595">
        <f t="shared" si="172"/>
        <v>0</v>
      </c>
      <c r="AM529" s="596">
        <f t="shared" si="173"/>
        <v>0</v>
      </c>
      <c r="AN529" s="592"/>
      <c r="AO529" s="519"/>
      <c r="AP529" s="592"/>
      <c r="AQ529" s="519"/>
      <c r="AR529" s="592"/>
      <c r="AS529" s="519"/>
      <c r="AT529" s="592"/>
      <c r="AU529" s="519"/>
      <c r="AV529" s="595">
        <f t="shared" si="174"/>
        <v>0</v>
      </c>
      <c r="AW529" s="595">
        <f t="shared" si="175"/>
        <v>0</v>
      </c>
      <c r="AX529" s="596">
        <f t="shared" si="176"/>
        <v>0</v>
      </c>
      <c r="AY529" s="596">
        <f t="shared" si="177"/>
        <v>0</v>
      </c>
      <c r="AZ529" s="595">
        <f t="shared" si="178"/>
        <v>2124.661111111111</v>
      </c>
      <c r="BA529" s="596">
        <f t="shared" si="179"/>
        <v>1968.548888888889</v>
      </c>
    </row>
    <row r="530" spans="1:53" customFormat="1" ht="12.75" customHeight="1">
      <c r="A530" s="444" t="s">
        <v>523</v>
      </c>
      <c r="B530" s="468" t="s">
        <v>590</v>
      </c>
      <c r="C530" s="446"/>
      <c r="D530" s="447">
        <v>227304</v>
      </c>
      <c r="E530" s="447">
        <v>9</v>
      </c>
      <c r="F530" s="592"/>
      <c r="G530" s="519"/>
      <c r="H530" s="592">
        <v>51729</v>
      </c>
      <c r="I530" s="519">
        <v>53441</v>
      </c>
      <c r="J530" s="592">
        <v>6737</v>
      </c>
      <c r="K530" s="519">
        <v>7288</v>
      </c>
      <c r="L530" s="592">
        <v>7102</v>
      </c>
      <c r="M530" s="519">
        <v>8169</v>
      </c>
      <c r="N530" s="592">
        <v>57274</v>
      </c>
      <c r="O530" s="519">
        <v>59196</v>
      </c>
      <c r="P530" s="595">
        <f t="shared" si="162"/>
        <v>122842</v>
      </c>
      <c r="Q530" s="595">
        <f t="shared" si="163"/>
        <v>4094.7333333333331</v>
      </c>
      <c r="R530" s="596">
        <f t="shared" si="164"/>
        <v>128094</v>
      </c>
      <c r="S530" s="596">
        <f t="shared" si="165"/>
        <v>4269.8</v>
      </c>
      <c r="T530" s="592">
        <v>32652</v>
      </c>
      <c r="U530" s="519">
        <v>34370</v>
      </c>
      <c r="V530" s="595">
        <f t="shared" si="166"/>
        <v>122842</v>
      </c>
      <c r="W530" s="596">
        <f t="shared" si="167"/>
        <v>128094</v>
      </c>
      <c r="X530" s="592">
        <v>45590</v>
      </c>
      <c r="Y530" s="519">
        <v>36101</v>
      </c>
      <c r="Z530" s="592">
        <v>50305</v>
      </c>
      <c r="AA530" s="569">
        <v>22501</v>
      </c>
      <c r="AB530" s="592">
        <v>55771</v>
      </c>
      <c r="AC530" s="569">
        <v>25765</v>
      </c>
      <c r="AD530" s="592">
        <v>55054</v>
      </c>
      <c r="AE530" s="569">
        <v>25079</v>
      </c>
      <c r="AF530" s="595">
        <f t="shared" si="168"/>
        <v>206720</v>
      </c>
      <c r="AG530" s="595">
        <f t="shared" si="169"/>
        <v>229.6888888888889</v>
      </c>
      <c r="AH530" s="596">
        <f t="shared" si="170"/>
        <v>109446</v>
      </c>
      <c r="AI530" s="596">
        <f t="shared" si="171"/>
        <v>121.60666666666667</v>
      </c>
      <c r="AJ530" s="592"/>
      <c r="AK530" s="519"/>
      <c r="AL530" s="595">
        <f t="shared" si="172"/>
        <v>0</v>
      </c>
      <c r="AM530" s="596">
        <f t="shared" si="173"/>
        <v>0</v>
      </c>
      <c r="AN530" s="592"/>
      <c r="AO530" s="519"/>
      <c r="AP530" s="592"/>
      <c r="AQ530" s="519"/>
      <c r="AR530" s="592"/>
      <c r="AS530" s="519"/>
      <c r="AT530" s="592"/>
      <c r="AU530" s="519"/>
      <c r="AV530" s="595">
        <f t="shared" si="174"/>
        <v>0</v>
      </c>
      <c r="AW530" s="595">
        <f t="shared" si="175"/>
        <v>0</v>
      </c>
      <c r="AX530" s="596">
        <f t="shared" si="176"/>
        <v>0</v>
      </c>
      <c r="AY530" s="596">
        <f t="shared" si="177"/>
        <v>0</v>
      </c>
      <c r="AZ530" s="595">
        <f t="shared" si="178"/>
        <v>4324.4222222222224</v>
      </c>
      <c r="BA530" s="596">
        <f t="shared" si="179"/>
        <v>4391.4066666666668</v>
      </c>
    </row>
    <row r="531" spans="1:53" customFormat="1" ht="12.75" customHeight="1">
      <c r="A531" s="444" t="s">
        <v>523</v>
      </c>
      <c r="B531" s="468" t="s">
        <v>591</v>
      </c>
      <c r="C531" s="446"/>
      <c r="D531" s="447">
        <v>227401</v>
      </c>
      <c r="E531" s="447">
        <v>9</v>
      </c>
      <c r="F531" s="592"/>
      <c r="G531" s="519"/>
      <c r="H531" s="592">
        <v>40023</v>
      </c>
      <c r="I531" s="519">
        <v>37329</v>
      </c>
      <c r="J531" s="592">
        <v>11005</v>
      </c>
      <c r="K531" s="519">
        <v>9958</v>
      </c>
      <c r="L531" s="592">
        <v>0</v>
      </c>
      <c r="M531" s="519">
        <v>0</v>
      </c>
      <c r="N531" s="592">
        <v>46976</v>
      </c>
      <c r="O531" s="519">
        <v>41626</v>
      </c>
      <c r="P531" s="595">
        <f t="shared" si="162"/>
        <v>98004</v>
      </c>
      <c r="Q531" s="595">
        <f t="shared" si="163"/>
        <v>3266.8</v>
      </c>
      <c r="R531" s="596">
        <f t="shared" si="164"/>
        <v>88913</v>
      </c>
      <c r="S531" s="596">
        <f t="shared" si="165"/>
        <v>2963.7666666666669</v>
      </c>
      <c r="T531" s="592">
        <v>23465</v>
      </c>
      <c r="U531" s="519">
        <v>23484</v>
      </c>
      <c r="V531" s="595">
        <f t="shared" si="166"/>
        <v>98004</v>
      </c>
      <c r="W531" s="596">
        <f t="shared" si="167"/>
        <v>88913</v>
      </c>
      <c r="X531" s="592">
        <v>35342</v>
      </c>
      <c r="Y531" s="569">
        <v>6389</v>
      </c>
      <c r="Z531" s="592">
        <v>9765</v>
      </c>
      <c r="AA531" s="519">
        <v>5245</v>
      </c>
      <c r="AB531" s="592">
        <v>9049</v>
      </c>
      <c r="AC531" s="569">
        <v>13803</v>
      </c>
      <c r="AD531" s="592">
        <v>32400</v>
      </c>
      <c r="AE531" s="569">
        <v>8647</v>
      </c>
      <c r="AF531" s="595">
        <f t="shared" si="168"/>
        <v>86556</v>
      </c>
      <c r="AG531" s="595">
        <f t="shared" si="169"/>
        <v>96.173333333333332</v>
      </c>
      <c r="AH531" s="596">
        <f t="shared" si="170"/>
        <v>34084</v>
      </c>
      <c r="AI531" s="596">
        <f t="shared" si="171"/>
        <v>37.871111111111112</v>
      </c>
      <c r="AJ531" s="592"/>
      <c r="AK531" s="519"/>
      <c r="AL531" s="595">
        <f t="shared" si="172"/>
        <v>0</v>
      </c>
      <c r="AM531" s="596">
        <f t="shared" si="173"/>
        <v>0</v>
      </c>
      <c r="AN531" s="592"/>
      <c r="AO531" s="519"/>
      <c r="AP531" s="592"/>
      <c r="AQ531" s="519"/>
      <c r="AR531" s="592"/>
      <c r="AS531" s="519"/>
      <c r="AT531" s="592"/>
      <c r="AU531" s="519"/>
      <c r="AV531" s="595">
        <f t="shared" si="174"/>
        <v>0</v>
      </c>
      <c r="AW531" s="595">
        <f t="shared" si="175"/>
        <v>0</v>
      </c>
      <c r="AX531" s="596">
        <f t="shared" si="176"/>
        <v>0</v>
      </c>
      <c r="AY531" s="596">
        <f t="shared" si="177"/>
        <v>0</v>
      </c>
      <c r="AZ531" s="595">
        <f t="shared" si="178"/>
        <v>3362.9733333333334</v>
      </c>
      <c r="BA531" s="596">
        <f t="shared" si="179"/>
        <v>3001.637777777778</v>
      </c>
    </row>
    <row r="532" spans="1:53" customFormat="1" ht="12.75" customHeight="1">
      <c r="A532" s="444" t="s">
        <v>523</v>
      </c>
      <c r="B532" s="468" t="s">
        <v>592</v>
      </c>
      <c r="C532" s="446"/>
      <c r="D532" s="447">
        <v>228316</v>
      </c>
      <c r="E532" s="447">
        <v>9</v>
      </c>
      <c r="F532" s="592"/>
      <c r="G532" s="519"/>
      <c r="H532" s="592">
        <v>53171</v>
      </c>
      <c r="I532" s="519">
        <v>54242</v>
      </c>
      <c r="J532" s="592">
        <v>10327</v>
      </c>
      <c r="K532" s="519">
        <v>11952</v>
      </c>
      <c r="L532" s="592">
        <v>5017</v>
      </c>
      <c r="M532" s="519">
        <v>5258</v>
      </c>
      <c r="N532" s="592">
        <v>53079</v>
      </c>
      <c r="O532" s="519">
        <v>50094</v>
      </c>
      <c r="P532" s="595">
        <f t="shared" si="162"/>
        <v>121594</v>
      </c>
      <c r="Q532" s="595">
        <f t="shared" si="163"/>
        <v>4053.1333333333332</v>
      </c>
      <c r="R532" s="596">
        <f t="shared" si="164"/>
        <v>121546</v>
      </c>
      <c r="S532" s="596">
        <f t="shared" si="165"/>
        <v>4051.5333333333333</v>
      </c>
      <c r="T532" s="592">
        <v>40441</v>
      </c>
      <c r="U532" s="519">
        <v>42354</v>
      </c>
      <c r="V532" s="595">
        <f t="shared" si="166"/>
        <v>121594</v>
      </c>
      <c r="W532" s="596">
        <f t="shared" si="167"/>
        <v>121546</v>
      </c>
      <c r="X532" s="592">
        <v>5653</v>
      </c>
      <c r="Y532" s="572">
        <v>15092</v>
      </c>
      <c r="Z532" s="592">
        <v>20614</v>
      </c>
      <c r="AA532" s="569">
        <v>4650</v>
      </c>
      <c r="AB532" s="592">
        <v>21750</v>
      </c>
      <c r="AC532" s="569">
        <v>8606</v>
      </c>
      <c r="AD532" s="592">
        <v>18918</v>
      </c>
      <c r="AE532" s="519">
        <v>12128</v>
      </c>
      <c r="AF532" s="595">
        <f t="shared" si="168"/>
        <v>66935</v>
      </c>
      <c r="AG532" s="595">
        <f t="shared" si="169"/>
        <v>74.37222222222222</v>
      </c>
      <c r="AH532" s="596">
        <f t="shared" si="170"/>
        <v>40476</v>
      </c>
      <c r="AI532" s="596">
        <f t="shared" si="171"/>
        <v>44.973333333333336</v>
      </c>
      <c r="AJ532" s="592"/>
      <c r="AK532" s="519"/>
      <c r="AL532" s="595">
        <f t="shared" si="172"/>
        <v>0</v>
      </c>
      <c r="AM532" s="596">
        <f t="shared" si="173"/>
        <v>0</v>
      </c>
      <c r="AN532" s="592"/>
      <c r="AO532" s="519"/>
      <c r="AP532" s="592"/>
      <c r="AQ532" s="519"/>
      <c r="AR532" s="592"/>
      <c r="AS532" s="519"/>
      <c r="AT532" s="592"/>
      <c r="AU532" s="519"/>
      <c r="AV532" s="595">
        <f t="shared" si="174"/>
        <v>0</v>
      </c>
      <c r="AW532" s="595">
        <f t="shared" si="175"/>
        <v>0</v>
      </c>
      <c r="AX532" s="596">
        <f t="shared" si="176"/>
        <v>0</v>
      </c>
      <c r="AY532" s="596">
        <f t="shared" si="177"/>
        <v>0</v>
      </c>
      <c r="AZ532" s="595">
        <f t="shared" si="178"/>
        <v>4127.5055555555555</v>
      </c>
      <c r="BA532" s="596">
        <f t="shared" si="179"/>
        <v>4096.5066666666662</v>
      </c>
    </row>
    <row r="533" spans="1:53" customFormat="1" ht="12.75" customHeight="1">
      <c r="A533" s="444" t="s">
        <v>523</v>
      </c>
      <c r="B533" s="468" t="s">
        <v>593</v>
      </c>
      <c r="C533" s="446"/>
      <c r="D533" s="447">
        <v>228608</v>
      </c>
      <c r="E533" s="447">
        <v>9</v>
      </c>
      <c r="F533" s="592"/>
      <c r="G533" s="519"/>
      <c r="H533" s="592">
        <v>39943</v>
      </c>
      <c r="I533" s="519">
        <v>38725</v>
      </c>
      <c r="J533" s="592">
        <v>10751</v>
      </c>
      <c r="K533" s="519">
        <v>11492</v>
      </c>
      <c r="L533" s="592">
        <v>0</v>
      </c>
      <c r="M533" s="519">
        <v>0</v>
      </c>
      <c r="N533" s="592">
        <v>43358</v>
      </c>
      <c r="O533" s="519">
        <v>34876</v>
      </c>
      <c r="P533" s="595">
        <f t="shared" si="162"/>
        <v>94052</v>
      </c>
      <c r="Q533" s="595">
        <f t="shared" si="163"/>
        <v>3135.0666666666666</v>
      </c>
      <c r="R533" s="596">
        <f t="shared" si="164"/>
        <v>85093</v>
      </c>
      <c r="S533" s="596">
        <f t="shared" si="165"/>
        <v>2836.4333333333334</v>
      </c>
      <c r="T533" s="592">
        <v>16212</v>
      </c>
      <c r="U533" s="519">
        <v>15971</v>
      </c>
      <c r="V533" s="595">
        <f t="shared" si="166"/>
        <v>94052</v>
      </c>
      <c r="W533" s="596">
        <f t="shared" si="167"/>
        <v>85093</v>
      </c>
      <c r="X533" s="592">
        <v>4792</v>
      </c>
      <c r="Y533" s="519">
        <v>3080</v>
      </c>
      <c r="Z533" s="592">
        <v>25696</v>
      </c>
      <c r="AA533" s="569">
        <v>10560</v>
      </c>
      <c r="AB533" s="592">
        <v>9753</v>
      </c>
      <c r="AC533" s="519">
        <v>4978</v>
      </c>
      <c r="AD533" s="592">
        <v>21508</v>
      </c>
      <c r="AE533" s="519">
        <v>17138</v>
      </c>
      <c r="AF533" s="595">
        <f t="shared" si="168"/>
        <v>61749</v>
      </c>
      <c r="AG533" s="595">
        <f t="shared" si="169"/>
        <v>68.61</v>
      </c>
      <c r="AH533" s="596">
        <f t="shared" si="170"/>
        <v>35756</v>
      </c>
      <c r="AI533" s="596">
        <f t="shared" si="171"/>
        <v>39.728888888888889</v>
      </c>
      <c r="AJ533" s="592"/>
      <c r="AK533" s="519"/>
      <c r="AL533" s="595">
        <f t="shared" si="172"/>
        <v>0</v>
      </c>
      <c r="AM533" s="596">
        <f t="shared" si="173"/>
        <v>0</v>
      </c>
      <c r="AN533" s="592"/>
      <c r="AO533" s="519"/>
      <c r="AP533" s="592"/>
      <c r="AQ533" s="519"/>
      <c r="AR533" s="592"/>
      <c r="AS533" s="519"/>
      <c r="AT533" s="592"/>
      <c r="AU533" s="519"/>
      <c r="AV533" s="595">
        <f t="shared" si="174"/>
        <v>0</v>
      </c>
      <c r="AW533" s="595">
        <f t="shared" si="175"/>
        <v>0</v>
      </c>
      <c r="AX533" s="596">
        <f t="shared" si="176"/>
        <v>0</v>
      </c>
      <c r="AY533" s="596">
        <f t="shared" si="177"/>
        <v>0</v>
      </c>
      <c r="AZ533" s="595">
        <f t="shared" si="178"/>
        <v>3203.6766666666667</v>
      </c>
      <c r="BA533" s="596">
        <f t="shared" si="179"/>
        <v>2876.1622222222222</v>
      </c>
    </row>
    <row r="534" spans="1:53" customFormat="1" ht="12.75" customHeight="1">
      <c r="A534" s="444" t="s">
        <v>523</v>
      </c>
      <c r="B534" s="468" t="s">
        <v>594</v>
      </c>
      <c r="C534" s="446"/>
      <c r="D534" s="447">
        <v>228699</v>
      </c>
      <c r="E534" s="447">
        <v>9</v>
      </c>
      <c r="F534" s="592"/>
      <c r="G534" s="519"/>
      <c r="H534" s="592">
        <v>31833</v>
      </c>
      <c r="I534" s="519">
        <v>30551</v>
      </c>
      <c r="J534" s="592">
        <v>7643</v>
      </c>
      <c r="K534" s="519">
        <v>6841</v>
      </c>
      <c r="L534" s="592">
        <v>0</v>
      </c>
      <c r="M534" s="519">
        <v>0</v>
      </c>
      <c r="N534" s="592">
        <v>36211</v>
      </c>
      <c r="O534" s="519">
        <v>34257</v>
      </c>
      <c r="P534" s="595">
        <f t="shared" si="162"/>
        <v>75687</v>
      </c>
      <c r="Q534" s="595">
        <f t="shared" si="163"/>
        <v>2522.9</v>
      </c>
      <c r="R534" s="596">
        <f t="shared" si="164"/>
        <v>71649</v>
      </c>
      <c r="S534" s="596">
        <f t="shared" si="165"/>
        <v>2388.3000000000002</v>
      </c>
      <c r="T534" s="592">
        <v>18185</v>
      </c>
      <c r="U534" s="519">
        <v>18514</v>
      </c>
      <c r="V534" s="595">
        <f t="shared" si="166"/>
        <v>75687</v>
      </c>
      <c r="W534" s="596">
        <f t="shared" si="167"/>
        <v>71649</v>
      </c>
      <c r="X534" s="592">
        <v>67434</v>
      </c>
      <c r="Y534" s="519">
        <v>84998</v>
      </c>
      <c r="Z534" s="592">
        <v>79616</v>
      </c>
      <c r="AA534" s="569">
        <v>4657</v>
      </c>
      <c r="AB534" s="592">
        <v>81877</v>
      </c>
      <c r="AC534" s="569">
        <v>10150</v>
      </c>
      <c r="AD534" s="592">
        <v>76663</v>
      </c>
      <c r="AE534" s="569">
        <v>15523</v>
      </c>
      <c r="AF534" s="595">
        <f t="shared" si="168"/>
        <v>305590</v>
      </c>
      <c r="AG534" s="595">
        <f t="shared" si="169"/>
        <v>339.54444444444442</v>
      </c>
      <c r="AH534" s="596">
        <f t="shared" si="170"/>
        <v>115328</v>
      </c>
      <c r="AI534" s="596">
        <f t="shared" si="171"/>
        <v>128.14222222222222</v>
      </c>
      <c r="AJ534" s="592"/>
      <c r="AK534" s="519"/>
      <c r="AL534" s="595">
        <f t="shared" si="172"/>
        <v>0</v>
      </c>
      <c r="AM534" s="596">
        <f t="shared" si="173"/>
        <v>0</v>
      </c>
      <c r="AN534" s="592"/>
      <c r="AO534" s="519"/>
      <c r="AP534" s="592"/>
      <c r="AQ534" s="519"/>
      <c r="AR534" s="592"/>
      <c r="AS534" s="519"/>
      <c r="AT534" s="592"/>
      <c r="AU534" s="519"/>
      <c r="AV534" s="595">
        <f t="shared" si="174"/>
        <v>0</v>
      </c>
      <c r="AW534" s="595">
        <f t="shared" si="175"/>
        <v>0</v>
      </c>
      <c r="AX534" s="596">
        <f t="shared" si="176"/>
        <v>0</v>
      </c>
      <c r="AY534" s="596">
        <f t="shared" si="177"/>
        <v>0</v>
      </c>
      <c r="AZ534" s="595">
        <f t="shared" si="178"/>
        <v>2862.4444444444443</v>
      </c>
      <c r="BA534" s="596">
        <f t="shared" si="179"/>
        <v>2516.4422222222224</v>
      </c>
    </row>
    <row r="535" spans="1:53" customFormat="1" ht="12.75" customHeight="1">
      <c r="A535" s="444" t="s">
        <v>523</v>
      </c>
      <c r="B535" s="468" t="s">
        <v>595</v>
      </c>
      <c r="C535" s="446" t="s">
        <v>867</v>
      </c>
      <c r="D535" s="447">
        <v>227377</v>
      </c>
      <c r="E535" s="447">
        <v>9</v>
      </c>
      <c r="F535" s="592"/>
      <c r="G535" s="519"/>
      <c r="H535" s="592">
        <v>52338</v>
      </c>
      <c r="I535" s="519">
        <v>64456</v>
      </c>
      <c r="J535" s="592">
        <v>6854</v>
      </c>
      <c r="K535" s="569">
        <v>10761</v>
      </c>
      <c r="L535" s="592">
        <v>4357</v>
      </c>
      <c r="M535" s="569">
        <v>8315</v>
      </c>
      <c r="N535" s="592">
        <v>59826</v>
      </c>
      <c r="O535" s="519">
        <v>61364</v>
      </c>
      <c r="P535" s="595">
        <f t="shared" si="162"/>
        <v>123375</v>
      </c>
      <c r="Q535" s="595">
        <f t="shared" si="163"/>
        <v>4112.5</v>
      </c>
      <c r="R535" s="596">
        <f t="shared" si="164"/>
        <v>144896</v>
      </c>
      <c r="S535" s="596">
        <f t="shared" si="165"/>
        <v>4829.8666666666668</v>
      </c>
      <c r="T535" s="592">
        <v>42299</v>
      </c>
      <c r="U535" s="519">
        <v>52725</v>
      </c>
      <c r="V535" s="595">
        <f t="shared" si="166"/>
        <v>123375</v>
      </c>
      <c r="W535" s="596">
        <f t="shared" si="167"/>
        <v>144896</v>
      </c>
      <c r="X535" s="592">
        <v>12996</v>
      </c>
      <c r="Y535" s="519">
        <v>16704</v>
      </c>
      <c r="Z535" s="592">
        <v>20040</v>
      </c>
      <c r="AA535" s="519">
        <v>19936</v>
      </c>
      <c r="AB535" s="592">
        <v>13752</v>
      </c>
      <c r="AC535" s="519">
        <v>10040</v>
      </c>
      <c r="AD535" s="592">
        <v>19600</v>
      </c>
      <c r="AE535" s="519">
        <v>13200</v>
      </c>
      <c r="AF535" s="595">
        <f t="shared" si="168"/>
        <v>66388</v>
      </c>
      <c r="AG535" s="595">
        <f t="shared" si="169"/>
        <v>73.76444444444445</v>
      </c>
      <c r="AH535" s="596">
        <f t="shared" si="170"/>
        <v>59880</v>
      </c>
      <c r="AI535" s="596">
        <f t="shared" si="171"/>
        <v>66.533333333333331</v>
      </c>
      <c r="AJ535" s="592"/>
      <c r="AK535" s="519"/>
      <c r="AL535" s="595">
        <f t="shared" si="172"/>
        <v>0</v>
      </c>
      <c r="AM535" s="596">
        <f t="shared" si="173"/>
        <v>0</v>
      </c>
      <c r="AN535" s="592"/>
      <c r="AO535" s="519"/>
      <c r="AP535" s="592"/>
      <c r="AQ535" s="519"/>
      <c r="AR535" s="592"/>
      <c r="AS535" s="519"/>
      <c r="AT535" s="592"/>
      <c r="AU535" s="519"/>
      <c r="AV535" s="595">
        <f t="shared" si="174"/>
        <v>0</v>
      </c>
      <c r="AW535" s="595">
        <f t="shared" si="175"/>
        <v>0</v>
      </c>
      <c r="AX535" s="596">
        <f t="shared" si="176"/>
        <v>0</v>
      </c>
      <c r="AY535" s="596">
        <f t="shared" si="177"/>
        <v>0</v>
      </c>
      <c r="AZ535" s="595">
        <f t="shared" si="178"/>
        <v>4186.2644444444441</v>
      </c>
      <c r="BA535" s="596">
        <f t="shared" si="179"/>
        <v>4896.4000000000005</v>
      </c>
    </row>
    <row r="536" spans="1:53" customFormat="1" ht="12.75" customHeight="1">
      <c r="A536" s="444" t="s">
        <v>523</v>
      </c>
      <c r="B536" s="468" t="s">
        <v>596</v>
      </c>
      <c r="C536" s="446"/>
      <c r="D536" s="447">
        <v>229319</v>
      </c>
      <c r="E536" s="447">
        <v>9</v>
      </c>
      <c r="F536" s="592"/>
      <c r="G536" s="519"/>
      <c r="H536" s="592">
        <v>32358</v>
      </c>
      <c r="I536" s="519">
        <v>30839</v>
      </c>
      <c r="J536" s="592">
        <v>17073</v>
      </c>
      <c r="K536" s="569">
        <v>4452</v>
      </c>
      <c r="L536" s="592">
        <v>0</v>
      </c>
      <c r="M536" s="519">
        <v>0</v>
      </c>
      <c r="N536" s="592">
        <v>36768</v>
      </c>
      <c r="O536" s="519">
        <v>45140</v>
      </c>
      <c r="P536" s="595">
        <f t="shared" si="162"/>
        <v>86199</v>
      </c>
      <c r="Q536" s="595">
        <f t="shared" si="163"/>
        <v>2873.3</v>
      </c>
      <c r="R536" s="596">
        <f t="shared" si="164"/>
        <v>80431</v>
      </c>
      <c r="S536" s="596">
        <f t="shared" si="165"/>
        <v>2681.0333333333333</v>
      </c>
      <c r="T536" s="592">
        <v>1524</v>
      </c>
      <c r="U536" s="519">
        <v>1329</v>
      </c>
      <c r="V536" s="595">
        <f t="shared" si="166"/>
        <v>86199</v>
      </c>
      <c r="W536" s="596">
        <f t="shared" si="167"/>
        <v>80431</v>
      </c>
      <c r="X536" s="592">
        <v>12508</v>
      </c>
      <c r="Y536" s="519">
        <v>8452</v>
      </c>
      <c r="Z536" s="592">
        <v>13042</v>
      </c>
      <c r="AA536" s="569">
        <v>2080</v>
      </c>
      <c r="AB536" s="592">
        <v>12096</v>
      </c>
      <c r="AC536" s="569">
        <v>5120</v>
      </c>
      <c r="AD536" s="592">
        <v>11488</v>
      </c>
      <c r="AE536" s="519">
        <v>10000</v>
      </c>
      <c r="AF536" s="595">
        <f t="shared" si="168"/>
        <v>49134</v>
      </c>
      <c r="AG536" s="595">
        <f t="shared" si="169"/>
        <v>54.593333333333334</v>
      </c>
      <c r="AH536" s="596">
        <f t="shared" si="170"/>
        <v>25652</v>
      </c>
      <c r="AI536" s="596">
        <f t="shared" si="171"/>
        <v>28.502222222222223</v>
      </c>
      <c r="AJ536" s="592"/>
      <c r="AK536" s="519"/>
      <c r="AL536" s="595">
        <f t="shared" si="172"/>
        <v>0</v>
      </c>
      <c r="AM536" s="596">
        <f t="shared" si="173"/>
        <v>0</v>
      </c>
      <c r="AN536" s="592"/>
      <c r="AO536" s="519"/>
      <c r="AP536" s="592"/>
      <c r="AQ536" s="519"/>
      <c r="AR536" s="592"/>
      <c r="AS536" s="519"/>
      <c r="AT536" s="592"/>
      <c r="AU536" s="519"/>
      <c r="AV536" s="595">
        <f t="shared" si="174"/>
        <v>0</v>
      </c>
      <c r="AW536" s="595">
        <f t="shared" si="175"/>
        <v>0</v>
      </c>
      <c r="AX536" s="596">
        <f t="shared" si="176"/>
        <v>0</v>
      </c>
      <c r="AY536" s="596">
        <f t="shared" si="177"/>
        <v>0</v>
      </c>
      <c r="AZ536" s="595">
        <f t="shared" si="178"/>
        <v>2927.8933333333334</v>
      </c>
      <c r="BA536" s="596">
        <f t="shared" si="179"/>
        <v>2709.5355555555557</v>
      </c>
    </row>
    <row r="537" spans="1:53" customFormat="1" ht="12.75" customHeight="1">
      <c r="A537" s="444" t="s">
        <v>523</v>
      </c>
      <c r="B537" s="445" t="s">
        <v>597</v>
      </c>
      <c r="C537" s="446"/>
      <c r="D537" s="447">
        <v>228680</v>
      </c>
      <c r="E537" s="447">
        <v>9</v>
      </c>
      <c r="F537" s="592"/>
      <c r="G537" s="519"/>
      <c r="H537" s="592">
        <v>34558</v>
      </c>
      <c r="I537" s="519">
        <v>35851</v>
      </c>
      <c r="J537" s="592">
        <v>26126</v>
      </c>
      <c r="K537" s="569">
        <v>1647</v>
      </c>
      <c r="L537" s="592">
        <v>0</v>
      </c>
      <c r="M537" s="519">
        <v>0</v>
      </c>
      <c r="N537" s="592">
        <v>41390</v>
      </c>
      <c r="O537" s="519">
        <v>51374</v>
      </c>
      <c r="P537" s="595">
        <f t="shared" si="162"/>
        <v>102074</v>
      </c>
      <c r="Q537" s="595">
        <f t="shared" si="163"/>
        <v>3402.4666666666667</v>
      </c>
      <c r="R537" s="596">
        <f t="shared" si="164"/>
        <v>88872</v>
      </c>
      <c r="S537" s="596">
        <f t="shared" si="165"/>
        <v>2962.4</v>
      </c>
      <c r="T537" s="592">
        <v>1920</v>
      </c>
      <c r="U537" s="519">
        <v>1192</v>
      </c>
      <c r="V537" s="595">
        <f t="shared" si="166"/>
        <v>102074</v>
      </c>
      <c r="W537" s="596">
        <f t="shared" si="167"/>
        <v>88872</v>
      </c>
      <c r="X537" s="592">
        <v>384</v>
      </c>
      <c r="Y537" s="569">
        <v>0</v>
      </c>
      <c r="Z537" s="592">
        <v>1920</v>
      </c>
      <c r="AA537" s="569">
        <v>0</v>
      </c>
      <c r="AB537" s="592">
        <v>1344</v>
      </c>
      <c r="AC537" s="519">
        <v>1400</v>
      </c>
      <c r="AD537" s="592">
        <v>0</v>
      </c>
      <c r="AE537" s="519">
        <v>0</v>
      </c>
      <c r="AF537" s="595">
        <f t="shared" si="168"/>
        <v>3648</v>
      </c>
      <c r="AG537" s="595">
        <f t="shared" si="169"/>
        <v>4.0533333333333337</v>
      </c>
      <c r="AH537" s="596">
        <f t="shared" si="170"/>
        <v>1400</v>
      </c>
      <c r="AI537" s="596">
        <f t="shared" si="171"/>
        <v>1.5555555555555556</v>
      </c>
      <c r="AJ537" s="592"/>
      <c r="AK537" s="519"/>
      <c r="AL537" s="595">
        <f t="shared" si="172"/>
        <v>0</v>
      </c>
      <c r="AM537" s="596">
        <f t="shared" si="173"/>
        <v>0</v>
      </c>
      <c r="AN537" s="592"/>
      <c r="AO537" s="519"/>
      <c r="AP537" s="592"/>
      <c r="AQ537" s="519"/>
      <c r="AR537" s="592"/>
      <c r="AS537" s="519"/>
      <c r="AT537" s="592"/>
      <c r="AU537" s="519"/>
      <c r="AV537" s="595">
        <f t="shared" si="174"/>
        <v>0</v>
      </c>
      <c r="AW537" s="595">
        <f t="shared" si="175"/>
        <v>0</v>
      </c>
      <c r="AX537" s="596">
        <f t="shared" si="176"/>
        <v>0</v>
      </c>
      <c r="AY537" s="596">
        <f t="shared" si="177"/>
        <v>0</v>
      </c>
      <c r="AZ537" s="595">
        <f t="shared" si="178"/>
        <v>3406.52</v>
      </c>
      <c r="BA537" s="596">
        <f t="shared" si="179"/>
        <v>2963.9555555555557</v>
      </c>
    </row>
    <row r="538" spans="1:53" customFormat="1" ht="12.75" customHeight="1">
      <c r="A538" s="444" t="s">
        <v>523</v>
      </c>
      <c r="B538" s="468" t="s">
        <v>598</v>
      </c>
      <c r="C538" s="575" t="s">
        <v>932</v>
      </c>
      <c r="D538" s="447">
        <v>229504</v>
      </c>
      <c r="E538" s="447">
        <v>9</v>
      </c>
      <c r="F538" s="592"/>
      <c r="G538" s="519"/>
      <c r="H538" s="592">
        <v>22882</v>
      </c>
      <c r="I538" s="519">
        <v>23349</v>
      </c>
      <c r="J538" s="592">
        <v>2567</v>
      </c>
      <c r="K538" s="519">
        <v>2467</v>
      </c>
      <c r="L538" s="592">
        <v>3613</v>
      </c>
      <c r="M538" s="519">
        <v>3912</v>
      </c>
      <c r="N538" s="592">
        <v>25219</v>
      </c>
      <c r="O538" s="519">
        <v>23765</v>
      </c>
      <c r="P538" s="595">
        <f t="shared" si="162"/>
        <v>54281</v>
      </c>
      <c r="Q538" s="595">
        <f t="shared" si="163"/>
        <v>1809.3666666666666</v>
      </c>
      <c r="R538" s="596">
        <f t="shared" si="164"/>
        <v>53493</v>
      </c>
      <c r="S538" s="596">
        <f t="shared" si="165"/>
        <v>1783.1</v>
      </c>
      <c r="T538" s="592">
        <v>8235</v>
      </c>
      <c r="U538" s="519">
        <v>8957</v>
      </c>
      <c r="V538" s="595">
        <f t="shared" si="166"/>
        <v>54281</v>
      </c>
      <c r="W538" s="596">
        <f t="shared" si="167"/>
        <v>53493</v>
      </c>
      <c r="X538" s="592">
        <v>58227</v>
      </c>
      <c r="Y538" s="519">
        <v>55757</v>
      </c>
      <c r="Z538" s="592">
        <v>58552</v>
      </c>
      <c r="AA538" s="519">
        <v>32096</v>
      </c>
      <c r="AB538" s="592">
        <v>28434</v>
      </c>
      <c r="AC538" s="519">
        <v>15016</v>
      </c>
      <c r="AD538" s="592">
        <v>66305</v>
      </c>
      <c r="AE538" s="519">
        <v>65616</v>
      </c>
      <c r="AF538" s="595">
        <f t="shared" si="168"/>
        <v>211518</v>
      </c>
      <c r="AG538" s="595">
        <f t="shared" si="169"/>
        <v>235.02</v>
      </c>
      <c r="AH538" s="596">
        <f t="shared" si="170"/>
        <v>168485</v>
      </c>
      <c r="AI538" s="596">
        <f t="shared" si="171"/>
        <v>187.20555555555555</v>
      </c>
      <c r="AJ538" s="592"/>
      <c r="AK538" s="519"/>
      <c r="AL538" s="595">
        <f t="shared" si="172"/>
        <v>0</v>
      </c>
      <c r="AM538" s="596">
        <f t="shared" si="173"/>
        <v>0</v>
      </c>
      <c r="AN538" s="592"/>
      <c r="AO538" s="519"/>
      <c r="AP538" s="592"/>
      <c r="AQ538" s="519"/>
      <c r="AR538" s="592"/>
      <c r="AS538" s="519"/>
      <c r="AT538" s="592"/>
      <c r="AU538" s="519"/>
      <c r="AV538" s="595">
        <f t="shared" si="174"/>
        <v>0</v>
      </c>
      <c r="AW538" s="595">
        <f t="shared" si="175"/>
        <v>0</v>
      </c>
      <c r="AX538" s="596">
        <f t="shared" si="176"/>
        <v>0</v>
      </c>
      <c r="AY538" s="596">
        <f t="shared" si="177"/>
        <v>0</v>
      </c>
      <c r="AZ538" s="595">
        <f t="shared" si="178"/>
        <v>2044.3866666666665</v>
      </c>
      <c r="BA538" s="596">
        <f t="shared" si="179"/>
        <v>1970.3055555555554</v>
      </c>
    </row>
    <row r="539" spans="1:53" customFormat="1" ht="12.75" customHeight="1">
      <c r="A539" s="444" t="s">
        <v>523</v>
      </c>
      <c r="B539" s="468" t="s">
        <v>599</v>
      </c>
      <c r="C539" s="446"/>
      <c r="D539" s="447">
        <v>229540</v>
      </c>
      <c r="E539" s="447">
        <v>9</v>
      </c>
      <c r="F539" s="592"/>
      <c r="G539" s="519"/>
      <c r="H539" s="592">
        <v>26008</v>
      </c>
      <c r="I539" s="519">
        <v>24997</v>
      </c>
      <c r="J539" s="592">
        <v>7204</v>
      </c>
      <c r="K539" s="519">
        <v>7545</v>
      </c>
      <c r="L539" s="592">
        <v>0</v>
      </c>
      <c r="M539" s="519">
        <v>0</v>
      </c>
      <c r="N539" s="592">
        <v>28637</v>
      </c>
      <c r="O539" s="519">
        <v>24574</v>
      </c>
      <c r="P539" s="595">
        <f t="shared" si="162"/>
        <v>61849</v>
      </c>
      <c r="Q539" s="595">
        <f t="shared" si="163"/>
        <v>2061.6333333333332</v>
      </c>
      <c r="R539" s="596">
        <f t="shared" si="164"/>
        <v>57116</v>
      </c>
      <c r="S539" s="596">
        <f t="shared" si="165"/>
        <v>1903.8666666666666</v>
      </c>
      <c r="T539" s="592">
        <v>6811</v>
      </c>
      <c r="U539" s="519">
        <v>6033</v>
      </c>
      <c r="V539" s="595">
        <f t="shared" si="166"/>
        <v>61849</v>
      </c>
      <c r="W539" s="596">
        <f t="shared" si="167"/>
        <v>57116</v>
      </c>
      <c r="X539" s="592">
        <v>35154</v>
      </c>
      <c r="Y539" s="519">
        <v>28270</v>
      </c>
      <c r="Z539" s="592">
        <v>18716</v>
      </c>
      <c r="AA539" s="519">
        <v>13718</v>
      </c>
      <c r="AB539" s="592">
        <v>21181</v>
      </c>
      <c r="AC539" s="519">
        <v>14695</v>
      </c>
      <c r="AD539" s="592">
        <v>31852</v>
      </c>
      <c r="AE539" s="519">
        <v>31559</v>
      </c>
      <c r="AF539" s="595">
        <f t="shared" si="168"/>
        <v>106903</v>
      </c>
      <c r="AG539" s="595">
        <f t="shared" si="169"/>
        <v>118.78111111111112</v>
      </c>
      <c r="AH539" s="596">
        <f t="shared" si="170"/>
        <v>88242</v>
      </c>
      <c r="AI539" s="596">
        <f t="shared" si="171"/>
        <v>98.046666666666667</v>
      </c>
      <c r="AJ539" s="592"/>
      <c r="AK539" s="519"/>
      <c r="AL539" s="595">
        <f t="shared" si="172"/>
        <v>0</v>
      </c>
      <c r="AM539" s="596">
        <f t="shared" si="173"/>
        <v>0</v>
      </c>
      <c r="AN539" s="592"/>
      <c r="AO539" s="519"/>
      <c r="AP539" s="592"/>
      <c r="AQ539" s="519"/>
      <c r="AR539" s="592"/>
      <c r="AS539" s="519"/>
      <c r="AT539" s="592"/>
      <c r="AU539" s="519"/>
      <c r="AV539" s="595">
        <f t="shared" si="174"/>
        <v>0</v>
      </c>
      <c r="AW539" s="595">
        <f t="shared" si="175"/>
        <v>0</v>
      </c>
      <c r="AX539" s="596">
        <f t="shared" si="176"/>
        <v>0</v>
      </c>
      <c r="AY539" s="596">
        <f t="shared" si="177"/>
        <v>0</v>
      </c>
      <c r="AZ539" s="595">
        <f t="shared" si="178"/>
        <v>2180.4144444444441</v>
      </c>
      <c r="BA539" s="596">
        <f t="shared" si="179"/>
        <v>2001.9133333333332</v>
      </c>
    </row>
    <row r="540" spans="1:53" customFormat="1" ht="12.75" customHeight="1">
      <c r="A540" s="444" t="s">
        <v>523</v>
      </c>
      <c r="B540" s="468" t="s">
        <v>600</v>
      </c>
      <c r="C540" s="446"/>
      <c r="D540" s="447">
        <v>229799</v>
      </c>
      <c r="E540" s="447">
        <v>9</v>
      </c>
      <c r="F540" s="592"/>
      <c r="G540" s="519"/>
      <c r="H540" s="592">
        <v>47389</v>
      </c>
      <c r="I540" s="519">
        <v>46080</v>
      </c>
      <c r="J540" s="592">
        <v>7445</v>
      </c>
      <c r="K540" s="519">
        <v>6740</v>
      </c>
      <c r="L540" s="592">
        <v>5527</v>
      </c>
      <c r="M540" s="519">
        <v>5813</v>
      </c>
      <c r="N540" s="592">
        <v>48948</v>
      </c>
      <c r="O540" s="519">
        <v>46253</v>
      </c>
      <c r="P540" s="595">
        <f t="shared" si="162"/>
        <v>109309</v>
      </c>
      <c r="Q540" s="595">
        <f t="shared" si="163"/>
        <v>3643.6333333333332</v>
      </c>
      <c r="R540" s="596">
        <f t="shared" si="164"/>
        <v>104886</v>
      </c>
      <c r="S540" s="596">
        <f t="shared" si="165"/>
        <v>3496.2</v>
      </c>
      <c r="T540" s="592">
        <v>18993</v>
      </c>
      <c r="U540" s="519">
        <v>17064</v>
      </c>
      <c r="V540" s="595">
        <f t="shared" si="166"/>
        <v>109309</v>
      </c>
      <c r="W540" s="596">
        <f t="shared" si="167"/>
        <v>104886</v>
      </c>
      <c r="X540" s="592">
        <v>31841</v>
      </c>
      <c r="Y540" s="519">
        <v>25023</v>
      </c>
      <c r="Z540" s="592">
        <v>36919</v>
      </c>
      <c r="AA540" s="569">
        <v>10408</v>
      </c>
      <c r="AB540" s="592">
        <v>22382</v>
      </c>
      <c r="AC540" s="519">
        <v>26999</v>
      </c>
      <c r="AD540" s="592">
        <v>29692</v>
      </c>
      <c r="AE540" s="569">
        <v>14092</v>
      </c>
      <c r="AF540" s="595">
        <f t="shared" si="168"/>
        <v>120834</v>
      </c>
      <c r="AG540" s="595">
        <f t="shared" si="169"/>
        <v>134.26</v>
      </c>
      <c r="AH540" s="596">
        <f t="shared" si="170"/>
        <v>76522</v>
      </c>
      <c r="AI540" s="596">
        <f t="shared" si="171"/>
        <v>85.024444444444441</v>
      </c>
      <c r="AJ540" s="592"/>
      <c r="AK540" s="519"/>
      <c r="AL540" s="595">
        <f t="shared" si="172"/>
        <v>0</v>
      </c>
      <c r="AM540" s="596">
        <f t="shared" si="173"/>
        <v>0</v>
      </c>
      <c r="AN540" s="592"/>
      <c r="AO540" s="519"/>
      <c r="AP540" s="592"/>
      <c r="AQ540" s="519"/>
      <c r="AR540" s="592"/>
      <c r="AS540" s="519"/>
      <c r="AT540" s="592"/>
      <c r="AU540" s="519"/>
      <c r="AV540" s="595">
        <f t="shared" si="174"/>
        <v>0</v>
      </c>
      <c r="AW540" s="595">
        <f t="shared" si="175"/>
        <v>0</v>
      </c>
      <c r="AX540" s="596">
        <f t="shared" si="176"/>
        <v>0</v>
      </c>
      <c r="AY540" s="596">
        <f t="shared" si="177"/>
        <v>0</v>
      </c>
      <c r="AZ540" s="595">
        <f t="shared" si="178"/>
        <v>3777.8933333333334</v>
      </c>
      <c r="BA540" s="596">
        <f t="shared" si="179"/>
        <v>3581.2244444444441</v>
      </c>
    </row>
    <row r="541" spans="1:53" customFormat="1" ht="12.75" customHeight="1">
      <c r="A541" s="444" t="s">
        <v>523</v>
      </c>
      <c r="B541" s="468" t="s">
        <v>601</v>
      </c>
      <c r="C541" s="446"/>
      <c r="D541" s="447">
        <v>229841</v>
      </c>
      <c r="E541" s="447">
        <v>9</v>
      </c>
      <c r="F541" s="592"/>
      <c r="G541" s="519"/>
      <c r="H541" s="592">
        <v>60208</v>
      </c>
      <c r="I541" s="519">
        <v>59528</v>
      </c>
      <c r="J541" s="592">
        <v>10674</v>
      </c>
      <c r="K541" s="519">
        <v>10245</v>
      </c>
      <c r="L541" s="592">
        <v>5552</v>
      </c>
      <c r="M541" s="519">
        <v>5883</v>
      </c>
      <c r="N541" s="592">
        <v>66772</v>
      </c>
      <c r="O541" s="519">
        <v>57917</v>
      </c>
      <c r="P541" s="595">
        <f t="shared" si="162"/>
        <v>143206</v>
      </c>
      <c r="Q541" s="595">
        <f t="shared" si="163"/>
        <v>4773.5333333333338</v>
      </c>
      <c r="R541" s="596">
        <f t="shared" si="164"/>
        <v>133573</v>
      </c>
      <c r="S541" s="596">
        <f t="shared" si="165"/>
        <v>4452.4333333333334</v>
      </c>
      <c r="T541" s="592">
        <v>6588</v>
      </c>
      <c r="U541" s="519">
        <v>6738</v>
      </c>
      <c r="V541" s="595">
        <f t="shared" si="166"/>
        <v>143206</v>
      </c>
      <c r="W541" s="596">
        <f t="shared" si="167"/>
        <v>133573</v>
      </c>
      <c r="X541" s="592">
        <v>6457</v>
      </c>
      <c r="Y541" s="519">
        <v>7544</v>
      </c>
      <c r="Z541" s="592">
        <v>8028</v>
      </c>
      <c r="AA541" s="569">
        <v>2968</v>
      </c>
      <c r="AB541" s="592">
        <v>10972</v>
      </c>
      <c r="AC541" s="519">
        <v>8709</v>
      </c>
      <c r="AD541" s="592">
        <v>9537</v>
      </c>
      <c r="AE541" s="519">
        <v>7098</v>
      </c>
      <c r="AF541" s="595">
        <f t="shared" si="168"/>
        <v>34994</v>
      </c>
      <c r="AG541" s="595">
        <f t="shared" si="169"/>
        <v>38.882222222222225</v>
      </c>
      <c r="AH541" s="596">
        <f t="shared" si="170"/>
        <v>26319</v>
      </c>
      <c r="AI541" s="596">
        <f t="shared" si="171"/>
        <v>29.243333333333332</v>
      </c>
      <c r="AJ541" s="592"/>
      <c r="AK541" s="519"/>
      <c r="AL541" s="595">
        <f t="shared" si="172"/>
        <v>0</v>
      </c>
      <c r="AM541" s="596">
        <f t="shared" si="173"/>
        <v>0</v>
      </c>
      <c r="AN541" s="592"/>
      <c r="AO541" s="519"/>
      <c r="AP541" s="592"/>
      <c r="AQ541" s="519"/>
      <c r="AR541" s="592"/>
      <c r="AS541" s="519"/>
      <c r="AT541" s="592"/>
      <c r="AU541" s="519"/>
      <c r="AV541" s="595">
        <f t="shared" si="174"/>
        <v>0</v>
      </c>
      <c r="AW541" s="595">
        <f t="shared" si="175"/>
        <v>0</v>
      </c>
      <c r="AX541" s="596">
        <f t="shared" si="176"/>
        <v>0</v>
      </c>
      <c r="AY541" s="596">
        <f t="shared" si="177"/>
        <v>0</v>
      </c>
      <c r="AZ541" s="595">
        <f t="shared" si="178"/>
        <v>4812.4155555555562</v>
      </c>
      <c r="BA541" s="596">
        <f t="shared" si="179"/>
        <v>4481.6766666666663</v>
      </c>
    </row>
    <row r="542" spans="1:53" customFormat="1" ht="12.75" customHeight="1">
      <c r="A542" s="444" t="s">
        <v>523</v>
      </c>
      <c r="B542" s="468" t="s">
        <v>602</v>
      </c>
      <c r="C542" s="446"/>
      <c r="D542" s="447">
        <v>223922</v>
      </c>
      <c r="E542" s="447">
        <v>10</v>
      </c>
      <c r="F542" s="592"/>
      <c r="G542" s="519"/>
      <c r="H542" s="592">
        <v>12969</v>
      </c>
      <c r="I542" s="519">
        <v>13076</v>
      </c>
      <c r="J542" s="592">
        <v>1053</v>
      </c>
      <c r="K542" s="519">
        <v>844</v>
      </c>
      <c r="L542" s="592">
        <v>2422</v>
      </c>
      <c r="M542" s="519">
        <v>2476</v>
      </c>
      <c r="N542" s="592">
        <v>13868</v>
      </c>
      <c r="O542" s="519">
        <v>12614</v>
      </c>
      <c r="P542" s="595">
        <f t="shared" si="162"/>
        <v>30312</v>
      </c>
      <c r="Q542" s="595">
        <f t="shared" si="163"/>
        <v>1010.4</v>
      </c>
      <c r="R542" s="596">
        <f t="shared" si="164"/>
        <v>29010</v>
      </c>
      <c r="S542" s="596">
        <f t="shared" si="165"/>
        <v>967</v>
      </c>
      <c r="T542" s="592">
        <v>7976</v>
      </c>
      <c r="U542" s="519">
        <v>7738</v>
      </c>
      <c r="V542" s="595">
        <f t="shared" si="166"/>
        <v>30312</v>
      </c>
      <c r="W542" s="596">
        <f t="shared" si="167"/>
        <v>29010</v>
      </c>
      <c r="X542" s="592">
        <v>2020</v>
      </c>
      <c r="Y542" s="519">
        <v>1104</v>
      </c>
      <c r="Z542" s="592">
        <v>2760</v>
      </c>
      <c r="AA542" s="569">
        <v>0</v>
      </c>
      <c r="AB542" s="592">
        <v>1488</v>
      </c>
      <c r="AC542" s="569">
        <v>2376</v>
      </c>
      <c r="AD542" s="592">
        <v>992</v>
      </c>
      <c r="AE542" s="572">
        <v>2552</v>
      </c>
      <c r="AF542" s="595">
        <f t="shared" si="168"/>
        <v>7260</v>
      </c>
      <c r="AG542" s="595">
        <f t="shared" si="169"/>
        <v>8.0666666666666664</v>
      </c>
      <c r="AH542" s="596">
        <f t="shared" si="170"/>
        <v>6032</v>
      </c>
      <c r="AI542" s="596">
        <f t="shared" si="171"/>
        <v>6.7022222222222219</v>
      </c>
      <c r="AJ542" s="592"/>
      <c r="AK542" s="519"/>
      <c r="AL542" s="595">
        <f t="shared" si="172"/>
        <v>0</v>
      </c>
      <c r="AM542" s="596">
        <f t="shared" si="173"/>
        <v>0</v>
      </c>
      <c r="AN542" s="592"/>
      <c r="AO542" s="519"/>
      <c r="AP542" s="592"/>
      <c r="AQ542" s="519"/>
      <c r="AR542" s="592"/>
      <c r="AS542" s="519"/>
      <c r="AT542" s="592"/>
      <c r="AU542" s="519"/>
      <c r="AV542" s="595">
        <f t="shared" si="174"/>
        <v>0</v>
      </c>
      <c r="AW542" s="595">
        <f t="shared" si="175"/>
        <v>0</v>
      </c>
      <c r="AX542" s="596">
        <f t="shared" si="176"/>
        <v>0</v>
      </c>
      <c r="AY542" s="596">
        <f t="shared" si="177"/>
        <v>0</v>
      </c>
      <c r="AZ542" s="595">
        <f t="shared" si="178"/>
        <v>1018.4666666666667</v>
      </c>
      <c r="BA542" s="596">
        <f t="shared" si="179"/>
        <v>973.70222222222219</v>
      </c>
    </row>
    <row r="543" spans="1:53" customFormat="1" ht="12.75" customHeight="1">
      <c r="A543" s="444" t="s">
        <v>523</v>
      </c>
      <c r="B543" s="468" t="s">
        <v>603</v>
      </c>
      <c r="C543" s="446"/>
      <c r="D543" s="447">
        <v>224891</v>
      </c>
      <c r="E543" s="447">
        <v>10</v>
      </c>
      <c r="F543" s="592"/>
      <c r="G543" s="519"/>
      <c r="H543" s="592">
        <v>12074</v>
      </c>
      <c r="I543" s="519">
        <v>11863</v>
      </c>
      <c r="J543" s="592">
        <v>1341</v>
      </c>
      <c r="K543" s="519">
        <v>1787</v>
      </c>
      <c r="L543" s="592">
        <v>824</v>
      </c>
      <c r="M543" s="519">
        <v>1006</v>
      </c>
      <c r="N543" s="592">
        <v>13283</v>
      </c>
      <c r="O543" s="519">
        <v>13751</v>
      </c>
      <c r="P543" s="595">
        <f t="shared" si="162"/>
        <v>27522</v>
      </c>
      <c r="Q543" s="595">
        <f t="shared" si="163"/>
        <v>917.4</v>
      </c>
      <c r="R543" s="596">
        <f t="shared" si="164"/>
        <v>28407</v>
      </c>
      <c r="S543" s="596">
        <f t="shared" si="165"/>
        <v>946.9</v>
      </c>
      <c r="T543" s="592">
        <v>10288</v>
      </c>
      <c r="U543" s="519">
        <v>10545</v>
      </c>
      <c r="V543" s="595">
        <f t="shared" si="166"/>
        <v>27522</v>
      </c>
      <c r="W543" s="596">
        <f t="shared" si="167"/>
        <v>28407</v>
      </c>
      <c r="X543" s="592">
        <v>11400</v>
      </c>
      <c r="Y543" s="569">
        <v>17525</v>
      </c>
      <c r="Z543" s="592">
        <v>7239</v>
      </c>
      <c r="AA543" s="519">
        <v>7898</v>
      </c>
      <c r="AB543" s="592">
        <v>11281</v>
      </c>
      <c r="AC543" s="519">
        <v>11312</v>
      </c>
      <c r="AD543" s="592">
        <v>18152</v>
      </c>
      <c r="AE543" s="519">
        <v>18493</v>
      </c>
      <c r="AF543" s="595">
        <f t="shared" si="168"/>
        <v>48072</v>
      </c>
      <c r="AG543" s="595">
        <f t="shared" si="169"/>
        <v>53.413333333333334</v>
      </c>
      <c r="AH543" s="596">
        <f t="shared" si="170"/>
        <v>55228</v>
      </c>
      <c r="AI543" s="596">
        <f t="shared" si="171"/>
        <v>61.364444444444445</v>
      </c>
      <c r="AJ543" s="592"/>
      <c r="AK543" s="519"/>
      <c r="AL543" s="595">
        <f t="shared" si="172"/>
        <v>0</v>
      </c>
      <c r="AM543" s="596">
        <f t="shared" si="173"/>
        <v>0</v>
      </c>
      <c r="AN543" s="592"/>
      <c r="AO543" s="519"/>
      <c r="AP543" s="592"/>
      <c r="AQ543" s="519"/>
      <c r="AR543" s="592"/>
      <c r="AS543" s="519"/>
      <c r="AT543" s="592"/>
      <c r="AU543" s="519"/>
      <c r="AV543" s="595">
        <f t="shared" si="174"/>
        <v>0</v>
      </c>
      <c r="AW543" s="595">
        <f t="shared" si="175"/>
        <v>0</v>
      </c>
      <c r="AX543" s="596">
        <f t="shared" si="176"/>
        <v>0</v>
      </c>
      <c r="AY543" s="596">
        <f t="shared" si="177"/>
        <v>0</v>
      </c>
      <c r="AZ543" s="595">
        <f t="shared" si="178"/>
        <v>970.81333333333328</v>
      </c>
      <c r="BA543" s="596">
        <f t="shared" si="179"/>
        <v>1008.2644444444444</v>
      </c>
    </row>
    <row r="544" spans="1:53" customFormat="1" ht="12.75" customHeight="1">
      <c r="A544" s="444" t="s">
        <v>523</v>
      </c>
      <c r="B544" s="468" t="s">
        <v>604</v>
      </c>
      <c r="C544" s="446"/>
      <c r="D544" s="447">
        <v>224961</v>
      </c>
      <c r="E544" s="447">
        <v>10</v>
      </c>
      <c r="F544" s="592"/>
      <c r="G544" s="519"/>
      <c r="H544" s="592">
        <v>18693</v>
      </c>
      <c r="I544" s="519">
        <v>18697</v>
      </c>
      <c r="J544" s="592">
        <v>4078</v>
      </c>
      <c r="K544" s="519">
        <v>3300</v>
      </c>
      <c r="L544" s="592">
        <v>3643</v>
      </c>
      <c r="M544" s="519">
        <v>4562</v>
      </c>
      <c r="N544" s="592">
        <v>19847</v>
      </c>
      <c r="O544" s="519">
        <v>18166</v>
      </c>
      <c r="P544" s="595">
        <f t="shared" si="162"/>
        <v>46261</v>
      </c>
      <c r="Q544" s="595">
        <f t="shared" si="163"/>
        <v>1542.0333333333333</v>
      </c>
      <c r="R544" s="596">
        <f t="shared" si="164"/>
        <v>44725</v>
      </c>
      <c r="S544" s="596">
        <f t="shared" si="165"/>
        <v>1490.8333333333333</v>
      </c>
      <c r="T544" s="592">
        <v>6212</v>
      </c>
      <c r="U544" s="519">
        <v>6491</v>
      </c>
      <c r="V544" s="595">
        <f t="shared" si="166"/>
        <v>46261</v>
      </c>
      <c r="W544" s="596">
        <f t="shared" si="167"/>
        <v>44725</v>
      </c>
      <c r="X544" s="592">
        <v>17406</v>
      </c>
      <c r="Y544" s="519">
        <v>24177</v>
      </c>
      <c r="Z544" s="592">
        <v>8028</v>
      </c>
      <c r="AA544" s="569">
        <v>432</v>
      </c>
      <c r="AB544" s="592">
        <v>8069</v>
      </c>
      <c r="AC544" s="569">
        <v>2028</v>
      </c>
      <c r="AD544" s="592">
        <v>27676</v>
      </c>
      <c r="AE544" s="519">
        <v>15463</v>
      </c>
      <c r="AF544" s="595">
        <f t="shared" si="168"/>
        <v>61179</v>
      </c>
      <c r="AG544" s="595">
        <f t="shared" si="169"/>
        <v>67.976666666666674</v>
      </c>
      <c r="AH544" s="596">
        <f t="shared" si="170"/>
        <v>42100</v>
      </c>
      <c r="AI544" s="596">
        <f t="shared" si="171"/>
        <v>46.777777777777779</v>
      </c>
      <c r="AJ544" s="592"/>
      <c r="AK544" s="519"/>
      <c r="AL544" s="595">
        <f t="shared" si="172"/>
        <v>0</v>
      </c>
      <c r="AM544" s="596">
        <f t="shared" si="173"/>
        <v>0</v>
      </c>
      <c r="AN544" s="592"/>
      <c r="AO544" s="519"/>
      <c r="AP544" s="592"/>
      <c r="AQ544" s="519"/>
      <c r="AR544" s="592"/>
      <c r="AS544" s="519"/>
      <c r="AT544" s="592"/>
      <c r="AU544" s="519"/>
      <c r="AV544" s="595">
        <f t="shared" si="174"/>
        <v>0</v>
      </c>
      <c r="AW544" s="595">
        <f t="shared" si="175"/>
        <v>0</v>
      </c>
      <c r="AX544" s="596">
        <f t="shared" si="176"/>
        <v>0</v>
      </c>
      <c r="AY544" s="596">
        <f t="shared" si="177"/>
        <v>0</v>
      </c>
      <c r="AZ544" s="595">
        <f t="shared" si="178"/>
        <v>1610.01</v>
      </c>
      <c r="BA544" s="596">
        <f t="shared" si="179"/>
        <v>1537.6111111111111</v>
      </c>
    </row>
    <row r="545" spans="1:53" customFormat="1" ht="12.75" customHeight="1">
      <c r="A545" s="444" t="s">
        <v>523</v>
      </c>
      <c r="B545" s="468" t="s">
        <v>605</v>
      </c>
      <c r="C545" s="446"/>
      <c r="D545" s="447">
        <v>226107</v>
      </c>
      <c r="E545" s="447">
        <v>10</v>
      </c>
      <c r="F545" s="592"/>
      <c r="G545" s="519"/>
      <c r="H545" s="592">
        <v>17896</v>
      </c>
      <c r="I545" s="519">
        <v>19031</v>
      </c>
      <c r="J545" s="592">
        <v>4696</v>
      </c>
      <c r="K545" s="569">
        <v>8765</v>
      </c>
      <c r="L545" s="592">
        <v>0</v>
      </c>
      <c r="M545" s="519">
        <v>0</v>
      </c>
      <c r="N545" s="592">
        <v>21186</v>
      </c>
      <c r="O545" s="519">
        <v>20531</v>
      </c>
      <c r="P545" s="595">
        <f t="shared" si="162"/>
        <v>43778</v>
      </c>
      <c r="Q545" s="595">
        <f t="shared" si="163"/>
        <v>1459.2666666666667</v>
      </c>
      <c r="R545" s="596">
        <f t="shared" si="164"/>
        <v>48327</v>
      </c>
      <c r="S545" s="596">
        <f t="shared" si="165"/>
        <v>1610.9</v>
      </c>
      <c r="T545" s="592">
        <v>5942</v>
      </c>
      <c r="U545" s="519">
        <v>7072</v>
      </c>
      <c r="V545" s="595">
        <f t="shared" si="166"/>
        <v>43778</v>
      </c>
      <c r="W545" s="596">
        <f t="shared" si="167"/>
        <v>48327</v>
      </c>
      <c r="X545" s="592">
        <v>2534</v>
      </c>
      <c r="Y545" s="572">
        <v>8783</v>
      </c>
      <c r="Z545" s="592">
        <v>2009</v>
      </c>
      <c r="AA545" s="519">
        <v>1768</v>
      </c>
      <c r="AB545" s="592">
        <v>13824</v>
      </c>
      <c r="AC545" s="519">
        <v>7206</v>
      </c>
      <c r="AD545" s="592">
        <v>3025</v>
      </c>
      <c r="AE545" s="519">
        <v>1931</v>
      </c>
      <c r="AF545" s="595">
        <f t="shared" si="168"/>
        <v>21392</v>
      </c>
      <c r="AG545" s="595">
        <f t="shared" si="169"/>
        <v>23.768888888888888</v>
      </c>
      <c r="AH545" s="596">
        <f t="shared" si="170"/>
        <v>19688</v>
      </c>
      <c r="AI545" s="596">
        <f t="shared" si="171"/>
        <v>21.875555555555554</v>
      </c>
      <c r="AJ545" s="592"/>
      <c r="AK545" s="519"/>
      <c r="AL545" s="595">
        <f t="shared" si="172"/>
        <v>0</v>
      </c>
      <c r="AM545" s="596">
        <f t="shared" si="173"/>
        <v>0</v>
      </c>
      <c r="AN545" s="592"/>
      <c r="AO545" s="519"/>
      <c r="AP545" s="592"/>
      <c r="AQ545" s="519"/>
      <c r="AR545" s="592"/>
      <c r="AS545" s="519"/>
      <c r="AT545" s="592"/>
      <c r="AU545" s="519"/>
      <c r="AV545" s="595">
        <f t="shared" si="174"/>
        <v>0</v>
      </c>
      <c r="AW545" s="595">
        <f t="shared" si="175"/>
        <v>0</v>
      </c>
      <c r="AX545" s="596">
        <f t="shared" si="176"/>
        <v>0</v>
      </c>
      <c r="AY545" s="596">
        <f t="shared" si="177"/>
        <v>0</v>
      </c>
      <c r="AZ545" s="595">
        <f t="shared" si="178"/>
        <v>1483.0355555555554</v>
      </c>
      <c r="BA545" s="596">
        <f t="shared" si="179"/>
        <v>1632.7755555555557</v>
      </c>
    </row>
    <row r="546" spans="1:53" customFormat="1" ht="12.75" customHeight="1">
      <c r="A546" s="444" t="s">
        <v>523</v>
      </c>
      <c r="B546" s="468" t="s">
        <v>587</v>
      </c>
      <c r="C546" s="473" t="s">
        <v>845</v>
      </c>
      <c r="D546" s="447">
        <v>226116</v>
      </c>
      <c r="E546" s="447">
        <v>10</v>
      </c>
      <c r="F546" s="592"/>
      <c r="G546" s="519"/>
      <c r="H546" s="592">
        <v>21746</v>
      </c>
      <c r="I546" s="519">
        <v>22534</v>
      </c>
      <c r="J546" s="592">
        <v>5965</v>
      </c>
      <c r="K546" s="569">
        <v>8953</v>
      </c>
      <c r="L546" s="592">
        <v>0</v>
      </c>
      <c r="M546" s="519">
        <v>0</v>
      </c>
      <c r="N546" s="592">
        <v>24476</v>
      </c>
      <c r="O546" s="519">
        <v>22662</v>
      </c>
      <c r="P546" s="595">
        <f t="shared" si="162"/>
        <v>52187</v>
      </c>
      <c r="Q546" s="595">
        <f t="shared" si="163"/>
        <v>1739.5666666666666</v>
      </c>
      <c r="R546" s="596">
        <f t="shared" si="164"/>
        <v>54149</v>
      </c>
      <c r="S546" s="596">
        <f t="shared" si="165"/>
        <v>1804.9666666666667</v>
      </c>
      <c r="T546" s="592">
        <v>8297</v>
      </c>
      <c r="U546" s="519">
        <v>10086</v>
      </c>
      <c r="V546" s="595">
        <f t="shared" si="166"/>
        <v>52187</v>
      </c>
      <c r="W546" s="596">
        <f t="shared" si="167"/>
        <v>54149</v>
      </c>
      <c r="X546" s="592">
        <v>68131</v>
      </c>
      <c r="Y546" s="519">
        <v>36551</v>
      </c>
      <c r="Z546" s="592">
        <v>62540</v>
      </c>
      <c r="AA546" s="569">
        <v>3160</v>
      </c>
      <c r="AB546" s="592">
        <v>55664</v>
      </c>
      <c r="AC546" s="569">
        <v>7152</v>
      </c>
      <c r="AD546" s="592">
        <v>66608</v>
      </c>
      <c r="AE546" s="569">
        <v>24624</v>
      </c>
      <c r="AF546" s="595">
        <f t="shared" si="168"/>
        <v>252943</v>
      </c>
      <c r="AG546" s="595">
        <f t="shared" si="169"/>
        <v>281.04777777777775</v>
      </c>
      <c r="AH546" s="596">
        <f t="shared" si="170"/>
        <v>71487</v>
      </c>
      <c r="AI546" s="596">
        <f t="shared" si="171"/>
        <v>79.430000000000007</v>
      </c>
      <c r="AJ546" s="592"/>
      <c r="AK546" s="519"/>
      <c r="AL546" s="595">
        <f t="shared" si="172"/>
        <v>0</v>
      </c>
      <c r="AM546" s="596">
        <f t="shared" si="173"/>
        <v>0</v>
      </c>
      <c r="AN546" s="592"/>
      <c r="AO546" s="519"/>
      <c r="AP546" s="592"/>
      <c r="AQ546" s="519"/>
      <c r="AR546" s="592"/>
      <c r="AS546" s="519"/>
      <c r="AT546" s="592"/>
      <c r="AU546" s="519"/>
      <c r="AV546" s="595">
        <f t="shared" si="174"/>
        <v>0</v>
      </c>
      <c r="AW546" s="595">
        <f t="shared" si="175"/>
        <v>0</v>
      </c>
      <c r="AX546" s="596">
        <f t="shared" si="176"/>
        <v>0</v>
      </c>
      <c r="AY546" s="596">
        <f t="shared" si="177"/>
        <v>0</v>
      </c>
      <c r="AZ546" s="595">
        <f t="shared" si="178"/>
        <v>2020.6144444444444</v>
      </c>
      <c r="BA546" s="596">
        <f t="shared" si="179"/>
        <v>1884.3966666666668</v>
      </c>
    </row>
    <row r="547" spans="1:53" customFormat="1" ht="12.75" customHeight="1">
      <c r="A547" s="444" t="s">
        <v>523</v>
      </c>
      <c r="B547" s="470" t="s">
        <v>606</v>
      </c>
      <c r="C547" s="573" t="s">
        <v>916</v>
      </c>
      <c r="D547" s="447">
        <v>488730</v>
      </c>
      <c r="E547" s="576">
        <v>9</v>
      </c>
      <c r="F547" s="592"/>
      <c r="G547" s="519"/>
      <c r="H547" s="592">
        <v>42436</v>
      </c>
      <c r="I547" s="519">
        <v>47061</v>
      </c>
      <c r="J547" s="592">
        <v>11929</v>
      </c>
      <c r="K547" s="519">
        <v>10298</v>
      </c>
      <c r="L547" s="592">
        <v>0</v>
      </c>
      <c r="M547" s="519">
        <v>0</v>
      </c>
      <c r="N547" s="592">
        <v>51705</v>
      </c>
      <c r="O547" s="519">
        <v>44986</v>
      </c>
      <c r="P547" s="595">
        <f t="shared" si="162"/>
        <v>106070</v>
      </c>
      <c r="Q547" s="595">
        <f t="shared" si="163"/>
        <v>3535.6666666666665</v>
      </c>
      <c r="R547" s="596">
        <f t="shared" si="164"/>
        <v>102345</v>
      </c>
      <c r="S547" s="596">
        <f t="shared" si="165"/>
        <v>3411.5</v>
      </c>
      <c r="T547" s="592">
        <v>11300</v>
      </c>
      <c r="U547" s="519">
        <v>13148</v>
      </c>
      <c r="V547" s="595">
        <f t="shared" si="166"/>
        <v>106070</v>
      </c>
      <c r="W547" s="596">
        <f t="shared" si="167"/>
        <v>102345</v>
      </c>
      <c r="X547" s="592">
        <v>5504</v>
      </c>
      <c r="Y547" s="519">
        <v>5808</v>
      </c>
      <c r="Z547" s="592">
        <v>9140</v>
      </c>
      <c r="AA547" s="569">
        <v>3952</v>
      </c>
      <c r="AB547" s="592">
        <v>7072</v>
      </c>
      <c r="AC547" s="569">
        <v>2384</v>
      </c>
      <c r="AD547" s="592">
        <v>4168</v>
      </c>
      <c r="AE547" s="519">
        <v>3616</v>
      </c>
      <c r="AF547" s="595">
        <f t="shared" si="168"/>
        <v>25884</v>
      </c>
      <c r="AG547" s="595">
        <f t="shared" si="169"/>
        <v>28.76</v>
      </c>
      <c r="AH547" s="596">
        <f t="shared" si="170"/>
        <v>15760</v>
      </c>
      <c r="AI547" s="596">
        <f t="shared" si="171"/>
        <v>17.511111111111113</v>
      </c>
      <c r="AJ547" s="592"/>
      <c r="AK547" s="519"/>
      <c r="AL547" s="595">
        <f t="shared" si="172"/>
        <v>0</v>
      </c>
      <c r="AM547" s="596">
        <f t="shared" si="173"/>
        <v>0</v>
      </c>
      <c r="AN547" s="592"/>
      <c r="AO547" s="519"/>
      <c r="AP547" s="592"/>
      <c r="AQ547" s="519"/>
      <c r="AR547" s="592"/>
      <c r="AS547" s="519"/>
      <c r="AT547" s="592"/>
      <c r="AU547" s="519"/>
      <c r="AV547" s="595">
        <f t="shared" si="174"/>
        <v>0</v>
      </c>
      <c r="AW547" s="595">
        <f t="shared" si="175"/>
        <v>0</v>
      </c>
      <c r="AX547" s="596">
        <f t="shared" si="176"/>
        <v>0</v>
      </c>
      <c r="AY547" s="596">
        <f t="shared" si="177"/>
        <v>0</v>
      </c>
      <c r="AZ547" s="595">
        <f t="shared" si="178"/>
        <v>3564.4266666666667</v>
      </c>
      <c r="BA547" s="596">
        <f t="shared" si="179"/>
        <v>3429.0111111111109</v>
      </c>
    </row>
    <row r="548" spans="1:53" customFormat="1" ht="12.75" customHeight="1">
      <c r="A548" s="444" t="s">
        <v>523</v>
      </c>
      <c r="B548" s="468" t="s">
        <v>607</v>
      </c>
      <c r="C548" s="446"/>
      <c r="D548" s="447">
        <v>227386</v>
      </c>
      <c r="E548" s="447">
        <v>10</v>
      </c>
      <c r="F548" s="592"/>
      <c r="G548" s="519"/>
      <c r="H548" s="592">
        <v>22498</v>
      </c>
      <c r="I548" s="519">
        <v>20595</v>
      </c>
      <c r="J548" s="592">
        <v>3321</v>
      </c>
      <c r="K548" s="519">
        <v>3321</v>
      </c>
      <c r="L548" s="592">
        <v>2457</v>
      </c>
      <c r="M548" s="519">
        <v>1908</v>
      </c>
      <c r="N548" s="592">
        <v>23667</v>
      </c>
      <c r="O548" s="519">
        <v>22918</v>
      </c>
      <c r="P548" s="595">
        <f t="shared" si="162"/>
        <v>51943</v>
      </c>
      <c r="Q548" s="595">
        <f t="shared" si="163"/>
        <v>1731.4333333333334</v>
      </c>
      <c r="R548" s="596">
        <f t="shared" si="164"/>
        <v>48742</v>
      </c>
      <c r="S548" s="596">
        <f t="shared" si="165"/>
        <v>1624.7333333333333</v>
      </c>
      <c r="T548" s="592">
        <v>10417</v>
      </c>
      <c r="U548" s="519">
        <v>11241</v>
      </c>
      <c r="V548" s="595">
        <f t="shared" si="166"/>
        <v>51943</v>
      </c>
      <c r="W548" s="596">
        <f t="shared" si="167"/>
        <v>48742</v>
      </c>
      <c r="X548" s="592">
        <v>14463</v>
      </c>
      <c r="Y548" s="519">
        <v>8826</v>
      </c>
      <c r="Z548" s="592">
        <v>8466</v>
      </c>
      <c r="AA548" s="519">
        <v>6434</v>
      </c>
      <c r="AB548" s="592">
        <v>11658</v>
      </c>
      <c r="AC548" s="519">
        <v>13645</v>
      </c>
      <c r="AD548" s="592">
        <v>18428</v>
      </c>
      <c r="AE548" s="519">
        <v>13291</v>
      </c>
      <c r="AF548" s="595">
        <f t="shared" si="168"/>
        <v>53015</v>
      </c>
      <c r="AG548" s="595">
        <f t="shared" si="169"/>
        <v>58.905555555555559</v>
      </c>
      <c r="AH548" s="596">
        <f t="shared" si="170"/>
        <v>42196</v>
      </c>
      <c r="AI548" s="596">
        <f t="shared" si="171"/>
        <v>46.884444444444448</v>
      </c>
      <c r="AJ548" s="592"/>
      <c r="AK548" s="519"/>
      <c r="AL548" s="595">
        <f t="shared" si="172"/>
        <v>0</v>
      </c>
      <c r="AM548" s="596">
        <f t="shared" si="173"/>
        <v>0</v>
      </c>
      <c r="AN548" s="592"/>
      <c r="AO548" s="519"/>
      <c r="AP548" s="592"/>
      <c r="AQ548" s="519"/>
      <c r="AR548" s="592"/>
      <c r="AS548" s="519"/>
      <c r="AT548" s="592"/>
      <c r="AU548" s="519"/>
      <c r="AV548" s="595">
        <f t="shared" si="174"/>
        <v>0</v>
      </c>
      <c r="AW548" s="595">
        <f t="shared" si="175"/>
        <v>0</v>
      </c>
      <c r="AX548" s="596">
        <f t="shared" si="176"/>
        <v>0</v>
      </c>
      <c r="AY548" s="596">
        <f t="shared" si="177"/>
        <v>0</v>
      </c>
      <c r="AZ548" s="595">
        <f t="shared" si="178"/>
        <v>1790.338888888889</v>
      </c>
      <c r="BA548" s="596">
        <f t="shared" si="179"/>
        <v>1671.6177777777777</v>
      </c>
    </row>
    <row r="549" spans="1:53" customFormat="1" ht="12.75" customHeight="1">
      <c r="A549" s="444" t="s">
        <v>523</v>
      </c>
      <c r="B549" s="468" t="s">
        <v>608</v>
      </c>
      <c r="C549" s="446"/>
      <c r="D549" s="447">
        <v>227687</v>
      </c>
      <c r="E549" s="447">
        <v>10</v>
      </c>
      <c r="F549" s="592"/>
      <c r="G549" s="519"/>
      <c r="H549" s="592">
        <v>19787</v>
      </c>
      <c r="I549" s="519">
        <v>19494</v>
      </c>
      <c r="J549" s="592">
        <v>3306</v>
      </c>
      <c r="K549" s="519">
        <v>3050</v>
      </c>
      <c r="L549" s="592">
        <v>1189</v>
      </c>
      <c r="M549" s="519">
        <v>931</v>
      </c>
      <c r="N549" s="592">
        <v>21772</v>
      </c>
      <c r="O549" s="519">
        <v>21363</v>
      </c>
      <c r="P549" s="595">
        <f t="shared" si="162"/>
        <v>46054</v>
      </c>
      <c r="Q549" s="595">
        <f t="shared" si="163"/>
        <v>1535.1333333333334</v>
      </c>
      <c r="R549" s="596">
        <f t="shared" si="164"/>
        <v>44838</v>
      </c>
      <c r="S549" s="596">
        <f t="shared" si="165"/>
        <v>1494.6</v>
      </c>
      <c r="T549" s="592">
        <v>13702</v>
      </c>
      <c r="U549" s="519">
        <v>13286</v>
      </c>
      <c r="V549" s="595">
        <f t="shared" si="166"/>
        <v>46054</v>
      </c>
      <c r="W549" s="596">
        <f t="shared" si="167"/>
        <v>44838</v>
      </c>
      <c r="X549" s="592">
        <v>21228</v>
      </c>
      <c r="Y549" s="519">
        <v>20456</v>
      </c>
      <c r="Z549" s="592">
        <v>8400</v>
      </c>
      <c r="AA549" s="572">
        <v>20262</v>
      </c>
      <c r="AB549" s="592">
        <v>15112</v>
      </c>
      <c r="AC549" s="519">
        <v>8062</v>
      </c>
      <c r="AD549" s="592">
        <v>6200</v>
      </c>
      <c r="AE549" s="519">
        <v>5528</v>
      </c>
      <c r="AF549" s="595">
        <f t="shared" si="168"/>
        <v>50940</v>
      </c>
      <c r="AG549" s="595">
        <f t="shared" si="169"/>
        <v>56.6</v>
      </c>
      <c r="AH549" s="596">
        <f t="shared" si="170"/>
        <v>54308</v>
      </c>
      <c r="AI549" s="596">
        <f t="shared" si="171"/>
        <v>60.342222222222219</v>
      </c>
      <c r="AJ549" s="592"/>
      <c r="AK549" s="519"/>
      <c r="AL549" s="595">
        <f t="shared" si="172"/>
        <v>0</v>
      </c>
      <c r="AM549" s="596">
        <f t="shared" si="173"/>
        <v>0</v>
      </c>
      <c r="AN549" s="592"/>
      <c r="AO549" s="519"/>
      <c r="AP549" s="592"/>
      <c r="AQ549" s="519"/>
      <c r="AR549" s="592"/>
      <c r="AS549" s="519"/>
      <c r="AT549" s="592"/>
      <c r="AU549" s="519"/>
      <c r="AV549" s="595">
        <f t="shared" si="174"/>
        <v>0</v>
      </c>
      <c r="AW549" s="595">
        <f t="shared" si="175"/>
        <v>0</v>
      </c>
      <c r="AX549" s="596">
        <f t="shared" si="176"/>
        <v>0</v>
      </c>
      <c r="AY549" s="596">
        <f t="shared" si="177"/>
        <v>0</v>
      </c>
      <c r="AZ549" s="595">
        <f t="shared" si="178"/>
        <v>1591.7333333333333</v>
      </c>
      <c r="BA549" s="596">
        <f t="shared" si="179"/>
        <v>1554.9422222222222</v>
      </c>
    </row>
    <row r="550" spans="1:53" customFormat="1" ht="12.75" customHeight="1">
      <c r="A550" s="444" t="s">
        <v>523</v>
      </c>
      <c r="B550" s="472" t="s">
        <v>609</v>
      </c>
      <c r="C550" s="446"/>
      <c r="D550" s="447">
        <v>382911</v>
      </c>
      <c r="E550" s="447">
        <v>10</v>
      </c>
      <c r="F550" s="592"/>
      <c r="G550" s="519"/>
      <c r="H550" s="592">
        <v>867</v>
      </c>
      <c r="I550" s="519">
        <v>627</v>
      </c>
      <c r="J550" s="592">
        <v>9</v>
      </c>
      <c r="K550" s="569">
        <v>0</v>
      </c>
      <c r="L550" s="592">
        <v>0</v>
      </c>
      <c r="M550" s="519">
        <v>0</v>
      </c>
      <c r="N550" s="592">
        <v>667</v>
      </c>
      <c r="O550" s="519">
        <v>469</v>
      </c>
      <c r="P550" s="595">
        <f t="shared" si="162"/>
        <v>1543</v>
      </c>
      <c r="Q550" s="595">
        <f t="shared" si="163"/>
        <v>51.43333333333333</v>
      </c>
      <c r="R550" s="596">
        <f t="shared" si="164"/>
        <v>1096</v>
      </c>
      <c r="S550" s="596">
        <f t="shared" si="165"/>
        <v>36.533333333333331</v>
      </c>
      <c r="T550" s="592">
        <v>0</v>
      </c>
      <c r="U550" s="572">
        <v>15</v>
      </c>
      <c r="V550" s="595">
        <f t="shared" si="166"/>
        <v>1543</v>
      </c>
      <c r="W550" s="596">
        <f t="shared" si="167"/>
        <v>1096</v>
      </c>
      <c r="X550" s="592"/>
      <c r="Y550" s="519">
        <v>0</v>
      </c>
      <c r="Z550" s="592"/>
      <c r="AA550" s="519">
        <v>0</v>
      </c>
      <c r="AB550" s="592"/>
      <c r="AC550" s="519">
        <v>0</v>
      </c>
      <c r="AD550" s="592"/>
      <c r="AE550" s="519">
        <v>0</v>
      </c>
      <c r="AF550" s="595">
        <f t="shared" si="168"/>
        <v>0</v>
      </c>
      <c r="AG550" s="595">
        <f t="shared" si="169"/>
        <v>0</v>
      </c>
      <c r="AH550" s="596">
        <f t="shared" si="170"/>
        <v>0</v>
      </c>
      <c r="AI550" s="596">
        <f t="shared" si="171"/>
        <v>0</v>
      </c>
      <c r="AJ550" s="592"/>
      <c r="AK550" s="519"/>
      <c r="AL550" s="595">
        <f t="shared" si="172"/>
        <v>0</v>
      </c>
      <c r="AM550" s="596">
        <f t="shared" si="173"/>
        <v>0</v>
      </c>
      <c r="AN550" s="592"/>
      <c r="AO550" s="519"/>
      <c r="AP550" s="592"/>
      <c r="AQ550" s="519"/>
      <c r="AR550" s="592"/>
      <c r="AS550" s="519"/>
      <c r="AT550" s="592"/>
      <c r="AU550" s="519"/>
      <c r="AV550" s="595">
        <f t="shared" si="174"/>
        <v>0</v>
      </c>
      <c r="AW550" s="595">
        <f t="shared" si="175"/>
        <v>0</v>
      </c>
      <c r="AX550" s="596">
        <f t="shared" si="176"/>
        <v>0</v>
      </c>
      <c r="AY550" s="596">
        <f t="shared" si="177"/>
        <v>0</v>
      </c>
      <c r="AZ550" s="595">
        <f t="shared" si="178"/>
        <v>51.43333333333333</v>
      </c>
      <c r="BA550" s="596">
        <f t="shared" si="179"/>
        <v>36.533333333333331</v>
      </c>
    </row>
    <row r="551" spans="1:53" customFormat="1" ht="12.75" customHeight="1">
      <c r="A551" s="444" t="s">
        <v>523</v>
      </c>
      <c r="B551" s="469" t="s">
        <v>620</v>
      </c>
      <c r="C551" s="446"/>
      <c r="D551" s="450" t="s">
        <v>827</v>
      </c>
      <c r="E551" s="474">
        <v>10</v>
      </c>
      <c r="F551" s="592"/>
      <c r="G551" s="519"/>
      <c r="H551" s="592">
        <v>3766</v>
      </c>
      <c r="I551" s="519">
        <v>4525</v>
      </c>
      <c r="J551" s="592">
        <v>2494</v>
      </c>
      <c r="K551" s="569">
        <v>24</v>
      </c>
      <c r="L551" s="592">
        <v>0</v>
      </c>
      <c r="M551" s="519">
        <v>0</v>
      </c>
      <c r="N551" s="592">
        <v>5387</v>
      </c>
      <c r="O551" s="519">
        <v>7933</v>
      </c>
      <c r="P551" s="595">
        <f t="shared" si="162"/>
        <v>11647</v>
      </c>
      <c r="Q551" s="595">
        <f t="shared" si="163"/>
        <v>388.23333333333335</v>
      </c>
      <c r="R551" s="596">
        <f t="shared" si="164"/>
        <v>12482</v>
      </c>
      <c r="S551" s="596">
        <f t="shared" si="165"/>
        <v>416.06666666666666</v>
      </c>
      <c r="T551" s="592">
        <v>187</v>
      </c>
      <c r="U551" s="519">
        <v>247</v>
      </c>
      <c r="V551" s="595">
        <f t="shared" si="166"/>
        <v>11647</v>
      </c>
      <c r="W551" s="596">
        <f t="shared" si="167"/>
        <v>12482</v>
      </c>
      <c r="X551" s="592"/>
      <c r="Y551" s="519">
        <v>0</v>
      </c>
      <c r="Z551" s="592"/>
      <c r="AA551" s="519">
        <v>0</v>
      </c>
      <c r="AB551" s="592"/>
      <c r="AC551" s="572">
        <v>460</v>
      </c>
      <c r="AD551" s="592"/>
      <c r="AE551" s="519">
        <v>0</v>
      </c>
      <c r="AF551" s="595">
        <f t="shared" si="168"/>
        <v>0</v>
      </c>
      <c r="AG551" s="595">
        <f t="shared" si="169"/>
        <v>0</v>
      </c>
      <c r="AH551" s="596">
        <f t="shared" si="170"/>
        <v>460</v>
      </c>
      <c r="AI551" s="596">
        <f t="shared" si="171"/>
        <v>0.51111111111111107</v>
      </c>
      <c r="AJ551" s="592"/>
      <c r="AK551" s="519"/>
      <c r="AL551" s="595">
        <f t="shared" si="172"/>
        <v>0</v>
      </c>
      <c r="AM551" s="596">
        <f t="shared" si="173"/>
        <v>0</v>
      </c>
      <c r="AN551" s="592"/>
      <c r="AO551" s="519"/>
      <c r="AP551" s="592"/>
      <c r="AQ551" s="519"/>
      <c r="AR551" s="592"/>
      <c r="AS551" s="519"/>
      <c r="AT551" s="592"/>
      <c r="AU551" s="519"/>
      <c r="AV551" s="595">
        <f t="shared" si="174"/>
        <v>0</v>
      </c>
      <c r="AW551" s="595">
        <f t="shared" si="175"/>
        <v>0</v>
      </c>
      <c r="AX551" s="596">
        <f t="shared" si="176"/>
        <v>0</v>
      </c>
      <c r="AY551" s="596">
        <f t="shared" si="177"/>
        <v>0</v>
      </c>
      <c r="AZ551" s="595">
        <f t="shared" si="178"/>
        <v>388.23333333333335</v>
      </c>
      <c r="BA551" s="596">
        <f t="shared" si="179"/>
        <v>416.57777777777778</v>
      </c>
    </row>
    <row r="552" spans="1:53" customFormat="1" ht="12.75" customHeight="1">
      <c r="A552" s="444" t="s">
        <v>523</v>
      </c>
      <c r="B552" s="468" t="s">
        <v>610</v>
      </c>
      <c r="C552" s="446"/>
      <c r="D552" s="447">
        <v>408394</v>
      </c>
      <c r="E552" s="447">
        <v>10</v>
      </c>
      <c r="F552" s="592"/>
      <c r="G552" s="519"/>
      <c r="H552" s="592">
        <v>4510</v>
      </c>
      <c r="I552" s="519">
        <v>4788</v>
      </c>
      <c r="J552" s="592">
        <v>2502</v>
      </c>
      <c r="K552" s="569">
        <v>312</v>
      </c>
      <c r="L552" s="592">
        <v>0</v>
      </c>
      <c r="M552" s="519">
        <v>0</v>
      </c>
      <c r="N552" s="592">
        <v>5769</v>
      </c>
      <c r="O552" s="519">
        <v>8025</v>
      </c>
      <c r="P552" s="595">
        <f t="shared" si="162"/>
        <v>12781</v>
      </c>
      <c r="Q552" s="595">
        <f t="shared" si="163"/>
        <v>426.03333333333336</v>
      </c>
      <c r="R552" s="596">
        <f t="shared" si="164"/>
        <v>13125</v>
      </c>
      <c r="S552" s="596">
        <f t="shared" si="165"/>
        <v>437.5</v>
      </c>
      <c r="T552" s="592">
        <v>304</v>
      </c>
      <c r="U552" s="519">
        <v>213</v>
      </c>
      <c r="V552" s="595">
        <f t="shared" si="166"/>
        <v>12781</v>
      </c>
      <c r="W552" s="596">
        <f t="shared" si="167"/>
        <v>13125</v>
      </c>
      <c r="X552" s="592"/>
      <c r="Y552" s="519">
        <v>0</v>
      </c>
      <c r="Z552" s="592"/>
      <c r="AA552" s="519">
        <v>0</v>
      </c>
      <c r="AB552" s="592"/>
      <c r="AC552" s="519">
        <v>0</v>
      </c>
      <c r="AD552" s="592"/>
      <c r="AE552" s="519">
        <v>0</v>
      </c>
      <c r="AF552" s="595">
        <f t="shared" si="168"/>
        <v>0</v>
      </c>
      <c r="AG552" s="595">
        <f t="shared" si="169"/>
        <v>0</v>
      </c>
      <c r="AH552" s="596">
        <f t="shared" si="170"/>
        <v>0</v>
      </c>
      <c r="AI552" s="596">
        <f t="shared" si="171"/>
        <v>0</v>
      </c>
      <c r="AJ552" s="592"/>
      <c r="AK552" s="519"/>
      <c r="AL552" s="595">
        <f t="shared" si="172"/>
        <v>0</v>
      </c>
      <c r="AM552" s="596">
        <f t="shared" si="173"/>
        <v>0</v>
      </c>
      <c r="AN552" s="592"/>
      <c r="AO552" s="519"/>
      <c r="AP552" s="592"/>
      <c r="AQ552" s="519"/>
      <c r="AR552" s="592"/>
      <c r="AS552" s="519"/>
      <c r="AT552" s="592"/>
      <c r="AU552" s="519"/>
      <c r="AV552" s="595">
        <f t="shared" si="174"/>
        <v>0</v>
      </c>
      <c r="AW552" s="595">
        <f t="shared" si="175"/>
        <v>0</v>
      </c>
      <c r="AX552" s="596">
        <f t="shared" si="176"/>
        <v>0</v>
      </c>
      <c r="AY552" s="596">
        <f t="shared" si="177"/>
        <v>0</v>
      </c>
      <c r="AZ552" s="595">
        <f t="shared" si="178"/>
        <v>426.03333333333336</v>
      </c>
      <c r="BA552" s="596">
        <f t="shared" si="179"/>
        <v>437.5</v>
      </c>
    </row>
    <row r="553" spans="1:53" customFormat="1" ht="12.75" customHeight="1">
      <c r="A553" s="444" t="s">
        <v>523</v>
      </c>
      <c r="B553" s="469" t="s">
        <v>619</v>
      </c>
      <c r="C553" s="446"/>
      <c r="D553" s="450" t="s">
        <v>827</v>
      </c>
      <c r="E553" s="447">
        <v>10</v>
      </c>
      <c r="F553" s="592"/>
      <c r="G553" s="519"/>
      <c r="H553" s="592">
        <v>1980</v>
      </c>
      <c r="I553" s="519">
        <v>1958</v>
      </c>
      <c r="J553" s="592">
        <v>1135</v>
      </c>
      <c r="K553" s="569">
        <v>0</v>
      </c>
      <c r="L553" s="592">
        <v>0</v>
      </c>
      <c r="M553" s="519">
        <v>0</v>
      </c>
      <c r="N553" s="592">
        <v>2161</v>
      </c>
      <c r="O553" s="569">
        <v>3898</v>
      </c>
      <c r="P553" s="595">
        <f t="shared" si="162"/>
        <v>5276</v>
      </c>
      <c r="Q553" s="595">
        <f t="shared" si="163"/>
        <v>175.86666666666667</v>
      </c>
      <c r="R553" s="596">
        <f t="shared" si="164"/>
        <v>5856</v>
      </c>
      <c r="S553" s="596">
        <f t="shared" si="165"/>
        <v>195.2</v>
      </c>
      <c r="T553" s="592">
        <v>240</v>
      </c>
      <c r="U553" s="519">
        <v>235</v>
      </c>
      <c r="V553" s="595">
        <f t="shared" si="166"/>
        <v>5276</v>
      </c>
      <c r="W553" s="596">
        <f t="shared" si="167"/>
        <v>5856</v>
      </c>
      <c r="X553" s="592"/>
      <c r="Y553" s="519">
        <v>0</v>
      </c>
      <c r="Z553" s="592"/>
      <c r="AA553" s="519">
        <v>0</v>
      </c>
      <c r="AB553" s="592"/>
      <c r="AC553" s="519">
        <v>0</v>
      </c>
      <c r="AD553" s="592"/>
      <c r="AE553" s="519">
        <v>0</v>
      </c>
      <c r="AF553" s="595">
        <f t="shared" si="168"/>
        <v>0</v>
      </c>
      <c r="AG553" s="595">
        <f t="shared" si="169"/>
        <v>0</v>
      </c>
      <c r="AH553" s="596">
        <f t="shared" si="170"/>
        <v>0</v>
      </c>
      <c r="AI553" s="596">
        <f t="shared" si="171"/>
        <v>0</v>
      </c>
      <c r="AJ553" s="592"/>
      <c r="AK553" s="519"/>
      <c r="AL553" s="595">
        <f t="shared" si="172"/>
        <v>0</v>
      </c>
      <c r="AM553" s="596">
        <f t="shared" si="173"/>
        <v>0</v>
      </c>
      <c r="AN553" s="592"/>
      <c r="AO553" s="519"/>
      <c r="AP553" s="592"/>
      <c r="AQ553" s="519"/>
      <c r="AR553" s="592"/>
      <c r="AS553" s="519"/>
      <c r="AT553" s="592"/>
      <c r="AU553" s="519"/>
      <c r="AV553" s="595">
        <f t="shared" si="174"/>
        <v>0</v>
      </c>
      <c r="AW553" s="595">
        <f t="shared" si="175"/>
        <v>0</v>
      </c>
      <c r="AX553" s="596">
        <f t="shared" si="176"/>
        <v>0</v>
      </c>
      <c r="AY553" s="596">
        <f t="shared" si="177"/>
        <v>0</v>
      </c>
      <c r="AZ553" s="595">
        <f t="shared" si="178"/>
        <v>175.86666666666667</v>
      </c>
      <c r="BA553" s="596">
        <f t="shared" si="179"/>
        <v>195.2</v>
      </c>
    </row>
    <row r="554" spans="1:53" customFormat="1" ht="12.75" customHeight="1">
      <c r="A554" s="444" t="s">
        <v>523</v>
      </c>
      <c r="B554" s="468" t="s">
        <v>611</v>
      </c>
      <c r="C554" s="446"/>
      <c r="D554" s="447">
        <v>229328</v>
      </c>
      <c r="E554" s="447">
        <v>10</v>
      </c>
      <c r="F554" s="592"/>
      <c r="G554" s="519"/>
      <c r="H554" s="592">
        <v>11349</v>
      </c>
      <c r="I554" s="519">
        <v>12263</v>
      </c>
      <c r="J554" s="592">
        <v>8379</v>
      </c>
      <c r="K554" s="519">
        <v>4785</v>
      </c>
      <c r="L554" s="592">
        <v>0</v>
      </c>
      <c r="M554" s="519">
        <v>0</v>
      </c>
      <c r="N554" s="592">
        <v>13630</v>
      </c>
      <c r="O554" s="519">
        <v>15799</v>
      </c>
      <c r="P554" s="595">
        <f t="shared" si="162"/>
        <v>33358</v>
      </c>
      <c r="Q554" s="595">
        <f t="shared" si="163"/>
        <v>1111.9333333333334</v>
      </c>
      <c r="R554" s="596">
        <f t="shared" si="164"/>
        <v>32847</v>
      </c>
      <c r="S554" s="596">
        <f t="shared" si="165"/>
        <v>1094.9000000000001</v>
      </c>
      <c r="T554" s="592"/>
      <c r="U554" s="572">
        <v>1489</v>
      </c>
      <c r="V554" s="595">
        <f t="shared" si="166"/>
        <v>0</v>
      </c>
      <c r="W554" s="596">
        <f t="shared" si="167"/>
        <v>32847</v>
      </c>
      <c r="X554" s="592">
        <v>420</v>
      </c>
      <c r="Y554" s="569">
        <v>700</v>
      </c>
      <c r="Z554" s="592">
        <v>0</v>
      </c>
      <c r="AA554" s="572">
        <v>300</v>
      </c>
      <c r="AB554" s="592">
        <v>1060</v>
      </c>
      <c r="AC554" s="519">
        <v>800</v>
      </c>
      <c r="AD554" s="592">
        <v>1512</v>
      </c>
      <c r="AE554" s="569">
        <v>480</v>
      </c>
      <c r="AF554" s="595">
        <f t="shared" si="168"/>
        <v>2992</v>
      </c>
      <c r="AG554" s="595">
        <f t="shared" si="169"/>
        <v>3.3244444444444445</v>
      </c>
      <c r="AH554" s="596">
        <f t="shared" si="170"/>
        <v>2280</v>
      </c>
      <c r="AI554" s="596">
        <f t="shared" si="171"/>
        <v>2.5333333333333332</v>
      </c>
      <c r="AJ554" s="592"/>
      <c r="AK554" s="519"/>
      <c r="AL554" s="595">
        <f t="shared" si="172"/>
        <v>0</v>
      </c>
      <c r="AM554" s="596">
        <f t="shared" si="173"/>
        <v>0</v>
      </c>
      <c r="AN554" s="592"/>
      <c r="AO554" s="519"/>
      <c r="AP554" s="592"/>
      <c r="AQ554" s="519"/>
      <c r="AR554" s="592"/>
      <c r="AS554" s="519"/>
      <c r="AT554" s="592"/>
      <c r="AU554" s="519"/>
      <c r="AV554" s="595">
        <f t="shared" si="174"/>
        <v>0</v>
      </c>
      <c r="AW554" s="595">
        <f t="shared" si="175"/>
        <v>0</v>
      </c>
      <c r="AX554" s="596">
        <f t="shared" si="176"/>
        <v>0</v>
      </c>
      <c r="AY554" s="596">
        <f t="shared" si="177"/>
        <v>0</v>
      </c>
      <c r="AZ554" s="595">
        <f t="shared" si="178"/>
        <v>1115.2577777777778</v>
      </c>
      <c r="BA554" s="596">
        <f t="shared" si="179"/>
        <v>1097.4333333333334</v>
      </c>
    </row>
    <row r="555" spans="1:53" s="1" customFormat="1">
      <c r="A555" s="444" t="s">
        <v>523</v>
      </c>
      <c r="B555" s="468" t="s">
        <v>612</v>
      </c>
      <c r="C555" s="446"/>
      <c r="D555" s="447">
        <v>229832</v>
      </c>
      <c r="E555" s="447">
        <v>10</v>
      </c>
      <c r="F555" s="592"/>
      <c r="G555" s="519"/>
      <c r="H555" s="592">
        <v>16308</v>
      </c>
      <c r="I555" s="519">
        <v>15536</v>
      </c>
      <c r="J555" s="592">
        <v>7242</v>
      </c>
      <c r="K555" s="519">
        <v>4643</v>
      </c>
      <c r="L555" s="592">
        <v>3672</v>
      </c>
      <c r="M555" s="519">
        <v>3381</v>
      </c>
      <c r="N555" s="592">
        <v>15574</v>
      </c>
      <c r="O555" s="519">
        <v>11865</v>
      </c>
      <c r="P555" s="595">
        <f t="shared" si="162"/>
        <v>42796</v>
      </c>
      <c r="Q555" s="595">
        <f t="shared" si="163"/>
        <v>1426.5333333333333</v>
      </c>
      <c r="R555" s="596">
        <f t="shared" si="164"/>
        <v>35425</v>
      </c>
      <c r="S555" s="596">
        <f t="shared" si="165"/>
        <v>1180.8333333333333</v>
      </c>
      <c r="T555" s="592"/>
      <c r="U555" s="572">
        <v>8616</v>
      </c>
      <c r="V555" s="595">
        <f t="shared" si="166"/>
        <v>0</v>
      </c>
      <c r="W555" s="596">
        <f t="shared" si="167"/>
        <v>35425</v>
      </c>
      <c r="X555" s="592">
        <v>41850</v>
      </c>
      <c r="Y555" s="519">
        <v>29459</v>
      </c>
      <c r="Z555" s="592">
        <v>31427</v>
      </c>
      <c r="AA555" s="519">
        <v>23188</v>
      </c>
      <c r="AB555" s="592">
        <v>15782</v>
      </c>
      <c r="AC555" s="519">
        <v>20288</v>
      </c>
      <c r="AD555" s="592">
        <v>36778</v>
      </c>
      <c r="AE555" s="569">
        <v>10868</v>
      </c>
      <c r="AF555" s="595">
        <f t="shared" si="168"/>
        <v>125837</v>
      </c>
      <c r="AG555" s="595">
        <f t="shared" si="169"/>
        <v>139.81888888888889</v>
      </c>
      <c r="AH555" s="596">
        <f t="shared" si="170"/>
        <v>83803</v>
      </c>
      <c r="AI555" s="596">
        <f t="shared" si="171"/>
        <v>93.114444444444445</v>
      </c>
      <c r="AJ555" s="592"/>
      <c r="AK555" s="519"/>
      <c r="AL555" s="595">
        <f t="shared" si="172"/>
        <v>0</v>
      </c>
      <c r="AM555" s="596">
        <f t="shared" si="173"/>
        <v>0</v>
      </c>
      <c r="AN555" s="592"/>
      <c r="AO555" s="519"/>
      <c r="AP555" s="592"/>
      <c r="AQ555" s="519"/>
      <c r="AR555" s="592"/>
      <c r="AS555" s="519"/>
      <c r="AT555" s="592"/>
      <c r="AU555" s="519"/>
      <c r="AV555" s="595">
        <f t="shared" si="174"/>
        <v>0</v>
      </c>
      <c r="AW555" s="595">
        <f t="shared" si="175"/>
        <v>0</v>
      </c>
      <c r="AX555" s="596">
        <f t="shared" si="176"/>
        <v>0</v>
      </c>
      <c r="AY555" s="596">
        <f t="shared" si="177"/>
        <v>0</v>
      </c>
      <c r="AZ555" s="595">
        <f t="shared" si="178"/>
        <v>1566.3522222222223</v>
      </c>
      <c r="BA555" s="596">
        <f t="shared" si="179"/>
        <v>1273.9477777777777</v>
      </c>
    </row>
    <row r="556" spans="1:53" customFormat="1" ht="12.75" customHeight="1">
      <c r="A556" s="444" t="s">
        <v>523</v>
      </c>
      <c r="B556" s="471" t="s">
        <v>613</v>
      </c>
      <c r="C556" s="470"/>
      <c r="D556" s="447"/>
      <c r="E556" s="475">
        <v>11</v>
      </c>
      <c r="F556" s="592"/>
      <c r="G556" s="519"/>
      <c r="H556" s="592">
        <v>294850</v>
      </c>
      <c r="I556" s="569">
        <f>SUM(I560,I564)</f>
        <v>445966</v>
      </c>
      <c r="J556" s="592">
        <v>106864</v>
      </c>
      <c r="K556" s="519">
        <f>SUM(K560,K564)</f>
        <v>138081</v>
      </c>
      <c r="L556" s="592">
        <v>0</v>
      </c>
      <c r="M556" s="519">
        <f>SUM(M560,M564)</f>
        <v>0</v>
      </c>
      <c r="N556" s="592">
        <v>329099</v>
      </c>
      <c r="O556" s="519">
        <f>SUM(O560,O564)</f>
        <v>454864</v>
      </c>
      <c r="P556" s="595">
        <f t="shared" si="162"/>
        <v>730813</v>
      </c>
      <c r="Q556" s="595">
        <f t="shared" si="163"/>
        <v>24360.433333333334</v>
      </c>
      <c r="R556" s="596">
        <f t="shared" si="164"/>
        <v>1038911</v>
      </c>
      <c r="S556" s="596">
        <f t="shared" si="165"/>
        <v>34630.366666666669</v>
      </c>
      <c r="T556" s="592">
        <v>77807</v>
      </c>
      <c r="U556" s="572">
        <f>SUM(U560,U564)</f>
        <v>160790</v>
      </c>
      <c r="V556" s="595">
        <f t="shared" si="166"/>
        <v>730813</v>
      </c>
      <c r="W556" s="596">
        <f t="shared" si="167"/>
        <v>1038911</v>
      </c>
      <c r="X556" s="592">
        <v>26197</v>
      </c>
      <c r="Y556" s="572">
        <f>SUM(Y560,Y564)</f>
        <v>72804</v>
      </c>
      <c r="Z556" s="592">
        <v>33589</v>
      </c>
      <c r="AA556" s="519">
        <f>SUM(AA560,AA564)</f>
        <v>37091</v>
      </c>
      <c r="AB556" s="592">
        <v>28742</v>
      </c>
      <c r="AC556" s="569">
        <f>SUM(AC560,AC564)</f>
        <v>47576</v>
      </c>
      <c r="AD556" s="592">
        <v>32246</v>
      </c>
      <c r="AE556" s="519">
        <f>SUM(AE560,AE564)</f>
        <v>40162</v>
      </c>
      <c r="AF556" s="595">
        <f t="shared" si="168"/>
        <v>120774</v>
      </c>
      <c r="AG556" s="595">
        <f t="shared" si="169"/>
        <v>134.19333333333333</v>
      </c>
      <c r="AH556" s="596">
        <f t="shared" si="170"/>
        <v>197633</v>
      </c>
      <c r="AI556" s="596">
        <f t="shared" si="171"/>
        <v>219.59222222222223</v>
      </c>
      <c r="AJ556" s="592"/>
      <c r="AK556" s="519"/>
      <c r="AL556" s="595">
        <f t="shared" si="172"/>
        <v>0</v>
      </c>
      <c r="AM556" s="596">
        <f t="shared" si="173"/>
        <v>0</v>
      </c>
      <c r="AN556" s="592"/>
      <c r="AO556" s="519"/>
      <c r="AP556" s="592"/>
      <c r="AQ556" s="519"/>
      <c r="AR556" s="592"/>
      <c r="AS556" s="519"/>
      <c r="AT556" s="592"/>
      <c r="AU556" s="519"/>
      <c r="AV556" s="595">
        <f t="shared" si="174"/>
        <v>0</v>
      </c>
      <c r="AW556" s="595">
        <f t="shared" si="175"/>
        <v>0</v>
      </c>
      <c r="AX556" s="596">
        <f t="shared" si="176"/>
        <v>0</v>
      </c>
      <c r="AY556" s="596">
        <f t="shared" si="177"/>
        <v>0</v>
      </c>
      <c r="AZ556" s="595">
        <f t="shared" si="178"/>
        <v>24494.626666666667</v>
      </c>
      <c r="BA556" s="596">
        <f t="shared" si="179"/>
        <v>34849.95888888889</v>
      </c>
    </row>
    <row r="557" spans="1:53" customFormat="1" ht="12.75" customHeight="1">
      <c r="A557" s="444" t="s">
        <v>523</v>
      </c>
      <c r="B557" s="471" t="s">
        <v>828</v>
      </c>
      <c r="C557" s="476"/>
      <c r="D557" s="447"/>
      <c r="E557" s="475">
        <v>11</v>
      </c>
      <c r="F557" s="592"/>
      <c r="G557" s="519"/>
      <c r="H557" s="592">
        <v>593461</v>
      </c>
      <c r="I557" s="519">
        <f>SUM(I561,I562)</f>
        <v>612679</v>
      </c>
      <c r="J557" s="592">
        <v>354196</v>
      </c>
      <c r="K557" s="519">
        <f>SUM(K561,K562)</f>
        <v>384352</v>
      </c>
      <c r="L557" s="592">
        <v>0</v>
      </c>
      <c r="M557" s="519">
        <f>SUM(M561,M562)</f>
        <v>0</v>
      </c>
      <c r="N557" s="592">
        <v>515287</v>
      </c>
      <c r="O557" s="569">
        <f>SUM(O561,O562)</f>
        <v>0</v>
      </c>
      <c r="P557" s="595">
        <f t="shared" si="162"/>
        <v>1462944</v>
      </c>
      <c r="Q557" s="595">
        <f t="shared" si="163"/>
        <v>48764.800000000003</v>
      </c>
      <c r="R557" s="596">
        <f t="shared" si="164"/>
        <v>997031</v>
      </c>
      <c r="S557" s="596">
        <f t="shared" si="165"/>
        <v>33234.366666666669</v>
      </c>
      <c r="T557" s="592">
        <v>270836</v>
      </c>
      <c r="U557" s="519">
        <f>SUM(U561,U562)</f>
        <v>154139</v>
      </c>
      <c r="V557" s="595">
        <f t="shared" si="166"/>
        <v>1462944</v>
      </c>
      <c r="W557" s="596">
        <f t="shared" si="167"/>
        <v>997031</v>
      </c>
      <c r="X557" s="592">
        <v>472429</v>
      </c>
      <c r="Y557" s="519">
        <f>SUM(Y561,Y562)</f>
        <v>594370</v>
      </c>
      <c r="Z557" s="592">
        <v>416600</v>
      </c>
      <c r="AA557" s="519">
        <f>SUM(AA561,AA562)</f>
        <v>357622</v>
      </c>
      <c r="AB557" s="592">
        <v>524058</v>
      </c>
      <c r="AC557" s="569">
        <f>SUM(AC561,AC562)</f>
        <v>199105</v>
      </c>
      <c r="AD557" s="592">
        <v>634309</v>
      </c>
      <c r="AE557" s="569"/>
      <c r="AF557" s="595">
        <f t="shared" si="168"/>
        <v>2047396</v>
      </c>
      <c r="AG557" s="595">
        <f t="shared" si="169"/>
        <v>2274.8844444444444</v>
      </c>
      <c r="AH557" s="596">
        <f t="shared" si="170"/>
        <v>1151097</v>
      </c>
      <c r="AI557" s="596">
        <f t="shared" si="171"/>
        <v>1278.9966666666667</v>
      </c>
      <c r="AJ557" s="592"/>
      <c r="AK557" s="519"/>
      <c r="AL557" s="595">
        <f t="shared" si="172"/>
        <v>0</v>
      </c>
      <c r="AM557" s="596">
        <f t="shared" si="173"/>
        <v>0</v>
      </c>
      <c r="AN557" s="592"/>
      <c r="AO557" s="519"/>
      <c r="AP557" s="592"/>
      <c r="AQ557" s="519"/>
      <c r="AR557" s="592"/>
      <c r="AS557" s="519"/>
      <c r="AT557" s="592"/>
      <c r="AU557" s="519"/>
      <c r="AV557" s="595">
        <f t="shared" si="174"/>
        <v>0</v>
      </c>
      <c r="AW557" s="595">
        <f t="shared" si="175"/>
        <v>0</v>
      </c>
      <c r="AX557" s="596">
        <f t="shared" si="176"/>
        <v>0</v>
      </c>
      <c r="AY557" s="596">
        <f t="shared" si="177"/>
        <v>0</v>
      </c>
      <c r="AZ557" s="595">
        <f t="shared" si="178"/>
        <v>51039.68444444445</v>
      </c>
      <c r="BA557" s="596">
        <f t="shared" si="179"/>
        <v>34513.363333333335</v>
      </c>
    </row>
    <row r="558" spans="1:53" customFormat="1" ht="12.75" customHeight="1">
      <c r="A558" s="444" t="s">
        <v>523</v>
      </c>
      <c r="B558" s="471" t="s">
        <v>614</v>
      </c>
      <c r="C558" s="472"/>
      <c r="D558" s="447"/>
      <c r="E558" s="475">
        <v>11</v>
      </c>
      <c r="F558" s="592"/>
      <c r="G558" s="519"/>
      <c r="H558" s="592">
        <v>27691</v>
      </c>
      <c r="I558" s="519">
        <f>SUM(I563,I565)</f>
        <v>25699</v>
      </c>
      <c r="J558" s="592">
        <v>4536</v>
      </c>
      <c r="K558" s="519">
        <f>SUM(K563,K565)</f>
        <v>4414</v>
      </c>
      <c r="L558" s="592">
        <v>1948</v>
      </c>
      <c r="M558" s="519">
        <f>SUM(M563,M565)</f>
        <v>2174</v>
      </c>
      <c r="N558" s="592">
        <v>32148</v>
      </c>
      <c r="O558" s="519">
        <f>SUM(O563,O565)</f>
        <v>28547</v>
      </c>
      <c r="P558" s="595">
        <f t="shared" si="162"/>
        <v>66323</v>
      </c>
      <c r="Q558" s="595">
        <f t="shared" si="163"/>
        <v>2210.7666666666669</v>
      </c>
      <c r="R558" s="596">
        <f t="shared" si="164"/>
        <v>60834</v>
      </c>
      <c r="S558" s="596">
        <f t="shared" si="165"/>
        <v>2027.8</v>
      </c>
      <c r="T558" s="592">
        <v>18252</v>
      </c>
      <c r="U558" s="519">
        <f>SUM(U563,U565)</f>
        <v>15202</v>
      </c>
      <c r="V558" s="595">
        <f t="shared" si="166"/>
        <v>66323</v>
      </c>
      <c r="W558" s="596">
        <f t="shared" si="167"/>
        <v>60834</v>
      </c>
      <c r="X558" s="592">
        <v>118680</v>
      </c>
      <c r="Y558" s="519">
        <f>SUM(Y563,Y565)</f>
        <v>112996</v>
      </c>
      <c r="Z558" s="592">
        <v>152630</v>
      </c>
      <c r="AA558" s="569">
        <f>SUM(AA563,AA565)</f>
        <v>14690</v>
      </c>
      <c r="AB558" s="592">
        <v>96293</v>
      </c>
      <c r="AC558" s="569">
        <f>SUM(AC563,AC565)</f>
        <v>31336</v>
      </c>
      <c r="AD558" s="592">
        <v>128831</v>
      </c>
      <c r="AE558" s="569">
        <f>SUM(AE563,AE565)</f>
        <v>40849</v>
      </c>
      <c r="AF558" s="595">
        <f t="shared" si="168"/>
        <v>496434</v>
      </c>
      <c r="AG558" s="595">
        <f t="shared" si="169"/>
        <v>551.59333333333336</v>
      </c>
      <c r="AH558" s="596">
        <f t="shared" si="170"/>
        <v>199871</v>
      </c>
      <c r="AI558" s="596">
        <f t="shared" si="171"/>
        <v>222.07888888888888</v>
      </c>
      <c r="AJ558" s="592"/>
      <c r="AK558" s="519"/>
      <c r="AL558" s="595">
        <f t="shared" si="172"/>
        <v>0</v>
      </c>
      <c r="AM558" s="596">
        <f t="shared" si="173"/>
        <v>0</v>
      </c>
      <c r="AN558" s="592"/>
      <c r="AO558" s="519"/>
      <c r="AP558" s="592"/>
      <c r="AQ558" s="519"/>
      <c r="AR558" s="592"/>
      <c r="AS558" s="519"/>
      <c r="AT558" s="592"/>
      <c r="AU558" s="519"/>
      <c r="AV558" s="595">
        <f t="shared" si="174"/>
        <v>0</v>
      </c>
      <c r="AW558" s="595">
        <f t="shared" si="175"/>
        <v>0</v>
      </c>
      <c r="AX558" s="596">
        <f t="shared" si="176"/>
        <v>0</v>
      </c>
      <c r="AY558" s="596">
        <f t="shared" si="177"/>
        <v>0</v>
      </c>
      <c r="AZ558" s="595">
        <f t="shared" si="178"/>
        <v>2762.36</v>
      </c>
      <c r="BA558" s="596">
        <f t="shared" si="179"/>
        <v>2249.8788888888889</v>
      </c>
    </row>
    <row r="559" spans="1:53" customFormat="1" ht="12.75" customHeight="1">
      <c r="A559" s="444" t="s">
        <v>523</v>
      </c>
      <c r="B559" s="468" t="s">
        <v>615</v>
      </c>
      <c r="C559" s="446" t="s">
        <v>909</v>
      </c>
      <c r="D559" s="447">
        <v>484905</v>
      </c>
      <c r="E559" s="447">
        <v>4</v>
      </c>
      <c r="F559" s="592"/>
      <c r="G559" s="519"/>
      <c r="H559" s="592">
        <v>0</v>
      </c>
      <c r="I559" s="519">
        <v>0</v>
      </c>
      <c r="J559" s="592">
        <v>30606</v>
      </c>
      <c r="K559" s="519">
        <v>32598</v>
      </c>
      <c r="L559" s="592">
        <v>7757</v>
      </c>
      <c r="M559" s="519">
        <v>10503</v>
      </c>
      <c r="N559" s="592">
        <v>35236</v>
      </c>
      <c r="O559" s="519">
        <v>36674</v>
      </c>
      <c r="P559" s="595">
        <f t="shared" si="162"/>
        <v>73599</v>
      </c>
      <c r="Q559" s="595">
        <f t="shared" si="163"/>
        <v>2453.3000000000002</v>
      </c>
      <c r="R559" s="596">
        <f t="shared" si="164"/>
        <v>79775</v>
      </c>
      <c r="S559" s="596">
        <f t="shared" si="165"/>
        <v>2659.1666666666665</v>
      </c>
      <c r="T559" s="592"/>
      <c r="U559" s="519">
        <v>0</v>
      </c>
      <c r="V559" s="595">
        <f t="shared" si="166"/>
        <v>0</v>
      </c>
      <c r="W559" s="596">
        <f t="shared" si="167"/>
        <v>79775</v>
      </c>
      <c r="X559" s="592"/>
      <c r="Y559" s="519"/>
      <c r="Z559" s="592"/>
      <c r="AA559" s="519"/>
      <c r="AB559" s="592"/>
      <c r="AC559" s="519"/>
      <c r="AD559" s="592"/>
      <c r="AE559" s="519"/>
      <c r="AF559" s="595">
        <f t="shared" si="168"/>
        <v>0</v>
      </c>
      <c r="AG559" s="595">
        <f t="shared" si="169"/>
        <v>0</v>
      </c>
      <c r="AH559" s="596">
        <f t="shared" si="170"/>
        <v>0</v>
      </c>
      <c r="AI559" s="596">
        <f t="shared" si="171"/>
        <v>0</v>
      </c>
      <c r="AJ559" s="592"/>
      <c r="AK559" s="519"/>
      <c r="AL559" s="595">
        <f t="shared" si="172"/>
        <v>0</v>
      </c>
      <c r="AM559" s="596">
        <f t="shared" si="173"/>
        <v>0</v>
      </c>
      <c r="AN559" s="592"/>
      <c r="AO559" s="519"/>
      <c r="AP559" s="592">
        <v>7021</v>
      </c>
      <c r="AQ559" s="519">
        <v>7270</v>
      </c>
      <c r="AR559" s="592">
        <v>3016</v>
      </c>
      <c r="AS559" s="519">
        <v>2683</v>
      </c>
      <c r="AT559" s="592">
        <v>7243</v>
      </c>
      <c r="AU559" s="519">
        <v>7314</v>
      </c>
      <c r="AV559" s="595">
        <f t="shared" si="174"/>
        <v>17280</v>
      </c>
      <c r="AW559" s="595">
        <f t="shared" si="175"/>
        <v>720</v>
      </c>
      <c r="AX559" s="596">
        <f t="shared" si="176"/>
        <v>17267</v>
      </c>
      <c r="AY559" s="596">
        <f t="shared" si="177"/>
        <v>719.45833333333337</v>
      </c>
      <c r="AZ559" s="595">
        <f t="shared" si="178"/>
        <v>3173.3</v>
      </c>
      <c r="BA559" s="596">
        <f t="shared" si="179"/>
        <v>3378.625</v>
      </c>
    </row>
    <row r="560" spans="1:53" customFormat="1" ht="12.75" customHeight="1">
      <c r="A560" s="444" t="s">
        <v>523</v>
      </c>
      <c r="B560" s="471" t="s">
        <v>613</v>
      </c>
      <c r="C560" s="477"/>
      <c r="D560" s="447"/>
      <c r="E560" s="475" t="s">
        <v>616</v>
      </c>
      <c r="F560" s="592"/>
      <c r="G560" s="519"/>
      <c r="H560" s="592">
        <v>252414</v>
      </c>
      <c r="I560" s="569">
        <f>SUM(I507,I508,I510,I513)</f>
        <v>398905</v>
      </c>
      <c r="J560" s="592">
        <v>94935</v>
      </c>
      <c r="K560" s="519">
        <f>SUM(K507,K508,K510,K513)</f>
        <v>127783</v>
      </c>
      <c r="L560" s="592">
        <v>0</v>
      </c>
      <c r="M560" s="519">
        <f>SUM(M507,M508,M510,M513)</f>
        <v>0</v>
      </c>
      <c r="N560" s="592">
        <v>277394</v>
      </c>
      <c r="O560" s="519">
        <f>SUM(O507,O508,O510,O513)</f>
        <v>409878</v>
      </c>
      <c r="P560" s="595">
        <f t="shared" si="162"/>
        <v>624743</v>
      </c>
      <c r="Q560" s="595">
        <f t="shared" si="163"/>
        <v>20824.766666666666</v>
      </c>
      <c r="R560" s="596">
        <f t="shared" si="164"/>
        <v>936566</v>
      </c>
      <c r="S560" s="596">
        <f t="shared" si="165"/>
        <v>31218.866666666665</v>
      </c>
      <c r="T560" s="592">
        <v>66507</v>
      </c>
      <c r="U560" s="572">
        <f>SUM(U507,U508,U510,U513)</f>
        <v>147642</v>
      </c>
      <c r="V560" s="595">
        <f t="shared" si="166"/>
        <v>624743</v>
      </c>
      <c r="W560" s="596">
        <f t="shared" si="167"/>
        <v>936566</v>
      </c>
      <c r="X560" s="592">
        <v>20693</v>
      </c>
      <c r="Y560" s="572">
        <f>SUM(Y507,Y508,Y510,Y513)</f>
        <v>66996</v>
      </c>
      <c r="Z560" s="592">
        <v>24449</v>
      </c>
      <c r="AA560" s="519">
        <f>SUM(AA507,AA508,AA510,AA513)</f>
        <v>33139</v>
      </c>
      <c r="AB560" s="592">
        <v>21670</v>
      </c>
      <c r="AC560" s="572">
        <f>SUM(AC507,AC508,AC510,AC513)</f>
        <v>45192</v>
      </c>
      <c r="AD560" s="592">
        <v>28078</v>
      </c>
      <c r="AE560" s="519">
        <f>SUM(AE507,AE508,AE510,AE513)</f>
        <v>36546</v>
      </c>
      <c r="AF560" s="595">
        <f t="shared" si="168"/>
        <v>94890</v>
      </c>
      <c r="AG560" s="595">
        <f t="shared" si="169"/>
        <v>105.43333333333334</v>
      </c>
      <c r="AH560" s="596">
        <f t="shared" si="170"/>
        <v>181873</v>
      </c>
      <c r="AI560" s="596">
        <f t="shared" si="171"/>
        <v>202.08111111111111</v>
      </c>
      <c r="AJ560" s="592"/>
      <c r="AK560" s="519"/>
      <c r="AL560" s="595">
        <f t="shared" si="172"/>
        <v>0</v>
      </c>
      <c r="AM560" s="596">
        <f t="shared" si="173"/>
        <v>0</v>
      </c>
      <c r="AN560" s="592"/>
      <c r="AO560" s="519"/>
      <c r="AP560" s="592"/>
      <c r="AQ560" s="519"/>
      <c r="AR560" s="592"/>
      <c r="AS560" s="519"/>
      <c r="AT560" s="592"/>
      <c r="AU560" s="519"/>
      <c r="AV560" s="595">
        <f t="shared" si="174"/>
        <v>0</v>
      </c>
      <c r="AW560" s="595">
        <f t="shared" si="175"/>
        <v>0</v>
      </c>
      <c r="AX560" s="596">
        <f t="shared" si="176"/>
        <v>0</v>
      </c>
      <c r="AY560" s="596">
        <f t="shared" si="177"/>
        <v>0</v>
      </c>
      <c r="AZ560" s="595">
        <f t="shared" si="178"/>
        <v>20930.2</v>
      </c>
      <c r="BA560" s="596">
        <f t="shared" si="179"/>
        <v>31420.947777777776</v>
      </c>
    </row>
    <row r="561" spans="1:53" customFormat="1" ht="12.75" customHeight="1">
      <c r="A561" s="444" t="s">
        <v>523</v>
      </c>
      <c r="B561" s="471" t="s">
        <v>828</v>
      </c>
      <c r="C561" s="478"/>
      <c r="D561" s="447"/>
      <c r="E561" s="475" t="s">
        <v>616</v>
      </c>
      <c r="F561" s="592"/>
      <c r="G561" s="519"/>
      <c r="H561" s="592">
        <v>538294</v>
      </c>
      <c r="I561" s="519">
        <f>SUM(I492,I496,I497,I503,I506,I509)</f>
        <v>552665</v>
      </c>
      <c r="J561" s="592">
        <v>320019</v>
      </c>
      <c r="K561" s="519">
        <f>SUM(K492,K496,K497,K503,K506,K509)</f>
        <v>348485</v>
      </c>
      <c r="L561" s="592">
        <v>0</v>
      </c>
      <c r="M561" s="519">
        <f>SUM(M492,M496,M497,M503,M506,M509)</f>
        <v>0</v>
      </c>
      <c r="N561" s="592">
        <v>468317</v>
      </c>
      <c r="O561" s="569"/>
      <c r="P561" s="595">
        <f t="shared" si="162"/>
        <v>1326630</v>
      </c>
      <c r="Q561" s="595">
        <f t="shared" si="163"/>
        <v>44221</v>
      </c>
      <c r="R561" s="596">
        <f t="shared" si="164"/>
        <v>901150</v>
      </c>
      <c r="S561" s="596">
        <f t="shared" si="165"/>
        <v>30038.333333333332</v>
      </c>
      <c r="T561" s="592">
        <v>245489</v>
      </c>
      <c r="U561" s="519">
        <f>SUM(U492,U496,U497,U503,U506,U509)</f>
        <v>140281</v>
      </c>
      <c r="V561" s="595">
        <f t="shared" si="166"/>
        <v>1326630</v>
      </c>
      <c r="W561" s="596">
        <f t="shared" si="167"/>
        <v>901150</v>
      </c>
      <c r="X561" s="592">
        <v>433984</v>
      </c>
      <c r="Y561" s="519">
        <f>SUM(Y492,Y496,Y497,Y503,Y506,Y509)</f>
        <v>548475</v>
      </c>
      <c r="Z561" s="592">
        <v>381374</v>
      </c>
      <c r="AA561" s="519">
        <f>SUM(AA492,AA496,AA497,AA503,AA506,AA509)</f>
        <v>232243</v>
      </c>
      <c r="AB561" s="592">
        <v>444786</v>
      </c>
      <c r="AC561" s="569">
        <f>SUM(AC492,AC496,AC497,AC503,AC506,AC509)</f>
        <v>150701</v>
      </c>
      <c r="AD561" s="592">
        <v>605769</v>
      </c>
      <c r="AE561" s="569"/>
      <c r="AF561" s="595">
        <f t="shared" si="168"/>
        <v>1865913</v>
      </c>
      <c r="AG561" s="595">
        <f t="shared" si="169"/>
        <v>2073.2366666666667</v>
      </c>
      <c r="AH561" s="596">
        <f t="shared" si="170"/>
        <v>931419</v>
      </c>
      <c r="AI561" s="596">
        <f t="shared" si="171"/>
        <v>1034.9100000000001</v>
      </c>
      <c r="AJ561" s="592"/>
      <c r="AK561" s="519"/>
      <c r="AL561" s="595">
        <f t="shared" si="172"/>
        <v>0</v>
      </c>
      <c r="AM561" s="596">
        <f t="shared" si="173"/>
        <v>0</v>
      </c>
      <c r="AN561" s="592"/>
      <c r="AO561" s="519"/>
      <c r="AP561" s="592"/>
      <c r="AQ561" s="519"/>
      <c r="AR561" s="592"/>
      <c r="AS561" s="519"/>
      <c r="AT561" s="592"/>
      <c r="AU561" s="519"/>
      <c r="AV561" s="595">
        <f t="shared" si="174"/>
        <v>0</v>
      </c>
      <c r="AW561" s="595">
        <f t="shared" si="175"/>
        <v>0</v>
      </c>
      <c r="AX561" s="596">
        <f t="shared" si="176"/>
        <v>0</v>
      </c>
      <c r="AY561" s="596">
        <f t="shared" si="177"/>
        <v>0</v>
      </c>
      <c r="AZ561" s="595">
        <f t="shared" si="178"/>
        <v>46294.236666666664</v>
      </c>
      <c r="BA561" s="596">
        <f t="shared" si="179"/>
        <v>31073.243333333332</v>
      </c>
    </row>
    <row r="562" spans="1:53" s="1" customFormat="1">
      <c r="A562" s="444" t="s">
        <v>523</v>
      </c>
      <c r="B562" s="471" t="s">
        <v>828</v>
      </c>
      <c r="C562" s="479"/>
      <c r="D562" s="447"/>
      <c r="E562" s="475" t="s">
        <v>617</v>
      </c>
      <c r="F562" s="592"/>
      <c r="G562" s="519"/>
      <c r="H562" s="592">
        <v>55167</v>
      </c>
      <c r="I562" s="519">
        <f>SUM(I519)</f>
        <v>60014</v>
      </c>
      <c r="J562" s="592">
        <v>34177</v>
      </c>
      <c r="K562" s="519">
        <f>SUM(K519)</f>
        <v>35867</v>
      </c>
      <c r="L562" s="592">
        <v>0</v>
      </c>
      <c r="M562" s="519">
        <f>SUM(M519)</f>
        <v>0</v>
      </c>
      <c r="N562" s="592">
        <v>46970</v>
      </c>
      <c r="O562" s="569"/>
      <c r="P562" s="595">
        <f t="shared" si="162"/>
        <v>136314</v>
      </c>
      <c r="Q562" s="595">
        <f t="shared" si="163"/>
        <v>4543.8</v>
      </c>
      <c r="R562" s="596">
        <f t="shared" si="164"/>
        <v>95881</v>
      </c>
      <c r="S562" s="596">
        <f t="shared" si="165"/>
        <v>3196.0333333333333</v>
      </c>
      <c r="T562" s="592">
        <v>25347</v>
      </c>
      <c r="U562" s="519">
        <f>SUM(U519)</f>
        <v>13858</v>
      </c>
      <c r="V562" s="595">
        <f t="shared" si="166"/>
        <v>136314</v>
      </c>
      <c r="W562" s="596">
        <f t="shared" si="167"/>
        <v>95881</v>
      </c>
      <c r="X562" s="592">
        <v>38445</v>
      </c>
      <c r="Y562" s="519">
        <f>SUM(Y519)</f>
        <v>45895</v>
      </c>
      <c r="Z562" s="592">
        <v>35226</v>
      </c>
      <c r="AA562" s="572">
        <f>SUM(AA519)</f>
        <v>125379</v>
      </c>
      <c r="AB562" s="592">
        <v>79272</v>
      </c>
      <c r="AC562" s="519">
        <f>SUM(AC519)</f>
        <v>48404</v>
      </c>
      <c r="AD562" s="592">
        <v>28540</v>
      </c>
      <c r="AE562" s="569"/>
      <c r="AF562" s="595">
        <f t="shared" si="168"/>
        <v>181483</v>
      </c>
      <c r="AG562" s="595">
        <f t="shared" si="169"/>
        <v>201.64777777777778</v>
      </c>
      <c r="AH562" s="596">
        <f t="shared" si="170"/>
        <v>219678</v>
      </c>
      <c r="AI562" s="596">
        <f t="shared" si="171"/>
        <v>244.08666666666667</v>
      </c>
      <c r="AJ562" s="592"/>
      <c r="AK562" s="519"/>
      <c r="AL562" s="595">
        <f t="shared" si="172"/>
        <v>0</v>
      </c>
      <c r="AM562" s="596">
        <f t="shared" si="173"/>
        <v>0</v>
      </c>
      <c r="AN562" s="592"/>
      <c r="AO562" s="519"/>
      <c r="AP562" s="592"/>
      <c r="AQ562" s="519"/>
      <c r="AR562" s="592"/>
      <c r="AS562" s="519"/>
      <c r="AT562" s="592"/>
      <c r="AU562" s="519"/>
      <c r="AV562" s="595">
        <f t="shared" si="174"/>
        <v>0</v>
      </c>
      <c r="AW562" s="595">
        <f t="shared" si="175"/>
        <v>0</v>
      </c>
      <c r="AX562" s="596">
        <f t="shared" si="176"/>
        <v>0</v>
      </c>
      <c r="AY562" s="596">
        <f t="shared" si="177"/>
        <v>0</v>
      </c>
      <c r="AZ562" s="595">
        <f t="shared" si="178"/>
        <v>4745.4477777777784</v>
      </c>
      <c r="BA562" s="596">
        <f t="shared" si="179"/>
        <v>3440.12</v>
      </c>
    </row>
    <row r="563" spans="1:53" s="1" customFormat="1">
      <c r="A563" s="444" t="s">
        <v>523</v>
      </c>
      <c r="B563" s="471" t="s">
        <v>614</v>
      </c>
      <c r="C563" s="480"/>
      <c r="D563" s="447"/>
      <c r="E563" s="475" t="s">
        <v>617</v>
      </c>
      <c r="F563" s="592"/>
      <c r="G563" s="519"/>
      <c r="H563" s="592">
        <v>26824</v>
      </c>
      <c r="I563" s="519">
        <f>SUM(I525)</f>
        <v>25072</v>
      </c>
      <c r="J563" s="592">
        <v>4527</v>
      </c>
      <c r="K563" s="519">
        <f>SUM(K525)</f>
        <v>4414</v>
      </c>
      <c r="L563" s="592">
        <v>1948</v>
      </c>
      <c r="M563" s="519">
        <f>SUM(M525)</f>
        <v>2174</v>
      </c>
      <c r="N563" s="592">
        <v>31481</v>
      </c>
      <c r="O563" s="519">
        <f>SUM(O525)</f>
        <v>28078</v>
      </c>
      <c r="P563" s="595">
        <f t="shared" si="162"/>
        <v>64780</v>
      </c>
      <c r="Q563" s="595">
        <f t="shared" si="163"/>
        <v>2159.3333333333335</v>
      </c>
      <c r="R563" s="596">
        <f t="shared" si="164"/>
        <v>59738</v>
      </c>
      <c r="S563" s="596">
        <f t="shared" si="165"/>
        <v>1991.2666666666667</v>
      </c>
      <c r="T563" s="592">
        <v>18252</v>
      </c>
      <c r="U563" s="519">
        <f>SUM(U525)</f>
        <v>15202</v>
      </c>
      <c r="V563" s="595">
        <f t="shared" si="166"/>
        <v>64780</v>
      </c>
      <c r="W563" s="596">
        <f t="shared" si="167"/>
        <v>59738</v>
      </c>
      <c r="X563" s="592">
        <v>118680</v>
      </c>
      <c r="Y563" s="519">
        <f>SUM(Y525)</f>
        <v>112996</v>
      </c>
      <c r="Z563" s="592">
        <v>152630</v>
      </c>
      <c r="AA563" s="569">
        <f>SUM(AA525)</f>
        <v>14690</v>
      </c>
      <c r="AB563" s="592">
        <v>96293</v>
      </c>
      <c r="AC563" s="569">
        <f>SUM(AC525)</f>
        <v>31336</v>
      </c>
      <c r="AD563" s="592">
        <v>128831</v>
      </c>
      <c r="AE563" s="569">
        <f>SUM(AE525)</f>
        <v>40849</v>
      </c>
      <c r="AF563" s="595">
        <f t="shared" si="168"/>
        <v>496434</v>
      </c>
      <c r="AG563" s="595">
        <f t="shared" si="169"/>
        <v>551.59333333333336</v>
      </c>
      <c r="AH563" s="596">
        <f t="shared" si="170"/>
        <v>199871</v>
      </c>
      <c r="AI563" s="596">
        <f t="shared" si="171"/>
        <v>222.07888888888888</v>
      </c>
      <c r="AJ563" s="592"/>
      <c r="AK563" s="519"/>
      <c r="AL563" s="595">
        <f t="shared" si="172"/>
        <v>0</v>
      </c>
      <c r="AM563" s="596">
        <f t="shared" si="173"/>
        <v>0</v>
      </c>
      <c r="AN563" s="592"/>
      <c r="AO563" s="519"/>
      <c r="AP563" s="592"/>
      <c r="AQ563" s="519"/>
      <c r="AR563" s="592"/>
      <c r="AS563" s="519"/>
      <c r="AT563" s="592"/>
      <c r="AU563" s="519"/>
      <c r="AV563" s="595">
        <f t="shared" si="174"/>
        <v>0</v>
      </c>
      <c r="AW563" s="595">
        <f t="shared" si="175"/>
        <v>0</v>
      </c>
      <c r="AX563" s="596">
        <f t="shared" si="176"/>
        <v>0</v>
      </c>
      <c r="AY563" s="596">
        <f t="shared" si="177"/>
        <v>0</v>
      </c>
      <c r="AZ563" s="595">
        <f t="shared" si="178"/>
        <v>2710.9266666666667</v>
      </c>
      <c r="BA563" s="596">
        <f t="shared" si="179"/>
        <v>2213.3455555555556</v>
      </c>
    </row>
    <row r="564" spans="1:53" s="1" customFormat="1">
      <c r="A564" s="444" t="s">
        <v>523</v>
      </c>
      <c r="B564" s="471" t="s">
        <v>613</v>
      </c>
      <c r="C564" s="481"/>
      <c r="D564" s="447"/>
      <c r="E564" s="475" t="s">
        <v>618</v>
      </c>
      <c r="F564" s="592"/>
      <c r="G564" s="519"/>
      <c r="H564" s="592">
        <v>42436</v>
      </c>
      <c r="I564" s="519">
        <f>SUM(I547)</f>
        <v>47061</v>
      </c>
      <c r="J564" s="592">
        <v>11929</v>
      </c>
      <c r="K564" s="519">
        <f>SUM(K547)</f>
        <v>10298</v>
      </c>
      <c r="L564" s="592">
        <v>0</v>
      </c>
      <c r="M564" s="519">
        <f>SUM(M547)</f>
        <v>0</v>
      </c>
      <c r="N564" s="592">
        <v>51705</v>
      </c>
      <c r="O564" s="519">
        <f>SUM(O547)</f>
        <v>44986</v>
      </c>
      <c r="P564" s="595">
        <f t="shared" si="162"/>
        <v>106070</v>
      </c>
      <c r="Q564" s="595">
        <f t="shared" si="163"/>
        <v>3535.6666666666665</v>
      </c>
      <c r="R564" s="596">
        <f t="shared" si="164"/>
        <v>102345</v>
      </c>
      <c r="S564" s="596">
        <f t="shared" si="165"/>
        <v>3411.5</v>
      </c>
      <c r="T564" s="592">
        <v>11300</v>
      </c>
      <c r="U564" s="519">
        <f>SUM(U547)</f>
        <v>13148</v>
      </c>
      <c r="V564" s="595">
        <f t="shared" si="166"/>
        <v>106070</v>
      </c>
      <c r="W564" s="596">
        <f t="shared" si="167"/>
        <v>102345</v>
      </c>
      <c r="X564" s="592">
        <v>5504</v>
      </c>
      <c r="Y564" s="519">
        <f>SUM(Y547)</f>
        <v>5808</v>
      </c>
      <c r="Z564" s="592">
        <v>9140</v>
      </c>
      <c r="AA564" s="569">
        <f>SUM(AA547)</f>
        <v>3952</v>
      </c>
      <c r="AB564" s="592">
        <v>7072</v>
      </c>
      <c r="AC564" s="569">
        <f>SUM(AC547)</f>
        <v>2384</v>
      </c>
      <c r="AD564" s="592">
        <v>4168</v>
      </c>
      <c r="AE564" s="519">
        <f>SUM(AE547)</f>
        <v>3616</v>
      </c>
      <c r="AF564" s="595">
        <f t="shared" si="168"/>
        <v>25884</v>
      </c>
      <c r="AG564" s="595">
        <f t="shared" si="169"/>
        <v>28.76</v>
      </c>
      <c r="AH564" s="596">
        <f t="shared" si="170"/>
        <v>15760</v>
      </c>
      <c r="AI564" s="596">
        <f t="shared" si="171"/>
        <v>17.511111111111113</v>
      </c>
      <c r="AJ564" s="592"/>
      <c r="AK564" s="519"/>
      <c r="AL564" s="595">
        <f t="shared" si="172"/>
        <v>0</v>
      </c>
      <c r="AM564" s="596">
        <f t="shared" si="173"/>
        <v>0</v>
      </c>
      <c r="AN564" s="592"/>
      <c r="AO564" s="519"/>
      <c r="AP564" s="592"/>
      <c r="AQ564" s="519"/>
      <c r="AR564" s="592"/>
      <c r="AS564" s="519"/>
      <c r="AT564" s="592"/>
      <c r="AU564" s="519"/>
      <c r="AV564" s="595">
        <f t="shared" si="174"/>
        <v>0</v>
      </c>
      <c r="AW564" s="595">
        <f t="shared" si="175"/>
        <v>0</v>
      </c>
      <c r="AX564" s="596">
        <f t="shared" si="176"/>
        <v>0</v>
      </c>
      <c r="AY564" s="596">
        <f t="shared" si="177"/>
        <v>0</v>
      </c>
      <c r="AZ564" s="595">
        <f t="shared" si="178"/>
        <v>3564.4266666666667</v>
      </c>
      <c r="BA564" s="596">
        <f t="shared" si="179"/>
        <v>3429.0111111111109</v>
      </c>
    </row>
    <row r="565" spans="1:53" customFormat="1" ht="12.75" customHeight="1">
      <c r="A565" s="444" t="s">
        <v>523</v>
      </c>
      <c r="B565" s="471" t="s">
        <v>614</v>
      </c>
      <c r="C565" s="482"/>
      <c r="D565" s="447"/>
      <c r="E565" s="475" t="s">
        <v>618</v>
      </c>
      <c r="F565" s="592"/>
      <c r="G565" s="519"/>
      <c r="H565" s="592">
        <v>867</v>
      </c>
      <c r="I565" s="519">
        <f>SUM(I550)</f>
        <v>627</v>
      </c>
      <c r="J565" s="592">
        <v>9</v>
      </c>
      <c r="K565" s="569">
        <f>SUM(K550)</f>
        <v>0</v>
      </c>
      <c r="L565" s="592">
        <v>0</v>
      </c>
      <c r="M565" s="519">
        <f>SUM(M550)</f>
        <v>0</v>
      </c>
      <c r="N565" s="592">
        <v>667</v>
      </c>
      <c r="O565" s="519">
        <f>SUM(O550)</f>
        <v>469</v>
      </c>
      <c r="P565" s="595">
        <f t="shared" si="162"/>
        <v>1543</v>
      </c>
      <c r="Q565" s="595">
        <f t="shared" si="163"/>
        <v>51.43333333333333</v>
      </c>
      <c r="R565" s="596">
        <f t="shared" si="164"/>
        <v>1096</v>
      </c>
      <c r="S565" s="596">
        <f t="shared" si="165"/>
        <v>36.533333333333331</v>
      </c>
      <c r="T565" s="592">
        <v>0</v>
      </c>
      <c r="U565" s="519">
        <v>0</v>
      </c>
      <c r="V565" s="595">
        <f t="shared" si="166"/>
        <v>1543</v>
      </c>
      <c r="W565" s="596">
        <f t="shared" si="167"/>
        <v>1096</v>
      </c>
      <c r="X565" s="592">
        <v>0</v>
      </c>
      <c r="Y565" s="519">
        <f>SUM(Y550)</f>
        <v>0</v>
      </c>
      <c r="Z565" s="592">
        <v>0</v>
      </c>
      <c r="AA565" s="519">
        <f>SUM(AA550)</f>
        <v>0</v>
      </c>
      <c r="AB565" s="592">
        <v>0</v>
      </c>
      <c r="AC565" s="519">
        <f>SUM(AC550)</f>
        <v>0</v>
      </c>
      <c r="AD565" s="592">
        <v>0</v>
      </c>
      <c r="AE565" s="519">
        <f>SUM(AE550)</f>
        <v>0</v>
      </c>
      <c r="AF565" s="595">
        <f t="shared" si="168"/>
        <v>0</v>
      </c>
      <c r="AG565" s="595">
        <f t="shared" si="169"/>
        <v>0</v>
      </c>
      <c r="AH565" s="596">
        <f t="shared" si="170"/>
        <v>0</v>
      </c>
      <c r="AI565" s="596">
        <f t="shared" si="171"/>
        <v>0</v>
      </c>
      <c r="AJ565" s="592"/>
      <c r="AK565" s="519"/>
      <c r="AL565" s="595">
        <f t="shared" si="172"/>
        <v>0</v>
      </c>
      <c r="AM565" s="596">
        <f t="shared" si="173"/>
        <v>0</v>
      </c>
      <c r="AN565" s="592"/>
      <c r="AO565" s="519"/>
      <c r="AP565" s="592"/>
      <c r="AQ565" s="519"/>
      <c r="AR565" s="592"/>
      <c r="AS565" s="519"/>
      <c r="AT565" s="592"/>
      <c r="AU565" s="519"/>
      <c r="AV565" s="595">
        <f t="shared" si="174"/>
        <v>0</v>
      </c>
      <c r="AW565" s="595">
        <f t="shared" si="175"/>
        <v>0</v>
      </c>
      <c r="AX565" s="596">
        <f t="shared" si="176"/>
        <v>0</v>
      </c>
      <c r="AY565" s="596">
        <f t="shared" si="177"/>
        <v>0</v>
      </c>
      <c r="AZ565" s="595">
        <f t="shared" si="178"/>
        <v>51.43333333333333</v>
      </c>
      <c r="BA565" s="596">
        <f t="shared" si="179"/>
        <v>36.533333333333331</v>
      </c>
    </row>
    <row r="566" spans="1:53" customFormat="1" ht="12.75" customHeight="1">
      <c r="A566" s="447" t="s">
        <v>523</v>
      </c>
      <c r="B566" s="483" t="s">
        <v>828</v>
      </c>
      <c r="C566" s="484" t="s">
        <v>686</v>
      </c>
      <c r="D566" s="505">
        <v>224615</v>
      </c>
      <c r="E566" s="433">
        <v>10</v>
      </c>
      <c r="F566" s="592"/>
      <c r="G566" s="519"/>
      <c r="H566" s="592"/>
      <c r="I566" s="519"/>
      <c r="J566" s="592"/>
      <c r="K566" s="519"/>
      <c r="L566" s="592"/>
      <c r="M566" s="519"/>
      <c r="N566" s="592"/>
      <c r="O566" s="572">
        <v>380470</v>
      </c>
      <c r="P566" s="595">
        <f t="shared" si="162"/>
        <v>0</v>
      </c>
      <c r="Q566" s="595">
        <f t="shared" si="163"/>
        <v>0</v>
      </c>
      <c r="R566" s="596">
        <f t="shared" si="164"/>
        <v>380470</v>
      </c>
      <c r="S566" s="596">
        <f t="shared" si="165"/>
        <v>12682.333333333334</v>
      </c>
      <c r="T566" s="592"/>
      <c r="U566" s="572">
        <v>58234</v>
      </c>
      <c r="V566" s="595">
        <f t="shared" si="166"/>
        <v>0</v>
      </c>
      <c r="W566" s="596">
        <f t="shared" si="167"/>
        <v>380470</v>
      </c>
      <c r="X566" s="592"/>
      <c r="Y566" s="519"/>
      <c r="Z566" s="592"/>
      <c r="AA566" s="519"/>
      <c r="AB566" s="592"/>
      <c r="AC566" s="519"/>
      <c r="AD566" s="592"/>
      <c r="AE566" s="572">
        <v>274467</v>
      </c>
      <c r="AF566" s="595">
        <f t="shared" si="168"/>
        <v>0</v>
      </c>
      <c r="AG566" s="595">
        <f t="shared" si="169"/>
        <v>0</v>
      </c>
      <c r="AH566" s="596">
        <f t="shared" si="170"/>
        <v>274467</v>
      </c>
      <c r="AI566" s="596">
        <f t="shared" si="171"/>
        <v>304.96333333333331</v>
      </c>
      <c r="AJ566" s="592"/>
      <c r="AK566" s="519"/>
      <c r="AL566" s="595">
        <f t="shared" si="172"/>
        <v>0</v>
      </c>
      <c r="AM566" s="596">
        <f t="shared" si="173"/>
        <v>0</v>
      </c>
      <c r="AN566" s="592"/>
      <c r="AO566" s="519"/>
      <c r="AP566" s="592"/>
      <c r="AQ566" s="519"/>
      <c r="AR566" s="592"/>
      <c r="AS566" s="519"/>
      <c r="AT566" s="592"/>
      <c r="AU566" s="519"/>
      <c r="AV566" s="595">
        <f t="shared" si="174"/>
        <v>0</v>
      </c>
      <c r="AW566" s="595">
        <f t="shared" si="175"/>
        <v>0</v>
      </c>
      <c r="AX566" s="596">
        <f t="shared" si="176"/>
        <v>0</v>
      </c>
      <c r="AY566" s="596">
        <f t="shared" si="177"/>
        <v>0</v>
      </c>
      <c r="AZ566" s="595">
        <f t="shared" si="178"/>
        <v>0</v>
      </c>
      <c r="BA566" s="596">
        <f t="shared" si="179"/>
        <v>12987.296666666667</v>
      </c>
    </row>
    <row r="567" spans="1:53" s="365" customFormat="1" ht="15.75" customHeight="1">
      <c r="A567" s="577" t="s">
        <v>621</v>
      </c>
      <c r="B567" s="550" t="s">
        <v>885</v>
      </c>
      <c r="C567" s="578" t="s">
        <v>886</v>
      </c>
      <c r="D567" s="552">
        <v>232186</v>
      </c>
      <c r="E567" s="552">
        <v>1</v>
      </c>
      <c r="F567" s="592"/>
      <c r="G567" s="519"/>
      <c r="H567" s="592"/>
      <c r="I567" s="519"/>
      <c r="J567" s="592">
        <v>331742</v>
      </c>
      <c r="K567" s="519">
        <v>338616</v>
      </c>
      <c r="L567" s="592">
        <v>60579</v>
      </c>
      <c r="M567" s="519">
        <v>61816</v>
      </c>
      <c r="N567" s="592">
        <v>354280.5</v>
      </c>
      <c r="O567" s="519">
        <v>358793.5</v>
      </c>
      <c r="P567" s="595">
        <f t="shared" si="162"/>
        <v>746601.5</v>
      </c>
      <c r="Q567" s="595">
        <f t="shared" si="163"/>
        <v>24886.716666666667</v>
      </c>
      <c r="R567" s="596">
        <f t="shared" si="164"/>
        <v>759225.5</v>
      </c>
      <c r="S567" s="596">
        <f t="shared" si="165"/>
        <v>25307.516666666666</v>
      </c>
      <c r="T567" s="592">
        <v>19071</v>
      </c>
      <c r="U567" s="519">
        <v>14501</v>
      </c>
      <c r="V567" s="595">
        <f t="shared" si="166"/>
        <v>746601.5</v>
      </c>
      <c r="W567" s="596">
        <f t="shared" si="167"/>
        <v>759225.5</v>
      </c>
      <c r="X567" s="592"/>
      <c r="Y567" s="519"/>
      <c r="Z567" s="592"/>
      <c r="AA567" s="519"/>
      <c r="AB567" s="592"/>
      <c r="AC567" s="519"/>
      <c r="AD567" s="592"/>
      <c r="AE567" s="519"/>
      <c r="AF567" s="595">
        <f t="shared" si="168"/>
        <v>0</v>
      </c>
      <c r="AG567" s="595">
        <f t="shared" si="169"/>
        <v>0</v>
      </c>
      <c r="AH567" s="596">
        <f t="shared" si="170"/>
        <v>0</v>
      </c>
      <c r="AI567" s="596">
        <f t="shared" si="171"/>
        <v>0</v>
      </c>
      <c r="AJ567" s="592"/>
      <c r="AK567" s="519"/>
      <c r="AL567" s="595">
        <f t="shared" si="172"/>
        <v>0</v>
      </c>
      <c r="AM567" s="596">
        <f t="shared" si="173"/>
        <v>0</v>
      </c>
      <c r="AN567" s="592"/>
      <c r="AO567" s="519"/>
      <c r="AP567" s="592">
        <v>74542.5</v>
      </c>
      <c r="AQ567" s="519">
        <v>73957.5</v>
      </c>
      <c r="AR567" s="592">
        <v>19111</v>
      </c>
      <c r="AS567" s="519">
        <v>20589</v>
      </c>
      <c r="AT567" s="592">
        <v>76641.5</v>
      </c>
      <c r="AU567" s="519">
        <v>78565</v>
      </c>
      <c r="AV567" s="595">
        <f t="shared" si="174"/>
        <v>170295</v>
      </c>
      <c r="AW567" s="595">
        <f t="shared" si="175"/>
        <v>7095.625</v>
      </c>
      <c r="AX567" s="596">
        <f t="shared" si="176"/>
        <v>173111.5</v>
      </c>
      <c r="AY567" s="596">
        <f t="shared" si="177"/>
        <v>7212.979166666667</v>
      </c>
      <c r="AZ567" s="595">
        <f t="shared" si="178"/>
        <v>31982.341666666667</v>
      </c>
      <c r="BA567" s="596">
        <f t="shared" si="179"/>
        <v>32520.495833333334</v>
      </c>
    </row>
    <row r="568" spans="1:53" s="365" customFormat="1" ht="15" customHeight="1">
      <c r="A568" s="577" t="s">
        <v>621</v>
      </c>
      <c r="B568" s="550" t="s">
        <v>887</v>
      </c>
      <c r="C568" s="578" t="s">
        <v>886</v>
      </c>
      <c r="D568" s="552">
        <v>232982</v>
      </c>
      <c r="E568" s="552">
        <v>1</v>
      </c>
      <c r="F568" s="592"/>
      <c r="G568" s="519"/>
      <c r="H568" s="592"/>
      <c r="I568" s="519"/>
      <c r="J568" s="592">
        <v>214868</v>
      </c>
      <c r="K568" s="519">
        <v>213104</v>
      </c>
      <c r="L568" s="592">
        <v>50618</v>
      </c>
      <c r="M568" s="519">
        <v>58936</v>
      </c>
      <c r="N568" s="592">
        <v>235382</v>
      </c>
      <c r="O568" s="519">
        <v>238597</v>
      </c>
      <c r="P568" s="595">
        <f t="shared" si="162"/>
        <v>500868</v>
      </c>
      <c r="Q568" s="595">
        <f t="shared" si="163"/>
        <v>16695.599999999999</v>
      </c>
      <c r="R568" s="596">
        <f t="shared" si="164"/>
        <v>510637</v>
      </c>
      <c r="S568" s="596">
        <f t="shared" si="165"/>
        <v>17021.233333333334</v>
      </c>
      <c r="T568" s="592">
        <v>57</v>
      </c>
      <c r="U568" s="519">
        <v>65</v>
      </c>
      <c r="V568" s="595">
        <f t="shared" si="166"/>
        <v>500868</v>
      </c>
      <c r="W568" s="596">
        <f t="shared" si="167"/>
        <v>510637</v>
      </c>
      <c r="X568" s="592"/>
      <c r="Y568" s="519"/>
      <c r="Z568" s="592"/>
      <c r="AA568" s="519"/>
      <c r="AB568" s="592"/>
      <c r="AC568" s="519"/>
      <c r="AD568" s="592"/>
      <c r="AE568" s="519"/>
      <c r="AF568" s="595">
        <f t="shared" si="168"/>
        <v>0</v>
      </c>
      <c r="AG568" s="595">
        <f t="shared" si="169"/>
        <v>0</v>
      </c>
      <c r="AH568" s="596">
        <f t="shared" si="170"/>
        <v>0</v>
      </c>
      <c r="AI568" s="596">
        <f t="shared" si="171"/>
        <v>0</v>
      </c>
      <c r="AJ568" s="592"/>
      <c r="AK568" s="519"/>
      <c r="AL568" s="595">
        <f t="shared" si="172"/>
        <v>0</v>
      </c>
      <c r="AM568" s="596">
        <f t="shared" si="173"/>
        <v>0</v>
      </c>
      <c r="AN568" s="592"/>
      <c r="AO568" s="519"/>
      <c r="AP568" s="592">
        <v>25832</v>
      </c>
      <c r="AQ568" s="519">
        <v>25608</v>
      </c>
      <c r="AR568" s="592">
        <v>13674</v>
      </c>
      <c r="AS568" s="519">
        <v>14425</v>
      </c>
      <c r="AT568" s="592">
        <v>26891</v>
      </c>
      <c r="AU568" s="519">
        <v>28230</v>
      </c>
      <c r="AV568" s="595">
        <f t="shared" si="174"/>
        <v>66397</v>
      </c>
      <c r="AW568" s="595">
        <f t="shared" si="175"/>
        <v>2766.5416666666665</v>
      </c>
      <c r="AX568" s="596">
        <f t="shared" si="176"/>
        <v>68263</v>
      </c>
      <c r="AY568" s="596">
        <f t="shared" si="177"/>
        <v>2844.2916666666665</v>
      </c>
      <c r="AZ568" s="595">
        <f t="shared" si="178"/>
        <v>19462.141666666666</v>
      </c>
      <c r="BA568" s="596">
        <f t="shared" si="179"/>
        <v>19865.525000000001</v>
      </c>
    </row>
    <row r="569" spans="1:53" s="365" customFormat="1" ht="12.75" customHeight="1">
      <c r="A569" s="577" t="s">
        <v>621</v>
      </c>
      <c r="B569" s="550" t="s">
        <v>888</v>
      </c>
      <c r="C569" s="551" t="s">
        <v>886</v>
      </c>
      <c r="D569" s="552">
        <v>234076</v>
      </c>
      <c r="E569" s="552">
        <v>1</v>
      </c>
      <c r="F569" s="592"/>
      <c r="G569" s="519"/>
      <c r="H569" s="592"/>
      <c r="I569" s="519"/>
      <c r="J569" s="592">
        <v>238170.5</v>
      </c>
      <c r="K569" s="519">
        <v>238263.5</v>
      </c>
      <c r="L569" s="592">
        <v>18999</v>
      </c>
      <c r="M569" s="519">
        <v>21095.5</v>
      </c>
      <c r="N569" s="592">
        <v>250197</v>
      </c>
      <c r="O569" s="519">
        <v>243065</v>
      </c>
      <c r="P569" s="595">
        <f t="shared" si="162"/>
        <v>507366.5</v>
      </c>
      <c r="Q569" s="595">
        <f t="shared" si="163"/>
        <v>16912.216666666667</v>
      </c>
      <c r="R569" s="596">
        <f t="shared" si="164"/>
        <v>502424</v>
      </c>
      <c r="S569" s="596">
        <f t="shared" si="165"/>
        <v>16747.466666666667</v>
      </c>
      <c r="T569" s="592">
        <v>0</v>
      </c>
      <c r="U569" s="519">
        <v>0</v>
      </c>
      <c r="V569" s="595">
        <f t="shared" si="166"/>
        <v>507366.5</v>
      </c>
      <c r="W569" s="596">
        <f t="shared" si="167"/>
        <v>502424</v>
      </c>
      <c r="X569" s="592"/>
      <c r="Y569" s="519"/>
      <c r="Z569" s="592"/>
      <c r="AA569" s="519"/>
      <c r="AB569" s="592"/>
      <c r="AC569" s="519"/>
      <c r="AD569" s="592"/>
      <c r="AE569" s="519"/>
      <c r="AF569" s="595">
        <f t="shared" si="168"/>
        <v>0</v>
      </c>
      <c r="AG569" s="595">
        <f t="shared" si="169"/>
        <v>0</v>
      </c>
      <c r="AH569" s="596">
        <f t="shared" si="170"/>
        <v>0</v>
      </c>
      <c r="AI569" s="596">
        <f t="shared" si="171"/>
        <v>0</v>
      </c>
      <c r="AJ569" s="592"/>
      <c r="AK569" s="519"/>
      <c r="AL569" s="595">
        <f t="shared" si="172"/>
        <v>0</v>
      </c>
      <c r="AM569" s="596">
        <f t="shared" si="173"/>
        <v>0</v>
      </c>
      <c r="AN569" s="592"/>
      <c r="AO569" s="519"/>
      <c r="AP569" s="592">
        <v>90742.5</v>
      </c>
      <c r="AQ569" s="519">
        <v>91879.5</v>
      </c>
      <c r="AR569" s="592">
        <v>16369.5</v>
      </c>
      <c r="AS569" s="519">
        <v>18107</v>
      </c>
      <c r="AT569" s="592">
        <v>92840</v>
      </c>
      <c r="AU569" s="519">
        <v>90925</v>
      </c>
      <c r="AV569" s="595">
        <f t="shared" si="174"/>
        <v>199952</v>
      </c>
      <c r="AW569" s="595">
        <f t="shared" si="175"/>
        <v>8331.3333333333339</v>
      </c>
      <c r="AX569" s="596">
        <f t="shared" si="176"/>
        <v>200911.5</v>
      </c>
      <c r="AY569" s="596">
        <f t="shared" si="177"/>
        <v>8371.3125</v>
      </c>
      <c r="AZ569" s="595">
        <f t="shared" si="178"/>
        <v>25243.550000000003</v>
      </c>
      <c r="BA569" s="596">
        <f t="shared" si="179"/>
        <v>25118.779166666667</v>
      </c>
    </row>
    <row r="570" spans="1:53" s="365" customFormat="1" ht="12.75" customHeight="1">
      <c r="A570" s="577" t="s">
        <v>621</v>
      </c>
      <c r="B570" s="550" t="s">
        <v>889</v>
      </c>
      <c r="C570" s="579" t="s">
        <v>886</v>
      </c>
      <c r="D570" s="552">
        <v>234030</v>
      </c>
      <c r="E570" s="552">
        <v>1</v>
      </c>
      <c r="F570" s="592"/>
      <c r="G570" s="519"/>
      <c r="H570" s="592"/>
      <c r="I570" s="519"/>
      <c r="J570" s="592">
        <v>287895.5</v>
      </c>
      <c r="K570" s="519">
        <v>282686.5</v>
      </c>
      <c r="L570" s="592">
        <v>33632.5</v>
      </c>
      <c r="M570" s="519">
        <v>43550</v>
      </c>
      <c r="N570" s="592">
        <v>310358</v>
      </c>
      <c r="O570" s="519">
        <v>296965</v>
      </c>
      <c r="P570" s="595">
        <f t="shared" si="162"/>
        <v>631886</v>
      </c>
      <c r="Q570" s="595">
        <f t="shared" si="163"/>
        <v>21062.866666666665</v>
      </c>
      <c r="R570" s="596">
        <f t="shared" si="164"/>
        <v>623201.5</v>
      </c>
      <c r="S570" s="596">
        <f t="shared" si="165"/>
        <v>20773.383333333335</v>
      </c>
      <c r="T570" s="592">
        <v>7937</v>
      </c>
      <c r="U570" s="519">
        <v>3808</v>
      </c>
      <c r="V570" s="595">
        <f t="shared" si="166"/>
        <v>631886</v>
      </c>
      <c r="W570" s="596">
        <f t="shared" si="167"/>
        <v>623201.5</v>
      </c>
      <c r="X570" s="592"/>
      <c r="Y570" s="519"/>
      <c r="Z570" s="592"/>
      <c r="AA570" s="519"/>
      <c r="AB570" s="592"/>
      <c r="AC570" s="519"/>
      <c r="AD570" s="592"/>
      <c r="AE570" s="519"/>
      <c r="AF570" s="595">
        <f t="shared" si="168"/>
        <v>0</v>
      </c>
      <c r="AG570" s="595">
        <f t="shared" si="169"/>
        <v>0</v>
      </c>
      <c r="AH570" s="596">
        <f t="shared" si="170"/>
        <v>0</v>
      </c>
      <c r="AI570" s="596">
        <f t="shared" si="171"/>
        <v>0</v>
      </c>
      <c r="AJ570" s="592"/>
      <c r="AK570" s="519"/>
      <c r="AL570" s="595">
        <f t="shared" si="172"/>
        <v>0</v>
      </c>
      <c r="AM570" s="596">
        <f t="shared" si="173"/>
        <v>0</v>
      </c>
      <c r="AN570" s="592"/>
      <c r="AO570" s="519"/>
      <c r="AP570" s="592">
        <v>59799</v>
      </c>
      <c r="AQ570" s="519">
        <v>57930.5</v>
      </c>
      <c r="AR570" s="592">
        <v>12727</v>
      </c>
      <c r="AS570" s="519">
        <v>14310</v>
      </c>
      <c r="AT570" s="592">
        <v>59779</v>
      </c>
      <c r="AU570" s="519">
        <v>61909.5</v>
      </c>
      <c r="AV570" s="595">
        <f t="shared" si="174"/>
        <v>132305</v>
      </c>
      <c r="AW570" s="595">
        <f t="shared" si="175"/>
        <v>5512.708333333333</v>
      </c>
      <c r="AX570" s="596">
        <f t="shared" si="176"/>
        <v>134150</v>
      </c>
      <c r="AY570" s="596">
        <f t="shared" si="177"/>
        <v>5589.583333333333</v>
      </c>
      <c r="AZ570" s="595">
        <f t="shared" si="178"/>
        <v>26575.574999999997</v>
      </c>
      <c r="BA570" s="596">
        <f t="shared" si="179"/>
        <v>26362.966666666667</v>
      </c>
    </row>
    <row r="571" spans="1:53" s="1" customFormat="1">
      <c r="A571" s="577" t="s">
        <v>621</v>
      </c>
      <c r="B571" s="550" t="s">
        <v>890</v>
      </c>
      <c r="C571" s="551" t="s">
        <v>886</v>
      </c>
      <c r="D571" s="552">
        <v>233921</v>
      </c>
      <c r="E571" s="552">
        <v>1</v>
      </c>
      <c r="F571" s="592"/>
      <c r="G571" s="519"/>
      <c r="H571" s="592"/>
      <c r="I571" s="519"/>
      <c r="J571" s="592">
        <v>411483</v>
      </c>
      <c r="K571" s="519">
        <v>434732</v>
      </c>
      <c r="L571" s="592">
        <v>28196</v>
      </c>
      <c r="M571" s="519">
        <v>27925</v>
      </c>
      <c r="N571" s="592">
        <v>448243</v>
      </c>
      <c r="O571" s="519">
        <v>459631</v>
      </c>
      <c r="P571" s="595">
        <f t="shared" si="162"/>
        <v>887922</v>
      </c>
      <c r="Q571" s="595">
        <f t="shared" si="163"/>
        <v>29597.4</v>
      </c>
      <c r="R571" s="596">
        <f t="shared" si="164"/>
        <v>922288</v>
      </c>
      <c r="S571" s="596">
        <f t="shared" si="165"/>
        <v>30742.933333333334</v>
      </c>
      <c r="T571" s="592">
        <v>0</v>
      </c>
      <c r="U571" s="519">
        <v>0</v>
      </c>
      <c r="V571" s="595">
        <f t="shared" si="166"/>
        <v>887922</v>
      </c>
      <c r="W571" s="596">
        <f t="shared" si="167"/>
        <v>922288</v>
      </c>
      <c r="X571" s="592"/>
      <c r="Y571" s="519"/>
      <c r="Z571" s="592"/>
      <c r="AA571" s="519"/>
      <c r="AB571" s="592"/>
      <c r="AC571" s="519"/>
      <c r="AD571" s="592"/>
      <c r="AE571" s="519"/>
      <c r="AF571" s="595">
        <f t="shared" si="168"/>
        <v>0</v>
      </c>
      <c r="AG571" s="595">
        <f t="shared" si="169"/>
        <v>0</v>
      </c>
      <c r="AH571" s="596">
        <f t="shared" si="170"/>
        <v>0</v>
      </c>
      <c r="AI571" s="596">
        <f t="shared" si="171"/>
        <v>0</v>
      </c>
      <c r="AJ571" s="592"/>
      <c r="AK571" s="519"/>
      <c r="AL571" s="595">
        <f t="shared" si="172"/>
        <v>0</v>
      </c>
      <c r="AM571" s="596">
        <f t="shared" si="173"/>
        <v>0</v>
      </c>
      <c r="AN571" s="592"/>
      <c r="AO571" s="519"/>
      <c r="AP571" s="592">
        <v>66086</v>
      </c>
      <c r="AQ571" s="519">
        <v>68103</v>
      </c>
      <c r="AR571" s="592">
        <v>7015</v>
      </c>
      <c r="AS571" s="519">
        <v>6393</v>
      </c>
      <c r="AT571" s="592">
        <v>69569</v>
      </c>
      <c r="AU571" s="519">
        <v>69235</v>
      </c>
      <c r="AV571" s="595">
        <f t="shared" si="174"/>
        <v>142670</v>
      </c>
      <c r="AW571" s="595">
        <f t="shared" si="175"/>
        <v>5944.583333333333</v>
      </c>
      <c r="AX571" s="596">
        <f t="shared" si="176"/>
        <v>143731</v>
      </c>
      <c r="AY571" s="596">
        <f t="shared" si="177"/>
        <v>5988.791666666667</v>
      </c>
      <c r="AZ571" s="595">
        <f t="shared" si="178"/>
        <v>35541.983333333337</v>
      </c>
      <c r="BA571" s="596">
        <f t="shared" si="179"/>
        <v>36731.724999999999</v>
      </c>
    </row>
    <row r="572" spans="1:53" s="365" customFormat="1" ht="12.75" customHeight="1">
      <c r="A572" s="577" t="s">
        <v>621</v>
      </c>
      <c r="B572" s="550" t="s">
        <v>891</v>
      </c>
      <c r="C572" s="551" t="s">
        <v>886</v>
      </c>
      <c r="D572" s="552">
        <v>231624</v>
      </c>
      <c r="E572" s="552">
        <v>2</v>
      </c>
      <c r="F572" s="592"/>
      <c r="G572" s="519"/>
      <c r="H572" s="592"/>
      <c r="I572" s="519"/>
      <c r="J572" s="592">
        <v>86129.5</v>
      </c>
      <c r="K572" s="519">
        <v>85585.3</v>
      </c>
      <c r="L572" s="592">
        <v>8416</v>
      </c>
      <c r="M572" s="519">
        <v>7589</v>
      </c>
      <c r="N572" s="592">
        <v>89598</v>
      </c>
      <c r="O572" s="519">
        <v>89426</v>
      </c>
      <c r="P572" s="595">
        <f t="shared" si="162"/>
        <v>184143.5</v>
      </c>
      <c r="Q572" s="595">
        <f t="shared" si="163"/>
        <v>6138.1166666666668</v>
      </c>
      <c r="R572" s="596">
        <f t="shared" si="164"/>
        <v>182600.3</v>
      </c>
      <c r="S572" s="596">
        <f t="shared" si="165"/>
        <v>6086.6766666666663</v>
      </c>
      <c r="T572" s="592">
        <v>0</v>
      </c>
      <c r="U572" s="519">
        <v>0</v>
      </c>
      <c r="V572" s="595">
        <f t="shared" si="166"/>
        <v>184143.5</v>
      </c>
      <c r="W572" s="596">
        <f t="shared" si="167"/>
        <v>182600.3</v>
      </c>
      <c r="X572" s="592"/>
      <c r="Y572" s="519"/>
      <c r="Z572" s="592"/>
      <c r="AA572" s="519"/>
      <c r="AB572" s="592"/>
      <c r="AC572" s="519"/>
      <c r="AD572" s="592"/>
      <c r="AE572" s="519"/>
      <c r="AF572" s="595">
        <f t="shared" si="168"/>
        <v>0</v>
      </c>
      <c r="AG572" s="595">
        <f t="shared" si="169"/>
        <v>0</v>
      </c>
      <c r="AH572" s="596">
        <f t="shared" si="170"/>
        <v>0</v>
      </c>
      <c r="AI572" s="596">
        <f t="shared" si="171"/>
        <v>0</v>
      </c>
      <c r="AJ572" s="592"/>
      <c r="AK572" s="519"/>
      <c r="AL572" s="595">
        <f t="shared" si="172"/>
        <v>0</v>
      </c>
      <c r="AM572" s="596">
        <f t="shared" si="173"/>
        <v>0</v>
      </c>
      <c r="AN572" s="592"/>
      <c r="AO572" s="519"/>
      <c r="AP572" s="592">
        <v>26382</v>
      </c>
      <c r="AQ572" s="519">
        <v>27017</v>
      </c>
      <c r="AR572" s="592">
        <v>5930.5</v>
      </c>
      <c r="AS572" s="519">
        <v>5967</v>
      </c>
      <c r="AT572" s="592">
        <v>27570.5</v>
      </c>
      <c r="AU572" s="519">
        <v>29149.5</v>
      </c>
      <c r="AV572" s="595">
        <f t="shared" si="174"/>
        <v>59883</v>
      </c>
      <c r="AW572" s="595">
        <f t="shared" si="175"/>
        <v>2495.125</v>
      </c>
      <c r="AX572" s="596">
        <f t="shared" si="176"/>
        <v>62133.5</v>
      </c>
      <c r="AY572" s="596">
        <f t="shared" si="177"/>
        <v>2588.8958333333335</v>
      </c>
      <c r="AZ572" s="595">
        <f t="shared" si="178"/>
        <v>8633.2416666666668</v>
      </c>
      <c r="BA572" s="596">
        <f t="shared" si="179"/>
        <v>8675.5725000000002</v>
      </c>
    </row>
    <row r="573" spans="1:53" s="365" customFormat="1" ht="15" customHeight="1">
      <c r="A573" s="577" t="s">
        <v>621</v>
      </c>
      <c r="B573" s="550" t="s">
        <v>892</v>
      </c>
      <c r="C573" s="578" t="s">
        <v>886</v>
      </c>
      <c r="D573" s="552">
        <v>232423</v>
      </c>
      <c r="E573" s="552">
        <v>3</v>
      </c>
      <c r="F573" s="592"/>
      <c r="G573" s="519"/>
      <c r="H573" s="592"/>
      <c r="I573" s="519"/>
      <c r="J573" s="592">
        <v>270251</v>
      </c>
      <c r="K573" s="519">
        <v>268849</v>
      </c>
      <c r="L573" s="592">
        <v>31946</v>
      </c>
      <c r="M573" s="519">
        <v>33098</v>
      </c>
      <c r="N573" s="592">
        <v>289383</v>
      </c>
      <c r="O573" s="519">
        <v>287318</v>
      </c>
      <c r="P573" s="595">
        <f t="shared" si="162"/>
        <v>591580</v>
      </c>
      <c r="Q573" s="595">
        <f t="shared" si="163"/>
        <v>19719.333333333332</v>
      </c>
      <c r="R573" s="596">
        <f t="shared" si="164"/>
        <v>589265</v>
      </c>
      <c r="S573" s="596">
        <f t="shared" si="165"/>
        <v>19642.166666666668</v>
      </c>
      <c r="T573" s="592">
        <v>4797</v>
      </c>
      <c r="U573" s="519">
        <v>2642</v>
      </c>
      <c r="V573" s="595">
        <f t="shared" si="166"/>
        <v>591580</v>
      </c>
      <c r="W573" s="596">
        <f t="shared" si="167"/>
        <v>589265</v>
      </c>
      <c r="X573" s="592"/>
      <c r="Y573" s="519"/>
      <c r="Z573" s="592"/>
      <c r="AA573" s="519"/>
      <c r="AB573" s="592"/>
      <c r="AC573" s="519"/>
      <c r="AD573" s="592"/>
      <c r="AE573" s="519"/>
      <c r="AF573" s="595">
        <f t="shared" si="168"/>
        <v>0</v>
      </c>
      <c r="AG573" s="595">
        <f t="shared" si="169"/>
        <v>0</v>
      </c>
      <c r="AH573" s="596">
        <f t="shared" si="170"/>
        <v>0</v>
      </c>
      <c r="AI573" s="596">
        <f t="shared" si="171"/>
        <v>0</v>
      </c>
      <c r="AJ573" s="592"/>
      <c r="AK573" s="519"/>
      <c r="AL573" s="595">
        <f t="shared" si="172"/>
        <v>0</v>
      </c>
      <c r="AM573" s="596">
        <f t="shared" si="173"/>
        <v>0</v>
      </c>
      <c r="AN573" s="592"/>
      <c r="AO573" s="519"/>
      <c r="AP573" s="592">
        <v>13513</v>
      </c>
      <c r="AQ573" s="519">
        <v>13087</v>
      </c>
      <c r="AR573" s="592">
        <v>7215</v>
      </c>
      <c r="AS573" s="519">
        <v>6886</v>
      </c>
      <c r="AT573" s="592">
        <v>14933</v>
      </c>
      <c r="AU573" s="519">
        <v>15588</v>
      </c>
      <c r="AV573" s="595">
        <f t="shared" si="174"/>
        <v>35661</v>
      </c>
      <c r="AW573" s="595">
        <f t="shared" si="175"/>
        <v>1485.875</v>
      </c>
      <c r="AX573" s="596">
        <f t="shared" si="176"/>
        <v>35561</v>
      </c>
      <c r="AY573" s="596">
        <f t="shared" si="177"/>
        <v>1481.7083333333333</v>
      </c>
      <c r="AZ573" s="595">
        <f t="shared" si="178"/>
        <v>21205.208333333332</v>
      </c>
      <c r="BA573" s="596">
        <f t="shared" si="179"/>
        <v>21123.875</v>
      </c>
    </row>
    <row r="574" spans="1:53" s="365" customFormat="1" ht="12.75" customHeight="1">
      <c r="A574" s="577" t="s">
        <v>621</v>
      </c>
      <c r="B574" s="550" t="s">
        <v>893</v>
      </c>
      <c r="C574" s="580" t="s">
        <v>908</v>
      </c>
      <c r="D574" s="552">
        <v>232566</v>
      </c>
      <c r="E574" s="581">
        <v>5</v>
      </c>
      <c r="F574" s="592"/>
      <c r="G574" s="519"/>
      <c r="H574" s="592"/>
      <c r="I574" s="519"/>
      <c r="J574" s="592">
        <v>54426</v>
      </c>
      <c r="K574" s="519">
        <v>50265</v>
      </c>
      <c r="L574" s="592">
        <v>8436</v>
      </c>
      <c r="M574" s="519">
        <v>7770</v>
      </c>
      <c r="N574" s="592">
        <v>52396</v>
      </c>
      <c r="O574" s="519">
        <v>51540</v>
      </c>
      <c r="P574" s="595">
        <f t="shared" si="162"/>
        <v>115258</v>
      </c>
      <c r="Q574" s="595">
        <f t="shared" si="163"/>
        <v>3841.9333333333334</v>
      </c>
      <c r="R574" s="596">
        <f t="shared" si="164"/>
        <v>109575</v>
      </c>
      <c r="S574" s="596">
        <f t="shared" si="165"/>
        <v>3652.5</v>
      </c>
      <c r="T574" s="592">
        <v>3692</v>
      </c>
      <c r="U574" s="519">
        <v>3790</v>
      </c>
      <c r="V574" s="595">
        <f t="shared" si="166"/>
        <v>115258</v>
      </c>
      <c r="W574" s="596">
        <f t="shared" si="167"/>
        <v>109575</v>
      </c>
      <c r="X574" s="592"/>
      <c r="Y574" s="519"/>
      <c r="Z574" s="592"/>
      <c r="AA574" s="519"/>
      <c r="AB574" s="592"/>
      <c r="AC574" s="519"/>
      <c r="AD574" s="592"/>
      <c r="AE574" s="519"/>
      <c r="AF574" s="595">
        <f t="shared" si="168"/>
        <v>0</v>
      </c>
      <c r="AG574" s="595">
        <f t="shared" si="169"/>
        <v>0</v>
      </c>
      <c r="AH574" s="596">
        <f t="shared" si="170"/>
        <v>0</v>
      </c>
      <c r="AI574" s="596">
        <f t="shared" si="171"/>
        <v>0</v>
      </c>
      <c r="AJ574" s="592"/>
      <c r="AK574" s="519"/>
      <c r="AL574" s="595">
        <f t="shared" si="172"/>
        <v>0</v>
      </c>
      <c r="AM574" s="596">
        <f t="shared" si="173"/>
        <v>0</v>
      </c>
      <c r="AN574" s="592"/>
      <c r="AO574" s="519"/>
      <c r="AP574" s="592">
        <v>3590</v>
      </c>
      <c r="AQ574" s="519">
        <v>4082</v>
      </c>
      <c r="AR574" s="592">
        <v>3466</v>
      </c>
      <c r="AS574" s="519">
        <v>4360</v>
      </c>
      <c r="AT574" s="592">
        <v>3938</v>
      </c>
      <c r="AU574" s="519">
        <v>6111</v>
      </c>
      <c r="AV574" s="595">
        <f t="shared" si="174"/>
        <v>10994</v>
      </c>
      <c r="AW574" s="595">
        <f t="shared" si="175"/>
        <v>458.08333333333331</v>
      </c>
      <c r="AX574" s="596">
        <f t="shared" si="176"/>
        <v>14553</v>
      </c>
      <c r="AY574" s="596">
        <f t="shared" si="177"/>
        <v>606.375</v>
      </c>
      <c r="AZ574" s="595">
        <f t="shared" si="178"/>
        <v>4300.0166666666664</v>
      </c>
      <c r="BA574" s="596">
        <f t="shared" si="179"/>
        <v>4258.875</v>
      </c>
    </row>
    <row r="575" spans="1:53" s="365" customFormat="1" ht="12.75" customHeight="1">
      <c r="A575" s="577" t="s">
        <v>621</v>
      </c>
      <c r="B575" s="550" t="s">
        <v>894</v>
      </c>
      <c r="C575" s="580" t="s">
        <v>911</v>
      </c>
      <c r="D575" s="552">
        <v>232937</v>
      </c>
      <c r="E575" s="581">
        <v>4</v>
      </c>
      <c r="F575" s="592"/>
      <c r="G575" s="519"/>
      <c r="H575" s="592"/>
      <c r="I575" s="519"/>
      <c r="J575" s="592">
        <v>59619</v>
      </c>
      <c r="K575" s="519">
        <v>64911</v>
      </c>
      <c r="L575" s="592">
        <v>5296</v>
      </c>
      <c r="M575" s="519">
        <v>4564</v>
      </c>
      <c r="N575" s="592">
        <v>72583</v>
      </c>
      <c r="O575" s="519">
        <v>67327</v>
      </c>
      <c r="P575" s="595">
        <f t="shared" si="162"/>
        <v>137498</v>
      </c>
      <c r="Q575" s="595">
        <f t="shared" si="163"/>
        <v>4583.2666666666664</v>
      </c>
      <c r="R575" s="596">
        <f t="shared" si="164"/>
        <v>136802</v>
      </c>
      <c r="S575" s="596">
        <f t="shared" si="165"/>
        <v>4560.0666666666666</v>
      </c>
      <c r="T575" s="592">
        <v>114</v>
      </c>
      <c r="U575" s="519">
        <v>106</v>
      </c>
      <c r="V575" s="595">
        <f t="shared" si="166"/>
        <v>137498</v>
      </c>
      <c r="W575" s="596">
        <f t="shared" si="167"/>
        <v>136802</v>
      </c>
      <c r="X575" s="592"/>
      <c r="Y575" s="519"/>
      <c r="Z575" s="592"/>
      <c r="AA575" s="519"/>
      <c r="AB575" s="592"/>
      <c r="AC575" s="519"/>
      <c r="AD575" s="592"/>
      <c r="AE575" s="519"/>
      <c r="AF575" s="595">
        <f t="shared" si="168"/>
        <v>0</v>
      </c>
      <c r="AG575" s="595">
        <f t="shared" si="169"/>
        <v>0</v>
      </c>
      <c r="AH575" s="596">
        <f t="shared" si="170"/>
        <v>0</v>
      </c>
      <c r="AI575" s="596">
        <f t="shared" si="171"/>
        <v>0</v>
      </c>
      <c r="AJ575" s="592"/>
      <c r="AK575" s="519"/>
      <c r="AL575" s="595">
        <f t="shared" si="172"/>
        <v>0</v>
      </c>
      <c r="AM575" s="596">
        <f t="shared" si="173"/>
        <v>0</v>
      </c>
      <c r="AN575" s="592"/>
      <c r="AO575" s="519"/>
      <c r="AP575" s="592">
        <v>4590</v>
      </c>
      <c r="AQ575" s="519">
        <v>4145</v>
      </c>
      <c r="AR575" s="592">
        <v>391</v>
      </c>
      <c r="AS575" s="519">
        <v>204</v>
      </c>
      <c r="AT575" s="592">
        <v>4563</v>
      </c>
      <c r="AU575" s="519">
        <v>4124</v>
      </c>
      <c r="AV575" s="595">
        <f t="shared" si="174"/>
        <v>9544</v>
      </c>
      <c r="AW575" s="595">
        <f t="shared" si="175"/>
        <v>397.66666666666669</v>
      </c>
      <c r="AX575" s="596">
        <f t="shared" si="176"/>
        <v>8473</v>
      </c>
      <c r="AY575" s="596">
        <f t="shared" si="177"/>
        <v>353.04166666666669</v>
      </c>
      <c r="AZ575" s="595">
        <f t="shared" si="178"/>
        <v>4980.9333333333334</v>
      </c>
      <c r="BA575" s="596">
        <f t="shared" si="179"/>
        <v>4913.1083333333336</v>
      </c>
    </row>
    <row r="576" spans="1:53" s="365" customFormat="1" ht="15" customHeight="1">
      <c r="A576" s="577" t="s">
        <v>621</v>
      </c>
      <c r="B576" s="550" t="s">
        <v>895</v>
      </c>
      <c r="C576" s="578" t="s">
        <v>886</v>
      </c>
      <c r="D576" s="552">
        <v>233277</v>
      </c>
      <c r="E576" s="552">
        <v>3</v>
      </c>
      <c r="F576" s="592"/>
      <c r="G576" s="519"/>
      <c r="H576" s="592"/>
      <c r="I576" s="519"/>
      <c r="J576" s="592">
        <v>107405.7</v>
      </c>
      <c r="K576" s="519">
        <v>105583</v>
      </c>
      <c r="L576" s="592">
        <v>8244</v>
      </c>
      <c r="M576" s="519">
        <v>9226</v>
      </c>
      <c r="N576" s="592">
        <v>117039</v>
      </c>
      <c r="O576" s="519">
        <v>104755</v>
      </c>
      <c r="P576" s="595">
        <f t="shared" si="162"/>
        <v>232688.7</v>
      </c>
      <c r="Q576" s="595">
        <f t="shared" si="163"/>
        <v>7756.29</v>
      </c>
      <c r="R576" s="596">
        <f t="shared" si="164"/>
        <v>219564</v>
      </c>
      <c r="S576" s="596">
        <f t="shared" si="165"/>
        <v>7318.8</v>
      </c>
      <c r="T576" s="592">
        <v>190</v>
      </c>
      <c r="U576" s="519">
        <v>356</v>
      </c>
      <c r="V576" s="595">
        <f t="shared" si="166"/>
        <v>232688.7</v>
      </c>
      <c r="W576" s="596">
        <f t="shared" si="167"/>
        <v>219564</v>
      </c>
      <c r="X576" s="592"/>
      <c r="Y576" s="519"/>
      <c r="Z576" s="592"/>
      <c r="AA576" s="519"/>
      <c r="AB576" s="592"/>
      <c r="AC576" s="519"/>
      <c r="AD576" s="592"/>
      <c r="AE576" s="519"/>
      <c r="AF576" s="595">
        <f t="shared" si="168"/>
        <v>0</v>
      </c>
      <c r="AG576" s="595">
        <f t="shared" si="169"/>
        <v>0</v>
      </c>
      <c r="AH576" s="596">
        <f t="shared" si="170"/>
        <v>0</v>
      </c>
      <c r="AI576" s="596">
        <f t="shared" si="171"/>
        <v>0</v>
      </c>
      <c r="AJ576" s="592"/>
      <c r="AK576" s="519"/>
      <c r="AL576" s="595">
        <f t="shared" si="172"/>
        <v>0</v>
      </c>
      <c r="AM576" s="596">
        <f t="shared" si="173"/>
        <v>0</v>
      </c>
      <c r="AN576" s="592"/>
      <c r="AO576" s="519"/>
      <c r="AP576" s="592">
        <v>8939</v>
      </c>
      <c r="AQ576" s="519">
        <v>14714</v>
      </c>
      <c r="AR576" s="592">
        <v>5838</v>
      </c>
      <c r="AS576" s="519">
        <v>9974</v>
      </c>
      <c r="AT576" s="592">
        <v>15400</v>
      </c>
      <c r="AU576" s="519">
        <v>16028</v>
      </c>
      <c r="AV576" s="595">
        <f t="shared" si="174"/>
        <v>30177</v>
      </c>
      <c r="AW576" s="595">
        <f t="shared" si="175"/>
        <v>1257.375</v>
      </c>
      <c r="AX576" s="596">
        <f t="shared" si="176"/>
        <v>40716</v>
      </c>
      <c r="AY576" s="596">
        <f t="shared" si="177"/>
        <v>1696.5</v>
      </c>
      <c r="AZ576" s="595">
        <f t="shared" si="178"/>
        <v>9013.6650000000009</v>
      </c>
      <c r="BA576" s="596">
        <f t="shared" si="179"/>
        <v>9015.2999999999993</v>
      </c>
    </row>
    <row r="577" spans="1:53" s="365" customFormat="1" ht="15" customHeight="1">
      <c r="A577" s="577" t="s">
        <v>621</v>
      </c>
      <c r="B577" s="550" t="s">
        <v>896</v>
      </c>
      <c r="C577" s="580" t="s">
        <v>908</v>
      </c>
      <c r="D577" s="552">
        <v>232681</v>
      </c>
      <c r="E577" s="581">
        <v>5</v>
      </c>
      <c r="F577" s="592"/>
      <c r="G577" s="519"/>
      <c r="H577" s="592"/>
      <c r="I577" s="519"/>
      <c r="J577" s="592">
        <v>55598</v>
      </c>
      <c r="K577" s="519">
        <v>53521</v>
      </c>
      <c r="L577" s="592">
        <v>4385.2</v>
      </c>
      <c r="M577" s="519">
        <v>5827</v>
      </c>
      <c r="N577" s="592">
        <v>57520</v>
      </c>
      <c r="O577" s="519">
        <v>55814</v>
      </c>
      <c r="P577" s="595">
        <f t="shared" si="162"/>
        <v>117503.2</v>
      </c>
      <c r="Q577" s="595">
        <f t="shared" si="163"/>
        <v>3916.7733333333331</v>
      </c>
      <c r="R577" s="596">
        <f t="shared" si="164"/>
        <v>115162</v>
      </c>
      <c r="S577" s="596">
        <f t="shared" si="165"/>
        <v>3838.7333333333331</v>
      </c>
      <c r="T577" s="592">
        <v>41</v>
      </c>
      <c r="U577" s="519">
        <v>25</v>
      </c>
      <c r="V577" s="595">
        <f t="shared" si="166"/>
        <v>117503.2</v>
      </c>
      <c r="W577" s="596">
        <f t="shared" si="167"/>
        <v>115162</v>
      </c>
      <c r="X577" s="592"/>
      <c r="Y577" s="519"/>
      <c r="Z577" s="592"/>
      <c r="AA577" s="519"/>
      <c r="AB577" s="592"/>
      <c r="AC577" s="519"/>
      <c r="AD577" s="592"/>
      <c r="AE577" s="519"/>
      <c r="AF577" s="595">
        <f t="shared" si="168"/>
        <v>0</v>
      </c>
      <c r="AG577" s="595">
        <f t="shared" si="169"/>
        <v>0</v>
      </c>
      <c r="AH577" s="596">
        <f t="shared" si="170"/>
        <v>0</v>
      </c>
      <c r="AI577" s="596">
        <f t="shared" si="171"/>
        <v>0</v>
      </c>
      <c r="AJ577" s="592"/>
      <c r="AK577" s="519"/>
      <c r="AL577" s="595">
        <f t="shared" si="172"/>
        <v>0</v>
      </c>
      <c r="AM577" s="596">
        <f t="shared" si="173"/>
        <v>0</v>
      </c>
      <c r="AN577" s="592"/>
      <c r="AO577" s="519"/>
      <c r="AP577" s="592">
        <v>1970</v>
      </c>
      <c r="AQ577" s="519">
        <v>2060.6</v>
      </c>
      <c r="AR577" s="592">
        <v>775</v>
      </c>
      <c r="AS577" s="519">
        <v>735</v>
      </c>
      <c r="AT577" s="592">
        <v>2408</v>
      </c>
      <c r="AU577" s="519">
        <v>2375</v>
      </c>
      <c r="AV577" s="595">
        <f t="shared" si="174"/>
        <v>5153</v>
      </c>
      <c r="AW577" s="595">
        <f t="shared" si="175"/>
        <v>214.70833333333334</v>
      </c>
      <c r="AX577" s="596">
        <f t="shared" si="176"/>
        <v>5170.6000000000004</v>
      </c>
      <c r="AY577" s="596">
        <f t="shared" si="177"/>
        <v>215.44166666666669</v>
      </c>
      <c r="AZ577" s="595">
        <f t="shared" si="178"/>
        <v>4131.4816666666666</v>
      </c>
      <c r="BA577" s="596">
        <f t="shared" si="179"/>
        <v>4054.1749999999997</v>
      </c>
    </row>
    <row r="578" spans="1:53" s="365" customFormat="1" ht="15" customHeight="1">
      <c r="A578" s="577" t="s">
        <v>621</v>
      </c>
      <c r="B578" s="550" t="s">
        <v>897</v>
      </c>
      <c r="C578" s="578" t="s">
        <v>886</v>
      </c>
      <c r="D578" s="552">
        <v>234155</v>
      </c>
      <c r="E578" s="552">
        <v>3</v>
      </c>
      <c r="F578" s="592"/>
      <c r="G578" s="519"/>
      <c r="H578" s="592"/>
      <c r="I578" s="519"/>
      <c r="J578" s="592">
        <v>55400</v>
      </c>
      <c r="K578" s="519">
        <v>55669</v>
      </c>
      <c r="L578" s="592">
        <v>3597</v>
      </c>
      <c r="M578" s="519">
        <v>3038</v>
      </c>
      <c r="N578" s="592">
        <v>61113</v>
      </c>
      <c r="O578" s="519">
        <v>54988</v>
      </c>
      <c r="P578" s="595">
        <f t="shared" si="162"/>
        <v>120110</v>
      </c>
      <c r="Q578" s="595">
        <f t="shared" si="163"/>
        <v>4003.6666666666665</v>
      </c>
      <c r="R578" s="596">
        <f t="shared" si="164"/>
        <v>113695</v>
      </c>
      <c r="S578" s="596">
        <f t="shared" si="165"/>
        <v>3789.8333333333335</v>
      </c>
      <c r="T578" s="592">
        <v>0</v>
      </c>
      <c r="U578" s="519">
        <v>0</v>
      </c>
      <c r="V578" s="595">
        <f t="shared" si="166"/>
        <v>120110</v>
      </c>
      <c r="W578" s="596">
        <f t="shared" si="167"/>
        <v>113695</v>
      </c>
      <c r="X578" s="592"/>
      <c r="Y578" s="519"/>
      <c r="Z578" s="592"/>
      <c r="AA578" s="519"/>
      <c r="AB578" s="592"/>
      <c r="AC578" s="519"/>
      <c r="AD578" s="592"/>
      <c r="AE578" s="519"/>
      <c r="AF578" s="595">
        <f t="shared" si="168"/>
        <v>0</v>
      </c>
      <c r="AG578" s="595">
        <f t="shared" si="169"/>
        <v>0</v>
      </c>
      <c r="AH578" s="596">
        <f t="shared" si="170"/>
        <v>0</v>
      </c>
      <c r="AI578" s="596">
        <f t="shared" si="171"/>
        <v>0</v>
      </c>
      <c r="AJ578" s="592"/>
      <c r="AK578" s="519"/>
      <c r="AL578" s="595">
        <f t="shared" si="172"/>
        <v>0</v>
      </c>
      <c r="AM578" s="596">
        <f t="shared" si="173"/>
        <v>0</v>
      </c>
      <c r="AN578" s="592"/>
      <c r="AO578" s="519"/>
      <c r="AP578" s="592">
        <v>2738</v>
      </c>
      <c r="AQ578" s="519">
        <v>2608</v>
      </c>
      <c r="AR578" s="592">
        <v>300</v>
      </c>
      <c r="AS578" s="519">
        <v>270</v>
      </c>
      <c r="AT578" s="592">
        <v>2802</v>
      </c>
      <c r="AU578" s="519">
        <v>3138</v>
      </c>
      <c r="AV578" s="595">
        <f t="shared" si="174"/>
        <v>5840</v>
      </c>
      <c r="AW578" s="595">
        <f t="shared" si="175"/>
        <v>243.33333333333334</v>
      </c>
      <c r="AX578" s="596">
        <f t="shared" si="176"/>
        <v>6016</v>
      </c>
      <c r="AY578" s="596">
        <f t="shared" si="177"/>
        <v>250.66666666666666</v>
      </c>
      <c r="AZ578" s="595">
        <f t="shared" si="178"/>
        <v>4247</v>
      </c>
      <c r="BA578" s="596">
        <f t="shared" si="179"/>
        <v>4040.5</v>
      </c>
    </row>
    <row r="579" spans="1:53" s="365" customFormat="1" ht="15" customHeight="1">
      <c r="A579" s="577" t="s">
        <v>621</v>
      </c>
      <c r="B579" s="550" t="s">
        <v>898</v>
      </c>
      <c r="C579" s="578" t="s">
        <v>886</v>
      </c>
      <c r="D579" s="552">
        <v>231712</v>
      </c>
      <c r="E579" s="552">
        <v>5</v>
      </c>
      <c r="F579" s="592"/>
      <c r="G579" s="519"/>
      <c r="H579" s="592"/>
      <c r="I579" s="519"/>
      <c r="J579" s="592">
        <v>67359</v>
      </c>
      <c r="K579" s="519">
        <v>66741</v>
      </c>
      <c r="L579" s="592">
        <v>1199</v>
      </c>
      <c r="M579" s="519">
        <v>2278</v>
      </c>
      <c r="N579" s="592">
        <v>71353</v>
      </c>
      <c r="O579" s="519">
        <v>70308</v>
      </c>
      <c r="P579" s="595">
        <f t="shared" si="162"/>
        <v>139911</v>
      </c>
      <c r="Q579" s="595">
        <f t="shared" si="163"/>
        <v>4663.7</v>
      </c>
      <c r="R579" s="596">
        <f t="shared" si="164"/>
        <v>139327</v>
      </c>
      <c r="S579" s="596">
        <f t="shared" si="165"/>
        <v>4644.2333333333336</v>
      </c>
      <c r="T579" s="592">
        <v>69</v>
      </c>
      <c r="U579" s="519">
        <v>129</v>
      </c>
      <c r="V579" s="595">
        <f t="shared" si="166"/>
        <v>139911</v>
      </c>
      <c r="W579" s="596">
        <f t="shared" si="167"/>
        <v>139327</v>
      </c>
      <c r="X579" s="592"/>
      <c r="Y579" s="519"/>
      <c r="Z579" s="592"/>
      <c r="AA579" s="519"/>
      <c r="AB579" s="592"/>
      <c r="AC579" s="519"/>
      <c r="AD579" s="592"/>
      <c r="AE579" s="519"/>
      <c r="AF579" s="595">
        <f t="shared" si="168"/>
        <v>0</v>
      </c>
      <c r="AG579" s="595">
        <f t="shared" si="169"/>
        <v>0</v>
      </c>
      <c r="AH579" s="596">
        <f t="shared" si="170"/>
        <v>0</v>
      </c>
      <c r="AI579" s="596">
        <f t="shared" si="171"/>
        <v>0</v>
      </c>
      <c r="AJ579" s="592"/>
      <c r="AK579" s="519"/>
      <c r="AL579" s="595">
        <f t="shared" si="172"/>
        <v>0</v>
      </c>
      <c r="AM579" s="596">
        <f t="shared" si="173"/>
        <v>0</v>
      </c>
      <c r="AN579" s="592"/>
      <c r="AO579" s="519"/>
      <c r="AP579" s="592">
        <v>1052</v>
      </c>
      <c r="AQ579" s="519">
        <v>982</v>
      </c>
      <c r="AR579" s="592">
        <v>487</v>
      </c>
      <c r="AS579" s="519">
        <v>464</v>
      </c>
      <c r="AT579" s="592">
        <v>1052</v>
      </c>
      <c r="AU579" s="519">
        <v>1330</v>
      </c>
      <c r="AV579" s="595">
        <f t="shared" si="174"/>
        <v>2591</v>
      </c>
      <c r="AW579" s="595">
        <f t="shared" si="175"/>
        <v>107.95833333333333</v>
      </c>
      <c r="AX579" s="596">
        <f t="shared" si="176"/>
        <v>2776</v>
      </c>
      <c r="AY579" s="596">
        <f t="shared" si="177"/>
        <v>115.66666666666667</v>
      </c>
      <c r="AZ579" s="595">
        <f t="shared" si="178"/>
        <v>4771.6583333333328</v>
      </c>
      <c r="BA579" s="596">
        <f t="shared" si="179"/>
        <v>4759.9000000000005</v>
      </c>
    </row>
    <row r="580" spans="1:53" s="365" customFormat="1" ht="15" customHeight="1">
      <c r="A580" s="577" t="s">
        <v>621</v>
      </c>
      <c r="B580" s="550" t="s">
        <v>899</v>
      </c>
      <c r="C580" s="578" t="s">
        <v>886</v>
      </c>
      <c r="D580" s="552">
        <v>233897</v>
      </c>
      <c r="E580" s="552">
        <v>6</v>
      </c>
      <c r="F580" s="592"/>
      <c r="G580" s="519"/>
      <c r="H580" s="592"/>
      <c r="I580" s="519"/>
      <c r="J580" s="592">
        <v>19984</v>
      </c>
      <c r="K580" s="519">
        <v>19625</v>
      </c>
      <c r="L580" s="592">
        <v>5739</v>
      </c>
      <c r="M580" s="519">
        <v>6180</v>
      </c>
      <c r="N580" s="592">
        <v>20107</v>
      </c>
      <c r="O580" s="519">
        <v>20016</v>
      </c>
      <c r="P580" s="595">
        <f t="shared" si="162"/>
        <v>45830</v>
      </c>
      <c r="Q580" s="595">
        <f t="shared" si="163"/>
        <v>1527.6666666666667</v>
      </c>
      <c r="R580" s="596">
        <f t="shared" si="164"/>
        <v>45821</v>
      </c>
      <c r="S580" s="596">
        <f t="shared" si="165"/>
        <v>1527.3666666666666</v>
      </c>
      <c r="T580" s="592">
        <v>210</v>
      </c>
      <c r="U580" s="519">
        <v>0</v>
      </c>
      <c r="V580" s="595">
        <f t="shared" si="166"/>
        <v>45830</v>
      </c>
      <c r="W580" s="596">
        <f t="shared" si="167"/>
        <v>45821</v>
      </c>
      <c r="X580" s="592"/>
      <c r="Y580" s="519"/>
      <c r="Z580" s="592"/>
      <c r="AA580" s="519"/>
      <c r="AB580" s="592"/>
      <c r="AC580" s="519"/>
      <c r="AD580" s="592"/>
      <c r="AE580" s="519"/>
      <c r="AF580" s="595">
        <f t="shared" si="168"/>
        <v>0</v>
      </c>
      <c r="AG580" s="595">
        <f t="shared" si="169"/>
        <v>0</v>
      </c>
      <c r="AH580" s="596">
        <f t="shared" si="170"/>
        <v>0</v>
      </c>
      <c r="AI580" s="596">
        <f t="shared" si="171"/>
        <v>0</v>
      </c>
      <c r="AJ580" s="592"/>
      <c r="AK580" s="519"/>
      <c r="AL580" s="595">
        <f t="shared" si="172"/>
        <v>0</v>
      </c>
      <c r="AM580" s="596">
        <f t="shared" si="173"/>
        <v>0</v>
      </c>
      <c r="AN580" s="592"/>
      <c r="AO580" s="519"/>
      <c r="AP580" s="592"/>
      <c r="AQ580" s="519"/>
      <c r="AR580" s="592"/>
      <c r="AS580" s="519"/>
      <c r="AT580" s="592"/>
      <c r="AU580" s="519"/>
      <c r="AV580" s="595">
        <f t="shared" si="174"/>
        <v>0</v>
      </c>
      <c r="AW580" s="595">
        <f t="shared" si="175"/>
        <v>0</v>
      </c>
      <c r="AX580" s="596">
        <f t="shared" si="176"/>
        <v>0</v>
      </c>
      <c r="AY580" s="596">
        <f t="shared" si="177"/>
        <v>0</v>
      </c>
      <c r="AZ580" s="595">
        <f t="shared" si="178"/>
        <v>1527.6666666666667</v>
      </c>
      <c r="BA580" s="596">
        <f t="shared" si="179"/>
        <v>1527.3666666666666</v>
      </c>
    </row>
    <row r="581" spans="1:53" s="365" customFormat="1" ht="15" customHeight="1">
      <c r="A581" s="577" t="s">
        <v>621</v>
      </c>
      <c r="B581" s="550" t="s">
        <v>900</v>
      </c>
      <c r="C581" s="578" t="s">
        <v>886</v>
      </c>
      <c r="D581" s="552">
        <v>232414</v>
      </c>
      <c r="E581" s="552">
        <v>8</v>
      </c>
      <c r="F581" s="592"/>
      <c r="G581" s="519"/>
      <c r="H581" s="592"/>
      <c r="I581" s="519"/>
      <c r="J581" s="592">
        <v>65842</v>
      </c>
      <c r="K581" s="519">
        <v>67243</v>
      </c>
      <c r="L581" s="592">
        <v>24828</v>
      </c>
      <c r="M581" s="519">
        <v>23872</v>
      </c>
      <c r="N581" s="592">
        <v>73376</v>
      </c>
      <c r="O581" s="519">
        <v>66657</v>
      </c>
      <c r="P581" s="595">
        <f t="shared" si="162"/>
        <v>164046</v>
      </c>
      <c r="Q581" s="595">
        <f t="shared" si="163"/>
        <v>5468.2</v>
      </c>
      <c r="R581" s="596">
        <f t="shared" si="164"/>
        <v>157772</v>
      </c>
      <c r="S581" s="596">
        <f t="shared" si="165"/>
        <v>5259.0666666666666</v>
      </c>
      <c r="T581" s="592">
        <v>37438</v>
      </c>
      <c r="U581" s="519">
        <v>39787</v>
      </c>
      <c r="V581" s="595">
        <f t="shared" si="166"/>
        <v>164046</v>
      </c>
      <c r="W581" s="596">
        <f t="shared" si="167"/>
        <v>157772</v>
      </c>
      <c r="X581" s="592"/>
      <c r="Y581" s="519"/>
      <c r="Z581" s="592"/>
      <c r="AA581" s="519"/>
      <c r="AB581" s="592"/>
      <c r="AC581" s="519"/>
      <c r="AD581" s="592"/>
      <c r="AE581" s="519"/>
      <c r="AF581" s="595">
        <f t="shared" si="168"/>
        <v>0</v>
      </c>
      <c r="AG581" s="595">
        <f t="shared" si="169"/>
        <v>0</v>
      </c>
      <c r="AH581" s="596">
        <f t="shared" si="170"/>
        <v>0</v>
      </c>
      <c r="AI581" s="596">
        <f t="shared" si="171"/>
        <v>0</v>
      </c>
      <c r="AJ581" s="592"/>
      <c r="AK581" s="519"/>
      <c r="AL581" s="595">
        <f t="shared" si="172"/>
        <v>0</v>
      </c>
      <c r="AM581" s="596">
        <f t="shared" si="173"/>
        <v>0</v>
      </c>
      <c r="AN581" s="592"/>
      <c r="AO581" s="519"/>
      <c r="AP581" s="592"/>
      <c r="AQ581" s="519"/>
      <c r="AR581" s="592"/>
      <c r="AS581" s="519"/>
      <c r="AT581" s="592"/>
      <c r="AU581" s="519"/>
      <c r="AV581" s="595">
        <f t="shared" si="174"/>
        <v>0</v>
      </c>
      <c r="AW581" s="595">
        <f t="shared" si="175"/>
        <v>0</v>
      </c>
      <c r="AX581" s="596">
        <f t="shared" si="176"/>
        <v>0</v>
      </c>
      <c r="AY581" s="596">
        <f t="shared" si="177"/>
        <v>0</v>
      </c>
      <c r="AZ581" s="595">
        <f t="shared" si="178"/>
        <v>5468.2</v>
      </c>
      <c r="BA581" s="596">
        <f t="shared" si="179"/>
        <v>5259.0666666666666</v>
      </c>
    </row>
    <row r="582" spans="1:53" s="365" customFormat="1" ht="15" customHeight="1">
      <c r="A582" s="577" t="s">
        <v>621</v>
      </c>
      <c r="B582" s="550" t="s">
        <v>901</v>
      </c>
      <c r="C582" s="578" t="s">
        <v>886</v>
      </c>
      <c r="D582" s="552">
        <v>232450</v>
      </c>
      <c r="E582" s="552">
        <v>8</v>
      </c>
      <c r="F582" s="592"/>
      <c r="G582" s="519"/>
      <c r="H582" s="592"/>
      <c r="I582" s="519"/>
      <c r="J582" s="592">
        <v>67858</v>
      </c>
      <c r="K582" s="519">
        <v>70027</v>
      </c>
      <c r="L582" s="592">
        <v>19524</v>
      </c>
      <c r="M582" s="519">
        <v>17990</v>
      </c>
      <c r="N582" s="592">
        <v>77954</v>
      </c>
      <c r="O582" s="519">
        <v>70932</v>
      </c>
      <c r="P582" s="595">
        <f t="shared" si="162"/>
        <v>165336</v>
      </c>
      <c r="Q582" s="595">
        <f t="shared" si="163"/>
        <v>5511.2</v>
      </c>
      <c r="R582" s="596">
        <f t="shared" si="164"/>
        <v>158949</v>
      </c>
      <c r="S582" s="596">
        <f t="shared" si="165"/>
        <v>5298.3</v>
      </c>
      <c r="T582" s="592">
        <v>56531</v>
      </c>
      <c r="U582" s="519">
        <v>59783</v>
      </c>
      <c r="V582" s="595">
        <f t="shared" si="166"/>
        <v>165336</v>
      </c>
      <c r="W582" s="596">
        <f t="shared" si="167"/>
        <v>158949</v>
      </c>
      <c r="X582" s="592"/>
      <c r="Y582" s="519"/>
      <c r="Z582" s="592"/>
      <c r="AA582" s="519"/>
      <c r="AB582" s="592"/>
      <c r="AC582" s="519"/>
      <c r="AD582" s="592"/>
      <c r="AE582" s="519"/>
      <c r="AF582" s="595">
        <f t="shared" si="168"/>
        <v>0</v>
      </c>
      <c r="AG582" s="595">
        <f t="shared" si="169"/>
        <v>0</v>
      </c>
      <c r="AH582" s="596">
        <f t="shared" si="170"/>
        <v>0</v>
      </c>
      <c r="AI582" s="596">
        <f t="shared" si="171"/>
        <v>0</v>
      </c>
      <c r="AJ582" s="592"/>
      <c r="AK582" s="519"/>
      <c r="AL582" s="595">
        <f t="shared" si="172"/>
        <v>0</v>
      </c>
      <c r="AM582" s="596">
        <f t="shared" si="173"/>
        <v>0</v>
      </c>
      <c r="AN582" s="592"/>
      <c r="AO582" s="519"/>
      <c r="AP582" s="592"/>
      <c r="AQ582" s="519"/>
      <c r="AR582" s="592"/>
      <c r="AS582" s="519"/>
      <c r="AT582" s="592"/>
      <c r="AU582" s="519"/>
      <c r="AV582" s="595">
        <f t="shared" si="174"/>
        <v>0</v>
      </c>
      <c r="AW582" s="595">
        <f t="shared" si="175"/>
        <v>0</v>
      </c>
      <c r="AX582" s="596">
        <f t="shared" si="176"/>
        <v>0</v>
      </c>
      <c r="AY582" s="596">
        <f t="shared" si="177"/>
        <v>0</v>
      </c>
      <c r="AZ582" s="595">
        <f t="shared" si="178"/>
        <v>5511.2</v>
      </c>
      <c r="BA582" s="596">
        <f t="shared" si="179"/>
        <v>5298.3</v>
      </c>
    </row>
    <row r="583" spans="1:53" s="365" customFormat="1" ht="15" customHeight="1">
      <c r="A583" s="577" t="s">
        <v>621</v>
      </c>
      <c r="B583" s="550" t="s">
        <v>902</v>
      </c>
      <c r="C583" s="578" t="s">
        <v>886</v>
      </c>
      <c r="D583" s="552">
        <v>232946</v>
      </c>
      <c r="E583" s="552">
        <v>8</v>
      </c>
      <c r="F583" s="592"/>
      <c r="G583" s="519"/>
      <c r="H583" s="592"/>
      <c r="I583" s="519"/>
      <c r="J583" s="592">
        <v>396630</v>
      </c>
      <c r="K583" s="519">
        <v>374636</v>
      </c>
      <c r="L583" s="592">
        <v>128474</v>
      </c>
      <c r="M583" s="519">
        <v>122506</v>
      </c>
      <c r="N583" s="592">
        <v>417201</v>
      </c>
      <c r="O583" s="519">
        <v>426201</v>
      </c>
      <c r="P583" s="595">
        <f t="shared" si="162"/>
        <v>942305</v>
      </c>
      <c r="Q583" s="595">
        <f t="shared" si="163"/>
        <v>31410.166666666668</v>
      </c>
      <c r="R583" s="596">
        <f t="shared" si="164"/>
        <v>923343</v>
      </c>
      <c r="S583" s="596">
        <f t="shared" si="165"/>
        <v>30778.1</v>
      </c>
      <c r="T583" s="592">
        <v>169234</v>
      </c>
      <c r="U583" s="519">
        <v>201989</v>
      </c>
      <c r="V583" s="595">
        <f t="shared" si="166"/>
        <v>942305</v>
      </c>
      <c r="W583" s="596">
        <f t="shared" si="167"/>
        <v>923343</v>
      </c>
      <c r="X583" s="592"/>
      <c r="Y583" s="519"/>
      <c r="Z583" s="592"/>
      <c r="AA583" s="519"/>
      <c r="AB583" s="592"/>
      <c r="AC583" s="519"/>
      <c r="AD583" s="592"/>
      <c r="AE583" s="519"/>
      <c r="AF583" s="595">
        <f t="shared" si="168"/>
        <v>0</v>
      </c>
      <c r="AG583" s="595">
        <f t="shared" si="169"/>
        <v>0</v>
      </c>
      <c r="AH583" s="596">
        <f t="shared" si="170"/>
        <v>0</v>
      </c>
      <c r="AI583" s="596">
        <f t="shared" si="171"/>
        <v>0</v>
      </c>
      <c r="AJ583" s="592"/>
      <c r="AK583" s="519"/>
      <c r="AL583" s="595">
        <f t="shared" si="172"/>
        <v>0</v>
      </c>
      <c r="AM583" s="596">
        <f t="shared" si="173"/>
        <v>0</v>
      </c>
      <c r="AN583" s="592"/>
      <c r="AO583" s="519"/>
      <c r="AP583" s="592"/>
      <c r="AQ583" s="519"/>
      <c r="AR583" s="592"/>
      <c r="AS583" s="519"/>
      <c r="AT583" s="592"/>
      <c r="AU583" s="519"/>
      <c r="AV583" s="595">
        <f t="shared" si="174"/>
        <v>0</v>
      </c>
      <c r="AW583" s="595">
        <f t="shared" si="175"/>
        <v>0</v>
      </c>
      <c r="AX583" s="596">
        <f t="shared" si="176"/>
        <v>0</v>
      </c>
      <c r="AY583" s="596">
        <f t="shared" si="177"/>
        <v>0</v>
      </c>
      <c r="AZ583" s="595">
        <f t="shared" si="178"/>
        <v>31410.166666666668</v>
      </c>
      <c r="BA583" s="596">
        <f t="shared" si="179"/>
        <v>30778.1</v>
      </c>
    </row>
    <row r="584" spans="1:53" s="365" customFormat="1" ht="15" customHeight="1">
      <c r="A584" s="577" t="s">
        <v>621</v>
      </c>
      <c r="B584" s="550" t="s">
        <v>903</v>
      </c>
      <c r="C584" s="578" t="s">
        <v>933</v>
      </c>
      <c r="D584" s="552">
        <v>233754</v>
      </c>
      <c r="E584" s="552">
        <v>8</v>
      </c>
      <c r="F584" s="592"/>
      <c r="G584" s="519"/>
      <c r="H584" s="592"/>
      <c r="I584" s="519"/>
      <c r="J584" s="592">
        <v>63001</v>
      </c>
      <c r="K584" s="519">
        <v>60181</v>
      </c>
      <c r="L584" s="592">
        <v>19816</v>
      </c>
      <c r="M584" s="519">
        <v>18219</v>
      </c>
      <c r="N584" s="592">
        <v>62124</v>
      </c>
      <c r="O584" s="519">
        <v>53945</v>
      </c>
      <c r="P584" s="595">
        <f t="shared" ref="P584:P629" si="180">SUM(H584,J584,L584,N584)</f>
        <v>144941</v>
      </c>
      <c r="Q584" s="595">
        <f t="shared" ref="Q584:Q629" si="181">+P584/30</f>
        <v>4831.3666666666668</v>
      </c>
      <c r="R584" s="596">
        <f t="shared" ref="R584:R629" si="182">SUM(I584,K584,M584,O584)</f>
        <v>132345</v>
      </c>
      <c r="S584" s="596">
        <f t="shared" ref="S584:S629" si="183">+R584/30</f>
        <v>4411.5</v>
      </c>
      <c r="T584" s="592">
        <v>34797</v>
      </c>
      <c r="U584" s="519">
        <v>36327</v>
      </c>
      <c r="V584" s="595">
        <f t="shared" ref="V584:V629" si="184">IF(ISBLANK(T584),0,P584)</f>
        <v>144941</v>
      </c>
      <c r="W584" s="596">
        <f t="shared" ref="W584:W629" si="185">IF(ISBLANK(U584),0,R584)</f>
        <v>132345</v>
      </c>
      <c r="X584" s="592"/>
      <c r="Y584" s="519"/>
      <c r="Z584" s="592"/>
      <c r="AA584" s="519"/>
      <c r="AB584" s="592"/>
      <c r="AC584" s="519"/>
      <c r="AD584" s="592"/>
      <c r="AE584" s="519"/>
      <c r="AF584" s="595">
        <f t="shared" ref="AF584:AF629" si="186">SUM(X584,Z584,AB584,AD584)</f>
        <v>0</v>
      </c>
      <c r="AG584" s="595">
        <f t="shared" ref="AG584:AG629" si="187">+AF584/900</f>
        <v>0</v>
      </c>
      <c r="AH584" s="596">
        <f t="shared" ref="AH584:AH629" si="188">SUM(Y584,AA584,AC584,AE584)</f>
        <v>0</v>
      </c>
      <c r="AI584" s="596">
        <f t="shared" ref="AI584:AI629" si="189">+AH584/900</f>
        <v>0</v>
      </c>
      <c r="AJ584" s="592"/>
      <c r="AK584" s="519"/>
      <c r="AL584" s="595">
        <f t="shared" ref="AL584:AL629" si="190">IF(ISBLANK(AJ584),0,AF584)</f>
        <v>0</v>
      </c>
      <c r="AM584" s="596">
        <f t="shared" ref="AM584:AM629" si="191">IF(ISBLANK(AK584),0,AH584)</f>
        <v>0</v>
      </c>
      <c r="AN584" s="592"/>
      <c r="AO584" s="519"/>
      <c r="AP584" s="592"/>
      <c r="AQ584" s="519"/>
      <c r="AR584" s="592"/>
      <c r="AS584" s="519"/>
      <c r="AT584" s="592"/>
      <c r="AU584" s="519"/>
      <c r="AV584" s="595">
        <f t="shared" ref="AV584:AV629" si="192">SUM(AN584,AP584,AR584,AT584)</f>
        <v>0</v>
      </c>
      <c r="AW584" s="595">
        <f t="shared" ref="AW584:AW629" si="193">+AV584/24</f>
        <v>0</v>
      </c>
      <c r="AX584" s="596">
        <f t="shared" ref="AX584:AX629" si="194">SUM(AO584,AQ584,AS584,AU584)</f>
        <v>0</v>
      </c>
      <c r="AY584" s="596">
        <f t="shared" ref="AY584:AY629" si="195">+AX584/24</f>
        <v>0</v>
      </c>
      <c r="AZ584" s="595">
        <f t="shared" ref="AZ584:AZ629" si="196">SUM(Q584,AG584,AW584)</f>
        <v>4831.3666666666668</v>
      </c>
      <c r="BA584" s="596">
        <f t="shared" ref="BA584:BA629" si="197">SUM(S584,AI584,AY584)</f>
        <v>4411.5</v>
      </c>
    </row>
    <row r="585" spans="1:53" s="365" customFormat="1" ht="15" customHeight="1">
      <c r="A585" s="577" t="s">
        <v>621</v>
      </c>
      <c r="B585" s="550" t="s">
        <v>904</v>
      </c>
      <c r="C585" s="578" t="s">
        <v>886</v>
      </c>
      <c r="D585" s="552">
        <v>233772</v>
      </c>
      <c r="E585" s="552">
        <v>8</v>
      </c>
      <c r="F585" s="592"/>
      <c r="G585" s="519"/>
      <c r="H585" s="592"/>
      <c r="I585" s="519"/>
      <c r="J585" s="592">
        <v>168901</v>
      </c>
      <c r="K585" s="519">
        <v>152829</v>
      </c>
      <c r="L585" s="592">
        <v>67336</v>
      </c>
      <c r="M585" s="519">
        <v>57152</v>
      </c>
      <c r="N585" s="592">
        <v>167084</v>
      </c>
      <c r="O585" s="519">
        <v>149370</v>
      </c>
      <c r="P585" s="595">
        <f t="shared" si="180"/>
        <v>403321</v>
      </c>
      <c r="Q585" s="595">
        <f t="shared" si="181"/>
        <v>13444.033333333333</v>
      </c>
      <c r="R585" s="596">
        <f t="shared" si="182"/>
        <v>359351</v>
      </c>
      <c r="S585" s="596">
        <f t="shared" si="183"/>
        <v>11978.366666666667</v>
      </c>
      <c r="T585" s="592">
        <v>39929</v>
      </c>
      <c r="U585" s="519">
        <v>43263</v>
      </c>
      <c r="V585" s="595">
        <f t="shared" si="184"/>
        <v>403321</v>
      </c>
      <c r="W585" s="596">
        <f t="shared" si="185"/>
        <v>359351</v>
      </c>
      <c r="X585" s="592"/>
      <c r="Y585" s="519"/>
      <c r="Z585" s="592"/>
      <c r="AA585" s="519"/>
      <c r="AB585" s="592"/>
      <c r="AC585" s="519"/>
      <c r="AD585" s="592"/>
      <c r="AE585" s="519"/>
      <c r="AF585" s="595">
        <f t="shared" si="186"/>
        <v>0</v>
      </c>
      <c r="AG585" s="595">
        <f t="shared" si="187"/>
        <v>0</v>
      </c>
      <c r="AH585" s="596">
        <f t="shared" si="188"/>
        <v>0</v>
      </c>
      <c r="AI585" s="596">
        <f t="shared" si="189"/>
        <v>0</v>
      </c>
      <c r="AJ585" s="592"/>
      <c r="AK585" s="519"/>
      <c r="AL585" s="595">
        <f t="shared" si="190"/>
        <v>0</v>
      </c>
      <c r="AM585" s="596">
        <f t="shared" si="191"/>
        <v>0</v>
      </c>
      <c r="AN585" s="592"/>
      <c r="AO585" s="519"/>
      <c r="AP585" s="592"/>
      <c r="AQ585" s="519"/>
      <c r="AR585" s="592"/>
      <c r="AS585" s="519"/>
      <c r="AT585" s="592"/>
      <c r="AU585" s="519"/>
      <c r="AV585" s="595">
        <f t="shared" si="192"/>
        <v>0</v>
      </c>
      <c r="AW585" s="595">
        <f t="shared" si="193"/>
        <v>0</v>
      </c>
      <c r="AX585" s="596">
        <f t="shared" si="194"/>
        <v>0</v>
      </c>
      <c r="AY585" s="596">
        <f t="shared" si="195"/>
        <v>0</v>
      </c>
      <c r="AZ585" s="595">
        <f t="shared" si="196"/>
        <v>13444.033333333333</v>
      </c>
      <c r="BA585" s="596">
        <f t="shared" si="197"/>
        <v>11978.366666666667</v>
      </c>
    </row>
    <row r="586" spans="1:53" s="365" customFormat="1" ht="15" customHeight="1">
      <c r="A586" s="577" t="s">
        <v>621</v>
      </c>
      <c r="B586" s="550" t="s">
        <v>905</v>
      </c>
      <c r="C586" s="578" t="s">
        <v>886</v>
      </c>
      <c r="D586" s="552">
        <v>231536</v>
      </c>
      <c r="E586" s="552">
        <v>9</v>
      </c>
      <c r="F586" s="592"/>
      <c r="G586" s="519"/>
      <c r="H586" s="592"/>
      <c r="I586" s="519"/>
      <c r="J586" s="592">
        <v>28432</v>
      </c>
      <c r="K586" s="519">
        <v>27836</v>
      </c>
      <c r="L586" s="592">
        <v>8066</v>
      </c>
      <c r="M586" s="519">
        <v>7729</v>
      </c>
      <c r="N586" s="592">
        <v>32435</v>
      </c>
      <c r="O586" s="519">
        <v>29392</v>
      </c>
      <c r="P586" s="595">
        <f t="shared" si="180"/>
        <v>68933</v>
      </c>
      <c r="Q586" s="595">
        <f t="shared" si="181"/>
        <v>2297.7666666666669</v>
      </c>
      <c r="R586" s="596">
        <f t="shared" si="182"/>
        <v>64957</v>
      </c>
      <c r="S586" s="596">
        <f t="shared" si="183"/>
        <v>2165.2333333333331</v>
      </c>
      <c r="T586" s="592">
        <v>18672</v>
      </c>
      <c r="U586" s="519">
        <v>16901</v>
      </c>
      <c r="V586" s="595">
        <f t="shared" si="184"/>
        <v>68933</v>
      </c>
      <c r="W586" s="596">
        <f t="shared" si="185"/>
        <v>64957</v>
      </c>
      <c r="X586" s="592"/>
      <c r="Y586" s="519"/>
      <c r="Z586" s="592"/>
      <c r="AA586" s="519"/>
      <c r="AB586" s="592"/>
      <c r="AC586" s="519"/>
      <c r="AD586" s="592"/>
      <c r="AE586" s="519"/>
      <c r="AF586" s="595">
        <f t="shared" si="186"/>
        <v>0</v>
      </c>
      <c r="AG586" s="595">
        <f t="shared" si="187"/>
        <v>0</v>
      </c>
      <c r="AH586" s="596">
        <f t="shared" si="188"/>
        <v>0</v>
      </c>
      <c r="AI586" s="596">
        <f t="shared" si="189"/>
        <v>0</v>
      </c>
      <c r="AJ586" s="592"/>
      <c r="AK586" s="519"/>
      <c r="AL586" s="595">
        <f t="shared" si="190"/>
        <v>0</v>
      </c>
      <c r="AM586" s="596">
        <f t="shared" si="191"/>
        <v>0</v>
      </c>
      <c r="AN586" s="592"/>
      <c r="AO586" s="519"/>
      <c r="AP586" s="592"/>
      <c r="AQ586" s="519"/>
      <c r="AR586" s="592"/>
      <c r="AS586" s="519"/>
      <c r="AT586" s="592"/>
      <c r="AU586" s="519"/>
      <c r="AV586" s="595">
        <f t="shared" si="192"/>
        <v>0</v>
      </c>
      <c r="AW586" s="595">
        <f t="shared" si="193"/>
        <v>0</v>
      </c>
      <c r="AX586" s="596">
        <f t="shared" si="194"/>
        <v>0</v>
      </c>
      <c r="AY586" s="596">
        <f t="shared" si="195"/>
        <v>0</v>
      </c>
      <c r="AZ586" s="595">
        <f t="shared" si="196"/>
        <v>2297.7666666666669</v>
      </c>
      <c r="BA586" s="596">
        <f t="shared" si="197"/>
        <v>2165.2333333333331</v>
      </c>
    </row>
    <row r="587" spans="1:53" s="365" customFormat="1" ht="15" customHeight="1">
      <c r="A587" s="577" t="s">
        <v>621</v>
      </c>
      <c r="B587" s="550" t="s">
        <v>906</v>
      </c>
      <c r="C587" s="578" t="s">
        <v>886</v>
      </c>
      <c r="D587" s="552">
        <v>231697</v>
      </c>
      <c r="E587" s="552">
        <v>9</v>
      </c>
      <c r="F587" s="592"/>
      <c r="G587" s="519"/>
      <c r="H587" s="592"/>
      <c r="I587" s="519"/>
      <c r="J587" s="592">
        <v>29471</v>
      </c>
      <c r="K587" s="519">
        <v>28531</v>
      </c>
      <c r="L587" s="592">
        <v>7445</v>
      </c>
      <c r="M587" s="519">
        <v>7022</v>
      </c>
      <c r="N587" s="592">
        <v>32368</v>
      </c>
      <c r="O587" s="519">
        <v>29219</v>
      </c>
      <c r="P587" s="595">
        <f t="shared" si="180"/>
        <v>69284</v>
      </c>
      <c r="Q587" s="595">
        <f t="shared" si="181"/>
        <v>2309.4666666666667</v>
      </c>
      <c r="R587" s="596">
        <f t="shared" si="182"/>
        <v>64772</v>
      </c>
      <c r="S587" s="596">
        <f t="shared" si="183"/>
        <v>2159.0666666666666</v>
      </c>
      <c r="T587" s="592">
        <v>41942</v>
      </c>
      <c r="U587" s="519">
        <v>39776</v>
      </c>
      <c r="V587" s="595">
        <f t="shared" si="184"/>
        <v>69284</v>
      </c>
      <c r="W587" s="596">
        <f t="shared" si="185"/>
        <v>64772</v>
      </c>
      <c r="X587" s="592"/>
      <c r="Y587" s="519"/>
      <c r="Z587" s="592"/>
      <c r="AA587" s="519"/>
      <c r="AB587" s="592"/>
      <c r="AC587" s="519"/>
      <c r="AD587" s="592"/>
      <c r="AE587" s="519"/>
      <c r="AF587" s="595">
        <f t="shared" si="186"/>
        <v>0</v>
      </c>
      <c r="AG587" s="595">
        <f t="shared" si="187"/>
        <v>0</v>
      </c>
      <c r="AH587" s="596">
        <f t="shared" si="188"/>
        <v>0</v>
      </c>
      <c r="AI587" s="596">
        <f t="shared" si="189"/>
        <v>0</v>
      </c>
      <c r="AJ587" s="592"/>
      <c r="AK587" s="519"/>
      <c r="AL587" s="595">
        <f t="shared" si="190"/>
        <v>0</v>
      </c>
      <c r="AM587" s="596">
        <f t="shared" si="191"/>
        <v>0</v>
      </c>
      <c r="AN587" s="592"/>
      <c r="AO587" s="519"/>
      <c r="AP587" s="592"/>
      <c r="AQ587" s="519"/>
      <c r="AR587" s="592"/>
      <c r="AS587" s="519"/>
      <c r="AT587" s="592"/>
      <c r="AU587" s="519"/>
      <c r="AV587" s="595">
        <f t="shared" si="192"/>
        <v>0</v>
      </c>
      <c r="AW587" s="595">
        <f t="shared" si="193"/>
        <v>0</v>
      </c>
      <c r="AX587" s="596">
        <f t="shared" si="194"/>
        <v>0</v>
      </c>
      <c r="AY587" s="596">
        <f t="shared" si="195"/>
        <v>0</v>
      </c>
      <c r="AZ587" s="595">
        <f t="shared" si="196"/>
        <v>2309.4666666666667</v>
      </c>
      <c r="BA587" s="596">
        <f t="shared" si="197"/>
        <v>2159.0666666666666</v>
      </c>
    </row>
    <row r="588" spans="1:53" s="365" customFormat="1" ht="15" customHeight="1">
      <c r="A588" s="577" t="s">
        <v>621</v>
      </c>
      <c r="B588" s="550" t="s">
        <v>623</v>
      </c>
      <c r="C588" s="578" t="s">
        <v>886</v>
      </c>
      <c r="D588" s="552">
        <v>232195</v>
      </c>
      <c r="E588" s="552">
        <v>9</v>
      </c>
      <c r="F588" s="592"/>
      <c r="G588" s="519"/>
      <c r="H588" s="592"/>
      <c r="I588" s="519"/>
      <c r="J588" s="592">
        <v>54169</v>
      </c>
      <c r="K588" s="519">
        <v>56244</v>
      </c>
      <c r="L588" s="592">
        <v>16690</v>
      </c>
      <c r="M588" s="519">
        <v>16762</v>
      </c>
      <c r="N588" s="592">
        <v>60281</v>
      </c>
      <c r="O588" s="519">
        <v>62972</v>
      </c>
      <c r="P588" s="595">
        <f t="shared" si="180"/>
        <v>131140</v>
      </c>
      <c r="Q588" s="595">
        <f t="shared" si="181"/>
        <v>4371.333333333333</v>
      </c>
      <c r="R588" s="596">
        <f t="shared" si="182"/>
        <v>135978</v>
      </c>
      <c r="S588" s="596">
        <f t="shared" si="183"/>
        <v>4532.6000000000004</v>
      </c>
      <c r="T588" s="592">
        <v>30489</v>
      </c>
      <c r="U588" s="519">
        <v>32196</v>
      </c>
      <c r="V588" s="595">
        <f t="shared" si="184"/>
        <v>131140</v>
      </c>
      <c r="W588" s="596">
        <f t="shared" si="185"/>
        <v>135978</v>
      </c>
      <c r="X588" s="592"/>
      <c r="Y588" s="519"/>
      <c r="Z588" s="592"/>
      <c r="AA588" s="519"/>
      <c r="AB588" s="592"/>
      <c r="AC588" s="519"/>
      <c r="AD588" s="592"/>
      <c r="AE588" s="519"/>
      <c r="AF588" s="595">
        <f t="shared" si="186"/>
        <v>0</v>
      </c>
      <c r="AG588" s="595">
        <f t="shared" si="187"/>
        <v>0</v>
      </c>
      <c r="AH588" s="596">
        <f t="shared" si="188"/>
        <v>0</v>
      </c>
      <c r="AI588" s="596">
        <f t="shared" si="189"/>
        <v>0</v>
      </c>
      <c r="AJ588" s="592"/>
      <c r="AK588" s="519"/>
      <c r="AL588" s="595">
        <f t="shared" si="190"/>
        <v>0</v>
      </c>
      <c r="AM588" s="596">
        <f t="shared" si="191"/>
        <v>0</v>
      </c>
      <c r="AN588" s="592"/>
      <c r="AO588" s="519"/>
      <c r="AP588" s="592"/>
      <c r="AQ588" s="519"/>
      <c r="AR588" s="592"/>
      <c r="AS588" s="519"/>
      <c r="AT588" s="592"/>
      <c r="AU588" s="519"/>
      <c r="AV588" s="595">
        <f t="shared" si="192"/>
        <v>0</v>
      </c>
      <c r="AW588" s="595">
        <f t="shared" si="193"/>
        <v>0</v>
      </c>
      <c r="AX588" s="596">
        <f t="shared" si="194"/>
        <v>0</v>
      </c>
      <c r="AY588" s="596">
        <f t="shared" si="195"/>
        <v>0</v>
      </c>
      <c r="AZ588" s="595">
        <f t="shared" si="196"/>
        <v>4371.333333333333</v>
      </c>
      <c r="BA588" s="596">
        <f t="shared" si="197"/>
        <v>4532.6000000000004</v>
      </c>
    </row>
    <row r="589" spans="1:53" s="365" customFormat="1" ht="15" customHeight="1">
      <c r="A589" s="577" t="s">
        <v>621</v>
      </c>
      <c r="B589" s="550" t="s">
        <v>624</v>
      </c>
      <c r="C589" s="578" t="s">
        <v>886</v>
      </c>
      <c r="D589" s="552">
        <v>232575</v>
      </c>
      <c r="E589" s="552">
        <v>9</v>
      </c>
      <c r="F589" s="592"/>
      <c r="G589" s="519"/>
      <c r="H589" s="592"/>
      <c r="I589" s="519"/>
      <c r="J589" s="592">
        <v>49530</v>
      </c>
      <c r="K589" s="519">
        <v>49731</v>
      </c>
      <c r="L589" s="592">
        <v>11344</v>
      </c>
      <c r="M589" s="519">
        <v>11116</v>
      </c>
      <c r="N589" s="592">
        <v>57466</v>
      </c>
      <c r="O589" s="519">
        <v>54685</v>
      </c>
      <c r="P589" s="595">
        <f t="shared" si="180"/>
        <v>118340</v>
      </c>
      <c r="Q589" s="595">
        <f t="shared" si="181"/>
        <v>3944.6666666666665</v>
      </c>
      <c r="R589" s="596">
        <f t="shared" si="182"/>
        <v>115532</v>
      </c>
      <c r="S589" s="596">
        <f t="shared" si="183"/>
        <v>3851.0666666666666</v>
      </c>
      <c r="T589" s="592">
        <v>72475</v>
      </c>
      <c r="U589" s="519">
        <v>71645</v>
      </c>
      <c r="V589" s="595">
        <f t="shared" si="184"/>
        <v>118340</v>
      </c>
      <c r="W589" s="596">
        <f t="shared" si="185"/>
        <v>115532</v>
      </c>
      <c r="X589" s="592"/>
      <c r="Y589" s="519"/>
      <c r="Z589" s="592"/>
      <c r="AA589" s="519"/>
      <c r="AB589" s="592"/>
      <c r="AC589" s="519"/>
      <c r="AD589" s="592"/>
      <c r="AE589" s="519"/>
      <c r="AF589" s="595">
        <f t="shared" si="186"/>
        <v>0</v>
      </c>
      <c r="AG589" s="595">
        <f t="shared" si="187"/>
        <v>0</v>
      </c>
      <c r="AH589" s="596">
        <f t="shared" si="188"/>
        <v>0</v>
      </c>
      <c r="AI589" s="596">
        <f t="shared" si="189"/>
        <v>0</v>
      </c>
      <c r="AJ589" s="592"/>
      <c r="AK589" s="519"/>
      <c r="AL589" s="595">
        <f t="shared" si="190"/>
        <v>0</v>
      </c>
      <c r="AM589" s="596">
        <f t="shared" si="191"/>
        <v>0</v>
      </c>
      <c r="AN589" s="592"/>
      <c r="AO589" s="519"/>
      <c r="AP589" s="592"/>
      <c r="AQ589" s="519"/>
      <c r="AR589" s="592"/>
      <c r="AS589" s="519"/>
      <c r="AT589" s="592"/>
      <c r="AU589" s="519"/>
      <c r="AV589" s="595">
        <f t="shared" si="192"/>
        <v>0</v>
      </c>
      <c r="AW589" s="595">
        <f t="shared" si="193"/>
        <v>0</v>
      </c>
      <c r="AX589" s="596">
        <f t="shared" si="194"/>
        <v>0</v>
      </c>
      <c r="AY589" s="596">
        <f t="shared" si="195"/>
        <v>0</v>
      </c>
      <c r="AZ589" s="595">
        <f t="shared" si="196"/>
        <v>3944.6666666666665</v>
      </c>
      <c r="BA589" s="596">
        <f t="shared" si="197"/>
        <v>3851.0666666666666</v>
      </c>
    </row>
    <row r="590" spans="1:53" s="365" customFormat="1" ht="15" customHeight="1">
      <c r="A590" s="577" t="s">
        <v>621</v>
      </c>
      <c r="B590" s="550" t="s">
        <v>625</v>
      </c>
      <c r="C590" s="578" t="s">
        <v>886</v>
      </c>
      <c r="D590" s="552">
        <v>232867</v>
      </c>
      <c r="E590" s="552">
        <v>9</v>
      </c>
      <c r="F590" s="592"/>
      <c r="G590" s="519"/>
      <c r="H590" s="592"/>
      <c r="I590" s="519"/>
      <c r="J590" s="592">
        <v>32807</v>
      </c>
      <c r="K590" s="519">
        <v>33438</v>
      </c>
      <c r="L590" s="592">
        <v>6985</v>
      </c>
      <c r="M590" s="519">
        <v>6903</v>
      </c>
      <c r="N590" s="592">
        <v>39084</v>
      </c>
      <c r="O590" s="519">
        <v>38427</v>
      </c>
      <c r="P590" s="595">
        <f t="shared" si="180"/>
        <v>78876</v>
      </c>
      <c r="Q590" s="595">
        <f t="shared" si="181"/>
        <v>2629.2</v>
      </c>
      <c r="R590" s="596">
        <f t="shared" si="182"/>
        <v>78768</v>
      </c>
      <c r="S590" s="596">
        <f t="shared" si="183"/>
        <v>2625.6</v>
      </c>
      <c r="T590" s="592">
        <v>39008</v>
      </c>
      <c r="U590" s="519">
        <v>41209</v>
      </c>
      <c r="V590" s="595">
        <f t="shared" si="184"/>
        <v>78876</v>
      </c>
      <c r="W590" s="596">
        <f t="shared" si="185"/>
        <v>78768</v>
      </c>
      <c r="X590" s="592"/>
      <c r="Y590" s="519"/>
      <c r="Z590" s="592"/>
      <c r="AA590" s="519"/>
      <c r="AB590" s="592"/>
      <c r="AC590" s="519"/>
      <c r="AD590" s="592"/>
      <c r="AE590" s="519"/>
      <c r="AF590" s="595">
        <f t="shared" si="186"/>
        <v>0</v>
      </c>
      <c r="AG590" s="595">
        <f t="shared" si="187"/>
        <v>0</v>
      </c>
      <c r="AH590" s="596">
        <f t="shared" si="188"/>
        <v>0</v>
      </c>
      <c r="AI590" s="596">
        <f t="shared" si="189"/>
        <v>0</v>
      </c>
      <c r="AJ590" s="592"/>
      <c r="AK590" s="519"/>
      <c r="AL590" s="595">
        <f t="shared" si="190"/>
        <v>0</v>
      </c>
      <c r="AM590" s="596">
        <f t="shared" si="191"/>
        <v>0</v>
      </c>
      <c r="AN590" s="592"/>
      <c r="AO590" s="519"/>
      <c r="AP590" s="592"/>
      <c r="AQ590" s="519"/>
      <c r="AR590" s="592"/>
      <c r="AS590" s="519"/>
      <c r="AT590" s="592"/>
      <c r="AU590" s="519"/>
      <c r="AV590" s="595">
        <f t="shared" si="192"/>
        <v>0</v>
      </c>
      <c r="AW590" s="595">
        <f t="shared" si="193"/>
        <v>0</v>
      </c>
      <c r="AX590" s="596">
        <f t="shared" si="194"/>
        <v>0</v>
      </c>
      <c r="AY590" s="596">
        <f t="shared" si="195"/>
        <v>0</v>
      </c>
      <c r="AZ590" s="595">
        <f t="shared" si="196"/>
        <v>2629.2</v>
      </c>
      <c r="BA590" s="596">
        <f t="shared" si="197"/>
        <v>2625.6</v>
      </c>
    </row>
    <row r="591" spans="1:53" s="365" customFormat="1" ht="15" customHeight="1">
      <c r="A591" s="577" t="s">
        <v>621</v>
      </c>
      <c r="B591" s="550" t="s">
        <v>627</v>
      </c>
      <c r="C591" s="578" t="s">
        <v>886</v>
      </c>
      <c r="D591" s="552">
        <v>233116</v>
      </c>
      <c r="E591" s="552">
        <v>9</v>
      </c>
      <c r="F591" s="592"/>
      <c r="G591" s="519"/>
      <c r="H591" s="592"/>
      <c r="I591" s="519"/>
      <c r="J591" s="592">
        <v>33778</v>
      </c>
      <c r="K591" s="519">
        <v>34142</v>
      </c>
      <c r="L591" s="592">
        <v>9201</v>
      </c>
      <c r="M591" s="519">
        <v>8871</v>
      </c>
      <c r="N591" s="592">
        <v>40488</v>
      </c>
      <c r="O591" s="519">
        <v>39052</v>
      </c>
      <c r="P591" s="595">
        <f t="shared" si="180"/>
        <v>83467</v>
      </c>
      <c r="Q591" s="595">
        <f t="shared" si="181"/>
        <v>2782.2333333333331</v>
      </c>
      <c r="R591" s="596">
        <f t="shared" si="182"/>
        <v>82065</v>
      </c>
      <c r="S591" s="596">
        <f t="shared" si="183"/>
        <v>2735.5</v>
      </c>
      <c r="T591" s="592">
        <v>38908</v>
      </c>
      <c r="U591" s="519">
        <v>38320</v>
      </c>
      <c r="V591" s="595">
        <f t="shared" si="184"/>
        <v>83467</v>
      </c>
      <c r="W591" s="596">
        <f t="shared" si="185"/>
        <v>82065</v>
      </c>
      <c r="X591" s="592"/>
      <c r="Y591" s="519"/>
      <c r="Z591" s="592"/>
      <c r="AA591" s="519"/>
      <c r="AB591" s="592"/>
      <c r="AC591" s="519"/>
      <c r="AD591" s="592"/>
      <c r="AE591" s="519"/>
      <c r="AF591" s="595">
        <f t="shared" si="186"/>
        <v>0</v>
      </c>
      <c r="AG591" s="595">
        <f t="shared" si="187"/>
        <v>0</v>
      </c>
      <c r="AH591" s="596">
        <f t="shared" si="188"/>
        <v>0</v>
      </c>
      <c r="AI591" s="596">
        <f t="shared" si="189"/>
        <v>0</v>
      </c>
      <c r="AJ591" s="592"/>
      <c r="AK591" s="519"/>
      <c r="AL591" s="595">
        <f t="shared" si="190"/>
        <v>0</v>
      </c>
      <c r="AM591" s="596">
        <f t="shared" si="191"/>
        <v>0</v>
      </c>
      <c r="AN591" s="592"/>
      <c r="AO591" s="519"/>
      <c r="AP591" s="592"/>
      <c r="AQ591" s="519"/>
      <c r="AR591" s="592"/>
      <c r="AS591" s="519"/>
      <c r="AT591" s="592"/>
      <c r="AU591" s="519"/>
      <c r="AV591" s="595">
        <f t="shared" si="192"/>
        <v>0</v>
      </c>
      <c r="AW591" s="595">
        <f t="shared" si="193"/>
        <v>0</v>
      </c>
      <c r="AX591" s="596">
        <f t="shared" si="194"/>
        <v>0</v>
      </c>
      <c r="AY591" s="596">
        <f t="shared" si="195"/>
        <v>0</v>
      </c>
      <c r="AZ591" s="595">
        <f t="shared" si="196"/>
        <v>2782.2333333333331</v>
      </c>
      <c r="BA591" s="596">
        <f t="shared" si="197"/>
        <v>2735.5</v>
      </c>
    </row>
    <row r="592" spans="1:53" s="365" customFormat="1" ht="15" customHeight="1">
      <c r="A592" s="577" t="s">
        <v>621</v>
      </c>
      <c r="B592" s="550" t="s">
        <v>628</v>
      </c>
      <c r="C592" s="578" t="s">
        <v>923</v>
      </c>
      <c r="D592" s="552">
        <v>233639</v>
      </c>
      <c r="E592" s="552">
        <v>9</v>
      </c>
      <c r="F592" s="592"/>
      <c r="G592" s="519"/>
      <c r="H592" s="592"/>
      <c r="I592" s="519"/>
      <c r="J592" s="592">
        <v>25964</v>
      </c>
      <c r="K592" s="519">
        <v>26537</v>
      </c>
      <c r="L592" s="592">
        <v>4636</v>
      </c>
      <c r="M592" s="519">
        <v>4747</v>
      </c>
      <c r="N592" s="592">
        <v>28741</v>
      </c>
      <c r="O592" s="519">
        <v>28458</v>
      </c>
      <c r="P592" s="595">
        <f t="shared" si="180"/>
        <v>59341</v>
      </c>
      <c r="Q592" s="595">
        <f t="shared" si="181"/>
        <v>1978.0333333333333</v>
      </c>
      <c r="R592" s="596">
        <f t="shared" si="182"/>
        <v>59742</v>
      </c>
      <c r="S592" s="596">
        <f t="shared" si="183"/>
        <v>1991.4</v>
      </c>
      <c r="T592" s="592">
        <v>52695</v>
      </c>
      <c r="U592" s="519">
        <v>50331</v>
      </c>
      <c r="V592" s="595">
        <f t="shared" si="184"/>
        <v>59341</v>
      </c>
      <c r="W592" s="596">
        <f t="shared" si="185"/>
        <v>59742</v>
      </c>
      <c r="X592" s="592"/>
      <c r="Y592" s="519"/>
      <c r="Z592" s="592"/>
      <c r="AA592" s="519"/>
      <c r="AB592" s="592"/>
      <c r="AC592" s="519"/>
      <c r="AD592" s="592"/>
      <c r="AE592" s="519"/>
      <c r="AF592" s="595">
        <f t="shared" si="186"/>
        <v>0</v>
      </c>
      <c r="AG592" s="595">
        <f t="shared" si="187"/>
        <v>0</v>
      </c>
      <c r="AH592" s="596">
        <f t="shared" si="188"/>
        <v>0</v>
      </c>
      <c r="AI592" s="596">
        <f t="shared" si="189"/>
        <v>0</v>
      </c>
      <c r="AJ592" s="592"/>
      <c r="AK592" s="519"/>
      <c r="AL592" s="595">
        <f t="shared" si="190"/>
        <v>0</v>
      </c>
      <c r="AM592" s="596">
        <f t="shared" si="191"/>
        <v>0</v>
      </c>
      <c r="AN592" s="592"/>
      <c r="AO592" s="519"/>
      <c r="AP592" s="592"/>
      <c r="AQ592" s="519"/>
      <c r="AR592" s="592"/>
      <c r="AS592" s="519"/>
      <c r="AT592" s="592"/>
      <c r="AU592" s="519"/>
      <c r="AV592" s="595">
        <f t="shared" si="192"/>
        <v>0</v>
      </c>
      <c r="AW592" s="595">
        <f t="shared" si="193"/>
        <v>0</v>
      </c>
      <c r="AX592" s="596">
        <f t="shared" si="194"/>
        <v>0</v>
      </c>
      <c r="AY592" s="596">
        <f t="shared" si="195"/>
        <v>0</v>
      </c>
      <c r="AZ592" s="595">
        <f t="shared" si="196"/>
        <v>1978.0333333333333</v>
      </c>
      <c r="BA592" s="596">
        <f t="shared" si="197"/>
        <v>1991.4</v>
      </c>
    </row>
    <row r="593" spans="1:53" s="365" customFormat="1" ht="15" customHeight="1">
      <c r="A593" s="577" t="s">
        <v>621</v>
      </c>
      <c r="B593" s="550" t="s">
        <v>629</v>
      </c>
      <c r="C593" s="578" t="s">
        <v>886</v>
      </c>
      <c r="D593" s="552">
        <v>233949</v>
      </c>
      <c r="E593" s="552">
        <v>9</v>
      </c>
      <c r="F593" s="592"/>
      <c r="G593" s="519"/>
      <c r="H593" s="592"/>
      <c r="I593" s="519"/>
      <c r="J593" s="592">
        <v>45483</v>
      </c>
      <c r="K593" s="519">
        <v>44231</v>
      </c>
      <c r="L593" s="592">
        <v>11786</v>
      </c>
      <c r="M593" s="519">
        <v>10632</v>
      </c>
      <c r="N593" s="592">
        <v>51394</v>
      </c>
      <c r="O593" s="519">
        <v>48259</v>
      </c>
      <c r="P593" s="595">
        <f t="shared" si="180"/>
        <v>108663</v>
      </c>
      <c r="Q593" s="595">
        <f t="shared" si="181"/>
        <v>3622.1</v>
      </c>
      <c r="R593" s="596">
        <f t="shared" si="182"/>
        <v>103122</v>
      </c>
      <c r="S593" s="596">
        <f t="shared" si="183"/>
        <v>3437.4</v>
      </c>
      <c r="T593" s="592">
        <v>42365</v>
      </c>
      <c r="U593" s="519">
        <v>39688</v>
      </c>
      <c r="V593" s="595">
        <f t="shared" si="184"/>
        <v>108663</v>
      </c>
      <c r="W593" s="596">
        <f t="shared" si="185"/>
        <v>103122</v>
      </c>
      <c r="X593" s="592"/>
      <c r="Y593" s="519"/>
      <c r="Z593" s="592"/>
      <c r="AA593" s="519"/>
      <c r="AB593" s="592"/>
      <c r="AC593" s="519"/>
      <c r="AD593" s="592"/>
      <c r="AE593" s="519"/>
      <c r="AF593" s="595">
        <f t="shared" si="186"/>
        <v>0</v>
      </c>
      <c r="AG593" s="595">
        <f t="shared" si="187"/>
        <v>0</v>
      </c>
      <c r="AH593" s="596">
        <f t="shared" si="188"/>
        <v>0</v>
      </c>
      <c r="AI593" s="596">
        <f t="shared" si="189"/>
        <v>0</v>
      </c>
      <c r="AJ593" s="592"/>
      <c r="AK593" s="519"/>
      <c r="AL593" s="595">
        <f t="shared" si="190"/>
        <v>0</v>
      </c>
      <c r="AM593" s="596">
        <f t="shared" si="191"/>
        <v>0</v>
      </c>
      <c r="AN593" s="592"/>
      <c r="AO593" s="519"/>
      <c r="AP593" s="592"/>
      <c r="AQ593" s="519"/>
      <c r="AR593" s="592"/>
      <c r="AS593" s="519"/>
      <c r="AT593" s="592"/>
      <c r="AU593" s="519"/>
      <c r="AV593" s="595">
        <f t="shared" si="192"/>
        <v>0</v>
      </c>
      <c r="AW593" s="595">
        <f t="shared" si="193"/>
        <v>0</v>
      </c>
      <c r="AX593" s="596">
        <f t="shared" si="194"/>
        <v>0</v>
      </c>
      <c r="AY593" s="596">
        <f t="shared" si="195"/>
        <v>0</v>
      </c>
      <c r="AZ593" s="595">
        <f t="shared" si="196"/>
        <v>3622.1</v>
      </c>
      <c r="BA593" s="596">
        <f t="shared" si="197"/>
        <v>3437.4</v>
      </c>
    </row>
    <row r="594" spans="1:53" s="365" customFormat="1" ht="15" customHeight="1">
      <c r="A594" s="577" t="s">
        <v>621</v>
      </c>
      <c r="B594" s="550" t="s">
        <v>631</v>
      </c>
      <c r="C594" s="551" t="s">
        <v>886</v>
      </c>
      <c r="D594" s="552">
        <v>231873</v>
      </c>
      <c r="E594" s="552">
        <v>10</v>
      </c>
      <c r="F594" s="592"/>
      <c r="G594" s="519"/>
      <c r="H594" s="592"/>
      <c r="I594" s="519"/>
      <c r="J594" s="592">
        <v>7634</v>
      </c>
      <c r="K594" s="519">
        <v>7919</v>
      </c>
      <c r="L594" s="592">
        <v>1364</v>
      </c>
      <c r="M594" s="519">
        <v>1331</v>
      </c>
      <c r="N594" s="592">
        <v>8844</v>
      </c>
      <c r="O594" s="519">
        <v>9406</v>
      </c>
      <c r="P594" s="595">
        <f t="shared" si="180"/>
        <v>17842</v>
      </c>
      <c r="Q594" s="595">
        <f t="shared" si="181"/>
        <v>594.73333333333335</v>
      </c>
      <c r="R594" s="596">
        <f t="shared" si="182"/>
        <v>18656</v>
      </c>
      <c r="S594" s="596">
        <f t="shared" si="183"/>
        <v>621.86666666666667</v>
      </c>
      <c r="T594" s="592">
        <v>9159</v>
      </c>
      <c r="U594" s="519">
        <v>10447</v>
      </c>
      <c r="V594" s="595">
        <f t="shared" si="184"/>
        <v>17842</v>
      </c>
      <c r="W594" s="596">
        <f t="shared" si="185"/>
        <v>18656</v>
      </c>
      <c r="X594" s="592"/>
      <c r="Y594" s="519"/>
      <c r="Z594" s="592"/>
      <c r="AA594" s="519"/>
      <c r="AB594" s="592"/>
      <c r="AC594" s="519"/>
      <c r="AD594" s="592"/>
      <c r="AE594" s="519"/>
      <c r="AF594" s="595">
        <f t="shared" si="186"/>
        <v>0</v>
      </c>
      <c r="AG594" s="595">
        <f t="shared" si="187"/>
        <v>0</v>
      </c>
      <c r="AH594" s="596">
        <f t="shared" si="188"/>
        <v>0</v>
      </c>
      <c r="AI594" s="596">
        <f t="shared" si="189"/>
        <v>0</v>
      </c>
      <c r="AJ594" s="592"/>
      <c r="AK594" s="519"/>
      <c r="AL594" s="595">
        <f t="shared" si="190"/>
        <v>0</v>
      </c>
      <c r="AM594" s="596">
        <f t="shared" si="191"/>
        <v>0</v>
      </c>
      <c r="AN594" s="592"/>
      <c r="AO594" s="519"/>
      <c r="AP594" s="592"/>
      <c r="AQ594" s="519"/>
      <c r="AR594" s="592"/>
      <c r="AS594" s="519"/>
      <c r="AT594" s="592"/>
      <c r="AU594" s="519"/>
      <c r="AV594" s="595">
        <f t="shared" si="192"/>
        <v>0</v>
      </c>
      <c r="AW594" s="595">
        <f t="shared" si="193"/>
        <v>0</v>
      </c>
      <c r="AX594" s="596">
        <f t="shared" si="194"/>
        <v>0</v>
      </c>
      <c r="AY594" s="596">
        <f t="shared" si="195"/>
        <v>0</v>
      </c>
      <c r="AZ594" s="595">
        <f t="shared" si="196"/>
        <v>594.73333333333335</v>
      </c>
      <c r="BA594" s="596">
        <f t="shared" si="197"/>
        <v>621.86666666666667</v>
      </c>
    </row>
    <row r="595" spans="1:53" s="365" customFormat="1" ht="15" customHeight="1">
      <c r="A595" s="577" t="s">
        <v>621</v>
      </c>
      <c r="B595" s="550" t="s">
        <v>622</v>
      </c>
      <c r="C595" s="580" t="s">
        <v>886</v>
      </c>
      <c r="D595" s="552">
        <v>231882</v>
      </c>
      <c r="E595" s="552">
        <v>10</v>
      </c>
      <c r="F595" s="592"/>
      <c r="G595" s="519"/>
      <c r="H595" s="592"/>
      <c r="I595" s="519"/>
      <c r="J595" s="592">
        <v>22528</v>
      </c>
      <c r="K595" s="519">
        <v>21827</v>
      </c>
      <c r="L595" s="592">
        <v>5711</v>
      </c>
      <c r="M595" s="519">
        <v>5707</v>
      </c>
      <c r="N595" s="592">
        <v>25680</v>
      </c>
      <c r="O595" s="519">
        <v>21954</v>
      </c>
      <c r="P595" s="595">
        <f t="shared" si="180"/>
        <v>53919</v>
      </c>
      <c r="Q595" s="595">
        <f t="shared" si="181"/>
        <v>1797.3</v>
      </c>
      <c r="R595" s="596">
        <f t="shared" si="182"/>
        <v>49488</v>
      </c>
      <c r="S595" s="596">
        <f t="shared" si="183"/>
        <v>1649.6</v>
      </c>
      <c r="T595" s="592">
        <v>26334</v>
      </c>
      <c r="U595" s="519">
        <v>25445</v>
      </c>
      <c r="V595" s="595">
        <f t="shared" si="184"/>
        <v>53919</v>
      </c>
      <c r="W595" s="596">
        <f t="shared" si="185"/>
        <v>49488</v>
      </c>
      <c r="X595" s="592"/>
      <c r="Y595" s="519"/>
      <c r="Z595" s="592"/>
      <c r="AA595" s="519"/>
      <c r="AB595" s="592"/>
      <c r="AC595" s="519"/>
      <c r="AD595" s="592"/>
      <c r="AE595" s="519"/>
      <c r="AF595" s="595">
        <f t="shared" si="186"/>
        <v>0</v>
      </c>
      <c r="AG595" s="595">
        <f t="shared" si="187"/>
        <v>0</v>
      </c>
      <c r="AH595" s="596">
        <f t="shared" si="188"/>
        <v>0</v>
      </c>
      <c r="AI595" s="596">
        <f t="shared" si="189"/>
        <v>0</v>
      </c>
      <c r="AJ595" s="592"/>
      <c r="AK595" s="519"/>
      <c r="AL595" s="595">
        <f t="shared" si="190"/>
        <v>0</v>
      </c>
      <c r="AM595" s="596">
        <f t="shared" si="191"/>
        <v>0</v>
      </c>
      <c r="AN595" s="592"/>
      <c r="AO595" s="519"/>
      <c r="AP595" s="592"/>
      <c r="AQ595" s="519"/>
      <c r="AR595" s="592"/>
      <c r="AS595" s="519"/>
      <c r="AT595" s="592"/>
      <c r="AU595" s="519"/>
      <c r="AV595" s="595">
        <f t="shared" si="192"/>
        <v>0</v>
      </c>
      <c r="AW595" s="595">
        <f t="shared" si="193"/>
        <v>0</v>
      </c>
      <c r="AX595" s="596">
        <f t="shared" si="194"/>
        <v>0</v>
      </c>
      <c r="AY595" s="596">
        <f t="shared" si="195"/>
        <v>0</v>
      </c>
      <c r="AZ595" s="595">
        <f t="shared" si="196"/>
        <v>1797.3</v>
      </c>
      <c r="BA595" s="596">
        <f t="shared" si="197"/>
        <v>1649.6</v>
      </c>
    </row>
    <row r="596" spans="1:53" s="365" customFormat="1" ht="15" customHeight="1">
      <c r="A596" s="577" t="s">
        <v>621</v>
      </c>
      <c r="B596" s="550" t="s">
        <v>632</v>
      </c>
      <c r="C596" s="551" t="s">
        <v>886</v>
      </c>
      <c r="D596" s="552">
        <v>232052</v>
      </c>
      <c r="E596" s="552">
        <v>10</v>
      </c>
      <c r="F596" s="592"/>
      <c r="G596" s="519"/>
      <c r="H596" s="592"/>
      <c r="I596" s="519"/>
      <c r="J596" s="592">
        <v>4613</v>
      </c>
      <c r="K596" s="519">
        <v>5460</v>
      </c>
      <c r="L596" s="592">
        <v>814</v>
      </c>
      <c r="M596" s="519">
        <v>783</v>
      </c>
      <c r="N596" s="592">
        <v>4972</v>
      </c>
      <c r="O596" s="519">
        <v>5939</v>
      </c>
      <c r="P596" s="595">
        <f t="shared" si="180"/>
        <v>10399</v>
      </c>
      <c r="Q596" s="595">
        <f t="shared" si="181"/>
        <v>346.63333333333333</v>
      </c>
      <c r="R596" s="596">
        <f t="shared" si="182"/>
        <v>12182</v>
      </c>
      <c r="S596" s="596">
        <f t="shared" si="183"/>
        <v>406.06666666666666</v>
      </c>
      <c r="T596" s="592">
        <v>6051</v>
      </c>
      <c r="U596" s="519">
        <v>6484</v>
      </c>
      <c r="V596" s="595">
        <f t="shared" si="184"/>
        <v>10399</v>
      </c>
      <c r="W596" s="596">
        <f t="shared" si="185"/>
        <v>12182</v>
      </c>
      <c r="X596" s="592"/>
      <c r="Y596" s="519"/>
      <c r="Z596" s="592"/>
      <c r="AA596" s="519"/>
      <c r="AB596" s="592"/>
      <c r="AC596" s="519"/>
      <c r="AD596" s="592"/>
      <c r="AE596" s="519"/>
      <c r="AF596" s="595">
        <f t="shared" si="186"/>
        <v>0</v>
      </c>
      <c r="AG596" s="595">
        <f t="shared" si="187"/>
        <v>0</v>
      </c>
      <c r="AH596" s="596">
        <f t="shared" si="188"/>
        <v>0</v>
      </c>
      <c r="AI596" s="596">
        <f t="shared" si="189"/>
        <v>0</v>
      </c>
      <c r="AJ596" s="592"/>
      <c r="AK596" s="519"/>
      <c r="AL596" s="595">
        <f t="shared" si="190"/>
        <v>0</v>
      </c>
      <c r="AM596" s="596">
        <f t="shared" si="191"/>
        <v>0</v>
      </c>
      <c r="AN596" s="592"/>
      <c r="AO596" s="519"/>
      <c r="AP596" s="592"/>
      <c r="AQ596" s="519"/>
      <c r="AR596" s="592"/>
      <c r="AS596" s="519"/>
      <c r="AT596" s="592"/>
      <c r="AU596" s="519"/>
      <c r="AV596" s="595">
        <f t="shared" si="192"/>
        <v>0</v>
      </c>
      <c r="AW596" s="595">
        <f t="shared" si="193"/>
        <v>0</v>
      </c>
      <c r="AX596" s="596">
        <f t="shared" si="194"/>
        <v>0</v>
      </c>
      <c r="AY596" s="596">
        <f t="shared" si="195"/>
        <v>0</v>
      </c>
      <c r="AZ596" s="595">
        <f t="shared" si="196"/>
        <v>346.63333333333333</v>
      </c>
      <c r="BA596" s="596">
        <f t="shared" si="197"/>
        <v>406.06666666666666</v>
      </c>
    </row>
    <row r="597" spans="1:53" s="365" customFormat="1" ht="12.75" customHeight="1">
      <c r="A597" s="577" t="s">
        <v>621</v>
      </c>
      <c r="B597" s="550" t="s">
        <v>633</v>
      </c>
      <c r="C597" s="579" t="s">
        <v>886</v>
      </c>
      <c r="D597" s="552">
        <v>232788</v>
      </c>
      <c r="E597" s="552">
        <v>10</v>
      </c>
      <c r="F597" s="592"/>
      <c r="G597" s="519"/>
      <c r="H597" s="592"/>
      <c r="I597" s="519"/>
      <c r="J597" s="592">
        <v>19771</v>
      </c>
      <c r="K597" s="519">
        <v>18368</v>
      </c>
      <c r="L597" s="592">
        <v>5223</v>
      </c>
      <c r="M597" s="519">
        <v>5334</v>
      </c>
      <c r="N597" s="592">
        <v>21954</v>
      </c>
      <c r="O597" s="519">
        <v>21535</v>
      </c>
      <c r="P597" s="595">
        <f t="shared" si="180"/>
        <v>46948</v>
      </c>
      <c r="Q597" s="595">
        <f t="shared" si="181"/>
        <v>1564.9333333333334</v>
      </c>
      <c r="R597" s="596">
        <f t="shared" si="182"/>
        <v>45237</v>
      </c>
      <c r="S597" s="596">
        <f t="shared" si="183"/>
        <v>1507.9</v>
      </c>
      <c r="T597" s="592">
        <v>25482</v>
      </c>
      <c r="U597" s="519">
        <v>24553</v>
      </c>
      <c r="V597" s="595">
        <f t="shared" si="184"/>
        <v>46948</v>
      </c>
      <c r="W597" s="596">
        <f t="shared" si="185"/>
        <v>45237</v>
      </c>
      <c r="X597" s="592"/>
      <c r="Y597" s="519"/>
      <c r="Z597" s="592"/>
      <c r="AA597" s="519"/>
      <c r="AB597" s="592"/>
      <c r="AC597" s="519"/>
      <c r="AD597" s="592"/>
      <c r="AE597" s="519"/>
      <c r="AF597" s="595">
        <f t="shared" si="186"/>
        <v>0</v>
      </c>
      <c r="AG597" s="595">
        <f t="shared" si="187"/>
        <v>0</v>
      </c>
      <c r="AH597" s="596">
        <f t="shared" si="188"/>
        <v>0</v>
      </c>
      <c r="AI597" s="596">
        <f t="shared" si="189"/>
        <v>0</v>
      </c>
      <c r="AJ597" s="592"/>
      <c r="AK597" s="519"/>
      <c r="AL597" s="595">
        <f t="shared" si="190"/>
        <v>0</v>
      </c>
      <c r="AM597" s="596">
        <f t="shared" si="191"/>
        <v>0</v>
      </c>
      <c r="AN597" s="592"/>
      <c r="AO597" s="519"/>
      <c r="AP597" s="592"/>
      <c r="AQ597" s="519"/>
      <c r="AR597" s="592"/>
      <c r="AS597" s="519"/>
      <c r="AT597" s="592"/>
      <c r="AU597" s="519"/>
      <c r="AV597" s="595">
        <f t="shared" si="192"/>
        <v>0</v>
      </c>
      <c r="AW597" s="595">
        <f t="shared" si="193"/>
        <v>0</v>
      </c>
      <c r="AX597" s="596">
        <f t="shared" si="194"/>
        <v>0</v>
      </c>
      <c r="AY597" s="596">
        <f t="shared" si="195"/>
        <v>0</v>
      </c>
      <c r="AZ597" s="595">
        <f t="shared" si="196"/>
        <v>1564.9333333333334</v>
      </c>
      <c r="BA597" s="596">
        <f t="shared" si="197"/>
        <v>1507.9</v>
      </c>
    </row>
    <row r="598" spans="1:53" s="365" customFormat="1" ht="12.75" customHeight="1">
      <c r="A598" s="577" t="s">
        <v>621</v>
      </c>
      <c r="B598" s="582" t="s">
        <v>626</v>
      </c>
      <c r="C598" s="580" t="s">
        <v>886</v>
      </c>
      <c r="D598" s="552">
        <v>233019</v>
      </c>
      <c r="E598" s="552">
        <v>10</v>
      </c>
      <c r="F598" s="592"/>
      <c r="G598" s="519"/>
      <c r="H598" s="592"/>
      <c r="I598" s="519"/>
      <c r="J598" s="592">
        <v>21431</v>
      </c>
      <c r="K598" s="519">
        <v>19699</v>
      </c>
      <c r="L598" s="592">
        <v>4562</v>
      </c>
      <c r="M598" s="519">
        <v>4288</v>
      </c>
      <c r="N598" s="592">
        <v>24493</v>
      </c>
      <c r="O598" s="519">
        <v>22098</v>
      </c>
      <c r="P598" s="595">
        <f t="shared" si="180"/>
        <v>50486</v>
      </c>
      <c r="Q598" s="595">
        <f t="shared" si="181"/>
        <v>1682.8666666666666</v>
      </c>
      <c r="R598" s="596">
        <f t="shared" si="182"/>
        <v>46085</v>
      </c>
      <c r="S598" s="596">
        <f t="shared" si="183"/>
        <v>1536.1666666666667</v>
      </c>
      <c r="T598" s="592">
        <v>26448</v>
      </c>
      <c r="U598" s="519">
        <v>22866</v>
      </c>
      <c r="V598" s="595">
        <f t="shared" si="184"/>
        <v>50486</v>
      </c>
      <c r="W598" s="596">
        <f t="shared" si="185"/>
        <v>46085</v>
      </c>
      <c r="X598" s="592"/>
      <c r="Y598" s="519"/>
      <c r="Z598" s="592"/>
      <c r="AA598" s="519"/>
      <c r="AB598" s="592"/>
      <c r="AC598" s="519"/>
      <c r="AD598" s="592"/>
      <c r="AE598" s="519"/>
      <c r="AF598" s="595">
        <f t="shared" si="186"/>
        <v>0</v>
      </c>
      <c r="AG598" s="595">
        <f t="shared" si="187"/>
        <v>0</v>
      </c>
      <c r="AH598" s="596">
        <f t="shared" si="188"/>
        <v>0</v>
      </c>
      <c r="AI598" s="596">
        <f t="shared" si="189"/>
        <v>0</v>
      </c>
      <c r="AJ598" s="592"/>
      <c r="AK598" s="519"/>
      <c r="AL598" s="595">
        <f t="shared" si="190"/>
        <v>0</v>
      </c>
      <c r="AM598" s="596">
        <f t="shared" si="191"/>
        <v>0</v>
      </c>
      <c r="AN598" s="592"/>
      <c r="AO598" s="519"/>
      <c r="AP598" s="592"/>
      <c r="AQ598" s="519"/>
      <c r="AR598" s="592"/>
      <c r="AS598" s="519"/>
      <c r="AT598" s="592"/>
      <c r="AU598" s="519"/>
      <c r="AV598" s="595">
        <f t="shared" si="192"/>
        <v>0</v>
      </c>
      <c r="AW598" s="595">
        <f t="shared" si="193"/>
        <v>0</v>
      </c>
      <c r="AX598" s="596">
        <f t="shared" si="194"/>
        <v>0</v>
      </c>
      <c r="AY598" s="596">
        <f t="shared" si="195"/>
        <v>0</v>
      </c>
      <c r="AZ598" s="595">
        <f t="shared" si="196"/>
        <v>1682.8666666666666</v>
      </c>
      <c r="BA598" s="596">
        <f t="shared" si="197"/>
        <v>1536.1666666666667</v>
      </c>
    </row>
    <row r="599" spans="1:53" s="365" customFormat="1" ht="12.75" customHeight="1">
      <c r="A599" s="577" t="s">
        <v>621</v>
      </c>
      <c r="B599" s="550" t="s">
        <v>634</v>
      </c>
      <c r="C599" s="551" t="s">
        <v>886</v>
      </c>
      <c r="D599" s="552">
        <v>233037</v>
      </c>
      <c r="E599" s="552">
        <v>10</v>
      </c>
      <c r="F599" s="592"/>
      <c r="G599" s="519"/>
      <c r="H599" s="592"/>
      <c r="I599" s="519"/>
      <c r="J599" s="592">
        <v>9888</v>
      </c>
      <c r="K599" s="519">
        <v>10120</v>
      </c>
      <c r="L599" s="592">
        <v>3168</v>
      </c>
      <c r="M599" s="519">
        <v>2808</v>
      </c>
      <c r="N599" s="592">
        <v>10347</v>
      </c>
      <c r="O599" s="519">
        <v>10008</v>
      </c>
      <c r="P599" s="595">
        <f t="shared" si="180"/>
        <v>23403</v>
      </c>
      <c r="Q599" s="595">
        <f t="shared" si="181"/>
        <v>780.1</v>
      </c>
      <c r="R599" s="596">
        <f t="shared" si="182"/>
        <v>22936</v>
      </c>
      <c r="S599" s="596">
        <f t="shared" si="183"/>
        <v>764.5333333333333</v>
      </c>
      <c r="T599" s="592">
        <v>15017</v>
      </c>
      <c r="U599" s="519">
        <v>16213</v>
      </c>
      <c r="V599" s="595">
        <f t="shared" si="184"/>
        <v>23403</v>
      </c>
      <c r="W599" s="596">
        <f t="shared" si="185"/>
        <v>22936</v>
      </c>
      <c r="X599" s="592"/>
      <c r="Y599" s="519"/>
      <c r="Z599" s="592"/>
      <c r="AA599" s="519"/>
      <c r="AB599" s="592"/>
      <c r="AC599" s="519"/>
      <c r="AD599" s="592"/>
      <c r="AE599" s="519"/>
      <c r="AF599" s="595">
        <f t="shared" si="186"/>
        <v>0</v>
      </c>
      <c r="AG599" s="595">
        <f t="shared" si="187"/>
        <v>0</v>
      </c>
      <c r="AH599" s="596">
        <f t="shared" si="188"/>
        <v>0</v>
      </c>
      <c r="AI599" s="596">
        <f t="shared" si="189"/>
        <v>0</v>
      </c>
      <c r="AJ599" s="592"/>
      <c r="AK599" s="519"/>
      <c r="AL599" s="595">
        <f t="shared" si="190"/>
        <v>0</v>
      </c>
      <c r="AM599" s="596">
        <f t="shared" si="191"/>
        <v>0</v>
      </c>
      <c r="AN599" s="592"/>
      <c r="AO599" s="519"/>
      <c r="AP599" s="592"/>
      <c r="AQ599" s="519"/>
      <c r="AR599" s="592"/>
      <c r="AS599" s="519"/>
      <c r="AT599" s="592"/>
      <c r="AU599" s="519"/>
      <c r="AV599" s="595">
        <f t="shared" si="192"/>
        <v>0</v>
      </c>
      <c r="AW599" s="595">
        <f t="shared" si="193"/>
        <v>0</v>
      </c>
      <c r="AX599" s="596">
        <f t="shared" si="194"/>
        <v>0</v>
      </c>
      <c r="AY599" s="596">
        <f t="shared" si="195"/>
        <v>0</v>
      </c>
      <c r="AZ599" s="595">
        <f t="shared" si="196"/>
        <v>780.1</v>
      </c>
      <c r="BA599" s="596">
        <f t="shared" si="197"/>
        <v>764.5333333333333</v>
      </c>
    </row>
    <row r="600" spans="1:53" s="365" customFormat="1" ht="12.75" customHeight="1">
      <c r="A600" s="577" t="s">
        <v>621</v>
      </c>
      <c r="B600" s="550" t="s">
        <v>635</v>
      </c>
      <c r="C600" s="551" t="s">
        <v>886</v>
      </c>
      <c r="D600" s="552">
        <v>233310</v>
      </c>
      <c r="E600" s="552">
        <v>10</v>
      </c>
      <c r="F600" s="592"/>
      <c r="G600" s="519"/>
      <c r="H600" s="592"/>
      <c r="I600" s="519"/>
      <c r="J600" s="592">
        <v>20918</v>
      </c>
      <c r="K600" s="519">
        <v>20326</v>
      </c>
      <c r="L600" s="592">
        <v>5806</v>
      </c>
      <c r="M600" s="519">
        <v>5351</v>
      </c>
      <c r="N600" s="592">
        <v>24082</v>
      </c>
      <c r="O600" s="519">
        <v>22233</v>
      </c>
      <c r="P600" s="595">
        <f t="shared" si="180"/>
        <v>50806</v>
      </c>
      <c r="Q600" s="595">
        <f t="shared" si="181"/>
        <v>1693.5333333333333</v>
      </c>
      <c r="R600" s="596">
        <f t="shared" si="182"/>
        <v>47910</v>
      </c>
      <c r="S600" s="596">
        <f t="shared" si="183"/>
        <v>1597</v>
      </c>
      <c r="T600" s="592">
        <v>40765</v>
      </c>
      <c r="U600" s="519">
        <v>39608</v>
      </c>
      <c r="V600" s="595">
        <f t="shared" si="184"/>
        <v>50806</v>
      </c>
      <c r="W600" s="596">
        <f t="shared" si="185"/>
        <v>47910</v>
      </c>
      <c r="X600" s="592"/>
      <c r="Y600" s="519"/>
      <c r="Z600" s="592"/>
      <c r="AA600" s="519"/>
      <c r="AB600" s="592"/>
      <c r="AC600" s="519"/>
      <c r="AD600" s="592"/>
      <c r="AE600" s="519"/>
      <c r="AF600" s="595">
        <f t="shared" si="186"/>
        <v>0</v>
      </c>
      <c r="AG600" s="595">
        <f t="shared" si="187"/>
        <v>0</v>
      </c>
      <c r="AH600" s="596">
        <f t="shared" si="188"/>
        <v>0</v>
      </c>
      <c r="AI600" s="596">
        <f t="shared" si="189"/>
        <v>0</v>
      </c>
      <c r="AJ600" s="592"/>
      <c r="AK600" s="519"/>
      <c r="AL600" s="595">
        <f t="shared" si="190"/>
        <v>0</v>
      </c>
      <c r="AM600" s="596">
        <f t="shared" si="191"/>
        <v>0</v>
      </c>
      <c r="AN600" s="592"/>
      <c r="AO600" s="519"/>
      <c r="AP600" s="592"/>
      <c r="AQ600" s="519"/>
      <c r="AR600" s="592"/>
      <c r="AS600" s="519"/>
      <c r="AT600" s="592"/>
      <c r="AU600" s="519"/>
      <c r="AV600" s="595">
        <f t="shared" si="192"/>
        <v>0</v>
      </c>
      <c r="AW600" s="595">
        <f t="shared" si="193"/>
        <v>0</v>
      </c>
      <c r="AX600" s="596">
        <f t="shared" si="194"/>
        <v>0</v>
      </c>
      <c r="AY600" s="596">
        <f t="shared" si="195"/>
        <v>0</v>
      </c>
      <c r="AZ600" s="595">
        <f t="shared" si="196"/>
        <v>1693.5333333333333</v>
      </c>
      <c r="BA600" s="596">
        <f t="shared" si="197"/>
        <v>1597</v>
      </c>
    </row>
    <row r="601" spans="1:53" s="1" customFormat="1">
      <c r="A601" s="577" t="s">
        <v>621</v>
      </c>
      <c r="B601" s="583" t="s">
        <v>636</v>
      </c>
      <c r="C601" s="551" t="s">
        <v>886</v>
      </c>
      <c r="D601" s="552">
        <v>233338</v>
      </c>
      <c r="E601" s="552">
        <v>10</v>
      </c>
      <c r="F601" s="592"/>
      <c r="G601" s="519"/>
      <c r="H601" s="592"/>
      <c r="I601" s="519"/>
      <c r="J601" s="592">
        <v>16910</v>
      </c>
      <c r="K601" s="519">
        <v>16391</v>
      </c>
      <c r="L601" s="592">
        <v>1586</v>
      </c>
      <c r="M601" s="519">
        <v>1221</v>
      </c>
      <c r="N601" s="592">
        <v>19383</v>
      </c>
      <c r="O601" s="519">
        <v>19236</v>
      </c>
      <c r="P601" s="595">
        <f t="shared" si="180"/>
        <v>37879</v>
      </c>
      <c r="Q601" s="595">
        <f t="shared" si="181"/>
        <v>1262.6333333333334</v>
      </c>
      <c r="R601" s="596">
        <f t="shared" si="182"/>
        <v>36848</v>
      </c>
      <c r="S601" s="596">
        <f t="shared" si="183"/>
        <v>1228.2666666666667</v>
      </c>
      <c r="T601" s="592">
        <v>27079</v>
      </c>
      <c r="U601" s="519">
        <v>25605</v>
      </c>
      <c r="V601" s="595">
        <f t="shared" si="184"/>
        <v>37879</v>
      </c>
      <c r="W601" s="596">
        <f t="shared" si="185"/>
        <v>36848</v>
      </c>
      <c r="X601" s="592"/>
      <c r="Y601" s="519"/>
      <c r="Z601" s="592"/>
      <c r="AA601" s="519"/>
      <c r="AB601" s="592"/>
      <c r="AC601" s="519"/>
      <c r="AD601" s="592"/>
      <c r="AE601" s="519"/>
      <c r="AF601" s="595">
        <f t="shared" si="186"/>
        <v>0</v>
      </c>
      <c r="AG601" s="595">
        <f t="shared" si="187"/>
        <v>0</v>
      </c>
      <c r="AH601" s="596">
        <f t="shared" si="188"/>
        <v>0</v>
      </c>
      <c r="AI601" s="596">
        <f t="shared" si="189"/>
        <v>0</v>
      </c>
      <c r="AJ601" s="592"/>
      <c r="AK601" s="519"/>
      <c r="AL601" s="595">
        <f t="shared" si="190"/>
        <v>0</v>
      </c>
      <c r="AM601" s="596">
        <f t="shared" si="191"/>
        <v>0</v>
      </c>
      <c r="AN601" s="592"/>
      <c r="AO601" s="519"/>
      <c r="AP601" s="592"/>
      <c r="AQ601" s="519"/>
      <c r="AR601" s="592"/>
      <c r="AS601" s="519"/>
      <c r="AT601" s="592"/>
      <c r="AU601" s="519"/>
      <c r="AV601" s="595">
        <f t="shared" si="192"/>
        <v>0</v>
      </c>
      <c r="AW601" s="595">
        <f t="shared" si="193"/>
        <v>0</v>
      </c>
      <c r="AX601" s="596">
        <f t="shared" si="194"/>
        <v>0</v>
      </c>
      <c r="AY601" s="596">
        <f t="shared" si="195"/>
        <v>0</v>
      </c>
      <c r="AZ601" s="595">
        <f t="shared" si="196"/>
        <v>1262.6333333333334</v>
      </c>
      <c r="BA601" s="596">
        <f t="shared" si="197"/>
        <v>1228.2666666666667</v>
      </c>
    </row>
    <row r="602" spans="1:53" s="365" customFormat="1" ht="12.75" customHeight="1">
      <c r="A602" s="577" t="s">
        <v>621</v>
      </c>
      <c r="B602" s="550" t="s">
        <v>637</v>
      </c>
      <c r="C602" s="579" t="s">
        <v>886</v>
      </c>
      <c r="D602" s="552">
        <v>233648</v>
      </c>
      <c r="E602" s="552">
        <v>10</v>
      </c>
      <c r="F602" s="592"/>
      <c r="G602" s="519"/>
      <c r="H602" s="592"/>
      <c r="I602" s="519"/>
      <c r="J602" s="592">
        <v>19005</v>
      </c>
      <c r="K602" s="519">
        <v>20190</v>
      </c>
      <c r="L602" s="592">
        <v>5520</v>
      </c>
      <c r="M602" s="519">
        <v>6103</v>
      </c>
      <c r="N602" s="592">
        <v>23028</v>
      </c>
      <c r="O602" s="519">
        <v>22421</v>
      </c>
      <c r="P602" s="595">
        <f t="shared" si="180"/>
        <v>47553</v>
      </c>
      <c r="Q602" s="595">
        <f t="shared" si="181"/>
        <v>1585.1</v>
      </c>
      <c r="R602" s="596">
        <f t="shared" si="182"/>
        <v>48714</v>
      </c>
      <c r="S602" s="596">
        <f t="shared" si="183"/>
        <v>1623.8</v>
      </c>
      <c r="T602" s="592">
        <v>17717</v>
      </c>
      <c r="U602" s="519">
        <v>17697</v>
      </c>
      <c r="V602" s="595">
        <f t="shared" si="184"/>
        <v>47553</v>
      </c>
      <c r="W602" s="596">
        <f t="shared" si="185"/>
        <v>48714</v>
      </c>
      <c r="X602" s="592"/>
      <c r="Y602" s="519"/>
      <c r="Z602" s="592"/>
      <c r="AA602" s="519"/>
      <c r="AB602" s="592"/>
      <c r="AC602" s="519"/>
      <c r="AD602" s="592"/>
      <c r="AE602" s="519"/>
      <c r="AF602" s="595">
        <f t="shared" si="186"/>
        <v>0</v>
      </c>
      <c r="AG602" s="595">
        <f t="shared" si="187"/>
        <v>0</v>
      </c>
      <c r="AH602" s="596">
        <f t="shared" si="188"/>
        <v>0</v>
      </c>
      <c r="AI602" s="596">
        <f t="shared" si="189"/>
        <v>0</v>
      </c>
      <c r="AJ602" s="592"/>
      <c r="AK602" s="519"/>
      <c r="AL602" s="595">
        <f t="shared" si="190"/>
        <v>0</v>
      </c>
      <c r="AM602" s="596">
        <f t="shared" si="191"/>
        <v>0</v>
      </c>
      <c r="AN602" s="592"/>
      <c r="AO602" s="519"/>
      <c r="AP602" s="592"/>
      <c r="AQ602" s="519"/>
      <c r="AR602" s="592"/>
      <c r="AS602" s="519"/>
      <c r="AT602" s="592"/>
      <c r="AU602" s="519"/>
      <c r="AV602" s="595">
        <f t="shared" si="192"/>
        <v>0</v>
      </c>
      <c r="AW602" s="595">
        <f t="shared" si="193"/>
        <v>0</v>
      </c>
      <c r="AX602" s="596">
        <f t="shared" si="194"/>
        <v>0</v>
      </c>
      <c r="AY602" s="596">
        <f t="shared" si="195"/>
        <v>0</v>
      </c>
      <c r="AZ602" s="595">
        <f t="shared" si="196"/>
        <v>1585.1</v>
      </c>
      <c r="BA602" s="596">
        <f t="shared" si="197"/>
        <v>1623.8</v>
      </c>
    </row>
    <row r="603" spans="1:53" s="365" customFormat="1" ht="12.75" customHeight="1">
      <c r="A603" s="577" t="s">
        <v>621</v>
      </c>
      <c r="B603" s="550" t="s">
        <v>638</v>
      </c>
      <c r="C603" s="551" t="s">
        <v>886</v>
      </c>
      <c r="D603" s="552">
        <v>233903</v>
      </c>
      <c r="E603" s="552">
        <v>10</v>
      </c>
      <c r="F603" s="592"/>
      <c r="G603" s="519"/>
      <c r="H603" s="592"/>
      <c r="I603" s="519"/>
      <c r="J603" s="592">
        <v>18809</v>
      </c>
      <c r="K603" s="519">
        <v>18506</v>
      </c>
      <c r="L603" s="592">
        <v>3759</v>
      </c>
      <c r="M603" s="519">
        <v>3777</v>
      </c>
      <c r="N603" s="592">
        <v>21325</v>
      </c>
      <c r="O603" s="519">
        <v>19702</v>
      </c>
      <c r="P603" s="595">
        <f t="shared" si="180"/>
        <v>43893</v>
      </c>
      <c r="Q603" s="595">
        <f t="shared" si="181"/>
        <v>1463.1</v>
      </c>
      <c r="R603" s="596">
        <f t="shared" si="182"/>
        <v>41985</v>
      </c>
      <c r="S603" s="596">
        <f t="shared" si="183"/>
        <v>1399.5</v>
      </c>
      <c r="T603" s="592">
        <v>20603</v>
      </c>
      <c r="U603" s="519">
        <v>18509</v>
      </c>
      <c r="V603" s="595">
        <f t="shared" si="184"/>
        <v>43893</v>
      </c>
      <c r="W603" s="596">
        <f t="shared" si="185"/>
        <v>41985</v>
      </c>
      <c r="X603" s="592"/>
      <c r="Y603" s="519"/>
      <c r="Z603" s="592"/>
      <c r="AA603" s="519"/>
      <c r="AB603" s="592"/>
      <c r="AC603" s="519"/>
      <c r="AD603" s="592"/>
      <c r="AE603" s="519"/>
      <c r="AF603" s="595">
        <f t="shared" si="186"/>
        <v>0</v>
      </c>
      <c r="AG603" s="595">
        <f t="shared" si="187"/>
        <v>0</v>
      </c>
      <c r="AH603" s="596">
        <f t="shared" si="188"/>
        <v>0</v>
      </c>
      <c r="AI603" s="596">
        <f t="shared" si="189"/>
        <v>0</v>
      </c>
      <c r="AJ603" s="592"/>
      <c r="AK603" s="519"/>
      <c r="AL603" s="595">
        <f t="shared" si="190"/>
        <v>0</v>
      </c>
      <c r="AM603" s="596">
        <f t="shared" si="191"/>
        <v>0</v>
      </c>
      <c r="AN603" s="592"/>
      <c r="AO603" s="519"/>
      <c r="AP603" s="592"/>
      <c r="AQ603" s="519"/>
      <c r="AR603" s="592"/>
      <c r="AS603" s="519"/>
      <c r="AT603" s="592"/>
      <c r="AU603" s="519"/>
      <c r="AV603" s="595">
        <f t="shared" si="192"/>
        <v>0</v>
      </c>
      <c r="AW603" s="595">
        <f t="shared" si="193"/>
        <v>0</v>
      </c>
      <c r="AX603" s="596">
        <f t="shared" si="194"/>
        <v>0</v>
      </c>
      <c r="AY603" s="596">
        <f t="shared" si="195"/>
        <v>0</v>
      </c>
      <c r="AZ603" s="595">
        <f t="shared" si="196"/>
        <v>1463.1</v>
      </c>
      <c r="BA603" s="596">
        <f t="shared" si="197"/>
        <v>1399.5</v>
      </c>
    </row>
    <row r="604" spans="1:53" s="365" customFormat="1" ht="12.75" customHeight="1">
      <c r="A604" s="577" t="s">
        <v>621</v>
      </c>
      <c r="B604" s="550" t="s">
        <v>630</v>
      </c>
      <c r="C604" s="580" t="s">
        <v>886</v>
      </c>
      <c r="D604" s="552">
        <v>234377</v>
      </c>
      <c r="E604" s="552">
        <v>10</v>
      </c>
      <c r="F604" s="592"/>
      <c r="G604" s="519"/>
      <c r="H604" s="592"/>
      <c r="I604" s="519"/>
      <c r="J604" s="592">
        <v>20070</v>
      </c>
      <c r="K604" s="519">
        <v>19675</v>
      </c>
      <c r="L604" s="592">
        <v>4658</v>
      </c>
      <c r="M604" s="519">
        <v>4281</v>
      </c>
      <c r="N604" s="592">
        <v>21986</v>
      </c>
      <c r="O604" s="519">
        <v>20131</v>
      </c>
      <c r="P604" s="595">
        <f t="shared" si="180"/>
        <v>46714</v>
      </c>
      <c r="Q604" s="595">
        <f t="shared" si="181"/>
        <v>1557.1333333333334</v>
      </c>
      <c r="R604" s="596">
        <f t="shared" si="182"/>
        <v>44087</v>
      </c>
      <c r="S604" s="596">
        <f t="shared" si="183"/>
        <v>1469.5666666666666</v>
      </c>
      <c r="T604" s="592">
        <v>27982</v>
      </c>
      <c r="U604" s="519">
        <v>25010</v>
      </c>
      <c r="V604" s="595">
        <f t="shared" si="184"/>
        <v>46714</v>
      </c>
      <c r="W604" s="596">
        <f t="shared" si="185"/>
        <v>44087</v>
      </c>
      <c r="X604" s="592"/>
      <c r="Y604" s="519"/>
      <c r="Z604" s="592"/>
      <c r="AA604" s="519"/>
      <c r="AB604" s="592"/>
      <c r="AC604" s="519"/>
      <c r="AD604" s="592"/>
      <c r="AE604" s="519"/>
      <c r="AF604" s="595">
        <f t="shared" si="186"/>
        <v>0</v>
      </c>
      <c r="AG604" s="595">
        <f t="shared" si="187"/>
        <v>0</v>
      </c>
      <c r="AH604" s="596">
        <f t="shared" si="188"/>
        <v>0</v>
      </c>
      <c r="AI604" s="596">
        <f t="shared" si="189"/>
        <v>0</v>
      </c>
      <c r="AJ604" s="592"/>
      <c r="AK604" s="519"/>
      <c r="AL604" s="595">
        <f t="shared" si="190"/>
        <v>0</v>
      </c>
      <c r="AM604" s="596">
        <f t="shared" si="191"/>
        <v>0</v>
      </c>
      <c r="AN604" s="592"/>
      <c r="AO604" s="519"/>
      <c r="AP604" s="592"/>
      <c r="AQ604" s="519"/>
      <c r="AR604" s="592"/>
      <c r="AS604" s="519"/>
      <c r="AT604" s="592"/>
      <c r="AU604" s="519"/>
      <c r="AV604" s="595">
        <f t="shared" si="192"/>
        <v>0</v>
      </c>
      <c r="AW604" s="595">
        <f t="shared" si="193"/>
        <v>0</v>
      </c>
      <c r="AX604" s="596">
        <f t="shared" si="194"/>
        <v>0</v>
      </c>
      <c r="AY604" s="596">
        <f t="shared" si="195"/>
        <v>0</v>
      </c>
      <c r="AZ604" s="595">
        <f t="shared" si="196"/>
        <v>1557.1333333333334</v>
      </c>
      <c r="BA604" s="596">
        <f t="shared" si="197"/>
        <v>1469.5666666666666</v>
      </c>
    </row>
    <row r="605" spans="1:53" s="365" customFormat="1" ht="12.75" customHeight="1">
      <c r="A605" s="577" t="s">
        <v>621</v>
      </c>
      <c r="B605" s="342" t="s">
        <v>639</v>
      </c>
      <c r="C605" s="584"/>
      <c r="D605" s="577" t="s">
        <v>640</v>
      </c>
      <c r="E605" s="5">
        <v>11</v>
      </c>
      <c r="F605" s="592"/>
      <c r="G605" s="519"/>
      <c r="H605" s="592"/>
      <c r="I605" s="519"/>
      <c r="J605" s="592">
        <v>1226533</v>
      </c>
      <c r="K605" s="519">
        <v>1187696</v>
      </c>
      <c r="L605" s="592">
        <v>376716</v>
      </c>
      <c r="M605" s="519">
        <v>353284</v>
      </c>
      <c r="N605" s="592">
        <v>1326707</v>
      </c>
      <c r="O605" s="519">
        <v>1272996</v>
      </c>
      <c r="P605" s="595">
        <f t="shared" si="180"/>
        <v>2929956</v>
      </c>
      <c r="Q605" s="595">
        <f t="shared" si="181"/>
        <v>97665.2</v>
      </c>
      <c r="R605" s="596">
        <f t="shared" si="182"/>
        <v>2813976</v>
      </c>
      <c r="S605" s="596">
        <f t="shared" si="183"/>
        <v>93799.2</v>
      </c>
      <c r="T605" s="592">
        <v>890041</v>
      </c>
      <c r="U605" s="519">
        <v>918047</v>
      </c>
      <c r="V605" s="595">
        <f t="shared" si="184"/>
        <v>2929956</v>
      </c>
      <c r="W605" s="596">
        <f t="shared" si="185"/>
        <v>2813976</v>
      </c>
      <c r="X605" s="592"/>
      <c r="Y605" s="519"/>
      <c r="Z605" s="592"/>
      <c r="AA605" s="519"/>
      <c r="AB605" s="592"/>
      <c r="AC605" s="519"/>
      <c r="AD605" s="592"/>
      <c r="AE605" s="519"/>
      <c r="AF605" s="595">
        <f t="shared" si="186"/>
        <v>0</v>
      </c>
      <c r="AG605" s="595">
        <f t="shared" si="187"/>
        <v>0</v>
      </c>
      <c r="AH605" s="596">
        <f t="shared" si="188"/>
        <v>0</v>
      </c>
      <c r="AI605" s="596">
        <f t="shared" si="189"/>
        <v>0</v>
      </c>
      <c r="AJ605" s="592"/>
      <c r="AK605" s="519"/>
      <c r="AL605" s="595">
        <f t="shared" si="190"/>
        <v>0</v>
      </c>
      <c r="AM605" s="596">
        <f t="shared" si="191"/>
        <v>0</v>
      </c>
      <c r="AN605" s="592"/>
      <c r="AO605" s="519"/>
      <c r="AP605" s="592"/>
      <c r="AQ605" s="519"/>
      <c r="AR605" s="592"/>
      <c r="AS605" s="519"/>
      <c r="AT605" s="592"/>
      <c r="AU605" s="519"/>
      <c r="AV605" s="595">
        <f t="shared" si="192"/>
        <v>0</v>
      </c>
      <c r="AW605" s="595">
        <f t="shared" si="193"/>
        <v>0</v>
      </c>
      <c r="AX605" s="596">
        <f t="shared" si="194"/>
        <v>0</v>
      </c>
      <c r="AY605" s="596">
        <f t="shared" si="195"/>
        <v>0</v>
      </c>
      <c r="AZ605" s="595">
        <f t="shared" si="196"/>
        <v>97665.2</v>
      </c>
      <c r="BA605" s="596">
        <f t="shared" si="197"/>
        <v>93799.2</v>
      </c>
    </row>
    <row r="606" spans="1:53" customFormat="1" ht="12.65" customHeight="1">
      <c r="A606" s="577" t="s">
        <v>621</v>
      </c>
      <c r="B606" s="585"/>
      <c r="C606" s="586" t="s">
        <v>641</v>
      </c>
      <c r="D606" s="577"/>
      <c r="E606" s="5" t="s">
        <v>616</v>
      </c>
      <c r="F606" s="592"/>
      <c r="G606" s="519"/>
      <c r="H606" s="592"/>
      <c r="I606" s="519"/>
      <c r="J606" s="592">
        <v>762232</v>
      </c>
      <c r="K606" s="519">
        <v>724916</v>
      </c>
      <c r="L606" s="592">
        <v>259978</v>
      </c>
      <c r="M606" s="519">
        <v>239739</v>
      </c>
      <c r="N606" s="592">
        <v>797739</v>
      </c>
      <c r="O606" s="519">
        <v>767105</v>
      </c>
      <c r="P606" s="595">
        <f t="shared" si="180"/>
        <v>1819949</v>
      </c>
      <c r="Q606" s="595">
        <f t="shared" si="181"/>
        <v>60664.966666666667</v>
      </c>
      <c r="R606" s="596">
        <f t="shared" si="182"/>
        <v>1731760</v>
      </c>
      <c r="S606" s="596">
        <f t="shared" si="183"/>
        <v>57725.333333333336</v>
      </c>
      <c r="T606" s="592">
        <v>337929</v>
      </c>
      <c r="U606" s="519">
        <v>381149</v>
      </c>
      <c r="V606" s="595">
        <f t="shared" si="184"/>
        <v>1819949</v>
      </c>
      <c r="W606" s="596">
        <f t="shared" si="185"/>
        <v>1731760</v>
      </c>
      <c r="X606" s="592"/>
      <c r="Y606" s="519"/>
      <c r="Z606" s="592"/>
      <c r="AA606" s="519"/>
      <c r="AB606" s="592"/>
      <c r="AC606" s="519"/>
      <c r="AD606" s="592"/>
      <c r="AE606" s="519"/>
      <c r="AF606" s="595">
        <f t="shared" si="186"/>
        <v>0</v>
      </c>
      <c r="AG606" s="595">
        <f t="shared" si="187"/>
        <v>0</v>
      </c>
      <c r="AH606" s="596">
        <f t="shared" si="188"/>
        <v>0</v>
      </c>
      <c r="AI606" s="596">
        <f t="shared" si="189"/>
        <v>0</v>
      </c>
      <c r="AJ606" s="592"/>
      <c r="AK606" s="519"/>
      <c r="AL606" s="595">
        <f t="shared" si="190"/>
        <v>0</v>
      </c>
      <c r="AM606" s="596">
        <f t="shared" si="191"/>
        <v>0</v>
      </c>
      <c r="AN606" s="592"/>
      <c r="AO606" s="519"/>
      <c r="AP606" s="592"/>
      <c r="AQ606" s="519"/>
      <c r="AR606" s="592"/>
      <c r="AS606" s="519"/>
      <c r="AT606" s="592"/>
      <c r="AU606" s="519"/>
      <c r="AV606" s="595">
        <f t="shared" si="192"/>
        <v>0</v>
      </c>
      <c r="AW606" s="595">
        <f t="shared" si="193"/>
        <v>0</v>
      </c>
      <c r="AX606" s="596">
        <f t="shared" si="194"/>
        <v>0</v>
      </c>
      <c r="AY606" s="596">
        <f t="shared" si="195"/>
        <v>0</v>
      </c>
      <c r="AZ606" s="595">
        <f t="shared" si="196"/>
        <v>60664.966666666667</v>
      </c>
      <c r="BA606" s="596">
        <f t="shared" si="197"/>
        <v>57725.333333333336</v>
      </c>
    </row>
    <row r="607" spans="1:53" customFormat="1" ht="12.65" customHeight="1">
      <c r="A607" s="577" t="s">
        <v>621</v>
      </c>
      <c r="B607" s="587"/>
      <c r="C607" s="588" t="s">
        <v>642</v>
      </c>
      <c r="D607" s="577"/>
      <c r="E607" s="5" t="s">
        <v>617</v>
      </c>
      <c r="F607" s="592"/>
      <c r="G607" s="519"/>
      <c r="H607" s="592"/>
      <c r="I607" s="519"/>
      <c r="J607" s="592">
        <v>299634</v>
      </c>
      <c r="K607" s="519">
        <v>300690</v>
      </c>
      <c r="L607" s="592">
        <v>76153</v>
      </c>
      <c r="M607" s="519">
        <v>73782</v>
      </c>
      <c r="N607" s="592">
        <v>342257</v>
      </c>
      <c r="O607" s="519">
        <v>330464</v>
      </c>
      <c r="P607" s="595">
        <f t="shared" si="180"/>
        <v>718044</v>
      </c>
      <c r="Q607" s="595">
        <f t="shared" si="181"/>
        <v>23934.799999999999</v>
      </c>
      <c r="R607" s="596">
        <f t="shared" si="182"/>
        <v>704936</v>
      </c>
      <c r="S607" s="596">
        <f t="shared" si="183"/>
        <v>23497.866666666665</v>
      </c>
      <c r="T607" s="592">
        <v>336554</v>
      </c>
      <c r="U607" s="519">
        <v>330066</v>
      </c>
      <c r="V607" s="595">
        <f t="shared" si="184"/>
        <v>718044</v>
      </c>
      <c r="W607" s="596">
        <f t="shared" si="185"/>
        <v>704936</v>
      </c>
      <c r="X607" s="592"/>
      <c r="Y607" s="519"/>
      <c r="Z607" s="592"/>
      <c r="AA607" s="519"/>
      <c r="AB607" s="592"/>
      <c r="AC607" s="519"/>
      <c r="AD607" s="592"/>
      <c r="AE607" s="519"/>
      <c r="AF607" s="595">
        <f t="shared" si="186"/>
        <v>0</v>
      </c>
      <c r="AG607" s="595">
        <f t="shared" si="187"/>
        <v>0</v>
      </c>
      <c r="AH607" s="596">
        <f t="shared" si="188"/>
        <v>0</v>
      </c>
      <c r="AI607" s="596">
        <f t="shared" si="189"/>
        <v>0</v>
      </c>
      <c r="AJ607" s="592"/>
      <c r="AK607" s="519"/>
      <c r="AL607" s="595">
        <f t="shared" si="190"/>
        <v>0</v>
      </c>
      <c r="AM607" s="596">
        <f t="shared" si="191"/>
        <v>0</v>
      </c>
      <c r="AN607" s="592"/>
      <c r="AO607" s="519"/>
      <c r="AP607" s="592"/>
      <c r="AQ607" s="519"/>
      <c r="AR607" s="592"/>
      <c r="AS607" s="519"/>
      <c r="AT607" s="592"/>
      <c r="AU607" s="519"/>
      <c r="AV607" s="595">
        <f t="shared" si="192"/>
        <v>0</v>
      </c>
      <c r="AW607" s="595">
        <f t="shared" si="193"/>
        <v>0</v>
      </c>
      <c r="AX607" s="596">
        <f t="shared" si="194"/>
        <v>0</v>
      </c>
      <c r="AY607" s="596">
        <f t="shared" si="195"/>
        <v>0</v>
      </c>
      <c r="AZ607" s="595">
        <f t="shared" si="196"/>
        <v>23934.799999999999</v>
      </c>
      <c r="BA607" s="596">
        <f t="shared" si="197"/>
        <v>23497.866666666665</v>
      </c>
    </row>
    <row r="608" spans="1:53" customFormat="1" ht="12.65" customHeight="1">
      <c r="A608" s="577" t="s">
        <v>621</v>
      </c>
      <c r="B608" s="342" t="s">
        <v>643</v>
      </c>
      <c r="C608" s="583"/>
      <c r="D608" s="577" t="s">
        <v>802</v>
      </c>
      <c r="E608" s="5" t="s">
        <v>618</v>
      </c>
      <c r="F608" s="592"/>
      <c r="G608" s="519"/>
      <c r="H608" s="592"/>
      <c r="I608" s="519"/>
      <c r="J608" s="592">
        <v>16910</v>
      </c>
      <c r="K608" s="519">
        <v>16391</v>
      </c>
      <c r="L608" s="592">
        <v>1586</v>
      </c>
      <c r="M608" s="519">
        <v>1221</v>
      </c>
      <c r="N608" s="592">
        <v>19383</v>
      </c>
      <c r="O608" s="519">
        <v>19236</v>
      </c>
      <c r="P608" s="595">
        <f t="shared" si="180"/>
        <v>37879</v>
      </c>
      <c r="Q608" s="595">
        <f t="shared" si="181"/>
        <v>1262.6333333333334</v>
      </c>
      <c r="R608" s="596">
        <f t="shared" si="182"/>
        <v>36848</v>
      </c>
      <c r="S608" s="596">
        <f t="shared" si="183"/>
        <v>1228.2666666666667</v>
      </c>
      <c r="T608" s="592">
        <v>27079</v>
      </c>
      <c r="U608" s="519">
        <v>25605</v>
      </c>
      <c r="V608" s="595">
        <f t="shared" si="184"/>
        <v>37879</v>
      </c>
      <c r="W608" s="596">
        <f t="shared" si="185"/>
        <v>36848</v>
      </c>
      <c r="X608" s="592"/>
      <c r="Y608" s="519"/>
      <c r="Z608" s="592"/>
      <c r="AA608" s="519"/>
      <c r="AB608" s="592"/>
      <c r="AC608" s="519"/>
      <c r="AD608" s="592"/>
      <c r="AE608" s="519"/>
      <c r="AF608" s="595">
        <f t="shared" si="186"/>
        <v>0</v>
      </c>
      <c r="AG608" s="595">
        <f t="shared" si="187"/>
        <v>0</v>
      </c>
      <c r="AH608" s="596">
        <f t="shared" si="188"/>
        <v>0</v>
      </c>
      <c r="AI608" s="596">
        <f t="shared" si="189"/>
        <v>0</v>
      </c>
      <c r="AJ608" s="592"/>
      <c r="AK608" s="519"/>
      <c r="AL608" s="595">
        <f t="shared" si="190"/>
        <v>0</v>
      </c>
      <c r="AM608" s="596">
        <f t="shared" si="191"/>
        <v>0</v>
      </c>
      <c r="AN608" s="592"/>
      <c r="AO608" s="519"/>
      <c r="AP608" s="592"/>
      <c r="AQ608" s="519"/>
      <c r="AR608" s="592"/>
      <c r="AS608" s="519"/>
      <c r="AT608" s="592"/>
      <c r="AU608" s="519"/>
      <c r="AV608" s="595">
        <f t="shared" si="192"/>
        <v>0</v>
      </c>
      <c r="AW608" s="595">
        <f t="shared" si="193"/>
        <v>0</v>
      </c>
      <c r="AX608" s="596">
        <f t="shared" si="194"/>
        <v>0</v>
      </c>
      <c r="AY608" s="596">
        <f t="shared" si="195"/>
        <v>0</v>
      </c>
      <c r="AZ608" s="595">
        <f t="shared" si="196"/>
        <v>1262.6333333333334</v>
      </c>
      <c r="BA608" s="596">
        <f t="shared" si="197"/>
        <v>1228.2666666666667</v>
      </c>
    </row>
    <row r="609" spans="1:53" customFormat="1" ht="12.65" customHeight="1">
      <c r="A609" s="577" t="s">
        <v>621</v>
      </c>
      <c r="B609" s="589"/>
      <c r="C609" s="590" t="s">
        <v>644</v>
      </c>
      <c r="D609" s="577"/>
      <c r="E609" s="5" t="s">
        <v>618</v>
      </c>
      <c r="F609" s="592"/>
      <c r="G609" s="519"/>
      <c r="H609" s="592"/>
      <c r="I609" s="519"/>
      <c r="J609" s="592">
        <v>164667</v>
      </c>
      <c r="K609" s="519">
        <v>162090</v>
      </c>
      <c r="L609" s="592">
        <v>40585</v>
      </c>
      <c r="M609" s="519">
        <v>39763</v>
      </c>
      <c r="N609" s="592">
        <v>186711</v>
      </c>
      <c r="O609" s="519">
        <v>175427</v>
      </c>
      <c r="P609" s="595">
        <f t="shared" si="180"/>
        <v>391963</v>
      </c>
      <c r="Q609" s="595">
        <f t="shared" si="181"/>
        <v>13065.433333333332</v>
      </c>
      <c r="R609" s="596">
        <f t="shared" si="182"/>
        <v>377280</v>
      </c>
      <c r="S609" s="596">
        <f t="shared" si="183"/>
        <v>12576</v>
      </c>
      <c r="T609" s="592">
        <v>215558</v>
      </c>
      <c r="U609" s="519">
        <v>206832</v>
      </c>
      <c r="V609" s="595">
        <f t="shared" si="184"/>
        <v>391963</v>
      </c>
      <c r="W609" s="596">
        <f t="shared" si="185"/>
        <v>377280</v>
      </c>
      <c r="X609" s="592"/>
      <c r="Y609" s="519"/>
      <c r="Z609" s="592"/>
      <c r="AA609" s="519"/>
      <c r="AB609" s="592"/>
      <c r="AC609" s="519"/>
      <c r="AD609" s="592"/>
      <c r="AE609" s="519"/>
      <c r="AF609" s="595">
        <f t="shared" si="186"/>
        <v>0</v>
      </c>
      <c r="AG609" s="595">
        <f t="shared" si="187"/>
        <v>0</v>
      </c>
      <c r="AH609" s="596">
        <f t="shared" si="188"/>
        <v>0</v>
      </c>
      <c r="AI609" s="596">
        <f t="shared" si="189"/>
        <v>0</v>
      </c>
      <c r="AJ609" s="592"/>
      <c r="AK609" s="519"/>
      <c r="AL609" s="595">
        <f t="shared" si="190"/>
        <v>0</v>
      </c>
      <c r="AM609" s="596">
        <f t="shared" si="191"/>
        <v>0</v>
      </c>
      <c r="AN609" s="592"/>
      <c r="AO609" s="519"/>
      <c r="AP609" s="592"/>
      <c r="AQ609" s="519"/>
      <c r="AR609" s="592"/>
      <c r="AS609" s="519"/>
      <c r="AT609" s="592"/>
      <c r="AU609" s="519"/>
      <c r="AV609" s="595">
        <f t="shared" si="192"/>
        <v>0</v>
      </c>
      <c r="AW609" s="595">
        <f t="shared" si="193"/>
        <v>0</v>
      </c>
      <c r="AX609" s="596">
        <f t="shared" si="194"/>
        <v>0</v>
      </c>
      <c r="AY609" s="596">
        <f t="shared" si="195"/>
        <v>0</v>
      </c>
      <c r="AZ609" s="595">
        <f t="shared" si="196"/>
        <v>13065.433333333332</v>
      </c>
      <c r="BA609" s="596">
        <f t="shared" si="197"/>
        <v>12576</v>
      </c>
    </row>
    <row r="610" spans="1:53" s="365" customFormat="1" ht="13.5" customHeight="1">
      <c r="A610" s="591" t="s">
        <v>410</v>
      </c>
      <c r="B610" s="494" t="s">
        <v>411</v>
      </c>
      <c r="C610" s="453" t="s">
        <v>934</v>
      </c>
      <c r="D610" s="496">
        <v>238032</v>
      </c>
      <c r="E610" s="497">
        <v>1</v>
      </c>
      <c r="F610" s="592" t="s">
        <v>74</v>
      </c>
      <c r="G610" s="519" t="s">
        <v>74</v>
      </c>
      <c r="H610" s="603"/>
      <c r="I610" s="519"/>
      <c r="J610" s="603">
        <v>272304</v>
      </c>
      <c r="K610" s="519">
        <v>271478</v>
      </c>
      <c r="L610" s="603">
        <v>39413</v>
      </c>
      <c r="M610" s="519">
        <v>37080</v>
      </c>
      <c r="N610" s="603">
        <v>295898.5</v>
      </c>
      <c r="O610" s="519">
        <v>287589</v>
      </c>
      <c r="P610" s="595">
        <f t="shared" si="180"/>
        <v>607615.5</v>
      </c>
      <c r="Q610" s="595">
        <f t="shared" si="181"/>
        <v>20253.849999999999</v>
      </c>
      <c r="R610" s="596">
        <f t="shared" si="182"/>
        <v>596147</v>
      </c>
      <c r="S610" s="596">
        <f t="shared" si="183"/>
        <v>19871.566666666666</v>
      </c>
      <c r="T610" s="603">
        <v>5494</v>
      </c>
      <c r="U610" s="519">
        <v>6214</v>
      </c>
      <c r="V610" s="595">
        <f t="shared" si="184"/>
        <v>607615.5</v>
      </c>
      <c r="W610" s="596">
        <f t="shared" si="185"/>
        <v>596147</v>
      </c>
      <c r="X610" s="603"/>
      <c r="Y610" s="519"/>
      <c r="Z610" s="603"/>
      <c r="AA610" s="519"/>
      <c r="AB610" s="603"/>
      <c r="AC610" s="519"/>
      <c r="AD610" s="603"/>
      <c r="AE610" s="519"/>
      <c r="AF610" s="595">
        <f t="shared" si="186"/>
        <v>0</v>
      </c>
      <c r="AG610" s="595">
        <f t="shared" si="187"/>
        <v>0</v>
      </c>
      <c r="AH610" s="596">
        <f t="shared" si="188"/>
        <v>0</v>
      </c>
      <c r="AI610" s="596">
        <f t="shared" si="189"/>
        <v>0</v>
      </c>
      <c r="AJ610" s="603"/>
      <c r="AK610" s="519"/>
      <c r="AL610" s="595">
        <f t="shared" si="190"/>
        <v>0</v>
      </c>
      <c r="AM610" s="596">
        <f t="shared" si="191"/>
        <v>0</v>
      </c>
      <c r="AN610" s="603"/>
      <c r="AO610" s="519"/>
      <c r="AP610" s="603">
        <v>38457</v>
      </c>
      <c r="AQ610" s="519">
        <v>38737</v>
      </c>
      <c r="AR610" s="603">
        <v>10844</v>
      </c>
      <c r="AS610" s="519">
        <v>11941</v>
      </c>
      <c r="AT610" s="603">
        <v>39707</v>
      </c>
      <c r="AU610" s="519">
        <v>40479</v>
      </c>
      <c r="AV610" s="595">
        <f t="shared" si="192"/>
        <v>89008</v>
      </c>
      <c r="AW610" s="595">
        <f t="shared" si="193"/>
        <v>3708.6666666666665</v>
      </c>
      <c r="AX610" s="596">
        <f t="shared" si="194"/>
        <v>91157</v>
      </c>
      <c r="AY610" s="596">
        <f t="shared" si="195"/>
        <v>3798.2083333333335</v>
      </c>
      <c r="AZ610" s="595">
        <f t="shared" si="196"/>
        <v>23962.516666666666</v>
      </c>
      <c r="BA610" s="596">
        <f t="shared" si="197"/>
        <v>23669.774999999998</v>
      </c>
    </row>
    <row r="611" spans="1:53" s="365" customFormat="1" ht="12.75" customHeight="1">
      <c r="A611" s="591" t="s">
        <v>410</v>
      </c>
      <c r="B611" s="494" t="s">
        <v>412</v>
      </c>
      <c r="C611" s="495"/>
      <c r="D611" s="496">
        <v>237525</v>
      </c>
      <c r="E611" s="497">
        <v>3</v>
      </c>
      <c r="F611" s="592" t="s">
        <v>74</v>
      </c>
      <c r="G611" s="519" t="s">
        <v>74</v>
      </c>
      <c r="H611" s="603"/>
      <c r="I611" s="519"/>
      <c r="J611" s="603">
        <v>112777</v>
      </c>
      <c r="K611" s="519">
        <v>108351</v>
      </c>
      <c r="L611" s="603">
        <v>10949</v>
      </c>
      <c r="M611" s="519">
        <v>11380</v>
      </c>
      <c r="N611" s="603">
        <v>120831</v>
      </c>
      <c r="O611" s="519">
        <v>116225</v>
      </c>
      <c r="P611" s="595">
        <f t="shared" si="180"/>
        <v>244557</v>
      </c>
      <c r="Q611" s="595">
        <f t="shared" si="181"/>
        <v>8151.9</v>
      </c>
      <c r="R611" s="596">
        <f t="shared" si="182"/>
        <v>235956</v>
      </c>
      <c r="S611" s="596">
        <f t="shared" si="183"/>
        <v>7865.2</v>
      </c>
      <c r="T611" s="603">
        <v>15505</v>
      </c>
      <c r="U611" s="519">
        <v>12750</v>
      </c>
      <c r="V611" s="595">
        <f t="shared" si="184"/>
        <v>244557</v>
      </c>
      <c r="W611" s="596">
        <f t="shared" si="185"/>
        <v>235956</v>
      </c>
      <c r="X611" s="603"/>
      <c r="Y611" s="519"/>
      <c r="Z611" s="603"/>
      <c r="AA611" s="519"/>
      <c r="AB611" s="603"/>
      <c r="AC611" s="519"/>
      <c r="AD611" s="603"/>
      <c r="AE611" s="519"/>
      <c r="AF611" s="595">
        <f t="shared" si="186"/>
        <v>0</v>
      </c>
      <c r="AG611" s="595">
        <f t="shared" si="187"/>
        <v>0</v>
      </c>
      <c r="AH611" s="596">
        <f t="shared" si="188"/>
        <v>0</v>
      </c>
      <c r="AI611" s="596">
        <f t="shared" si="189"/>
        <v>0</v>
      </c>
      <c r="AJ611" s="603"/>
      <c r="AK611" s="519"/>
      <c r="AL611" s="595">
        <f t="shared" si="190"/>
        <v>0</v>
      </c>
      <c r="AM611" s="596">
        <f t="shared" si="191"/>
        <v>0</v>
      </c>
      <c r="AN611" s="603"/>
      <c r="AO611" s="519"/>
      <c r="AP611" s="603">
        <v>28006</v>
      </c>
      <c r="AQ611" s="519">
        <v>26812</v>
      </c>
      <c r="AR611" s="603">
        <v>11733</v>
      </c>
      <c r="AS611" s="519">
        <v>11737</v>
      </c>
      <c r="AT611" s="603">
        <v>26699</v>
      </c>
      <c r="AU611" s="519">
        <v>25073</v>
      </c>
      <c r="AV611" s="595">
        <f t="shared" si="192"/>
        <v>66438</v>
      </c>
      <c r="AW611" s="595">
        <f t="shared" si="193"/>
        <v>2768.25</v>
      </c>
      <c r="AX611" s="596">
        <f t="shared" si="194"/>
        <v>63622</v>
      </c>
      <c r="AY611" s="596">
        <f t="shared" si="195"/>
        <v>2650.9166666666665</v>
      </c>
      <c r="AZ611" s="595">
        <f t="shared" si="196"/>
        <v>10920.15</v>
      </c>
      <c r="BA611" s="596">
        <f t="shared" si="197"/>
        <v>10516.116666666667</v>
      </c>
    </row>
    <row r="612" spans="1:53" s="365" customFormat="1" ht="12.75" customHeight="1">
      <c r="A612" s="591" t="s">
        <v>410</v>
      </c>
      <c r="B612" s="494" t="s">
        <v>416</v>
      </c>
      <c r="C612" s="498"/>
      <c r="D612" s="496">
        <v>237330</v>
      </c>
      <c r="E612" s="497">
        <v>5</v>
      </c>
      <c r="F612" s="592" t="s">
        <v>74</v>
      </c>
      <c r="G612" s="519" t="s">
        <v>74</v>
      </c>
      <c r="H612" s="603"/>
      <c r="I612" s="519"/>
      <c r="J612" s="603">
        <v>21786</v>
      </c>
      <c r="K612" s="519">
        <v>19692</v>
      </c>
      <c r="L612" s="603">
        <v>1814</v>
      </c>
      <c r="M612" s="519">
        <v>2052</v>
      </c>
      <c r="N612" s="603">
        <v>22807</v>
      </c>
      <c r="O612" s="519">
        <v>21668</v>
      </c>
      <c r="P612" s="595">
        <f t="shared" si="180"/>
        <v>46407</v>
      </c>
      <c r="Q612" s="595">
        <f t="shared" si="181"/>
        <v>1546.9</v>
      </c>
      <c r="R612" s="596">
        <f t="shared" si="182"/>
        <v>43412</v>
      </c>
      <c r="S612" s="596">
        <f t="shared" si="183"/>
        <v>1447.0666666666666</v>
      </c>
      <c r="T612" s="603">
        <v>419</v>
      </c>
      <c r="U612" s="519">
        <v>244</v>
      </c>
      <c r="V612" s="595">
        <f t="shared" si="184"/>
        <v>46407</v>
      </c>
      <c r="W612" s="596">
        <f t="shared" si="185"/>
        <v>43412</v>
      </c>
      <c r="X612" s="603"/>
      <c r="Y612" s="519"/>
      <c r="Z612" s="603"/>
      <c r="AA612" s="519"/>
      <c r="AB612" s="603"/>
      <c r="AC612" s="519"/>
      <c r="AD612" s="603"/>
      <c r="AE612" s="519"/>
      <c r="AF612" s="595">
        <f t="shared" si="186"/>
        <v>0</v>
      </c>
      <c r="AG612" s="595">
        <f t="shared" si="187"/>
        <v>0</v>
      </c>
      <c r="AH612" s="596">
        <f t="shared" si="188"/>
        <v>0</v>
      </c>
      <c r="AI612" s="596">
        <f t="shared" si="189"/>
        <v>0</v>
      </c>
      <c r="AJ612" s="603"/>
      <c r="AK612" s="519"/>
      <c r="AL612" s="595">
        <f t="shared" si="190"/>
        <v>0</v>
      </c>
      <c r="AM612" s="596">
        <f t="shared" si="191"/>
        <v>0</v>
      </c>
      <c r="AN612" s="603"/>
      <c r="AO612" s="519"/>
      <c r="AP612" s="603">
        <v>2373</v>
      </c>
      <c r="AQ612" s="519">
        <v>2183</v>
      </c>
      <c r="AR612" s="603">
        <v>2100</v>
      </c>
      <c r="AS612" s="519">
        <v>2181</v>
      </c>
      <c r="AT612" s="603">
        <v>2135</v>
      </c>
      <c r="AU612" s="519">
        <v>2203</v>
      </c>
      <c r="AV612" s="595">
        <f t="shared" si="192"/>
        <v>6608</v>
      </c>
      <c r="AW612" s="595">
        <f t="shared" si="193"/>
        <v>275.33333333333331</v>
      </c>
      <c r="AX612" s="596">
        <f t="shared" si="194"/>
        <v>6567</v>
      </c>
      <c r="AY612" s="596">
        <f t="shared" si="195"/>
        <v>273.625</v>
      </c>
      <c r="AZ612" s="595">
        <f t="shared" si="196"/>
        <v>1822.2333333333333</v>
      </c>
      <c r="BA612" s="596">
        <f t="shared" si="197"/>
        <v>1720.6916666666666</v>
      </c>
    </row>
    <row r="613" spans="1:53" s="365" customFormat="1" ht="12.75" customHeight="1">
      <c r="A613" s="591" t="s">
        <v>410</v>
      </c>
      <c r="B613" s="494" t="s">
        <v>413</v>
      </c>
      <c r="C613" s="495"/>
      <c r="D613" s="496">
        <v>237367</v>
      </c>
      <c r="E613" s="497">
        <v>5</v>
      </c>
      <c r="F613" s="592" t="s">
        <v>74</v>
      </c>
      <c r="G613" s="519" t="s">
        <v>74</v>
      </c>
      <c r="H613" s="603"/>
      <c r="I613" s="519"/>
      <c r="J613" s="603">
        <v>44948</v>
      </c>
      <c r="K613" s="519">
        <v>42507</v>
      </c>
      <c r="L613" s="603">
        <v>3862</v>
      </c>
      <c r="M613" s="519">
        <v>3997</v>
      </c>
      <c r="N613" s="603">
        <v>47863</v>
      </c>
      <c r="O613" s="519">
        <v>48023</v>
      </c>
      <c r="P613" s="595">
        <f t="shared" si="180"/>
        <v>96673</v>
      </c>
      <c r="Q613" s="595">
        <f t="shared" si="181"/>
        <v>3222.4333333333334</v>
      </c>
      <c r="R613" s="596">
        <f t="shared" si="182"/>
        <v>94527</v>
      </c>
      <c r="S613" s="596">
        <f t="shared" si="183"/>
        <v>3150.9</v>
      </c>
      <c r="T613" s="603">
        <v>1138</v>
      </c>
      <c r="U613" s="519">
        <v>1632</v>
      </c>
      <c r="V613" s="595">
        <f t="shared" si="184"/>
        <v>96673</v>
      </c>
      <c r="W613" s="596">
        <f t="shared" si="185"/>
        <v>94527</v>
      </c>
      <c r="X613" s="603"/>
      <c r="Y613" s="519"/>
      <c r="Z613" s="603"/>
      <c r="AA613" s="519"/>
      <c r="AB613" s="603"/>
      <c r="AC613" s="519"/>
      <c r="AD613" s="603"/>
      <c r="AE613" s="519"/>
      <c r="AF613" s="595">
        <f t="shared" si="186"/>
        <v>0</v>
      </c>
      <c r="AG613" s="595">
        <f t="shared" si="187"/>
        <v>0</v>
      </c>
      <c r="AH613" s="596">
        <f t="shared" si="188"/>
        <v>0</v>
      </c>
      <c r="AI613" s="596">
        <f t="shared" si="189"/>
        <v>0</v>
      </c>
      <c r="AJ613" s="603"/>
      <c r="AK613" s="519"/>
      <c r="AL613" s="595">
        <f t="shared" si="190"/>
        <v>0</v>
      </c>
      <c r="AM613" s="596">
        <f t="shared" si="191"/>
        <v>0</v>
      </c>
      <c r="AN613" s="603"/>
      <c r="AO613" s="519"/>
      <c r="AP613" s="603">
        <v>1436</v>
      </c>
      <c r="AQ613" s="519">
        <v>1568</v>
      </c>
      <c r="AR613" s="603">
        <v>664</v>
      </c>
      <c r="AS613" s="519">
        <v>686</v>
      </c>
      <c r="AT613" s="603">
        <v>1664</v>
      </c>
      <c r="AU613" s="519">
        <v>1894</v>
      </c>
      <c r="AV613" s="595">
        <f t="shared" si="192"/>
        <v>3764</v>
      </c>
      <c r="AW613" s="595">
        <f t="shared" si="193"/>
        <v>156.83333333333334</v>
      </c>
      <c r="AX613" s="596">
        <f t="shared" si="194"/>
        <v>4148</v>
      </c>
      <c r="AY613" s="596">
        <f t="shared" si="195"/>
        <v>172.83333333333334</v>
      </c>
      <c r="AZ613" s="595">
        <f t="shared" si="196"/>
        <v>3379.2666666666669</v>
      </c>
      <c r="BA613" s="596">
        <f t="shared" si="197"/>
        <v>3323.7333333333336</v>
      </c>
    </row>
    <row r="614" spans="1:53" s="1" customFormat="1">
      <c r="A614" s="591" t="s">
        <v>410</v>
      </c>
      <c r="B614" s="494" t="s">
        <v>414</v>
      </c>
      <c r="C614" s="495"/>
      <c r="D614" s="496">
        <v>237792</v>
      </c>
      <c r="E614" s="497">
        <v>5</v>
      </c>
      <c r="F614" s="592" t="s">
        <v>74</v>
      </c>
      <c r="G614" s="519" t="s">
        <v>74</v>
      </c>
      <c r="H614" s="603"/>
      <c r="I614" s="519"/>
      <c r="J614" s="603">
        <v>37523</v>
      </c>
      <c r="K614" s="519">
        <v>35331.5</v>
      </c>
      <c r="L614" s="603">
        <v>3764</v>
      </c>
      <c r="M614" s="519">
        <v>3458</v>
      </c>
      <c r="N614" s="603">
        <v>39624.5</v>
      </c>
      <c r="O614" s="519">
        <v>36641.5</v>
      </c>
      <c r="P614" s="595">
        <f t="shared" si="180"/>
        <v>80911.5</v>
      </c>
      <c r="Q614" s="595">
        <f t="shared" si="181"/>
        <v>2697.05</v>
      </c>
      <c r="R614" s="596">
        <f t="shared" si="182"/>
        <v>75431</v>
      </c>
      <c r="S614" s="596">
        <f t="shared" si="183"/>
        <v>2514.3666666666668</v>
      </c>
      <c r="T614" s="603">
        <v>1256</v>
      </c>
      <c r="U614" s="519">
        <v>1998</v>
      </c>
      <c r="V614" s="595">
        <f t="shared" si="184"/>
        <v>80911.5</v>
      </c>
      <c r="W614" s="596">
        <f t="shared" si="185"/>
        <v>75431</v>
      </c>
      <c r="X614" s="603"/>
      <c r="Y614" s="519"/>
      <c r="Z614" s="603"/>
      <c r="AA614" s="519"/>
      <c r="AB614" s="603"/>
      <c r="AC614" s="519"/>
      <c r="AD614" s="603"/>
      <c r="AE614" s="519"/>
      <c r="AF614" s="595">
        <f t="shared" si="186"/>
        <v>0</v>
      </c>
      <c r="AG614" s="595">
        <f t="shared" si="187"/>
        <v>0</v>
      </c>
      <c r="AH614" s="596">
        <f t="shared" si="188"/>
        <v>0</v>
      </c>
      <c r="AI614" s="596">
        <f t="shared" si="189"/>
        <v>0</v>
      </c>
      <c r="AJ614" s="603"/>
      <c r="AK614" s="519"/>
      <c r="AL614" s="595">
        <f t="shared" si="190"/>
        <v>0</v>
      </c>
      <c r="AM614" s="596">
        <f t="shared" si="191"/>
        <v>0</v>
      </c>
      <c r="AN614" s="603"/>
      <c r="AO614" s="519"/>
      <c r="AP614" s="603">
        <v>2188</v>
      </c>
      <c r="AQ614" s="519">
        <v>3316</v>
      </c>
      <c r="AR614" s="603">
        <v>1829</v>
      </c>
      <c r="AS614" s="519">
        <v>4609</v>
      </c>
      <c r="AT614" s="603">
        <v>2707</v>
      </c>
      <c r="AU614" s="519">
        <v>3403</v>
      </c>
      <c r="AV614" s="595">
        <f t="shared" si="192"/>
        <v>6724</v>
      </c>
      <c r="AW614" s="595">
        <f t="shared" si="193"/>
        <v>280.16666666666669</v>
      </c>
      <c r="AX614" s="596">
        <f t="shared" si="194"/>
        <v>11328</v>
      </c>
      <c r="AY614" s="596">
        <f t="shared" si="195"/>
        <v>472</v>
      </c>
      <c r="AZ614" s="595">
        <f t="shared" si="196"/>
        <v>2977.2166666666667</v>
      </c>
      <c r="BA614" s="596">
        <f t="shared" si="197"/>
        <v>2986.3666666666668</v>
      </c>
    </row>
    <row r="615" spans="1:53" s="365" customFormat="1" ht="15" customHeight="1">
      <c r="A615" s="591" t="s">
        <v>410</v>
      </c>
      <c r="B615" s="494" t="s">
        <v>418</v>
      </c>
      <c r="C615" s="453" t="s">
        <v>934</v>
      </c>
      <c r="D615" s="496">
        <v>237932</v>
      </c>
      <c r="E615" s="497">
        <v>5</v>
      </c>
      <c r="F615" s="592" t="s">
        <v>74</v>
      </c>
      <c r="G615" s="519" t="s">
        <v>74</v>
      </c>
      <c r="H615" s="603"/>
      <c r="I615" s="519"/>
      <c r="J615" s="603">
        <v>28073</v>
      </c>
      <c r="K615" s="519">
        <v>27859</v>
      </c>
      <c r="L615" s="603">
        <v>1959</v>
      </c>
      <c r="M615" s="519">
        <v>1976</v>
      </c>
      <c r="N615" s="603">
        <v>31312</v>
      </c>
      <c r="O615" s="519">
        <v>30114</v>
      </c>
      <c r="P615" s="595">
        <f t="shared" si="180"/>
        <v>61344</v>
      </c>
      <c r="Q615" s="595">
        <f t="shared" si="181"/>
        <v>2044.8</v>
      </c>
      <c r="R615" s="596">
        <f t="shared" si="182"/>
        <v>59949</v>
      </c>
      <c r="S615" s="596">
        <f t="shared" si="183"/>
        <v>1998.3</v>
      </c>
      <c r="T615" s="603">
        <v>1637</v>
      </c>
      <c r="U615" s="519">
        <v>1822</v>
      </c>
      <c r="V615" s="595">
        <f t="shared" si="184"/>
        <v>61344</v>
      </c>
      <c r="W615" s="596">
        <f t="shared" si="185"/>
        <v>59949</v>
      </c>
      <c r="X615" s="603"/>
      <c r="Y615" s="519"/>
      <c r="Z615" s="603"/>
      <c r="AA615" s="519"/>
      <c r="AB615" s="603"/>
      <c r="AC615" s="519"/>
      <c r="AD615" s="603"/>
      <c r="AE615" s="519"/>
      <c r="AF615" s="595">
        <f t="shared" si="186"/>
        <v>0</v>
      </c>
      <c r="AG615" s="595">
        <f t="shared" si="187"/>
        <v>0</v>
      </c>
      <c r="AH615" s="596">
        <f t="shared" si="188"/>
        <v>0</v>
      </c>
      <c r="AI615" s="596">
        <f t="shared" si="189"/>
        <v>0</v>
      </c>
      <c r="AJ615" s="603"/>
      <c r="AK615" s="519"/>
      <c r="AL615" s="595">
        <f t="shared" si="190"/>
        <v>0</v>
      </c>
      <c r="AM615" s="596">
        <f t="shared" si="191"/>
        <v>0</v>
      </c>
      <c r="AN615" s="603"/>
      <c r="AO615" s="519"/>
      <c r="AP615" s="603">
        <v>2338</v>
      </c>
      <c r="AQ615" s="519">
        <v>2750</v>
      </c>
      <c r="AR615" s="603">
        <v>1301</v>
      </c>
      <c r="AS615" s="519">
        <v>1784</v>
      </c>
      <c r="AT615" s="603">
        <v>2494</v>
      </c>
      <c r="AU615" s="519">
        <v>2820</v>
      </c>
      <c r="AV615" s="595">
        <f t="shared" si="192"/>
        <v>6133</v>
      </c>
      <c r="AW615" s="595">
        <f t="shared" si="193"/>
        <v>255.54166666666666</v>
      </c>
      <c r="AX615" s="596">
        <f t="shared" si="194"/>
        <v>7354</v>
      </c>
      <c r="AY615" s="596">
        <f t="shared" si="195"/>
        <v>306.41666666666669</v>
      </c>
      <c r="AZ615" s="595">
        <f t="shared" si="196"/>
        <v>2300.3416666666667</v>
      </c>
      <c r="BA615" s="596">
        <f t="shared" si="197"/>
        <v>2304.7166666666667</v>
      </c>
    </row>
    <row r="616" spans="1:53" s="365" customFormat="1" ht="15" customHeight="1">
      <c r="A616" s="591" t="s">
        <v>410</v>
      </c>
      <c r="B616" s="494" t="s">
        <v>415</v>
      </c>
      <c r="C616" s="495"/>
      <c r="D616" s="496">
        <v>237215</v>
      </c>
      <c r="E616" s="497">
        <v>6</v>
      </c>
      <c r="F616" s="592" t="s">
        <v>74</v>
      </c>
      <c r="G616" s="519" t="s">
        <v>74</v>
      </c>
      <c r="H616" s="603"/>
      <c r="I616" s="519"/>
      <c r="J616" s="603">
        <v>15388</v>
      </c>
      <c r="K616" s="519">
        <v>14666</v>
      </c>
      <c r="L616" s="603">
        <v>1266</v>
      </c>
      <c r="M616" s="519">
        <v>1250</v>
      </c>
      <c r="N616" s="603">
        <v>16030</v>
      </c>
      <c r="O616" s="519">
        <v>15617</v>
      </c>
      <c r="P616" s="595">
        <f t="shared" si="180"/>
        <v>32684</v>
      </c>
      <c r="Q616" s="595">
        <f t="shared" si="181"/>
        <v>1089.4666666666667</v>
      </c>
      <c r="R616" s="596">
        <f t="shared" si="182"/>
        <v>31533</v>
      </c>
      <c r="S616" s="596">
        <f t="shared" si="183"/>
        <v>1051.0999999999999</v>
      </c>
      <c r="T616" s="603">
        <v>569</v>
      </c>
      <c r="U616" s="519">
        <v>643</v>
      </c>
      <c r="V616" s="595">
        <f t="shared" si="184"/>
        <v>32684</v>
      </c>
      <c r="W616" s="596">
        <f t="shared" si="185"/>
        <v>31533</v>
      </c>
      <c r="X616" s="603"/>
      <c r="Y616" s="519"/>
      <c r="Z616" s="603"/>
      <c r="AA616" s="519"/>
      <c r="AB616" s="603"/>
      <c r="AC616" s="519"/>
      <c r="AD616" s="603"/>
      <c r="AE616" s="519"/>
      <c r="AF616" s="595">
        <f t="shared" si="186"/>
        <v>0</v>
      </c>
      <c r="AG616" s="595">
        <f t="shared" si="187"/>
        <v>0</v>
      </c>
      <c r="AH616" s="596">
        <f t="shared" si="188"/>
        <v>0</v>
      </c>
      <c r="AI616" s="596">
        <f t="shared" si="189"/>
        <v>0</v>
      </c>
      <c r="AJ616" s="603"/>
      <c r="AK616" s="519"/>
      <c r="AL616" s="595">
        <f t="shared" si="190"/>
        <v>0</v>
      </c>
      <c r="AM616" s="596">
        <f t="shared" si="191"/>
        <v>0</v>
      </c>
      <c r="AN616" s="603"/>
      <c r="AO616" s="519"/>
      <c r="AP616" s="603"/>
      <c r="AQ616" s="519"/>
      <c r="AR616" s="603"/>
      <c r="AS616" s="519"/>
      <c r="AT616" s="603"/>
      <c r="AU616" s="519"/>
      <c r="AV616" s="595">
        <f t="shared" si="192"/>
        <v>0</v>
      </c>
      <c r="AW616" s="595">
        <f t="shared" si="193"/>
        <v>0</v>
      </c>
      <c r="AX616" s="596">
        <f t="shared" si="194"/>
        <v>0</v>
      </c>
      <c r="AY616" s="596">
        <f t="shared" si="195"/>
        <v>0</v>
      </c>
      <c r="AZ616" s="595">
        <f t="shared" si="196"/>
        <v>1089.4666666666667</v>
      </c>
      <c r="BA616" s="596">
        <f t="shared" si="197"/>
        <v>1051.0999999999999</v>
      </c>
    </row>
    <row r="617" spans="1:53" s="365" customFormat="1" ht="15" customHeight="1">
      <c r="A617" s="591" t="s">
        <v>410</v>
      </c>
      <c r="B617" s="494" t="s">
        <v>417</v>
      </c>
      <c r="C617" s="499"/>
      <c r="D617" s="496">
        <v>237385</v>
      </c>
      <c r="E617" s="497">
        <v>6</v>
      </c>
      <c r="F617" s="592" t="s">
        <v>74</v>
      </c>
      <c r="G617" s="519" t="s">
        <v>74</v>
      </c>
      <c r="H617" s="603"/>
      <c r="I617" s="519"/>
      <c r="J617" s="603">
        <v>14895</v>
      </c>
      <c r="K617" s="519">
        <v>16171</v>
      </c>
      <c r="L617" s="603">
        <v>1887</v>
      </c>
      <c r="M617" s="519">
        <v>1475</v>
      </c>
      <c r="N617" s="603">
        <v>18286</v>
      </c>
      <c r="O617" s="519">
        <v>19242</v>
      </c>
      <c r="P617" s="595">
        <f t="shared" si="180"/>
        <v>35068</v>
      </c>
      <c r="Q617" s="595">
        <f t="shared" si="181"/>
        <v>1168.9333333333334</v>
      </c>
      <c r="R617" s="596">
        <f t="shared" si="182"/>
        <v>36888</v>
      </c>
      <c r="S617" s="596">
        <f t="shared" si="183"/>
        <v>1229.5999999999999</v>
      </c>
      <c r="T617" s="603">
        <v>3467</v>
      </c>
      <c r="U617" s="519">
        <v>4372</v>
      </c>
      <c r="V617" s="595">
        <f t="shared" si="184"/>
        <v>35068</v>
      </c>
      <c r="W617" s="596">
        <f t="shared" si="185"/>
        <v>36888</v>
      </c>
      <c r="X617" s="603"/>
      <c r="Y617" s="519"/>
      <c r="Z617" s="603"/>
      <c r="AA617" s="519"/>
      <c r="AB617" s="603"/>
      <c r="AC617" s="519"/>
      <c r="AD617" s="603"/>
      <c r="AE617" s="519"/>
      <c r="AF617" s="595">
        <f t="shared" si="186"/>
        <v>0</v>
      </c>
      <c r="AG617" s="595">
        <f t="shared" si="187"/>
        <v>0</v>
      </c>
      <c r="AH617" s="596">
        <f t="shared" si="188"/>
        <v>0</v>
      </c>
      <c r="AI617" s="596">
        <f t="shared" si="189"/>
        <v>0</v>
      </c>
      <c r="AJ617" s="603"/>
      <c r="AK617" s="519"/>
      <c r="AL617" s="595">
        <f t="shared" si="190"/>
        <v>0</v>
      </c>
      <c r="AM617" s="596">
        <f t="shared" si="191"/>
        <v>0</v>
      </c>
      <c r="AN617" s="603"/>
      <c r="AO617" s="519"/>
      <c r="AP617" s="603"/>
      <c r="AQ617" s="519"/>
      <c r="AR617" s="603"/>
      <c r="AS617" s="519"/>
      <c r="AT617" s="603"/>
      <c r="AU617" s="519"/>
      <c r="AV617" s="595">
        <f t="shared" si="192"/>
        <v>0</v>
      </c>
      <c r="AW617" s="595">
        <f t="shared" si="193"/>
        <v>0</v>
      </c>
      <c r="AX617" s="596">
        <f t="shared" si="194"/>
        <v>0</v>
      </c>
      <c r="AY617" s="596">
        <f t="shared" si="195"/>
        <v>0</v>
      </c>
      <c r="AZ617" s="595">
        <f t="shared" si="196"/>
        <v>1168.9333333333334</v>
      </c>
      <c r="BA617" s="596">
        <f t="shared" si="197"/>
        <v>1229.5999999999999</v>
      </c>
    </row>
    <row r="618" spans="1:53" s="1" customFormat="1">
      <c r="A618" s="591" t="s">
        <v>410</v>
      </c>
      <c r="B618" s="494" t="s">
        <v>419</v>
      </c>
      <c r="C618" s="495" t="s">
        <v>843</v>
      </c>
      <c r="D618" s="496">
        <v>237899</v>
      </c>
      <c r="E618" s="497">
        <v>6</v>
      </c>
      <c r="F618" s="592" t="s">
        <v>74</v>
      </c>
      <c r="G618" s="519" t="s">
        <v>74</v>
      </c>
      <c r="H618" s="603"/>
      <c r="I618" s="519"/>
      <c r="J618" s="603">
        <v>30661</v>
      </c>
      <c r="K618" s="519">
        <v>30502</v>
      </c>
      <c r="L618" s="603">
        <v>1940</v>
      </c>
      <c r="M618" s="519">
        <v>1690</v>
      </c>
      <c r="N618" s="603">
        <v>36943</v>
      </c>
      <c r="O618" s="519">
        <v>32825</v>
      </c>
      <c r="P618" s="595">
        <f t="shared" si="180"/>
        <v>69544</v>
      </c>
      <c r="Q618" s="595">
        <f t="shared" si="181"/>
        <v>2318.1333333333332</v>
      </c>
      <c r="R618" s="596">
        <f t="shared" si="182"/>
        <v>65017</v>
      </c>
      <c r="S618" s="596">
        <f t="shared" si="183"/>
        <v>2167.2333333333331</v>
      </c>
      <c r="T618" s="603">
        <v>18900</v>
      </c>
      <c r="U618" s="519">
        <v>16722</v>
      </c>
      <c r="V618" s="595">
        <f t="shared" si="184"/>
        <v>69544</v>
      </c>
      <c r="W618" s="596">
        <f t="shared" si="185"/>
        <v>65017</v>
      </c>
      <c r="X618" s="603"/>
      <c r="Y618" s="519"/>
      <c r="Z618" s="603"/>
      <c r="AA618" s="519"/>
      <c r="AB618" s="603"/>
      <c r="AC618" s="519"/>
      <c r="AD618" s="603"/>
      <c r="AE618" s="519"/>
      <c r="AF618" s="595">
        <f t="shared" si="186"/>
        <v>0</v>
      </c>
      <c r="AG618" s="595">
        <f t="shared" si="187"/>
        <v>0</v>
      </c>
      <c r="AH618" s="596">
        <f t="shared" si="188"/>
        <v>0</v>
      </c>
      <c r="AI618" s="596">
        <f t="shared" si="189"/>
        <v>0</v>
      </c>
      <c r="AJ618" s="603"/>
      <c r="AK618" s="519"/>
      <c r="AL618" s="595">
        <f t="shared" si="190"/>
        <v>0</v>
      </c>
      <c r="AM618" s="596">
        <f t="shared" si="191"/>
        <v>0</v>
      </c>
      <c r="AN618" s="603"/>
      <c r="AO618" s="519"/>
      <c r="AP618" s="603">
        <v>1001</v>
      </c>
      <c r="AQ618" s="519">
        <v>888</v>
      </c>
      <c r="AR618" s="603">
        <v>585</v>
      </c>
      <c r="AS618" s="519">
        <v>483</v>
      </c>
      <c r="AT618" s="603">
        <v>851</v>
      </c>
      <c r="AU618" s="519">
        <v>1004</v>
      </c>
      <c r="AV618" s="595">
        <f t="shared" si="192"/>
        <v>2437</v>
      </c>
      <c r="AW618" s="595">
        <f t="shared" si="193"/>
        <v>101.54166666666667</v>
      </c>
      <c r="AX618" s="596">
        <f t="shared" si="194"/>
        <v>2375</v>
      </c>
      <c r="AY618" s="596">
        <f t="shared" si="195"/>
        <v>98.958333333333329</v>
      </c>
      <c r="AZ618" s="595">
        <f t="shared" si="196"/>
        <v>2419.6749999999997</v>
      </c>
      <c r="BA618" s="596">
        <f t="shared" si="197"/>
        <v>2266.1916666666666</v>
      </c>
    </row>
    <row r="619" spans="1:53" s="365" customFormat="1" ht="12.75" customHeight="1">
      <c r="A619" s="591" t="s">
        <v>410</v>
      </c>
      <c r="B619" s="494" t="s">
        <v>421</v>
      </c>
      <c r="C619" s="495"/>
      <c r="D619" s="496">
        <v>237950</v>
      </c>
      <c r="E619" s="497">
        <v>6</v>
      </c>
      <c r="F619" s="592" t="s">
        <v>74</v>
      </c>
      <c r="G619" s="519" t="s">
        <v>74</v>
      </c>
      <c r="H619" s="603"/>
      <c r="I619" s="519"/>
      <c r="J619" s="603">
        <v>19102</v>
      </c>
      <c r="K619" s="519">
        <v>18971</v>
      </c>
      <c r="L619" s="603">
        <v>1112</v>
      </c>
      <c r="M619" s="519">
        <v>1199</v>
      </c>
      <c r="N619" s="603">
        <v>20198</v>
      </c>
      <c r="O619" s="519">
        <v>19292</v>
      </c>
      <c r="P619" s="595">
        <f t="shared" si="180"/>
        <v>40412</v>
      </c>
      <c r="Q619" s="595">
        <f t="shared" si="181"/>
        <v>1347.0666666666666</v>
      </c>
      <c r="R619" s="596">
        <f t="shared" si="182"/>
        <v>39462</v>
      </c>
      <c r="S619" s="596">
        <f t="shared" si="183"/>
        <v>1315.4</v>
      </c>
      <c r="T619" s="603">
        <v>3842</v>
      </c>
      <c r="U619" s="519">
        <v>4003</v>
      </c>
      <c r="V619" s="595">
        <f t="shared" si="184"/>
        <v>40412</v>
      </c>
      <c r="W619" s="596">
        <f t="shared" si="185"/>
        <v>39462</v>
      </c>
      <c r="X619" s="603"/>
      <c r="Y619" s="519"/>
      <c r="Z619" s="603"/>
      <c r="AA619" s="519"/>
      <c r="AB619" s="603"/>
      <c r="AC619" s="519"/>
      <c r="AD619" s="603"/>
      <c r="AE619" s="519"/>
      <c r="AF619" s="595">
        <f t="shared" si="186"/>
        <v>0</v>
      </c>
      <c r="AG619" s="595">
        <f t="shared" si="187"/>
        <v>0</v>
      </c>
      <c r="AH619" s="596">
        <f t="shared" si="188"/>
        <v>0</v>
      </c>
      <c r="AI619" s="596">
        <f t="shared" si="189"/>
        <v>0</v>
      </c>
      <c r="AJ619" s="603"/>
      <c r="AK619" s="519"/>
      <c r="AL619" s="595">
        <f t="shared" si="190"/>
        <v>0</v>
      </c>
      <c r="AM619" s="596">
        <f t="shared" si="191"/>
        <v>0</v>
      </c>
      <c r="AN619" s="603"/>
      <c r="AO619" s="519"/>
      <c r="AP619" s="603"/>
      <c r="AQ619" s="519"/>
      <c r="AR619" s="603"/>
      <c r="AS619" s="519"/>
      <c r="AT619" s="603"/>
      <c r="AU619" s="519"/>
      <c r="AV619" s="595">
        <f t="shared" si="192"/>
        <v>0</v>
      </c>
      <c r="AW619" s="595">
        <f t="shared" si="193"/>
        <v>0</v>
      </c>
      <c r="AX619" s="596">
        <f t="shared" si="194"/>
        <v>0</v>
      </c>
      <c r="AY619" s="596">
        <f t="shared" si="195"/>
        <v>0</v>
      </c>
      <c r="AZ619" s="595">
        <f t="shared" si="196"/>
        <v>1347.0666666666666</v>
      </c>
      <c r="BA619" s="596">
        <f t="shared" si="197"/>
        <v>1315.4</v>
      </c>
    </row>
    <row r="620" spans="1:53" s="365" customFormat="1" ht="12.75" customHeight="1">
      <c r="A620" s="591" t="s">
        <v>410</v>
      </c>
      <c r="B620" s="494" t="s">
        <v>422</v>
      </c>
      <c r="C620" s="495"/>
      <c r="D620" s="496">
        <v>237701</v>
      </c>
      <c r="E620" s="497">
        <v>7</v>
      </c>
      <c r="F620" s="592" t="s">
        <v>74</v>
      </c>
      <c r="G620" s="519" t="s">
        <v>74</v>
      </c>
      <c r="H620" s="603"/>
      <c r="I620" s="519"/>
      <c r="J620" s="603">
        <v>15097</v>
      </c>
      <c r="K620" s="519">
        <v>14896</v>
      </c>
      <c r="L620" s="603">
        <v>955</v>
      </c>
      <c r="M620" s="519">
        <v>1311</v>
      </c>
      <c r="N620" s="603">
        <v>16496</v>
      </c>
      <c r="O620" s="519">
        <v>15481</v>
      </c>
      <c r="P620" s="595">
        <f t="shared" si="180"/>
        <v>32548</v>
      </c>
      <c r="Q620" s="595">
        <f t="shared" si="181"/>
        <v>1084.9333333333334</v>
      </c>
      <c r="R620" s="596">
        <f t="shared" si="182"/>
        <v>31688</v>
      </c>
      <c r="S620" s="596">
        <f t="shared" si="183"/>
        <v>1056.2666666666667</v>
      </c>
      <c r="T620" s="603">
        <v>2437</v>
      </c>
      <c r="U620" s="519">
        <v>2252</v>
      </c>
      <c r="V620" s="595">
        <f t="shared" si="184"/>
        <v>32548</v>
      </c>
      <c r="W620" s="596">
        <f t="shared" si="185"/>
        <v>31688</v>
      </c>
      <c r="X620" s="603"/>
      <c r="Y620" s="519"/>
      <c r="Z620" s="603"/>
      <c r="AA620" s="519"/>
      <c r="AB620" s="603"/>
      <c r="AC620" s="519"/>
      <c r="AD620" s="603"/>
      <c r="AE620" s="519"/>
      <c r="AF620" s="595">
        <f t="shared" si="186"/>
        <v>0</v>
      </c>
      <c r="AG620" s="595">
        <f t="shared" si="187"/>
        <v>0</v>
      </c>
      <c r="AH620" s="596">
        <f t="shared" si="188"/>
        <v>0</v>
      </c>
      <c r="AI620" s="596">
        <f t="shared" si="189"/>
        <v>0</v>
      </c>
      <c r="AJ620" s="603"/>
      <c r="AK620" s="519"/>
      <c r="AL620" s="595">
        <f t="shared" si="190"/>
        <v>0</v>
      </c>
      <c r="AM620" s="596">
        <f t="shared" si="191"/>
        <v>0</v>
      </c>
      <c r="AN620" s="603"/>
      <c r="AO620" s="519"/>
      <c r="AP620" s="603"/>
      <c r="AQ620" s="519"/>
      <c r="AR620" s="603"/>
      <c r="AS620" s="519"/>
      <c r="AT620" s="603"/>
      <c r="AU620" s="519"/>
      <c r="AV620" s="595">
        <f t="shared" si="192"/>
        <v>0</v>
      </c>
      <c r="AW620" s="595">
        <f t="shared" si="193"/>
        <v>0</v>
      </c>
      <c r="AX620" s="596">
        <f t="shared" si="194"/>
        <v>0</v>
      </c>
      <c r="AY620" s="596">
        <f t="shared" si="195"/>
        <v>0</v>
      </c>
      <c r="AZ620" s="595">
        <f t="shared" si="196"/>
        <v>1084.9333333333334</v>
      </c>
      <c r="BA620" s="596">
        <f t="shared" si="197"/>
        <v>1056.2666666666667</v>
      </c>
    </row>
    <row r="621" spans="1:53" s="1" customFormat="1">
      <c r="A621" s="591" t="s">
        <v>410</v>
      </c>
      <c r="B621" s="494" t="s">
        <v>420</v>
      </c>
      <c r="C621" s="453" t="s">
        <v>922</v>
      </c>
      <c r="D621" s="496">
        <v>237686</v>
      </c>
      <c r="E621" s="497">
        <v>7</v>
      </c>
      <c r="F621" s="592" t="s">
        <v>74</v>
      </c>
      <c r="G621" s="519" t="s">
        <v>74</v>
      </c>
      <c r="H621" s="603"/>
      <c r="I621" s="519"/>
      <c r="J621" s="603">
        <v>23587</v>
      </c>
      <c r="K621" s="519">
        <v>24231</v>
      </c>
      <c r="L621" s="603">
        <v>3804</v>
      </c>
      <c r="M621" s="519">
        <v>4213</v>
      </c>
      <c r="N621" s="603">
        <v>26533</v>
      </c>
      <c r="O621" s="519">
        <v>25609</v>
      </c>
      <c r="P621" s="595">
        <f t="shared" si="180"/>
        <v>53924</v>
      </c>
      <c r="Q621" s="595">
        <f t="shared" si="181"/>
        <v>1797.4666666666667</v>
      </c>
      <c r="R621" s="596">
        <f t="shared" si="182"/>
        <v>54053</v>
      </c>
      <c r="S621" s="596">
        <f t="shared" si="183"/>
        <v>1801.7666666666667</v>
      </c>
      <c r="T621" s="603">
        <v>7898</v>
      </c>
      <c r="U621" s="519">
        <v>9737</v>
      </c>
      <c r="V621" s="595">
        <f t="shared" si="184"/>
        <v>53924</v>
      </c>
      <c r="W621" s="596">
        <f t="shared" si="185"/>
        <v>54053</v>
      </c>
      <c r="X621" s="603"/>
      <c r="Y621" s="519"/>
      <c r="Z621" s="603"/>
      <c r="AA621" s="519"/>
      <c r="AB621" s="603"/>
      <c r="AC621" s="519"/>
      <c r="AD621" s="603"/>
      <c r="AE621" s="519"/>
      <c r="AF621" s="595">
        <f t="shared" si="186"/>
        <v>0</v>
      </c>
      <c r="AG621" s="595">
        <f t="shared" si="187"/>
        <v>0</v>
      </c>
      <c r="AH621" s="596">
        <f t="shared" si="188"/>
        <v>0</v>
      </c>
      <c r="AI621" s="596">
        <f t="shared" si="189"/>
        <v>0</v>
      </c>
      <c r="AJ621" s="603"/>
      <c r="AK621" s="519"/>
      <c r="AL621" s="595">
        <f t="shared" si="190"/>
        <v>0</v>
      </c>
      <c r="AM621" s="596">
        <f t="shared" si="191"/>
        <v>0</v>
      </c>
      <c r="AN621" s="603"/>
      <c r="AO621" s="519"/>
      <c r="AP621" s="603"/>
      <c r="AQ621" s="519"/>
      <c r="AR621" s="603"/>
      <c r="AS621" s="519"/>
      <c r="AT621" s="603"/>
      <c r="AU621" s="519"/>
      <c r="AV621" s="595">
        <f t="shared" si="192"/>
        <v>0</v>
      </c>
      <c r="AW621" s="595">
        <f t="shared" si="193"/>
        <v>0</v>
      </c>
      <c r="AX621" s="596">
        <f t="shared" si="194"/>
        <v>0</v>
      </c>
      <c r="AY621" s="596">
        <f t="shared" si="195"/>
        <v>0</v>
      </c>
      <c r="AZ621" s="595">
        <f t="shared" si="196"/>
        <v>1797.4666666666667</v>
      </c>
      <c r="BA621" s="596">
        <f t="shared" si="197"/>
        <v>1801.7666666666667</v>
      </c>
    </row>
    <row r="622" spans="1:53" s="365" customFormat="1" ht="15" customHeight="1">
      <c r="A622" s="591" t="s">
        <v>410</v>
      </c>
      <c r="B622" s="494" t="s">
        <v>425</v>
      </c>
      <c r="C622" s="453" t="s">
        <v>918</v>
      </c>
      <c r="D622" s="496">
        <v>446774</v>
      </c>
      <c r="E622" s="516">
        <v>9</v>
      </c>
      <c r="F622" s="592" t="s">
        <v>74</v>
      </c>
      <c r="G622" s="519" t="s">
        <v>74</v>
      </c>
      <c r="H622" s="603"/>
      <c r="I622" s="519"/>
      <c r="J622" s="603">
        <v>28981</v>
      </c>
      <c r="K622" s="519">
        <v>27181.1</v>
      </c>
      <c r="L622" s="603">
        <v>2760</v>
      </c>
      <c r="M622" s="519">
        <v>3226</v>
      </c>
      <c r="N622" s="603">
        <v>33613.699999999997</v>
      </c>
      <c r="O622" s="519">
        <v>20445.3</v>
      </c>
      <c r="P622" s="595">
        <f t="shared" si="180"/>
        <v>65354.7</v>
      </c>
      <c r="Q622" s="595">
        <f t="shared" si="181"/>
        <v>2178.4899999999998</v>
      </c>
      <c r="R622" s="596">
        <f t="shared" si="182"/>
        <v>50852.399999999994</v>
      </c>
      <c r="S622" s="596">
        <f t="shared" si="183"/>
        <v>1695.0799999999997</v>
      </c>
      <c r="T622" s="603">
        <v>8314</v>
      </c>
      <c r="U622" s="519">
        <v>7811.1</v>
      </c>
      <c r="V622" s="595">
        <f t="shared" si="184"/>
        <v>65354.7</v>
      </c>
      <c r="W622" s="596">
        <f t="shared" si="185"/>
        <v>50852.399999999994</v>
      </c>
      <c r="X622" s="603"/>
      <c r="Y622" s="519"/>
      <c r="Z622" s="603"/>
      <c r="AA622" s="519"/>
      <c r="AB622" s="603"/>
      <c r="AC622" s="519"/>
      <c r="AD622" s="603"/>
      <c r="AE622" s="519"/>
      <c r="AF622" s="595">
        <f t="shared" si="186"/>
        <v>0</v>
      </c>
      <c r="AG622" s="595">
        <f t="shared" si="187"/>
        <v>0</v>
      </c>
      <c r="AH622" s="596">
        <f t="shared" si="188"/>
        <v>0</v>
      </c>
      <c r="AI622" s="596">
        <f t="shared" si="189"/>
        <v>0</v>
      </c>
      <c r="AJ622" s="603"/>
      <c r="AK622" s="519"/>
      <c r="AL622" s="595">
        <f t="shared" si="190"/>
        <v>0</v>
      </c>
      <c r="AM622" s="596">
        <f t="shared" si="191"/>
        <v>0</v>
      </c>
      <c r="AN622" s="603"/>
      <c r="AO622" s="519"/>
      <c r="AP622" s="603"/>
      <c r="AQ622" s="519"/>
      <c r="AR622" s="603"/>
      <c r="AS622" s="519"/>
      <c r="AT622" s="603"/>
      <c r="AU622" s="519"/>
      <c r="AV622" s="595">
        <f t="shared" si="192"/>
        <v>0</v>
      </c>
      <c r="AW622" s="595">
        <f t="shared" si="193"/>
        <v>0</v>
      </c>
      <c r="AX622" s="596">
        <f t="shared" si="194"/>
        <v>0</v>
      </c>
      <c r="AY622" s="596">
        <f t="shared" si="195"/>
        <v>0</v>
      </c>
      <c r="AZ622" s="595">
        <f t="shared" si="196"/>
        <v>2178.4899999999998</v>
      </c>
      <c r="BA622" s="596">
        <f t="shared" si="197"/>
        <v>1695.0799999999997</v>
      </c>
    </row>
    <row r="623" spans="1:53" s="365" customFormat="1" ht="15" customHeight="1">
      <c r="A623" s="591" t="s">
        <v>410</v>
      </c>
      <c r="B623" s="501" t="s">
        <v>426</v>
      </c>
      <c r="C623" s="495"/>
      <c r="D623" s="502">
        <v>484932</v>
      </c>
      <c r="E623" s="497">
        <v>10</v>
      </c>
      <c r="F623" s="592" t="s">
        <v>74</v>
      </c>
      <c r="G623" s="519" t="s">
        <v>74</v>
      </c>
      <c r="H623" s="603"/>
      <c r="I623" s="519"/>
      <c r="J623" s="603">
        <v>16609</v>
      </c>
      <c r="K623" s="519">
        <v>16917</v>
      </c>
      <c r="L623" s="603">
        <v>1302</v>
      </c>
      <c r="M623" s="519">
        <v>1199</v>
      </c>
      <c r="N623" s="603">
        <v>19840</v>
      </c>
      <c r="O623" s="519">
        <v>18667</v>
      </c>
      <c r="P623" s="595">
        <f t="shared" si="180"/>
        <v>37751</v>
      </c>
      <c r="Q623" s="595">
        <f t="shared" si="181"/>
        <v>1258.3666666666666</v>
      </c>
      <c r="R623" s="596">
        <f t="shared" si="182"/>
        <v>36783</v>
      </c>
      <c r="S623" s="596">
        <f t="shared" si="183"/>
        <v>1226.0999999999999</v>
      </c>
      <c r="T623" s="603">
        <v>58</v>
      </c>
      <c r="U623" s="519">
        <v>39</v>
      </c>
      <c r="V623" s="595">
        <f t="shared" si="184"/>
        <v>37751</v>
      </c>
      <c r="W623" s="596">
        <f t="shared" si="185"/>
        <v>36783</v>
      </c>
      <c r="X623" s="603"/>
      <c r="Y623" s="519"/>
      <c r="Z623" s="603"/>
      <c r="AA623" s="519"/>
      <c r="AB623" s="603"/>
      <c r="AC623" s="519"/>
      <c r="AD623" s="603"/>
      <c r="AE623" s="519"/>
      <c r="AF623" s="595">
        <f t="shared" si="186"/>
        <v>0</v>
      </c>
      <c r="AG623" s="595">
        <f t="shared" si="187"/>
        <v>0</v>
      </c>
      <c r="AH623" s="596">
        <f t="shared" si="188"/>
        <v>0</v>
      </c>
      <c r="AI623" s="596">
        <f t="shared" si="189"/>
        <v>0</v>
      </c>
      <c r="AJ623" s="603"/>
      <c r="AK623" s="519"/>
      <c r="AL623" s="595">
        <f t="shared" si="190"/>
        <v>0</v>
      </c>
      <c r="AM623" s="596">
        <f t="shared" si="191"/>
        <v>0</v>
      </c>
      <c r="AN623" s="603"/>
      <c r="AO623" s="519"/>
      <c r="AP623" s="603"/>
      <c r="AQ623" s="519"/>
      <c r="AR623" s="603"/>
      <c r="AS623" s="519"/>
      <c r="AT623" s="603"/>
      <c r="AU623" s="519"/>
      <c r="AV623" s="595">
        <f t="shared" si="192"/>
        <v>0</v>
      </c>
      <c r="AW623" s="595">
        <f t="shared" si="193"/>
        <v>0</v>
      </c>
      <c r="AX623" s="596">
        <f t="shared" si="194"/>
        <v>0</v>
      </c>
      <c r="AY623" s="596">
        <f t="shared" si="195"/>
        <v>0</v>
      </c>
      <c r="AZ623" s="595">
        <f t="shared" si="196"/>
        <v>1258.3666666666666</v>
      </c>
      <c r="BA623" s="596">
        <f t="shared" si="197"/>
        <v>1226.0999999999999</v>
      </c>
    </row>
    <row r="624" spans="1:53" s="365" customFormat="1" ht="12.75" customHeight="1">
      <c r="A624" s="591" t="s">
        <v>410</v>
      </c>
      <c r="B624" s="494" t="s">
        <v>427</v>
      </c>
      <c r="C624" s="495"/>
      <c r="D624" s="496">
        <v>438708</v>
      </c>
      <c r="E624" s="497">
        <v>10</v>
      </c>
      <c r="F624" s="592" t="s">
        <v>74</v>
      </c>
      <c r="G624" s="519" t="s">
        <v>74</v>
      </c>
      <c r="H624" s="603"/>
      <c r="I624" s="519"/>
      <c r="J624" s="603">
        <v>3217</v>
      </c>
      <c r="K624" s="519">
        <v>3204</v>
      </c>
      <c r="L624" s="603">
        <v>330</v>
      </c>
      <c r="M624" s="519">
        <v>380</v>
      </c>
      <c r="N624" s="603">
        <v>4060</v>
      </c>
      <c r="O624" s="519">
        <v>3012</v>
      </c>
      <c r="P624" s="595">
        <f t="shared" si="180"/>
        <v>7607</v>
      </c>
      <c r="Q624" s="595">
        <f t="shared" si="181"/>
        <v>253.56666666666666</v>
      </c>
      <c r="R624" s="596">
        <f t="shared" si="182"/>
        <v>6596</v>
      </c>
      <c r="S624" s="596">
        <f t="shared" si="183"/>
        <v>219.86666666666667</v>
      </c>
      <c r="T624" s="603">
        <v>1478</v>
      </c>
      <c r="U624" s="519">
        <v>1586</v>
      </c>
      <c r="V624" s="595">
        <f t="shared" si="184"/>
        <v>7607</v>
      </c>
      <c r="W624" s="596">
        <f t="shared" si="185"/>
        <v>6596</v>
      </c>
      <c r="X624" s="603"/>
      <c r="Y624" s="519"/>
      <c r="Z624" s="603"/>
      <c r="AA624" s="519"/>
      <c r="AB624" s="603"/>
      <c r="AC624" s="519"/>
      <c r="AD624" s="603"/>
      <c r="AE624" s="519"/>
      <c r="AF624" s="595">
        <f t="shared" si="186"/>
        <v>0</v>
      </c>
      <c r="AG624" s="595">
        <f t="shared" si="187"/>
        <v>0</v>
      </c>
      <c r="AH624" s="596">
        <f t="shared" si="188"/>
        <v>0</v>
      </c>
      <c r="AI624" s="596">
        <f t="shared" si="189"/>
        <v>0</v>
      </c>
      <c r="AJ624" s="603"/>
      <c r="AK624" s="519"/>
      <c r="AL624" s="595">
        <f t="shared" si="190"/>
        <v>0</v>
      </c>
      <c r="AM624" s="596">
        <f t="shared" si="191"/>
        <v>0</v>
      </c>
      <c r="AN624" s="603"/>
      <c r="AO624" s="519"/>
      <c r="AP624" s="603"/>
      <c r="AQ624" s="519"/>
      <c r="AR624" s="603"/>
      <c r="AS624" s="519"/>
      <c r="AT624" s="603"/>
      <c r="AU624" s="519"/>
      <c r="AV624" s="595">
        <f t="shared" si="192"/>
        <v>0</v>
      </c>
      <c r="AW624" s="595">
        <f t="shared" si="193"/>
        <v>0</v>
      </c>
      <c r="AX624" s="596">
        <f t="shared" si="194"/>
        <v>0</v>
      </c>
      <c r="AY624" s="596">
        <f t="shared" si="195"/>
        <v>0</v>
      </c>
      <c r="AZ624" s="595">
        <f t="shared" si="196"/>
        <v>253.56666666666666</v>
      </c>
      <c r="BA624" s="596">
        <f t="shared" si="197"/>
        <v>219.86666666666667</v>
      </c>
    </row>
    <row r="625" spans="1:53" s="365" customFormat="1" ht="12.75" customHeight="1">
      <c r="A625" s="591" t="s">
        <v>410</v>
      </c>
      <c r="B625" s="494" t="s">
        <v>428</v>
      </c>
      <c r="C625" s="495"/>
      <c r="D625" s="496">
        <v>444954</v>
      </c>
      <c r="E625" s="497">
        <v>10</v>
      </c>
      <c r="F625" s="592" t="s">
        <v>74</v>
      </c>
      <c r="G625" s="519" t="s">
        <v>74</v>
      </c>
      <c r="H625" s="603"/>
      <c r="I625" s="519"/>
      <c r="J625" s="603">
        <v>17701</v>
      </c>
      <c r="K625" s="519">
        <v>16851</v>
      </c>
      <c r="L625" s="603">
        <v>4217</v>
      </c>
      <c r="M625" s="519">
        <v>2201</v>
      </c>
      <c r="N625" s="603">
        <v>19143</v>
      </c>
      <c r="O625" s="519">
        <v>14657</v>
      </c>
      <c r="P625" s="595">
        <f t="shared" si="180"/>
        <v>41061</v>
      </c>
      <c r="Q625" s="595">
        <f t="shared" si="181"/>
        <v>1368.7</v>
      </c>
      <c r="R625" s="596">
        <f t="shared" si="182"/>
        <v>33709</v>
      </c>
      <c r="S625" s="596">
        <f t="shared" si="183"/>
        <v>1123.6333333333334</v>
      </c>
      <c r="T625" s="603">
        <v>3136</v>
      </c>
      <c r="U625" s="519">
        <v>2330</v>
      </c>
      <c r="V625" s="595">
        <f t="shared" si="184"/>
        <v>41061</v>
      </c>
      <c r="W625" s="596">
        <f t="shared" si="185"/>
        <v>33709</v>
      </c>
      <c r="X625" s="603"/>
      <c r="Y625" s="519"/>
      <c r="Z625" s="603"/>
      <c r="AA625" s="519"/>
      <c r="AB625" s="603"/>
      <c r="AC625" s="519"/>
      <c r="AD625" s="603"/>
      <c r="AE625" s="519"/>
      <c r="AF625" s="595">
        <f t="shared" si="186"/>
        <v>0</v>
      </c>
      <c r="AG625" s="595">
        <f t="shared" si="187"/>
        <v>0</v>
      </c>
      <c r="AH625" s="596">
        <f t="shared" si="188"/>
        <v>0</v>
      </c>
      <c r="AI625" s="596">
        <f t="shared" si="189"/>
        <v>0</v>
      </c>
      <c r="AJ625" s="603"/>
      <c r="AK625" s="519"/>
      <c r="AL625" s="595">
        <f t="shared" si="190"/>
        <v>0</v>
      </c>
      <c r="AM625" s="596">
        <f t="shared" si="191"/>
        <v>0</v>
      </c>
      <c r="AN625" s="603"/>
      <c r="AO625" s="519"/>
      <c r="AP625" s="603"/>
      <c r="AQ625" s="519"/>
      <c r="AR625" s="603"/>
      <c r="AS625" s="519"/>
      <c r="AT625" s="603"/>
      <c r="AU625" s="519"/>
      <c r="AV625" s="595">
        <f t="shared" si="192"/>
        <v>0</v>
      </c>
      <c r="AW625" s="595">
        <f t="shared" si="193"/>
        <v>0</v>
      </c>
      <c r="AX625" s="596">
        <f t="shared" si="194"/>
        <v>0</v>
      </c>
      <c r="AY625" s="596">
        <f t="shared" si="195"/>
        <v>0</v>
      </c>
      <c r="AZ625" s="595">
        <f t="shared" si="196"/>
        <v>1368.7</v>
      </c>
      <c r="BA625" s="596">
        <f t="shared" si="197"/>
        <v>1123.6333333333334</v>
      </c>
    </row>
    <row r="626" spans="1:53" s="365" customFormat="1" ht="12.75" customHeight="1">
      <c r="A626" s="591" t="s">
        <v>410</v>
      </c>
      <c r="B626" s="494" t="s">
        <v>423</v>
      </c>
      <c r="C626" s="498"/>
      <c r="D626" s="496">
        <v>447582</v>
      </c>
      <c r="E626" s="497">
        <v>10</v>
      </c>
      <c r="F626" s="592" t="s">
        <v>74</v>
      </c>
      <c r="G626" s="519" t="s">
        <v>74</v>
      </c>
      <c r="H626" s="603"/>
      <c r="I626" s="519"/>
      <c r="J626" s="603">
        <v>10659</v>
      </c>
      <c r="K626" s="519">
        <v>11625</v>
      </c>
      <c r="L626" s="603">
        <v>2595</v>
      </c>
      <c r="M626" s="519">
        <v>2523</v>
      </c>
      <c r="N626" s="603">
        <v>12437</v>
      </c>
      <c r="O626" s="519">
        <v>11263</v>
      </c>
      <c r="P626" s="595">
        <f t="shared" si="180"/>
        <v>25691</v>
      </c>
      <c r="Q626" s="595">
        <f t="shared" si="181"/>
        <v>856.36666666666667</v>
      </c>
      <c r="R626" s="596">
        <f t="shared" si="182"/>
        <v>25411</v>
      </c>
      <c r="S626" s="596">
        <f t="shared" si="183"/>
        <v>847.0333333333333</v>
      </c>
      <c r="T626" s="603">
        <v>2447</v>
      </c>
      <c r="U626" s="519">
        <v>2141</v>
      </c>
      <c r="V626" s="595">
        <f t="shared" si="184"/>
        <v>25691</v>
      </c>
      <c r="W626" s="596">
        <f t="shared" si="185"/>
        <v>25411</v>
      </c>
      <c r="X626" s="603"/>
      <c r="Y626" s="519"/>
      <c r="Z626" s="603"/>
      <c r="AA626" s="519"/>
      <c r="AB626" s="603"/>
      <c r="AC626" s="519"/>
      <c r="AD626" s="603"/>
      <c r="AE626" s="519"/>
      <c r="AF626" s="595">
        <f t="shared" si="186"/>
        <v>0</v>
      </c>
      <c r="AG626" s="595">
        <f t="shared" si="187"/>
        <v>0</v>
      </c>
      <c r="AH626" s="596">
        <f t="shared" si="188"/>
        <v>0</v>
      </c>
      <c r="AI626" s="596">
        <f t="shared" si="189"/>
        <v>0</v>
      </c>
      <c r="AJ626" s="603"/>
      <c r="AK626" s="519"/>
      <c r="AL626" s="595">
        <f t="shared" si="190"/>
        <v>0</v>
      </c>
      <c r="AM626" s="596">
        <f t="shared" si="191"/>
        <v>0</v>
      </c>
      <c r="AN626" s="603"/>
      <c r="AO626" s="519"/>
      <c r="AP626" s="603"/>
      <c r="AQ626" s="519"/>
      <c r="AR626" s="603"/>
      <c r="AS626" s="519"/>
      <c r="AT626" s="603"/>
      <c r="AU626" s="519"/>
      <c r="AV626" s="595">
        <f t="shared" si="192"/>
        <v>0</v>
      </c>
      <c r="AW626" s="595">
        <f t="shared" si="193"/>
        <v>0</v>
      </c>
      <c r="AX626" s="596">
        <f t="shared" si="194"/>
        <v>0</v>
      </c>
      <c r="AY626" s="596">
        <f t="shared" si="195"/>
        <v>0</v>
      </c>
      <c r="AZ626" s="595">
        <f t="shared" si="196"/>
        <v>856.36666666666667</v>
      </c>
      <c r="BA626" s="596">
        <f t="shared" si="197"/>
        <v>847.0333333333333</v>
      </c>
    </row>
    <row r="627" spans="1:53" s="365" customFormat="1" ht="12.75" customHeight="1">
      <c r="A627" s="591" t="s">
        <v>410</v>
      </c>
      <c r="B627" s="494" t="s">
        <v>424</v>
      </c>
      <c r="C627" s="498"/>
      <c r="D627" s="496">
        <v>443492</v>
      </c>
      <c r="E627" s="497">
        <v>10</v>
      </c>
      <c r="F627" s="592" t="s">
        <v>74</v>
      </c>
      <c r="G627" s="519" t="s">
        <v>74</v>
      </c>
      <c r="H627" s="603"/>
      <c r="I627" s="519"/>
      <c r="J627" s="603">
        <v>16003</v>
      </c>
      <c r="K627" s="519">
        <v>16020</v>
      </c>
      <c r="L627" s="603">
        <v>1807</v>
      </c>
      <c r="M627" s="519">
        <v>1583</v>
      </c>
      <c r="N627" s="603">
        <v>20230</v>
      </c>
      <c r="O627" s="519">
        <v>17976</v>
      </c>
      <c r="P627" s="595">
        <f t="shared" si="180"/>
        <v>38040</v>
      </c>
      <c r="Q627" s="595">
        <f t="shared" si="181"/>
        <v>1268</v>
      </c>
      <c r="R627" s="596">
        <f t="shared" si="182"/>
        <v>35579</v>
      </c>
      <c r="S627" s="596">
        <f t="shared" si="183"/>
        <v>1185.9666666666667</v>
      </c>
      <c r="T627" s="603">
        <v>4262</v>
      </c>
      <c r="U627" s="519">
        <v>4116</v>
      </c>
      <c r="V627" s="595">
        <f t="shared" si="184"/>
        <v>38040</v>
      </c>
      <c r="W627" s="596">
        <f t="shared" si="185"/>
        <v>35579</v>
      </c>
      <c r="X627" s="603"/>
      <c r="Y627" s="519"/>
      <c r="Z627" s="603"/>
      <c r="AA627" s="519"/>
      <c r="AB627" s="603"/>
      <c r="AC627" s="519"/>
      <c r="AD627" s="603"/>
      <c r="AE627" s="519"/>
      <c r="AF627" s="595">
        <f t="shared" si="186"/>
        <v>0</v>
      </c>
      <c r="AG627" s="595">
        <f t="shared" si="187"/>
        <v>0</v>
      </c>
      <c r="AH627" s="596">
        <f t="shared" si="188"/>
        <v>0</v>
      </c>
      <c r="AI627" s="596">
        <f t="shared" si="189"/>
        <v>0</v>
      </c>
      <c r="AJ627" s="603"/>
      <c r="AK627" s="519"/>
      <c r="AL627" s="595">
        <f t="shared" si="190"/>
        <v>0</v>
      </c>
      <c r="AM627" s="596">
        <f t="shared" si="191"/>
        <v>0</v>
      </c>
      <c r="AN627" s="603"/>
      <c r="AO627" s="519"/>
      <c r="AP627" s="603"/>
      <c r="AQ627" s="519"/>
      <c r="AR627" s="603"/>
      <c r="AS627" s="519"/>
      <c r="AT627" s="603"/>
      <c r="AU627" s="519"/>
      <c r="AV627" s="595">
        <f t="shared" si="192"/>
        <v>0</v>
      </c>
      <c r="AW627" s="595">
        <f t="shared" si="193"/>
        <v>0</v>
      </c>
      <c r="AX627" s="596">
        <f t="shared" si="194"/>
        <v>0</v>
      </c>
      <c r="AY627" s="596">
        <f t="shared" si="195"/>
        <v>0</v>
      </c>
      <c r="AZ627" s="595">
        <f t="shared" si="196"/>
        <v>1268</v>
      </c>
      <c r="BA627" s="596">
        <f t="shared" si="197"/>
        <v>1185.9666666666667</v>
      </c>
    </row>
    <row r="628" spans="1:53" s="365" customFormat="1" ht="12.75" customHeight="1">
      <c r="A628" s="591" t="s">
        <v>410</v>
      </c>
      <c r="B628" s="494" t="s">
        <v>429</v>
      </c>
      <c r="C628" s="495"/>
      <c r="D628" s="496">
        <v>237817</v>
      </c>
      <c r="E628" s="497">
        <v>10</v>
      </c>
      <c r="F628" s="592" t="s">
        <v>74</v>
      </c>
      <c r="G628" s="519" t="s">
        <v>74</v>
      </c>
      <c r="H628" s="603"/>
      <c r="I628" s="519"/>
      <c r="J628" s="603">
        <v>14689</v>
      </c>
      <c r="K628" s="519">
        <v>14980</v>
      </c>
      <c r="L628" s="603">
        <v>1047</v>
      </c>
      <c r="M628" s="519">
        <v>801</v>
      </c>
      <c r="N628" s="603">
        <v>16756</v>
      </c>
      <c r="O628" s="519">
        <v>17626</v>
      </c>
      <c r="P628" s="595">
        <f t="shared" si="180"/>
        <v>32492</v>
      </c>
      <c r="Q628" s="595">
        <f t="shared" si="181"/>
        <v>1083.0666666666666</v>
      </c>
      <c r="R628" s="596">
        <f t="shared" si="182"/>
        <v>33407</v>
      </c>
      <c r="S628" s="596">
        <f t="shared" si="183"/>
        <v>1113.5666666666666</v>
      </c>
      <c r="T628" s="603">
        <v>1232</v>
      </c>
      <c r="U628" s="519">
        <v>1419</v>
      </c>
      <c r="V628" s="595">
        <f t="shared" si="184"/>
        <v>32492</v>
      </c>
      <c r="W628" s="596">
        <f t="shared" si="185"/>
        <v>33407</v>
      </c>
      <c r="X628" s="603"/>
      <c r="Y628" s="519"/>
      <c r="Z628" s="603"/>
      <c r="AA628" s="519"/>
      <c r="AB628" s="603"/>
      <c r="AC628" s="519"/>
      <c r="AD628" s="603"/>
      <c r="AE628" s="519"/>
      <c r="AF628" s="595">
        <f t="shared" si="186"/>
        <v>0</v>
      </c>
      <c r="AG628" s="595">
        <f t="shared" si="187"/>
        <v>0</v>
      </c>
      <c r="AH628" s="596">
        <f t="shared" si="188"/>
        <v>0</v>
      </c>
      <c r="AI628" s="596">
        <f t="shared" si="189"/>
        <v>0</v>
      </c>
      <c r="AJ628" s="603"/>
      <c r="AK628" s="519"/>
      <c r="AL628" s="595">
        <f t="shared" si="190"/>
        <v>0</v>
      </c>
      <c r="AM628" s="596">
        <f t="shared" si="191"/>
        <v>0</v>
      </c>
      <c r="AN628" s="603"/>
      <c r="AO628" s="519"/>
      <c r="AP628" s="603"/>
      <c r="AQ628" s="519"/>
      <c r="AR628" s="603"/>
      <c r="AS628" s="519"/>
      <c r="AT628" s="603"/>
      <c r="AU628" s="519"/>
      <c r="AV628" s="595">
        <f t="shared" si="192"/>
        <v>0</v>
      </c>
      <c r="AW628" s="595">
        <f t="shared" si="193"/>
        <v>0</v>
      </c>
      <c r="AX628" s="596">
        <f t="shared" si="194"/>
        <v>0</v>
      </c>
      <c r="AY628" s="596">
        <f t="shared" si="195"/>
        <v>0</v>
      </c>
      <c r="AZ628" s="595">
        <f t="shared" si="196"/>
        <v>1083.0666666666666</v>
      </c>
      <c r="BA628" s="596">
        <f t="shared" si="197"/>
        <v>1113.5666666666666</v>
      </c>
    </row>
    <row r="629" spans="1:53" s="1" customFormat="1">
      <c r="A629" s="591" t="s">
        <v>410</v>
      </c>
      <c r="B629" s="494" t="s">
        <v>430</v>
      </c>
      <c r="C629" s="500"/>
      <c r="D629" s="496">
        <v>238014</v>
      </c>
      <c r="E629" s="497">
        <v>10</v>
      </c>
      <c r="F629" s="592" t="s">
        <v>74</v>
      </c>
      <c r="G629" s="519" t="s">
        <v>74</v>
      </c>
      <c r="H629" s="603"/>
      <c r="I629" s="519"/>
      <c r="J629" s="603">
        <v>13346.4</v>
      </c>
      <c r="K629" s="519">
        <v>12589</v>
      </c>
      <c r="L629" s="603">
        <v>2648</v>
      </c>
      <c r="M629" s="519">
        <v>2349</v>
      </c>
      <c r="N629" s="603">
        <v>14318.2</v>
      </c>
      <c r="O629" s="519">
        <v>12927</v>
      </c>
      <c r="P629" s="595">
        <f t="shared" si="180"/>
        <v>30312.6</v>
      </c>
      <c r="Q629" s="595">
        <f t="shared" si="181"/>
        <v>1010.42</v>
      </c>
      <c r="R629" s="596">
        <f t="shared" si="182"/>
        <v>27865</v>
      </c>
      <c r="S629" s="596">
        <f t="shared" si="183"/>
        <v>928.83333333333337</v>
      </c>
      <c r="T629" s="603">
        <v>4139</v>
      </c>
      <c r="U629" s="519">
        <v>3684</v>
      </c>
      <c r="V629" s="595">
        <f t="shared" si="184"/>
        <v>30312.6</v>
      </c>
      <c r="W629" s="596">
        <f t="shared" si="185"/>
        <v>27865</v>
      </c>
      <c r="X629" s="603"/>
      <c r="Y629" s="519"/>
      <c r="Z629" s="603"/>
      <c r="AA629" s="519"/>
      <c r="AB629" s="603"/>
      <c r="AC629" s="519"/>
      <c r="AD629" s="603"/>
      <c r="AE629" s="519"/>
      <c r="AF629" s="595">
        <f t="shared" si="186"/>
        <v>0</v>
      </c>
      <c r="AG629" s="595">
        <f t="shared" si="187"/>
        <v>0</v>
      </c>
      <c r="AH629" s="596">
        <f t="shared" si="188"/>
        <v>0</v>
      </c>
      <c r="AI629" s="596">
        <f t="shared" si="189"/>
        <v>0</v>
      </c>
      <c r="AJ629" s="603"/>
      <c r="AK629" s="519"/>
      <c r="AL629" s="595">
        <f t="shared" si="190"/>
        <v>0</v>
      </c>
      <c r="AM629" s="596">
        <f t="shared" si="191"/>
        <v>0</v>
      </c>
      <c r="AN629" s="603"/>
      <c r="AO629" s="519"/>
      <c r="AP629" s="603"/>
      <c r="AQ629" s="519"/>
      <c r="AR629" s="603"/>
      <c r="AS629" s="519"/>
      <c r="AT629" s="603"/>
      <c r="AU629" s="519"/>
      <c r="AV629" s="595">
        <f t="shared" si="192"/>
        <v>0</v>
      </c>
      <c r="AW629" s="595">
        <f t="shared" si="193"/>
        <v>0</v>
      </c>
      <c r="AX629" s="596">
        <f t="shared" si="194"/>
        <v>0</v>
      </c>
      <c r="AY629" s="596">
        <f t="shared" si="195"/>
        <v>0</v>
      </c>
      <c r="AZ629" s="595">
        <f t="shared" si="196"/>
        <v>1010.42</v>
      </c>
      <c r="BA629" s="596">
        <f t="shared" si="197"/>
        <v>928.83333333333337</v>
      </c>
    </row>
  </sheetData>
  <sortState xmlns:xlrd2="http://schemas.microsoft.com/office/spreadsheetml/2017/richdata2" ref="A7:BA45">
    <sortCondition ref="A7:A45"/>
    <sortCondition ref="E7:E45"/>
    <sortCondition ref="B7:B45"/>
  </sortState>
  <mergeCells count="1">
    <mergeCell ref="AZ3:BA3"/>
  </mergeCells>
  <phoneticPr fontId="0" type="noConversion"/>
  <conditionalFormatting sqref="AQ1 AO1 AE1 I1 AA1 Y1 AC1 K1 O1 M1 AU1 AS1">
    <cfRule type="expression" dxfId="735" priority="1847" stopIfTrue="1">
      <formula>I1&lt;(H1-(H1*0.1))</formula>
    </cfRule>
    <cfRule type="expression" dxfId="734" priority="1848" stopIfTrue="1">
      <formula>I1&gt;(H1+(H1*0.1))</formula>
    </cfRule>
  </conditionalFormatting>
  <conditionalFormatting sqref="AQ1 AO1 O1 AE1 M1 K1 I1 U1 AA1 AC1 AK1 Y1 AS1 AU1">
    <cfRule type="cellIs" dxfId="733" priority="1845" stopIfTrue="1" operator="greaterThan">
      <formula>H1+(H1*0.1)</formula>
    </cfRule>
    <cfRule type="cellIs" dxfId="732" priority="1846" stopIfTrue="1" operator="lessThan">
      <formula>H1-(H1*0.1)</formula>
    </cfRule>
  </conditionalFormatting>
  <conditionalFormatting sqref="AS1">
    <cfRule type="cellIs" dxfId="731" priority="1843" stopIfTrue="1" operator="greaterThan">
      <formula>AR1+(AR1*0.1)</formula>
    </cfRule>
    <cfRule type="cellIs" dxfId="730" priority="1844" stopIfTrue="1" operator="lessThan">
      <formula>AR1-(AR1*0.1)</formula>
    </cfRule>
  </conditionalFormatting>
  <conditionalFormatting sqref="AU1">
    <cfRule type="cellIs" dxfId="729" priority="1841" stopIfTrue="1" operator="greaterThan">
      <formula>AT1+(AT1*0.1)</formula>
    </cfRule>
    <cfRule type="cellIs" dxfId="728" priority="1842" stopIfTrue="1" operator="lessThan">
      <formula>AT1-(AT1*0.1)</formula>
    </cfRule>
  </conditionalFormatting>
  <conditionalFormatting sqref="AJ1">
    <cfRule type="expression" dxfId="727" priority="1849" stopIfTrue="1">
      <formula>AJ1&lt;(AF1-(AF1*0.1))</formula>
    </cfRule>
    <cfRule type="expression" dxfId="726" priority="1850" stopIfTrue="1">
      <formula>AJ1&gt;(AF1+(AF1*0.1))</formula>
    </cfRule>
  </conditionalFormatting>
  <conditionalFormatting sqref="AK1">
    <cfRule type="expression" dxfId="725" priority="1851" stopIfTrue="1">
      <formula>AK1&lt;(AH1-(AH1*0.1))</formula>
    </cfRule>
    <cfRule type="expression" dxfId="724" priority="1852" stopIfTrue="1">
      <formula>AK1&gt;(AH1+(AH1*0.1))</formula>
    </cfRule>
  </conditionalFormatting>
  <conditionalFormatting sqref="AQ1 AO1 M1 Y1 AA1 AC1 AE1 AK1 I1 K1 U1 O1 AS1 AU1">
    <cfRule type="expression" dxfId="723" priority="1839">
      <formula>I1&gt;(H1+(H1*0.1))</formula>
    </cfRule>
    <cfRule type="expression" dxfId="722" priority="1840">
      <formula>I1&lt;(H1-(H1*0.1))</formula>
    </cfRule>
  </conditionalFormatting>
  <conditionalFormatting sqref="U1">
    <cfRule type="expression" dxfId="721" priority="1837">
      <formula>U1&gt;(T1+(T1*0.1))</formula>
    </cfRule>
    <cfRule type="expression" dxfId="720" priority="1838">
      <formula>U1&lt;(T1-(T1*0.1))</formula>
    </cfRule>
  </conditionalFormatting>
  <conditionalFormatting sqref="O1">
    <cfRule type="expression" dxfId="719" priority="1835">
      <formula>O1&gt;(N1+(N1*0.1))</formula>
    </cfRule>
    <cfRule type="expression" dxfId="718" priority="1836">
      <formula>O1&lt;(N1-(N1*0.1))</formula>
    </cfRule>
  </conditionalFormatting>
  <conditionalFormatting sqref="AQ1 AS1 AU1">
    <cfRule type="expression" dxfId="717" priority="1833">
      <formula>AQ1&gt;(AP1+(AP1*0.1))</formula>
    </cfRule>
    <cfRule type="expression" dxfId="716" priority="1834">
      <formula>AQ1&lt;(AP1-(AP1*0.1))</formula>
    </cfRule>
  </conditionalFormatting>
  <conditionalFormatting sqref="AN1:AU1">
    <cfRule type="expression" dxfId="715" priority="1831" stopIfTrue="1">
      <formula>AN1&lt;(AJ1-(AJ1*0.1))</formula>
    </cfRule>
    <cfRule type="expression" dxfId="714" priority="1832" stopIfTrue="1">
      <formula>AN1&gt;(AJ1+(AJ1*0.1))</formula>
    </cfRule>
  </conditionalFormatting>
  <conditionalFormatting sqref="AO1">
    <cfRule type="expression" dxfId="713" priority="1829" stopIfTrue="1">
      <formula>AO1&lt;(AL1-(AL1*0.1))</formula>
    </cfRule>
    <cfRule type="expression" dxfId="712" priority="1830" stopIfTrue="1">
      <formula>AO1&gt;(AL1+(AL1*0.1))</formula>
    </cfRule>
  </conditionalFormatting>
  <conditionalFormatting sqref="AP1">
    <cfRule type="expression" dxfId="711" priority="1827" stopIfTrue="1">
      <formula>AP1&lt;(AO1-(AO1*0.1))</formula>
    </cfRule>
    <cfRule type="expression" dxfId="710" priority="1828" stopIfTrue="1">
      <formula>AP1&gt;(AO1+(AO1*0.1))</formula>
    </cfRule>
  </conditionalFormatting>
  <conditionalFormatting sqref="AP1">
    <cfRule type="cellIs" dxfId="709" priority="1825" stopIfTrue="1" operator="greaterThan">
      <formula>AO1+(AO1*0.1)</formula>
    </cfRule>
    <cfRule type="cellIs" dxfId="708" priority="1826" stopIfTrue="1" operator="lessThan">
      <formula>AO1-(AO1*0.1)</formula>
    </cfRule>
  </conditionalFormatting>
  <conditionalFormatting sqref="AP1">
    <cfRule type="expression" dxfId="707" priority="1823">
      <formula>AP1&gt;(AO1+(AO1*0.1))</formula>
    </cfRule>
    <cfRule type="expression" dxfId="706" priority="1824">
      <formula>AP1&lt;(AO1-(AO1*0.1))</formula>
    </cfRule>
  </conditionalFormatting>
  <conditionalFormatting sqref="AP1">
    <cfRule type="expression" dxfId="705" priority="1821" stopIfTrue="1">
      <formula>AP1&lt;(AM1-(AM1*0.1))</formula>
    </cfRule>
    <cfRule type="expression" dxfId="704" priority="1822" stopIfTrue="1">
      <formula>AP1&gt;(AM1+(AM1*0.1))</formula>
    </cfRule>
  </conditionalFormatting>
  <conditionalFormatting sqref="O600:O609 M600:M609 U600:U609 Y600:Y609 K600:K609 AC600:AC609 I600:I609 AA600:AA609 AE600:AE609 AK600:AK609 AO600:AO609 AQ600:AQ609 AS600:AS609 AU600:AU609">
    <cfRule type="expression" dxfId="703" priority="157">
      <formula>AND(H600=0,(I600&gt;0))</formula>
    </cfRule>
    <cfRule type="expression" dxfId="702" priority="158">
      <formula>((I600-H600)/H600)&gt;0.05</formula>
    </cfRule>
  </conditionalFormatting>
  <conditionalFormatting sqref="Y599 K599 AC599 I599 AA599 AE599 AK599 AO599 AQ599 AS599 AU599">
    <cfRule type="expression" dxfId="701" priority="155">
      <formula>AND(H599=0,(I599&gt;0))</formula>
    </cfRule>
    <cfRule type="expression" dxfId="700" priority="156">
      <formula>((I599-H599)/H599)&gt;0.05</formula>
    </cfRule>
  </conditionalFormatting>
  <conditionalFormatting sqref="O581:O594">
    <cfRule type="expression" dxfId="699" priority="153">
      <formula>AND(N581=0,(O581&gt;0))</formula>
    </cfRule>
    <cfRule type="expression" dxfId="698" priority="154">
      <formula>((O581-N581)/N581)&gt;0.05</formula>
    </cfRule>
  </conditionalFormatting>
  <conditionalFormatting sqref="K597">
    <cfRule type="expression" dxfId="697" priority="139">
      <formula>AND(J597=0,(K597&gt;0))</formula>
    </cfRule>
    <cfRule type="expression" dxfId="696" priority="140">
      <formula>((K597-J597)/J597)&gt;0.05</formula>
    </cfRule>
  </conditionalFormatting>
  <conditionalFormatting sqref="O567:O580">
    <cfRule type="expression" dxfId="695" priority="151">
      <formula>AND(N567=0,(O567&gt;0))</formula>
    </cfRule>
    <cfRule type="expression" dxfId="694" priority="152">
      <formula>((O567-N567)/N567)&gt;0.05</formula>
    </cfRule>
  </conditionalFormatting>
  <conditionalFormatting sqref="I597">
    <cfRule type="expression" dxfId="693" priority="129">
      <formula>AND(H597=0,(I597&gt;0))</formula>
    </cfRule>
    <cfRule type="expression" dxfId="692" priority="130">
      <formula>((I597-H597)/H597)&gt;0.05</formula>
    </cfRule>
  </conditionalFormatting>
  <conditionalFormatting sqref="Y595:Y596">
    <cfRule type="expression" dxfId="691" priority="123">
      <formula>AND(X595=0,(Y595&gt;0))</formula>
    </cfRule>
    <cfRule type="expression" dxfId="690" priority="124">
      <formula>((Y595-X595)/X595)&gt;0.05</formula>
    </cfRule>
  </conditionalFormatting>
  <conditionalFormatting sqref="K595:K596">
    <cfRule type="expression" dxfId="689" priority="145">
      <formula>AND(J595=0,(K595&gt;0))</formula>
    </cfRule>
    <cfRule type="expression" dxfId="688" priority="146">
      <formula>((K595-J595)/J595)&gt;0.05</formula>
    </cfRule>
  </conditionalFormatting>
  <conditionalFormatting sqref="U581:U594">
    <cfRule type="expression" dxfId="687" priority="127">
      <formula>AND(T581=0,(U581&gt;0))</formula>
    </cfRule>
    <cfRule type="expression" dxfId="686" priority="128">
      <formula>((U581-T581)/T581)&gt;0.05</formula>
    </cfRule>
  </conditionalFormatting>
  <conditionalFormatting sqref="U567:U580">
    <cfRule type="expression" dxfId="685" priority="125">
      <formula>AND(T567=0,(U567&gt;0))</formula>
    </cfRule>
    <cfRule type="expression" dxfId="684" priority="126">
      <formula>((U567-T567)/T567)&gt;0.05</formula>
    </cfRule>
  </conditionalFormatting>
  <conditionalFormatting sqref="M567:M580">
    <cfRule type="expression" dxfId="683" priority="147">
      <formula>AND(L567=0,(M567&gt;0))</formula>
    </cfRule>
    <cfRule type="expression" dxfId="682" priority="148">
      <formula>((M567-L567)/L567)&gt;0.05</formula>
    </cfRule>
  </conditionalFormatting>
  <conditionalFormatting sqref="AA597">
    <cfRule type="expression" dxfId="681" priority="105">
      <formula>AND(Z597=0,(AA597&gt;0))</formula>
    </cfRule>
    <cfRule type="expression" dxfId="680" priority="106">
      <formula>((AA597-Z597)/Z597)&gt;0.05</formula>
    </cfRule>
  </conditionalFormatting>
  <conditionalFormatting sqref="AC595:AC596">
    <cfRule type="expression" dxfId="679" priority="103">
      <formula>AND(AB595=0,(AC595&gt;0))</formula>
    </cfRule>
    <cfRule type="expression" dxfId="678" priority="104">
      <formula>((AC595-AB595)/AB595)&gt;0.05</formula>
    </cfRule>
  </conditionalFormatting>
  <conditionalFormatting sqref="I581:I594">
    <cfRule type="expression" dxfId="677" priority="135">
      <formula>AND(H581=0,(I581&gt;0))</formula>
    </cfRule>
    <cfRule type="expression" dxfId="676" priority="136">
      <formula>((I581-H581)/H581)&gt;0.05</formula>
    </cfRule>
  </conditionalFormatting>
  <conditionalFormatting sqref="I567:I580">
    <cfRule type="expression" dxfId="675" priority="133">
      <formula>AND(H567=0,(I567&gt;0))</formula>
    </cfRule>
    <cfRule type="expression" dxfId="674" priority="134">
      <formula>((I567-H567)/H567)&gt;0.05</formula>
    </cfRule>
  </conditionalFormatting>
  <conditionalFormatting sqref="AE581:AE594">
    <cfRule type="expression" dxfId="673" priority="91">
      <formula>AND(AD581=0,(AE581&gt;0))</formula>
    </cfRule>
    <cfRule type="expression" dxfId="672" priority="92">
      <formula>((AE581-AD581)/AD581)&gt;0.05</formula>
    </cfRule>
  </conditionalFormatting>
  <conditionalFormatting sqref="AC581:AC594">
    <cfRule type="expression" dxfId="671" priority="101">
      <formula>AND(AB581=0,(AC581&gt;0))</formula>
    </cfRule>
    <cfRule type="expression" dxfId="670" priority="102">
      <formula>((AC581-AB581)/AB581)&gt;0.05</formula>
    </cfRule>
  </conditionalFormatting>
  <conditionalFormatting sqref="AC567:AC580">
    <cfRule type="expression" dxfId="669" priority="99">
      <formula>AND(AB567=0,(AC567&gt;0))</formula>
    </cfRule>
    <cfRule type="expression" dxfId="668" priority="100">
      <formula>((AC567-AB567)/AB567)&gt;0.05</formula>
    </cfRule>
  </conditionalFormatting>
  <conditionalFormatting sqref="AK597">
    <cfRule type="expression" dxfId="667" priority="75">
      <formula>AND(AJ597=0,(AK597&gt;0))</formula>
    </cfRule>
    <cfRule type="expression" dxfId="666" priority="76">
      <formula>((AK597-AJ597)/AJ597)&gt;0.05</formula>
    </cfRule>
  </conditionalFormatting>
  <conditionalFormatting sqref="I595:I596">
    <cfRule type="expression" dxfId="665" priority="137">
      <formula>AND(H595=0,(I595&gt;0))</formula>
    </cfRule>
    <cfRule type="expression" dxfId="664" priority="138">
      <formula>((I595-H595)/H595)&gt;0.05</formula>
    </cfRule>
  </conditionalFormatting>
  <conditionalFormatting sqref="Y597">
    <cfRule type="expression" dxfId="663" priority="115">
      <formula>AND(X597=0,(Y597&gt;0))</formula>
    </cfRule>
    <cfRule type="expression" dxfId="662" priority="116">
      <formula>((Y597-X597)/X597)&gt;0.05</formula>
    </cfRule>
  </conditionalFormatting>
  <conditionalFormatting sqref="AE567:AE580">
    <cfRule type="expression" dxfId="661" priority="89">
      <formula>AND(AD567=0,(AE567&gt;0))</formula>
    </cfRule>
    <cfRule type="expression" dxfId="660" priority="90">
      <formula>((AE567-AD567)/AD567)&gt;0.05</formula>
    </cfRule>
  </conditionalFormatting>
  <conditionalFormatting sqref="AO597">
    <cfRule type="expression" dxfId="659" priority="65">
      <formula>AND(AN597=0,(AO597&gt;0))</formula>
    </cfRule>
    <cfRule type="expression" dxfId="658" priority="66">
      <formula>((AO597-AN597)/AN597)&gt;0.05</formula>
    </cfRule>
  </conditionalFormatting>
  <conditionalFormatting sqref="M581:M594">
    <cfRule type="expression" dxfId="657" priority="149">
      <formula>AND(L581=0,(M581&gt;0))</formula>
    </cfRule>
    <cfRule type="expression" dxfId="656" priority="150">
      <formula>((M581-L581)/L581)&gt;0.05</formula>
    </cfRule>
  </conditionalFormatting>
  <conditionalFormatting sqref="K581:K594">
    <cfRule type="expression" dxfId="655" priority="143">
      <formula>AND(J581=0,(K581&gt;0))</formula>
    </cfRule>
    <cfRule type="expression" dxfId="654" priority="144">
      <formula>((K581-J581)/J581)&gt;0.05</formula>
    </cfRule>
  </conditionalFormatting>
  <conditionalFormatting sqref="K567:K580">
    <cfRule type="expression" dxfId="653" priority="141">
      <formula>AND(J567=0,(K567&gt;0))</formula>
    </cfRule>
    <cfRule type="expression" dxfId="652" priority="142">
      <formula>((K567-J567)/J567)&gt;0.05</formula>
    </cfRule>
  </conditionalFormatting>
  <conditionalFormatting sqref="I598">
    <cfRule type="expression" dxfId="651" priority="131">
      <formula>AND(H597=0,(I598&gt;0))</formula>
    </cfRule>
    <cfRule type="expression" dxfId="650" priority="132">
      <formula>((I598-H597)/H597)&gt;0.05</formula>
    </cfRule>
  </conditionalFormatting>
  <conditionalFormatting sqref="Y581:Y594">
    <cfRule type="expression" dxfId="649" priority="121">
      <formula>AND(X581=0,(Y581&gt;0))</formula>
    </cfRule>
    <cfRule type="expression" dxfId="648" priority="122">
      <formula>((Y581-X581)/X581)&gt;0.05</formula>
    </cfRule>
  </conditionalFormatting>
  <conditionalFormatting sqref="Y567:Y580">
    <cfRule type="expression" dxfId="647" priority="119">
      <formula>AND(X567=0,(Y567&gt;0))</formula>
    </cfRule>
    <cfRule type="expression" dxfId="646" priority="120">
      <formula>((Y567-X567)/X567)&gt;0.05</formula>
    </cfRule>
  </conditionalFormatting>
  <conditionalFormatting sqref="Y598">
    <cfRule type="expression" dxfId="645" priority="117">
      <formula>AND(X597=0,(Y598&gt;0))</formula>
    </cfRule>
    <cfRule type="expression" dxfId="644" priority="118">
      <formula>((Y598-X597)/X597)&gt;0.05</formula>
    </cfRule>
  </conditionalFormatting>
  <conditionalFormatting sqref="AA595:AA596">
    <cfRule type="expression" dxfId="643" priority="113">
      <formula>AND(Z595=0,(AA595&gt;0))</formula>
    </cfRule>
    <cfRule type="expression" dxfId="642" priority="114">
      <formula>((AA595-Z595)/Z595)&gt;0.05</formula>
    </cfRule>
  </conditionalFormatting>
  <conditionalFormatting sqref="AA581:AA594">
    <cfRule type="expression" dxfId="641" priority="111">
      <formula>AND(Z581=0,(AA581&gt;0))</formula>
    </cfRule>
    <cfRule type="expression" dxfId="640" priority="112">
      <formula>((AA581-Z581)/Z581)&gt;0.05</formula>
    </cfRule>
  </conditionalFormatting>
  <conditionalFormatting sqref="AA567:AA580">
    <cfRule type="expression" dxfId="639" priority="109">
      <formula>AND(Z567=0,(AA567&gt;0))</formula>
    </cfRule>
    <cfRule type="expression" dxfId="638" priority="110">
      <formula>((AA567-Z567)/Z567)&gt;0.05</formula>
    </cfRule>
  </conditionalFormatting>
  <conditionalFormatting sqref="AA598">
    <cfRule type="expression" dxfId="637" priority="107">
      <formula>AND(Z597=0,(AA598&gt;0))</formula>
    </cfRule>
    <cfRule type="expression" dxfId="636" priority="108">
      <formula>((AA598-Z597)/Z597)&gt;0.05</formula>
    </cfRule>
  </conditionalFormatting>
  <conditionalFormatting sqref="AC598">
    <cfRule type="expression" dxfId="635" priority="97">
      <formula>AND(AB597=0,(AC598&gt;0))</formula>
    </cfRule>
    <cfRule type="expression" dxfId="634" priority="98">
      <formula>((AC598-AB597)/AB597)&gt;0.05</formula>
    </cfRule>
  </conditionalFormatting>
  <conditionalFormatting sqref="AC597">
    <cfRule type="expression" dxfId="633" priority="95">
      <formula>AND(AB597=0,(AC597&gt;0))</formula>
    </cfRule>
    <cfRule type="expression" dxfId="632" priority="96">
      <formula>((AC597-AB597)/AB597)&gt;0.05</formula>
    </cfRule>
  </conditionalFormatting>
  <conditionalFormatting sqref="AE595:AE596">
    <cfRule type="expression" dxfId="631" priority="93">
      <formula>AND(AD595=0,(AE595&gt;0))</formula>
    </cfRule>
    <cfRule type="expression" dxfId="630" priority="94">
      <formula>((AE595-AD595)/AD595)&gt;0.05</formula>
    </cfRule>
  </conditionalFormatting>
  <conditionalFormatting sqref="AE598">
    <cfRule type="expression" dxfId="629" priority="87">
      <formula>AND(AD597=0,(AE598&gt;0))</formula>
    </cfRule>
    <cfRule type="expression" dxfId="628" priority="88">
      <formula>((AE598-AD597)/AD597)&gt;0.05</formula>
    </cfRule>
  </conditionalFormatting>
  <conditionalFormatting sqref="AE597">
    <cfRule type="expression" dxfId="627" priority="85">
      <formula>AND(AD597=0,(AE597&gt;0))</formula>
    </cfRule>
    <cfRule type="expression" dxfId="626" priority="86">
      <formula>((AE597-AD597)/AD597)&gt;0.05</formula>
    </cfRule>
  </conditionalFormatting>
  <conditionalFormatting sqref="AK595:AK596">
    <cfRule type="expression" dxfId="625" priority="83">
      <formula>AND(AJ595=0,(AK595&gt;0))</formula>
    </cfRule>
    <cfRule type="expression" dxfId="624" priority="84">
      <formula>((AK595-AJ595)/AJ595)&gt;0.05</formula>
    </cfRule>
  </conditionalFormatting>
  <conditionalFormatting sqref="AK567:AK580">
    <cfRule type="expression" dxfId="623" priority="79">
      <formula>AND(AJ567=0,(AK567&gt;0))</formula>
    </cfRule>
    <cfRule type="expression" dxfId="622" priority="80">
      <formula>((AK567-AJ567)/AJ567)&gt;0.05</formula>
    </cfRule>
  </conditionalFormatting>
  <conditionalFormatting sqref="AO595:AO596">
    <cfRule type="expression" dxfId="621" priority="73">
      <formula>AND(AN595=0,(AO595&gt;0))</formula>
    </cfRule>
    <cfRule type="expression" dxfId="620" priority="74">
      <formula>((AO595-AN595)/AN595)&gt;0.05</formula>
    </cfRule>
  </conditionalFormatting>
  <conditionalFormatting sqref="AK581:AK594">
    <cfRule type="expression" dxfId="619" priority="81">
      <formula>AND(AJ581=0,(AK581&gt;0))</formula>
    </cfRule>
    <cfRule type="expression" dxfId="618" priority="82">
      <formula>((AK581-AJ581)/AJ581)&gt;0.05</formula>
    </cfRule>
  </conditionalFormatting>
  <conditionalFormatting sqref="AK598">
    <cfRule type="expression" dxfId="617" priority="77">
      <formula>AND(AJ597=0,(AK598&gt;0))</formula>
    </cfRule>
    <cfRule type="expression" dxfId="616" priority="78">
      <formula>((AK598-AJ597)/AJ597)&gt;0.05</formula>
    </cfRule>
  </conditionalFormatting>
  <conditionalFormatting sqref="AO581:AO594">
    <cfRule type="expression" dxfId="615" priority="71">
      <formula>AND(AN581=0,(AO581&gt;0))</formula>
    </cfRule>
    <cfRule type="expression" dxfId="614" priority="72">
      <formula>((AO581-AN581)/AN581)&gt;0.05</formula>
    </cfRule>
  </conditionalFormatting>
  <conditionalFormatting sqref="AQ595:AQ596">
    <cfRule type="expression" dxfId="613" priority="63">
      <formula>AND(AP595=0,(AQ595&gt;0))</formula>
    </cfRule>
    <cfRule type="expression" dxfId="612" priority="64">
      <formula>((AQ595-AP595)/AP595)&gt;0.05</formula>
    </cfRule>
  </conditionalFormatting>
  <conditionalFormatting sqref="AO567:AO580">
    <cfRule type="expression" dxfId="611" priority="69">
      <formula>AND(AN567=0,(AO567&gt;0))</formula>
    </cfRule>
    <cfRule type="expression" dxfId="610" priority="70">
      <formula>((AO567-AN567)/AN567)&gt;0.05</formula>
    </cfRule>
  </conditionalFormatting>
  <conditionalFormatting sqref="AO598">
    <cfRule type="expression" dxfId="609" priority="67">
      <formula>AND(AN597=0,(AO598&gt;0))</formula>
    </cfRule>
    <cfRule type="expression" dxfId="608" priority="68">
      <formula>((AO598-AN597)/AN597)&gt;0.05</formula>
    </cfRule>
  </conditionalFormatting>
  <conditionalFormatting sqref="AS595:AS596">
    <cfRule type="expression" dxfId="607" priority="53">
      <formula>AND(AR595=0,(AS595&gt;0))</formula>
    </cfRule>
    <cfRule type="expression" dxfId="606" priority="54">
      <formula>((AS595-AR595)/AR595)&gt;0.05</formula>
    </cfRule>
  </conditionalFormatting>
  <conditionalFormatting sqref="AQ581:AQ594">
    <cfRule type="expression" dxfId="605" priority="61">
      <formula>AND(AP581=0,(AQ581&gt;0))</formula>
    </cfRule>
    <cfRule type="expression" dxfId="604" priority="62">
      <formula>((AQ581-AP581)/AP581)&gt;0.05</formula>
    </cfRule>
  </conditionalFormatting>
  <conditionalFormatting sqref="AQ567:AQ580">
    <cfRule type="expression" dxfId="603" priority="59">
      <formula>AND(AP567=0,(AQ567&gt;0))</formula>
    </cfRule>
    <cfRule type="expression" dxfId="602" priority="60">
      <formula>((AQ567-AP567)/AP567)&gt;0.05</formula>
    </cfRule>
  </conditionalFormatting>
  <conditionalFormatting sqref="AQ598">
    <cfRule type="expression" dxfId="601" priority="57">
      <formula>AND(AP597=0,(AQ598&gt;0))</formula>
    </cfRule>
    <cfRule type="expression" dxfId="600" priority="58">
      <formula>((AQ598-AP597)/AP597)&gt;0.05</formula>
    </cfRule>
  </conditionalFormatting>
  <conditionalFormatting sqref="AQ597">
    <cfRule type="expression" dxfId="599" priority="55">
      <formula>AND(AP597=0,(AQ597&gt;0))</formula>
    </cfRule>
    <cfRule type="expression" dxfId="598" priority="56">
      <formula>((AQ597-AP597)/AP597)&gt;0.05</formula>
    </cfRule>
  </conditionalFormatting>
  <conditionalFormatting sqref="AS581:AS594">
    <cfRule type="expression" dxfId="597" priority="51">
      <formula>AND(AR581=0,(AS581&gt;0))</formula>
    </cfRule>
    <cfRule type="expression" dxfId="596" priority="52">
      <formula>((AS581-AR581)/AR581)&gt;0.05</formula>
    </cfRule>
  </conditionalFormatting>
  <conditionalFormatting sqref="AS567:AS580">
    <cfRule type="expression" dxfId="595" priority="49">
      <formula>AND(AR567=0,(AS567&gt;0))</formula>
    </cfRule>
    <cfRule type="expression" dxfId="594" priority="50">
      <formula>((AS567-AR567)/AR567)&gt;0.05</formula>
    </cfRule>
  </conditionalFormatting>
  <conditionalFormatting sqref="AS598">
    <cfRule type="expression" dxfId="593" priority="47">
      <formula>AND(AR597=0,(AS598&gt;0))</formula>
    </cfRule>
    <cfRule type="expression" dxfId="592" priority="48">
      <formula>((AS598-AR597)/AR597)&gt;0.05</formula>
    </cfRule>
  </conditionalFormatting>
  <conditionalFormatting sqref="AS597">
    <cfRule type="expression" dxfId="591" priority="45">
      <formula>AND(AR597=0,(AS597&gt;0))</formula>
    </cfRule>
    <cfRule type="expression" dxfId="590" priority="46">
      <formula>((AS597-AR597)/AR597)&gt;0.05</formula>
    </cfRule>
  </conditionalFormatting>
  <conditionalFormatting sqref="AU595:AU596">
    <cfRule type="expression" dxfId="589" priority="43">
      <formula>AND(AT595=0,(AU595&gt;0))</formula>
    </cfRule>
    <cfRule type="expression" dxfId="588" priority="44">
      <formula>((AU595-AT595)/AT595)&gt;0.05</formula>
    </cfRule>
  </conditionalFormatting>
  <conditionalFormatting sqref="AU581:AU594">
    <cfRule type="expression" dxfId="587" priority="41">
      <formula>AND(AT581=0,(AU581&gt;0))</formula>
    </cfRule>
    <cfRule type="expression" dxfId="586" priority="42">
      <formula>((AU581-AT581)/AT581)&gt;0.05</formula>
    </cfRule>
  </conditionalFormatting>
  <conditionalFormatting sqref="AU567:AU580">
    <cfRule type="expression" dxfId="585" priority="39">
      <formula>AND(AT567=0,(AU567&gt;0))</formula>
    </cfRule>
    <cfRule type="expression" dxfId="584" priority="40">
      <formula>((AU567-AT567)/AT567)&gt;0.05</formula>
    </cfRule>
  </conditionalFormatting>
  <conditionalFormatting sqref="AU598">
    <cfRule type="expression" dxfId="583" priority="37">
      <formula>AND(AT597=0,(AU598&gt;0))</formula>
    </cfRule>
    <cfRule type="expression" dxfId="582" priority="38">
      <formula>((AU598-AT597)/AT597)&gt;0.05</formula>
    </cfRule>
  </conditionalFormatting>
  <conditionalFormatting sqref="AU597">
    <cfRule type="expression" dxfId="581" priority="35">
      <formula>AND(AT597=0,(AU597&gt;0))</formula>
    </cfRule>
    <cfRule type="expression" dxfId="580" priority="36">
      <formula>((AU597-AT597)/AT597)&gt;0.05</formula>
    </cfRule>
  </conditionalFormatting>
  <conditionalFormatting sqref="K598">
    <cfRule type="expression" dxfId="579" priority="33">
      <formula>AND(J598=0,(K598&gt;0))</formula>
    </cfRule>
    <cfRule type="expression" dxfId="578" priority="34">
      <formula>((K598-J598)/J598)&gt;0.05</formula>
    </cfRule>
  </conditionalFormatting>
  <conditionalFormatting sqref="M595">
    <cfRule type="expression" dxfId="577" priority="31">
      <formula>AND(L595=0,(M595&gt;0))</formula>
    </cfRule>
    <cfRule type="expression" dxfId="576" priority="32">
      <formula>((M595-L595)/L595)&gt;0.05</formula>
    </cfRule>
  </conditionalFormatting>
  <conditionalFormatting sqref="O595">
    <cfRule type="expression" dxfId="575" priority="29">
      <formula>AND(N595=0,(O595&gt;0))</formula>
    </cfRule>
    <cfRule type="expression" dxfId="574" priority="30">
      <formula>((O595-N595)/N595)&gt;0.05</formula>
    </cfRule>
  </conditionalFormatting>
  <conditionalFormatting sqref="U595">
    <cfRule type="expression" dxfId="573" priority="27">
      <formula>AND(T595=0,(U595&gt;0))</formula>
    </cfRule>
    <cfRule type="expression" dxfId="572" priority="28">
      <formula>((U595-T595)/T595)&gt;0.05</formula>
    </cfRule>
  </conditionalFormatting>
  <conditionalFormatting sqref="M599">
    <cfRule type="expression" dxfId="571" priority="25">
      <formula>AND(L599=0,(M599&gt;0))</formula>
    </cfRule>
    <cfRule type="expression" dxfId="570" priority="26">
      <formula>((M599-L599)/L599)&gt;0.05</formula>
    </cfRule>
  </conditionalFormatting>
  <conditionalFormatting sqref="M597">
    <cfRule type="expression" dxfId="569" priority="21">
      <formula>AND(L597=0,(M597&gt;0))</formula>
    </cfRule>
    <cfRule type="expression" dxfId="568" priority="22">
      <formula>((M597-L597)/L597)&gt;0.05</formula>
    </cfRule>
  </conditionalFormatting>
  <conditionalFormatting sqref="M596">
    <cfRule type="expression" dxfId="567" priority="23">
      <formula>AND(L596=0,(M596&gt;0))</formula>
    </cfRule>
    <cfRule type="expression" dxfId="566" priority="24">
      <formula>((M596-L596)/L596)&gt;0.05</formula>
    </cfRule>
  </conditionalFormatting>
  <conditionalFormatting sqref="M598">
    <cfRule type="expression" dxfId="565" priority="19">
      <formula>AND(L598=0,(M598&gt;0))</formula>
    </cfRule>
    <cfRule type="expression" dxfId="564" priority="20">
      <formula>((M598-L598)/L598)&gt;0.05</formula>
    </cfRule>
  </conditionalFormatting>
  <conditionalFormatting sqref="O599">
    <cfRule type="expression" dxfId="563" priority="17">
      <formula>AND(N599=0,(O599&gt;0))</formula>
    </cfRule>
    <cfRule type="expression" dxfId="562" priority="18">
      <formula>((O599-N599)/N599)&gt;0.05</formula>
    </cfRule>
  </conditionalFormatting>
  <conditionalFormatting sqref="O597">
    <cfRule type="expression" dxfId="561" priority="13">
      <formula>AND(N597=0,(O597&gt;0))</formula>
    </cfRule>
    <cfRule type="expression" dxfId="560" priority="14">
      <formula>((O597-N597)/N597)&gt;0.05</formula>
    </cfRule>
  </conditionalFormatting>
  <conditionalFormatting sqref="O596">
    <cfRule type="expression" dxfId="559" priority="15">
      <formula>AND(N596=0,(O596&gt;0))</formula>
    </cfRule>
    <cfRule type="expression" dxfId="558" priority="16">
      <formula>((O596-N596)/N596)&gt;0.05</formula>
    </cfRule>
  </conditionalFormatting>
  <conditionalFormatting sqref="O598">
    <cfRule type="expression" dxfId="557" priority="11">
      <formula>AND(N598=0,(O598&gt;0))</formula>
    </cfRule>
    <cfRule type="expression" dxfId="556" priority="12">
      <formula>((O598-N598)/N598)&gt;0.05</formula>
    </cfRule>
  </conditionalFormatting>
  <conditionalFormatting sqref="U599">
    <cfRule type="expression" dxfId="555" priority="9">
      <formula>AND(T599=0,(U599&gt;0))</formula>
    </cfRule>
    <cfRule type="expression" dxfId="554" priority="10">
      <formula>((U599-T599)/T599)&gt;0.05</formula>
    </cfRule>
  </conditionalFormatting>
  <conditionalFormatting sqref="U597">
    <cfRule type="expression" dxfId="553" priority="5">
      <formula>AND(T597=0,(U597&gt;0))</formula>
    </cfRule>
    <cfRule type="expression" dxfId="552" priority="6">
      <formula>((U597-T597)/T597)&gt;0.05</formula>
    </cfRule>
  </conditionalFormatting>
  <conditionalFormatting sqref="U596">
    <cfRule type="expression" dxfId="551" priority="7">
      <formula>AND(T596=0,(U596&gt;0))</formula>
    </cfRule>
    <cfRule type="expression" dxfId="550" priority="8">
      <formula>((U596-T596)/T596)&gt;0.05</formula>
    </cfRule>
  </conditionalFormatting>
  <conditionalFormatting sqref="U598">
    <cfRule type="expression" dxfId="549" priority="3">
      <formula>AND(T598=0,(U598&gt;0))</formula>
    </cfRule>
    <cfRule type="expression" dxfId="548" priority="4">
      <formula>((U598-T598)/T598)&gt;0.05</formula>
    </cfRule>
  </conditionalFormatting>
  <conditionalFormatting sqref="K244 I244 M319 K319 O319 AE319 U319 AA319 I319 Y319 AC319 AK319 AO319 AQ319 AS319 AU319">
    <cfRule type="expression" dxfId="547" priority="1">
      <formula>AND(H244=0,(I244&gt;0))</formula>
    </cfRule>
    <cfRule type="expression" dxfId="546" priority="2">
      <formula>((I244-H244)/H244)&gt;0.05</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209"/>
  <sheetViews>
    <sheetView workbookViewId="0">
      <selection sqref="A1:XFD1048576"/>
    </sheetView>
  </sheetViews>
  <sheetFormatPr defaultColWidth="9.33203125" defaultRowHeight="12.5"/>
  <cols>
    <col min="1" max="1" width="7.44140625" style="1" customWidth="1"/>
    <col min="2" max="2" width="46.6640625" style="1" customWidth="1"/>
    <col min="3" max="8" width="16.109375" style="1" customWidth="1"/>
    <col min="9" max="9" width="17.44140625" style="1" customWidth="1"/>
    <col min="10" max="13" width="14.33203125" style="1" customWidth="1"/>
    <col min="14" max="14" width="17" style="1" customWidth="1"/>
    <col min="15" max="15" width="13.77734375" style="1" customWidth="1"/>
    <col min="16" max="16" width="13.77734375" style="1" hidden="1" customWidth="1"/>
    <col min="17" max="18" width="14.44140625" style="1" customWidth="1"/>
    <col min="19" max="19" width="11.6640625" style="1" customWidth="1"/>
    <col min="20" max="20" width="8.44140625" style="1" customWidth="1"/>
    <col min="21" max="21" width="10.77734375" style="1" customWidth="1"/>
    <col min="22" max="22" width="9.77734375" style="1" customWidth="1"/>
    <col min="23" max="23" width="12.109375" style="1" customWidth="1"/>
    <col min="24" max="24" width="9.77734375" style="1" customWidth="1"/>
    <col min="25" max="25" width="12.109375" style="1" customWidth="1"/>
    <col min="26" max="26" width="8.6640625" style="1" customWidth="1"/>
    <col min="27" max="27" width="12.109375" style="1" customWidth="1"/>
    <col min="28" max="29" width="1.44140625" style="1" customWidth="1"/>
    <col min="30" max="30" width="2.109375" style="1" customWidth="1"/>
    <col min="31" max="31" width="14.44140625" style="1" customWidth="1"/>
    <col min="32" max="32" width="13.6640625" style="1" customWidth="1"/>
    <col min="33" max="33" width="12.6640625" style="1" customWidth="1"/>
    <col min="34" max="34" width="16" style="1" customWidth="1"/>
    <col min="35" max="35" width="16.44140625" style="1" customWidth="1"/>
    <col min="36" max="36" width="14.6640625" style="1" customWidth="1"/>
    <col min="37" max="37" width="14" style="1" customWidth="1"/>
    <col min="38" max="16384" width="9.33203125" style="1"/>
  </cols>
  <sheetData>
    <row r="1" spans="1:31">
      <c r="M1" s="7"/>
      <c r="T1" s="8"/>
      <c r="U1" s="8"/>
      <c r="V1" s="8"/>
      <c r="W1" s="8"/>
      <c r="X1" s="8"/>
      <c r="Y1" s="8"/>
      <c r="Z1" s="8"/>
      <c r="AA1" s="8"/>
    </row>
    <row r="2" spans="1:31">
      <c r="E2" s="9"/>
      <c r="F2" s="9"/>
      <c r="G2" s="9"/>
      <c r="H2" s="9"/>
      <c r="I2" s="9"/>
      <c r="J2" s="10"/>
      <c r="K2" s="9"/>
      <c r="L2" s="9"/>
      <c r="M2" s="11"/>
      <c r="N2" s="12"/>
      <c r="O2" s="10"/>
      <c r="P2" s="9"/>
      <c r="Q2" s="9"/>
      <c r="R2" s="9"/>
      <c r="S2" s="9"/>
      <c r="T2" s="13"/>
      <c r="U2" s="13"/>
      <c r="V2" s="13"/>
      <c r="W2" s="13"/>
      <c r="X2" s="13"/>
      <c r="Y2" s="13"/>
      <c r="Z2" s="13"/>
      <c r="AA2" s="14"/>
      <c r="AB2" s="15"/>
      <c r="AC2" s="16"/>
      <c r="AD2" s="17"/>
      <c r="AE2"/>
    </row>
    <row r="3" spans="1:31">
      <c r="A3" s="18"/>
      <c r="B3" s="9"/>
      <c r="C3" s="18"/>
      <c r="D3" s="9"/>
      <c r="E3" s="9"/>
      <c r="F3" s="9"/>
      <c r="G3" s="9"/>
      <c r="H3" s="9"/>
      <c r="I3" s="19"/>
      <c r="J3" s="18"/>
      <c r="K3" s="9"/>
      <c r="L3" s="9"/>
      <c r="M3" s="9"/>
      <c r="N3" s="19"/>
      <c r="O3" s="18"/>
      <c r="P3" s="9"/>
      <c r="Q3" s="19"/>
      <c r="R3" s="18"/>
      <c r="S3" s="18"/>
      <c r="T3" s="20"/>
      <c r="U3" s="20"/>
      <c r="V3" s="20"/>
      <c r="W3" s="20"/>
      <c r="X3" s="20"/>
      <c r="Y3" s="20"/>
      <c r="Z3" s="20"/>
      <c r="AA3" s="21"/>
      <c r="AB3" s="22"/>
      <c r="AC3" s="23"/>
      <c r="AD3" s="17"/>
      <c r="AE3"/>
    </row>
    <row r="4" spans="1:31">
      <c r="A4" s="18"/>
      <c r="B4" s="24"/>
      <c r="C4" s="25"/>
      <c r="D4" s="26"/>
      <c r="E4" s="26"/>
      <c r="F4" s="26"/>
      <c r="G4" s="26"/>
      <c r="H4" s="26"/>
      <c r="I4" s="27"/>
      <c r="J4" s="28"/>
      <c r="K4" s="29"/>
      <c r="L4" s="29"/>
      <c r="M4" s="29"/>
      <c r="N4" s="27"/>
      <c r="O4" s="28"/>
      <c r="P4" s="29"/>
      <c r="Q4" s="27"/>
      <c r="R4" s="18"/>
      <c r="S4" s="30"/>
      <c r="T4" s="20"/>
      <c r="U4" s="31"/>
      <c r="V4" s="32"/>
      <c r="W4" s="33"/>
      <c r="X4" s="32"/>
      <c r="Y4" s="33"/>
      <c r="Z4" s="20"/>
      <c r="AA4" s="34"/>
      <c r="AB4" s="22"/>
      <c r="AC4" s="35"/>
      <c r="AD4" s="17"/>
      <c r="AE4"/>
    </row>
    <row r="5" spans="1:31" ht="13">
      <c r="A5" s="36"/>
      <c r="B5" s="24"/>
      <c r="C5" s="18"/>
      <c r="D5" s="12"/>
      <c r="E5" s="12"/>
      <c r="F5" s="12"/>
      <c r="G5" s="12"/>
      <c r="H5" s="12"/>
      <c r="I5" s="18"/>
      <c r="J5" s="18"/>
      <c r="K5" s="12"/>
      <c r="L5" s="12"/>
      <c r="M5" s="12"/>
      <c r="N5" s="18"/>
      <c r="O5" s="18"/>
      <c r="P5" s="12"/>
      <c r="Q5" s="18"/>
      <c r="R5" s="18"/>
      <c r="S5" s="18"/>
      <c r="T5" s="20"/>
      <c r="U5" s="20"/>
      <c r="V5" s="20"/>
      <c r="W5" s="20"/>
      <c r="X5" s="20"/>
      <c r="Y5" s="20"/>
      <c r="Z5" s="20"/>
      <c r="AA5" s="37"/>
      <c r="AB5" s="22"/>
      <c r="AC5" s="23"/>
      <c r="AD5" s="17"/>
      <c r="AE5"/>
    </row>
    <row r="6" spans="1:31" ht="13">
      <c r="A6" s="38"/>
      <c r="B6" s="39"/>
      <c r="C6" s="40"/>
      <c r="D6" s="17"/>
      <c r="E6" s="17"/>
      <c r="F6" s="17"/>
      <c r="G6" s="17"/>
      <c r="H6" s="17"/>
      <c r="I6" s="40"/>
      <c r="J6" s="40"/>
      <c r="K6" s="17"/>
      <c r="L6" s="17"/>
      <c r="M6" s="17"/>
      <c r="N6" s="40"/>
      <c r="O6" s="40"/>
      <c r="P6" s="17"/>
      <c r="Q6" s="40"/>
      <c r="R6" s="40"/>
      <c r="S6" s="40"/>
      <c r="T6" s="41"/>
      <c r="U6" s="41"/>
      <c r="V6" s="41"/>
      <c r="W6" s="41"/>
      <c r="X6" s="41"/>
      <c r="Y6" s="41"/>
      <c r="Z6" s="41"/>
      <c r="AA6" s="42"/>
      <c r="AB6" s="43"/>
      <c r="AC6" s="44"/>
      <c r="AD6" s="17"/>
      <c r="AE6"/>
    </row>
    <row r="7" spans="1:31" ht="13">
      <c r="A7" s="38"/>
      <c r="B7" s="45"/>
      <c r="C7" s="46"/>
      <c r="D7" s="47"/>
      <c r="E7" s="47"/>
      <c r="F7" s="47"/>
      <c r="G7" s="47"/>
      <c r="H7" s="47"/>
      <c r="I7" s="46"/>
      <c r="J7" s="46"/>
      <c r="K7" s="47"/>
      <c r="L7" s="47"/>
      <c r="M7" s="47"/>
      <c r="N7" s="46"/>
      <c r="O7" s="48"/>
      <c r="P7" s="47"/>
      <c r="Q7" s="46"/>
      <c r="R7" s="46"/>
      <c r="S7" s="46"/>
      <c r="T7" s="49"/>
      <c r="U7" s="49"/>
      <c r="V7" s="49"/>
      <c r="W7" s="49"/>
      <c r="X7" s="49"/>
      <c r="Y7" s="49"/>
      <c r="Z7" s="49"/>
      <c r="AA7" s="50"/>
      <c r="AB7" s="51"/>
      <c r="AC7" s="52"/>
      <c r="AD7" s="47"/>
      <c r="AE7"/>
    </row>
    <row r="8" spans="1:31" ht="13">
      <c r="A8" s="38"/>
      <c r="B8" s="39"/>
      <c r="C8" s="40"/>
      <c r="D8" s="17"/>
      <c r="E8" s="17"/>
      <c r="F8" s="17"/>
      <c r="G8" s="17"/>
      <c r="H8" s="17"/>
      <c r="I8" s="40"/>
      <c r="J8" s="40"/>
      <c r="K8" s="17"/>
      <c r="L8" s="17"/>
      <c r="M8" s="17"/>
      <c r="N8" s="40"/>
      <c r="O8" s="53"/>
      <c r="P8" s="17"/>
      <c r="Q8" s="40"/>
      <c r="R8" s="40"/>
      <c r="S8" s="40"/>
      <c r="T8" s="41"/>
      <c r="U8" s="41"/>
      <c r="V8" s="41"/>
      <c r="W8" s="41"/>
      <c r="X8" s="41"/>
      <c r="Y8" s="41"/>
      <c r="Z8" s="41"/>
      <c r="AA8" s="54"/>
      <c r="AB8" s="43"/>
      <c r="AC8" s="44"/>
      <c r="AD8" s="17"/>
      <c r="AE8"/>
    </row>
    <row r="9" spans="1:31" ht="13">
      <c r="A9" s="38"/>
      <c r="B9" s="39"/>
      <c r="C9" s="40"/>
      <c r="D9" s="17"/>
      <c r="E9" s="17"/>
      <c r="F9" s="17"/>
      <c r="G9" s="17"/>
      <c r="H9" s="17"/>
      <c r="I9" s="40"/>
      <c r="J9" s="40"/>
      <c r="K9" s="17"/>
      <c r="L9" s="17"/>
      <c r="M9" s="17"/>
      <c r="N9" s="40"/>
      <c r="O9" s="53"/>
      <c r="P9" s="17"/>
      <c r="Q9" s="40"/>
      <c r="R9" s="40"/>
      <c r="S9" s="40"/>
      <c r="T9" s="41"/>
      <c r="U9" s="41"/>
      <c r="V9" s="41"/>
      <c r="W9" s="41"/>
      <c r="X9" s="41"/>
      <c r="Y9" s="41"/>
      <c r="Z9" s="41"/>
      <c r="AA9" s="54"/>
      <c r="AB9" s="43"/>
      <c r="AC9" s="44"/>
      <c r="AD9" s="17"/>
      <c r="AE9"/>
    </row>
    <row r="10" spans="1:31" ht="13">
      <c r="A10" s="38"/>
      <c r="B10" s="45"/>
      <c r="C10" s="46"/>
      <c r="D10" s="47"/>
      <c r="E10" s="47"/>
      <c r="F10" s="47"/>
      <c r="G10" s="47"/>
      <c r="H10" s="47"/>
      <c r="I10" s="46"/>
      <c r="J10" s="46"/>
      <c r="K10" s="47"/>
      <c r="L10" s="47"/>
      <c r="M10" s="47"/>
      <c r="N10" s="46"/>
      <c r="O10" s="48"/>
      <c r="P10" s="47"/>
      <c r="Q10" s="46"/>
      <c r="R10" s="46"/>
      <c r="S10" s="46"/>
      <c r="T10" s="49"/>
      <c r="U10" s="49"/>
      <c r="V10" s="49"/>
      <c r="W10" s="49"/>
      <c r="X10" s="49"/>
      <c r="Y10" s="49"/>
      <c r="Z10" s="49"/>
      <c r="AA10" s="50"/>
      <c r="AB10" s="51"/>
      <c r="AC10" s="52"/>
      <c r="AD10" s="47"/>
      <c r="AE10"/>
    </row>
    <row r="11" spans="1:31" ht="13">
      <c r="A11" s="38"/>
      <c r="B11" s="39"/>
      <c r="C11" s="40"/>
      <c r="D11" s="17"/>
      <c r="E11" s="17"/>
      <c r="F11" s="17"/>
      <c r="G11" s="17"/>
      <c r="H11" s="17"/>
      <c r="I11" s="40"/>
      <c r="J11" s="40"/>
      <c r="K11" s="17"/>
      <c r="L11" s="17"/>
      <c r="M11" s="17"/>
      <c r="N11" s="40"/>
      <c r="O11" s="53"/>
      <c r="P11" s="17"/>
      <c r="Q11" s="40"/>
      <c r="R11" s="40"/>
      <c r="S11" s="40"/>
      <c r="T11" s="41"/>
      <c r="U11" s="41"/>
      <c r="V11" s="41"/>
      <c r="W11" s="41"/>
      <c r="X11" s="41"/>
      <c r="Y11" s="41"/>
      <c r="Z11" s="41"/>
      <c r="AA11" s="54"/>
      <c r="AB11" s="43"/>
      <c r="AC11" s="44"/>
      <c r="AD11" s="17"/>
      <c r="AE11"/>
    </row>
    <row r="12" spans="1:31" ht="13">
      <c r="A12" s="38"/>
      <c r="B12" s="39"/>
      <c r="C12" s="40"/>
      <c r="D12" s="17"/>
      <c r="E12" s="17"/>
      <c r="F12" s="17"/>
      <c r="G12" s="17"/>
      <c r="H12" s="17"/>
      <c r="I12" s="40"/>
      <c r="J12" s="40"/>
      <c r="K12" s="17"/>
      <c r="L12" s="17"/>
      <c r="M12" s="17"/>
      <c r="N12" s="40"/>
      <c r="O12" s="53"/>
      <c r="P12" s="17"/>
      <c r="Q12" s="40"/>
      <c r="R12" s="40"/>
      <c r="S12" s="40"/>
      <c r="T12" s="41"/>
      <c r="U12" s="41"/>
      <c r="V12" s="41"/>
      <c r="W12" s="41"/>
      <c r="X12" s="41"/>
      <c r="Y12" s="41"/>
      <c r="Z12" s="41"/>
      <c r="AA12" s="54"/>
      <c r="AB12" s="43"/>
      <c r="AC12" s="44"/>
      <c r="AD12" s="17"/>
      <c r="AE12"/>
    </row>
    <row r="13" spans="1:31" ht="13">
      <c r="A13" s="38"/>
      <c r="B13" s="45"/>
      <c r="C13" s="46"/>
      <c r="D13" s="47"/>
      <c r="E13" s="47"/>
      <c r="F13" s="47"/>
      <c r="G13" s="47"/>
      <c r="H13" s="47"/>
      <c r="I13" s="46"/>
      <c r="J13" s="46"/>
      <c r="K13" s="47"/>
      <c r="L13" s="47"/>
      <c r="M13" s="47"/>
      <c r="N13" s="46"/>
      <c r="O13" s="48"/>
      <c r="P13" s="47"/>
      <c r="Q13" s="46"/>
      <c r="R13" s="46"/>
      <c r="S13" s="46"/>
      <c r="T13" s="49"/>
      <c r="U13" s="49"/>
      <c r="V13" s="49"/>
      <c r="W13" s="49"/>
      <c r="X13" s="49"/>
      <c r="Y13" s="49"/>
      <c r="Z13" s="49"/>
      <c r="AA13" s="50"/>
      <c r="AB13" s="51"/>
      <c r="AC13" s="52"/>
      <c r="AD13" s="47"/>
      <c r="AE13"/>
    </row>
    <row r="14" spans="1:31" ht="13">
      <c r="A14" s="38"/>
      <c r="B14" s="39"/>
      <c r="C14" s="40"/>
      <c r="D14" s="17"/>
      <c r="E14" s="17"/>
      <c r="F14" s="17"/>
      <c r="G14" s="17"/>
      <c r="H14" s="17"/>
      <c r="I14" s="40"/>
      <c r="J14" s="40"/>
      <c r="K14" s="17"/>
      <c r="L14" s="17"/>
      <c r="M14" s="17"/>
      <c r="N14" s="40"/>
      <c r="O14" s="53"/>
      <c r="P14" s="17"/>
      <c r="Q14" s="40"/>
      <c r="R14" s="40"/>
      <c r="S14" s="40"/>
      <c r="T14" s="41"/>
      <c r="U14" s="41"/>
      <c r="V14" s="41"/>
      <c r="W14" s="41"/>
      <c r="X14" s="41"/>
      <c r="Y14" s="41"/>
      <c r="Z14" s="41"/>
      <c r="AA14" s="54"/>
      <c r="AB14" s="43"/>
      <c r="AC14" s="44"/>
      <c r="AD14" s="17"/>
      <c r="AE14"/>
    </row>
    <row r="15" spans="1:31" ht="13">
      <c r="A15" s="38"/>
      <c r="B15" s="39"/>
      <c r="C15" s="40"/>
      <c r="D15" s="17"/>
      <c r="E15" s="17"/>
      <c r="F15" s="17"/>
      <c r="G15" s="17"/>
      <c r="H15" s="17"/>
      <c r="I15" s="40"/>
      <c r="J15" s="40"/>
      <c r="K15" s="17"/>
      <c r="L15" s="17"/>
      <c r="M15" s="17"/>
      <c r="N15" s="40"/>
      <c r="O15" s="53"/>
      <c r="P15" s="17"/>
      <c r="Q15" s="40"/>
      <c r="R15" s="40"/>
      <c r="S15" s="40"/>
      <c r="T15" s="41"/>
      <c r="U15" s="41"/>
      <c r="V15" s="41"/>
      <c r="W15" s="41"/>
      <c r="X15" s="41"/>
      <c r="Y15" s="41"/>
      <c r="Z15" s="41"/>
      <c r="AA15" s="54"/>
      <c r="AB15" s="43"/>
      <c r="AC15" s="44"/>
      <c r="AD15" s="17"/>
      <c r="AE15"/>
    </row>
    <row r="16" spans="1:31" ht="13">
      <c r="A16" s="55"/>
      <c r="B16" s="56"/>
      <c r="C16" s="46"/>
      <c r="D16" s="47"/>
      <c r="E16" s="47"/>
      <c r="F16" s="47"/>
      <c r="G16" s="47"/>
      <c r="H16" s="47"/>
      <c r="I16" s="46"/>
      <c r="J16" s="46"/>
      <c r="K16" s="47"/>
      <c r="L16" s="47"/>
      <c r="M16" s="47"/>
      <c r="N16" s="46"/>
      <c r="O16" s="48"/>
      <c r="P16" s="47"/>
      <c r="Q16" s="46"/>
      <c r="R16" s="46"/>
      <c r="S16" s="46"/>
      <c r="T16" s="49"/>
      <c r="U16" s="49"/>
      <c r="V16" s="49"/>
      <c r="W16" s="49"/>
      <c r="X16" s="49"/>
      <c r="Y16" s="49"/>
      <c r="Z16" s="49"/>
      <c r="AA16" s="50"/>
      <c r="AB16" s="43"/>
      <c r="AC16" s="44"/>
      <c r="AD16" s="47"/>
      <c r="AE16"/>
    </row>
    <row r="17" spans="1:31" ht="13">
      <c r="A17" s="36"/>
      <c r="B17" s="24"/>
      <c r="C17" s="18"/>
      <c r="D17" s="12"/>
      <c r="E17" s="12"/>
      <c r="F17" s="12"/>
      <c r="G17" s="12"/>
      <c r="H17" s="12"/>
      <c r="I17" s="18"/>
      <c r="J17" s="18"/>
      <c r="K17" s="12"/>
      <c r="L17" s="12"/>
      <c r="M17" s="12"/>
      <c r="N17" s="18"/>
      <c r="O17" s="18"/>
      <c r="P17" s="12"/>
      <c r="Q17" s="18"/>
      <c r="R17" s="18"/>
      <c r="S17" s="18"/>
      <c r="T17" s="20"/>
      <c r="U17" s="20"/>
      <c r="V17" s="20"/>
      <c r="W17" s="20"/>
      <c r="X17" s="20"/>
      <c r="Y17" s="20"/>
      <c r="Z17" s="20"/>
      <c r="AA17" s="37"/>
      <c r="AB17" s="22"/>
      <c r="AC17" s="23"/>
      <c r="AD17" s="17"/>
      <c r="AE17"/>
    </row>
    <row r="18" spans="1:31" ht="13">
      <c r="A18" s="38"/>
      <c r="B18" s="39"/>
      <c r="C18" s="40"/>
      <c r="D18" s="17"/>
      <c r="E18" s="17"/>
      <c r="F18" s="17"/>
      <c r="G18" s="17"/>
      <c r="H18" s="17"/>
      <c r="I18" s="40"/>
      <c r="J18" s="40"/>
      <c r="K18" s="17"/>
      <c r="L18" s="17"/>
      <c r="M18" s="17"/>
      <c r="N18" s="40"/>
      <c r="O18" s="40"/>
      <c r="P18" s="17"/>
      <c r="Q18" s="40"/>
      <c r="R18" s="40"/>
      <c r="S18" s="40"/>
      <c r="T18" s="41"/>
      <c r="U18" s="41"/>
      <c r="V18" s="41"/>
      <c r="W18" s="41"/>
      <c r="X18" s="41"/>
      <c r="Y18" s="41"/>
      <c r="Z18" s="41"/>
      <c r="AA18" s="42"/>
      <c r="AB18" s="43"/>
      <c r="AC18" s="44"/>
      <c r="AD18" s="17"/>
      <c r="AE18"/>
    </row>
    <row r="19" spans="1:31" ht="13">
      <c r="A19" s="38"/>
      <c r="B19" s="45"/>
      <c r="C19" s="46"/>
      <c r="D19" s="47"/>
      <c r="E19" s="47"/>
      <c r="F19" s="47"/>
      <c r="G19" s="47"/>
      <c r="H19" s="47"/>
      <c r="I19" s="46"/>
      <c r="J19" s="46"/>
      <c r="K19" s="47"/>
      <c r="L19" s="47"/>
      <c r="M19" s="47"/>
      <c r="N19" s="46"/>
      <c r="O19" s="48"/>
      <c r="P19" s="47"/>
      <c r="Q19" s="46"/>
      <c r="R19" s="46"/>
      <c r="S19" s="46"/>
      <c r="T19" s="49"/>
      <c r="U19" s="49"/>
      <c r="V19" s="49"/>
      <c r="W19" s="49"/>
      <c r="X19" s="49"/>
      <c r="Y19" s="49"/>
      <c r="Z19" s="49"/>
      <c r="AA19" s="50"/>
      <c r="AB19" s="51"/>
      <c r="AC19" s="52"/>
      <c r="AD19" s="47"/>
      <c r="AE19"/>
    </row>
    <row r="20" spans="1:31" ht="13">
      <c r="A20" s="38"/>
      <c r="B20" s="39"/>
      <c r="C20" s="40"/>
      <c r="D20" s="17"/>
      <c r="E20" s="17"/>
      <c r="F20" s="17"/>
      <c r="G20" s="17"/>
      <c r="H20" s="17"/>
      <c r="I20" s="40"/>
      <c r="J20" s="40"/>
      <c r="K20" s="17"/>
      <c r="L20" s="17"/>
      <c r="M20" s="17"/>
      <c r="N20" s="40"/>
      <c r="O20" s="53"/>
      <c r="P20" s="17"/>
      <c r="Q20" s="40"/>
      <c r="R20" s="40"/>
      <c r="S20" s="40"/>
      <c r="T20" s="41"/>
      <c r="U20" s="41"/>
      <c r="V20" s="41"/>
      <c r="W20" s="41"/>
      <c r="X20" s="41"/>
      <c r="Y20" s="41"/>
      <c r="Z20" s="41"/>
      <c r="AA20" s="54"/>
      <c r="AB20" s="43"/>
      <c r="AC20" s="44"/>
      <c r="AD20" s="17"/>
      <c r="AE20"/>
    </row>
    <row r="21" spans="1:31" ht="13">
      <c r="A21" s="38"/>
      <c r="B21" s="39"/>
      <c r="C21" s="40"/>
      <c r="D21" s="17"/>
      <c r="E21" s="17"/>
      <c r="F21" s="17"/>
      <c r="G21" s="17"/>
      <c r="H21" s="17"/>
      <c r="I21" s="40"/>
      <c r="J21" s="40"/>
      <c r="K21" s="17"/>
      <c r="L21" s="17"/>
      <c r="M21" s="17"/>
      <c r="N21" s="40"/>
      <c r="O21" s="53"/>
      <c r="P21" s="17"/>
      <c r="Q21" s="40"/>
      <c r="R21" s="40"/>
      <c r="S21" s="40"/>
      <c r="T21" s="41"/>
      <c r="U21" s="41"/>
      <c r="V21" s="41"/>
      <c r="W21" s="41"/>
      <c r="X21" s="41"/>
      <c r="Y21" s="41"/>
      <c r="Z21" s="41"/>
      <c r="AA21" s="54"/>
      <c r="AB21" s="43"/>
      <c r="AC21" s="44"/>
      <c r="AD21" s="17"/>
      <c r="AE21"/>
    </row>
    <row r="22" spans="1:31" ht="13">
      <c r="A22" s="38"/>
      <c r="B22" s="45"/>
      <c r="C22" s="46"/>
      <c r="D22" s="47"/>
      <c r="E22" s="47"/>
      <c r="F22" s="47"/>
      <c r="G22" s="47"/>
      <c r="H22" s="47"/>
      <c r="I22" s="46"/>
      <c r="J22" s="46"/>
      <c r="K22" s="47"/>
      <c r="L22" s="47"/>
      <c r="M22" s="47"/>
      <c r="N22" s="46"/>
      <c r="O22" s="48"/>
      <c r="P22" s="47"/>
      <c r="Q22" s="46"/>
      <c r="R22" s="46"/>
      <c r="S22" s="46"/>
      <c r="T22" s="49"/>
      <c r="U22" s="49"/>
      <c r="V22" s="49"/>
      <c r="W22" s="49"/>
      <c r="X22" s="49"/>
      <c r="Y22" s="49"/>
      <c r="Z22" s="49"/>
      <c r="AA22" s="50"/>
      <c r="AB22" s="51"/>
      <c r="AC22" s="52"/>
      <c r="AD22" s="47"/>
      <c r="AE22"/>
    </row>
    <row r="23" spans="1:31" ht="13">
      <c r="A23" s="38"/>
      <c r="B23" s="39"/>
      <c r="C23" s="40"/>
      <c r="D23" s="17"/>
      <c r="E23" s="17"/>
      <c r="F23" s="17"/>
      <c r="G23" s="17"/>
      <c r="H23" s="17"/>
      <c r="I23" s="40"/>
      <c r="J23" s="40"/>
      <c r="K23" s="17"/>
      <c r="L23" s="17"/>
      <c r="M23" s="17"/>
      <c r="N23" s="40"/>
      <c r="O23" s="53"/>
      <c r="P23" s="17"/>
      <c r="Q23" s="40"/>
      <c r="R23" s="40"/>
      <c r="S23" s="40"/>
      <c r="T23" s="41"/>
      <c r="U23" s="41"/>
      <c r="V23" s="41"/>
      <c r="W23" s="41"/>
      <c r="X23" s="41"/>
      <c r="Y23" s="41"/>
      <c r="Z23" s="41"/>
      <c r="AA23" s="54"/>
      <c r="AB23" s="43"/>
      <c r="AC23" s="44"/>
      <c r="AD23" s="17"/>
      <c r="AE23"/>
    </row>
    <row r="24" spans="1:31" ht="13">
      <c r="A24" s="38"/>
      <c r="B24" s="39"/>
      <c r="C24" s="40"/>
      <c r="D24" s="17"/>
      <c r="E24" s="17"/>
      <c r="F24" s="17"/>
      <c r="G24" s="17"/>
      <c r="H24" s="17"/>
      <c r="I24" s="40"/>
      <c r="J24" s="40"/>
      <c r="K24" s="17"/>
      <c r="L24" s="17"/>
      <c r="M24" s="17"/>
      <c r="N24" s="40"/>
      <c r="O24" s="53"/>
      <c r="P24" s="17"/>
      <c r="Q24" s="40"/>
      <c r="R24" s="40"/>
      <c r="S24" s="40"/>
      <c r="T24" s="41"/>
      <c r="U24" s="41"/>
      <c r="V24" s="41"/>
      <c r="W24" s="41"/>
      <c r="X24" s="41"/>
      <c r="Y24" s="41"/>
      <c r="Z24" s="41"/>
      <c r="AA24" s="54"/>
      <c r="AB24" s="43"/>
      <c r="AC24" s="44"/>
      <c r="AD24" s="17"/>
      <c r="AE24"/>
    </row>
    <row r="25" spans="1:31" ht="13">
      <c r="A25" s="38"/>
      <c r="B25" s="45"/>
      <c r="C25" s="46"/>
      <c r="D25" s="47"/>
      <c r="E25" s="47"/>
      <c r="F25" s="47"/>
      <c r="G25" s="47"/>
      <c r="H25" s="47"/>
      <c r="I25" s="46"/>
      <c r="J25" s="46"/>
      <c r="K25" s="47"/>
      <c r="L25" s="47"/>
      <c r="M25" s="47"/>
      <c r="N25" s="46"/>
      <c r="O25" s="48"/>
      <c r="P25" s="47"/>
      <c r="Q25" s="46"/>
      <c r="R25" s="46"/>
      <c r="S25" s="46"/>
      <c r="T25" s="49"/>
      <c r="U25" s="49"/>
      <c r="V25" s="49"/>
      <c r="W25" s="49"/>
      <c r="X25" s="49"/>
      <c r="Y25" s="49"/>
      <c r="Z25" s="49"/>
      <c r="AA25" s="50"/>
      <c r="AB25" s="51"/>
      <c r="AC25" s="52"/>
      <c r="AD25" s="47"/>
      <c r="AE25"/>
    </row>
    <row r="26" spans="1:31" ht="13">
      <c r="A26" s="38"/>
      <c r="B26" s="39"/>
      <c r="C26" s="40"/>
      <c r="D26" s="17"/>
      <c r="E26" s="17"/>
      <c r="F26" s="17"/>
      <c r="G26" s="17"/>
      <c r="H26" s="17"/>
      <c r="I26" s="40"/>
      <c r="J26" s="40"/>
      <c r="K26" s="17"/>
      <c r="L26" s="17"/>
      <c r="M26" s="17"/>
      <c r="N26" s="40"/>
      <c r="O26" s="53"/>
      <c r="P26" s="17"/>
      <c r="Q26" s="40"/>
      <c r="R26" s="40"/>
      <c r="S26" s="40"/>
      <c r="T26" s="41"/>
      <c r="U26" s="41"/>
      <c r="V26" s="41"/>
      <c r="W26" s="41"/>
      <c r="X26" s="41"/>
      <c r="Y26" s="41"/>
      <c r="Z26" s="41"/>
      <c r="AA26" s="54"/>
      <c r="AB26" s="43"/>
      <c r="AC26" s="44"/>
      <c r="AD26" s="17"/>
      <c r="AE26"/>
    </row>
    <row r="27" spans="1:31" ht="13">
      <c r="A27" s="38"/>
      <c r="B27" s="39"/>
      <c r="C27" s="40"/>
      <c r="D27" s="17"/>
      <c r="E27" s="17"/>
      <c r="F27" s="17"/>
      <c r="G27" s="17"/>
      <c r="H27" s="17"/>
      <c r="I27" s="40"/>
      <c r="J27" s="40"/>
      <c r="K27" s="17"/>
      <c r="L27" s="17"/>
      <c r="M27" s="17"/>
      <c r="N27" s="40"/>
      <c r="O27" s="53"/>
      <c r="P27" s="17"/>
      <c r="Q27" s="40"/>
      <c r="R27" s="40"/>
      <c r="S27" s="40"/>
      <c r="T27" s="41"/>
      <c r="U27" s="41"/>
      <c r="V27" s="41"/>
      <c r="W27" s="41"/>
      <c r="X27" s="41"/>
      <c r="Y27" s="41"/>
      <c r="Z27" s="41"/>
      <c r="AA27" s="54"/>
      <c r="AB27" s="43"/>
      <c r="AC27" s="44"/>
      <c r="AD27" s="17"/>
      <c r="AE27"/>
    </row>
    <row r="28" spans="1:31" ht="13">
      <c r="A28" s="55"/>
      <c r="B28" s="56"/>
      <c r="C28" s="46"/>
      <c r="D28" s="47"/>
      <c r="E28" s="47"/>
      <c r="F28" s="47"/>
      <c r="G28" s="47"/>
      <c r="H28" s="47"/>
      <c r="I28" s="46"/>
      <c r="J28" s="46"/>
      <c r="K28" s="47"/>
      <c r="L28" s="47"/>
      <c r="M28" s="47"/>
      <c r="N28" s="46"/>
      <c r="O28" s="48"/>
      <c r="P28" s="47"/>
      <c r="Q28" s="46"/>
      <c r="R28" s="46"/>
      <c r="S28" s="46"/>
      <c r="T28" s="49"/>
      <c r="U28" s="49"/>
      <c r="V28" s="49"/>
      <c r="W28" s="49"/>
      <c r="X28" s="49"/>
      <c r="Y28" s="49"/>
      <c r="Z28" s="49"/>
      <c r="AA28" s="50"/>
      <c r="AB28" s="43"/>
      <c r="AC28" s="44"/>
      <c r="AD28" s="47"/>
      <c r="AE28"/>
    </row>
    <row r="29" spans="1:31" ht="13">
      <c r="A29" s="36"/>
      <c r="B29" s="24"/>
      <c r="C29" s="18"/>
      <c r="D29" s="12"/>
      <c r="E29" s="12"/>
      <c r="F29" s="12"/>
      <c r="G29" s="12"/>
      <c r="H29" s="12"/>
      <c r="I29" s="18"/>
      <c r="J29" s="18"/>
      <c r="K29" s="12"/>
      <c r="L29" s="12"/>
      <c r="M29" s="12"/>
      <c r="N29" s="18"/>
      <c r="O29" s="18"/>
      <c r="P29" s="12"/>
      <c r="Q29" s="18"/>
      <c r="R29" s="18"/>
      <c r="S29" s="18"/>
      <c r="T29" s="20"/>
      <c r="U29" s="20"/>
      <c r="V29" s="20"/>
      <c r="W29" s="20"/>
      <c r="X29" s="20"/>
      <c r="Y29" s="20"/>
      <c r="Z29" s="20"/>
      <c r="AA29" s="37"/>
      <c r="AB29" s="22"/>
      <c r="AC29" s="23"/>
      <c r="AD29" s="17"/>
      <c r="AE29"/>
    </row>
    <row r="30" spans="1:31" ht="13">
      <c r="A30" s="38"/>
      <c r="B30" s="39"/>
      <c r="C30" s="40"/>
      <c r="D30" s="17"/>
      <c r="E30" s="17"/>
      <c r="F30" s="17"/>
      <c r="G30" s="17"/>
      <c r="H30" s="17"/>
      <c r="I30" s="40"/>
      <c r="J30" s="40"/>
      <c r="K30" s="17"/>
      <c r="L30" s="17"/>
      <c r="M30" s="17"/>
      <c r="N30" s="40"/>
      <c r="O30" s="40"/>
      <c r="P30" s="17"/>
      <c r="Q30" s="40"/>
      <c r="R30" s="40"/>
      <c r="S30" s="40"/>
      <c r="T30" s="41"/>
      <c r="U30" s="41"/>
      <c r="V30" s="41"/>
      <c r="W30" s="41"/>
      <c r="X30" s="41"/>
      <c r="Y30" s="41"/>
      <c r="Z30" s="41"/>
      <c r="AA30" s="42"/>
      <c r="AB30" s="43"/>
      <c r="AC30" s="44"/>
      <c r="AD30" s="17"/>
      <c r="AE30"/>
    </row>
    <row r="31" spans="1:31" ht="13">
      <c r="A31" s="38"/>
      <c r="B31" s="45"/>
      <c r="C31" s="46"/>
      <c r="D31" s="47"/>
      <c r="E31" s="47"/>
      <c r="F31" s="47"/>
      <c r="G31" s="47"/>
      <c r="H31" s="47"/>
      <c r="I31" s="46"/>
      <c r="J31" s="46"/>
      <c r="K31" s="47"/>
      <c r="L31" s="47"/>
      <c r="M31" s="47"/>
      <c r="N31" s="46"/>
      <c r="O31" s="48"/>
      <c r="P31" s="47"/>
      <c r="Q31" s="46"/>
      <c r="R31" s="46"/>
      <c r="S31" s="46"/>
      <c r="T31" s="49"/>
      <c r="U31" s="49"/>
      <c r="V31" s="49"/>
      <c r="W31" s="49"/>
      <c r="X31" s="49"/>
      <c r="Y31" s="49"/>
      <c r="Z31" s="49"/>
      <c r="AA31" s="50"/>
      <c r="AB31" s="51"/>
      <c r="AC31" s="52"/>
      <c r="AD31" s="47"/>
      <c r="AE31"/>
    </row>
    <row r="32" spans="1:31" ht="13">
      <c r="A32" s="38"/>
      <c r="B32" s="39"/>
      <c r="C32" s="40"/>
      <c r="D32" s="17"/>
      <c r="E32" s="17"/>
      <c r="F32" s="17"/>
      <c r="G32" s="17"/>
      <c r="H32" s="17"/>
      <c r="I32" s="40"/>
      <c r="J32" s="40"/>
      <c r="K32" s="17"/>
      <c r="L32" s="17"/>
      <c r="M32" s="17"/>
      <c r="N32" s="40"/>
      <c r="O32" s="53"/>
      <c r="P32" s="17"/>
      <c r="Q32" s="40"/>
      <c r="R32" s="40"/>
      <c r="S32" s="40"/>
      <c r="T32" s="41"/>
      <c r="U32" s="41"/>
      <c r="V32" s="41"/>
      <c r="W32" s="41"/>
      <c r="X32" s="41"/>
      <c r="Y32" s="41"/>
      <c r="Z32" s="41"/>
      <c r="AA32" s="54"/>
      <c r="AB32" s="43"/>
      <c r="AC32" s="44"/>
      <c r="AD32" s="17"/>
      <c r="AE32"/>
    </row>
    <row r="33" spans="1:31" ht="13">
      <c r="A33" s="38"/>
      <c r="B33" s="39"/>
      <c r="C33" s="40"/>
      <c r="D33" s="17"/>
      <c r="E33" s="17"/>
      <c r="F33" s="17"/>
      <c r="G33" s="17"/>
      <c r="H33" s="17"/>
      <c r="I33" s="40"/>
      <c r="J33" s="40"/>
      <c r="K33" s="17"/>
      <c r="L33" s="17"/>
      <c r="M33" s="17"/>
      <c r="N33" s="40"/>
      <c r="O33" s="53"/>
      <c r="P33" s="17"/>
      <c r="Q33" s="40"/>
      <c r="R33" s="40"/>
      <c r="S33" s="40"/>
      <c r="T33" s="41"/>
      <c r="U33" s="41"/>
      <c r="V33" s="41"/>
      <c r="W33" s="41"/>
      <c r="X33" s="41"/>
      <c r="Y33" s="41"/>
      <c r="Z33" s="41"/>
      <c r="AA33" s="54"/>
      <c r="AB33" s="43"/>
      <c r="AC33" s="44"/>
      <c r="AD33" s="17"/>
      <c r="AE33"/>
    </row>
    <row r="34" spans="1:31" ht="13">
      <c r="A34" s="38"/>
      <c r="B34" s="45"/>
      <c r="C34" s="46"/>
      <c r="D34" s="47"/>
      <c r="E34" s="47"/>
      <c r="F34" s="47"/>
      <c r="G34" s="47"/>
      <c r="H34" s="47"/>
      <c r="I34" s="46"/>
      <c r="J34" s="46"/>
      <c r="K34" s="47"/>
      <c r="L34" s="47"/>
      <c r="M34" s="47"/>
      <c r="N34" s="46"/>
      <c r="O34" s="48"/>
      <c r="P34" s="47"/>
      <c r="Q34" s="46"/>
      <c r="R34" s="46"/>
      <c r="S34" s="46"/>
      <c r="T34" s="49"/>
      <c r="U34" s="49"/>
      <c r="V34" s="49"/>
      <c r="W34" s="49"/>
      <c r="X34" s="49"/>
      <c r="Y34" s="49"/>
      <c r="Z34" s="49"/>
      <c r="AA34" s="50"/>
      <c r="AB34" s="51"/>
      <c r="AC34" s="52"/>
      <c r="AD34" s="47"/>
      <c r="AE34"/>
    </row>
    <row r="35" spans="1:31" ht="13">
      <c r="A35" s="38"/>
      <c r="B35" s="39"/>
      <c r="C35" s="40"/>
      <c r="D35" s="17"/>
      <c r="E35" s="17"/>
      <c r="F35" s="17"/>
      <c r="G35" s="17"/>
      <c r="H35" s="17"/>
      <c r="I35" s="40"/>
      <c r="J35" s="40"/>
      <c r="K35" s="17"/>
      <c r="L35" s="17"/>
      <c r="M35" s="17"/>
      <c r="N35" s="40"/>
      <c r="O35" s="53"/>
      <c r="P35" s="17"/>
      <c r="Q35" s="40"/>
      <c r="R35" s="40"/>
      <c r="S35" s="40"/>
      <c r="T35" s="41"/>
      <c r="U35" s="41"/>
      <c r="V35" s="41"/>
      <c r="W35" s="41"/>
      <c r="X35" s="41"/>
      <c r="Y35" s="41"/>
      <c r="Z35" s="41"/>
      <c r="AA35" s="54"/>
      <c r="AB35" s="43"/>
      <c r="AC35" s="44"/>
      <c r="AD35" s="17"/>
      <c r="AE35"/>
    </row>
    <row r="36" spans="1:31" ht="13">
      <c r="A36" s="38"/>
      <c r="B36" s="39"/>
      <c r="C36" s="40"/>
      <c r="D36" s="17"/>
      <c r="E36" s="17"/>
      <c r="F36" s="17"/>
      <c r="G36" s="17"/>
      <c r="H36" s="17"/>
      <c r="I36" s="40"/>
      <c r="J36" s="40"/>
      <c r="K36" s="17"/>
      <c r="L36" s="17"/>
      <c r="M36" s="17"/>
      <c r="N36" s="40"/>
      <c r="O36" s="53"/>
      <c r="P36" s="17"/>
      <c r="Q36" s="40"/>
      <c r="R36" s="40"/>
      <c r="S36" s="40"/>
      <c r="T36" s="41"/>
      <c r="U36" s="41"/>
      <c r="V36" s="41"/>
      <c r="W36" s="41"/>
      <c r="X36" s="41"/>
      <c r="Y36" s="41"/>
      <c r="Z36" s="41"/>
      <c r="AA36" s="54"/>
      <c r="AB36" s="43"/>
      <c r="AC36" s="44"/>
      <c r="AD36" s="17"/>
      <c r="AE36"/>
    </row>
    <row r="37" spans="1:31" ht="13">
      <c r="A37" s="38"/>
      <c r="B37" s="45"/>
      <c r="C37" s="46"/>
      <c r="D37" s="47"/>
      <c r="E37" s="47"/>
      <c r="F37" s="47"/>
      <c r="G37" s="47"/>
      <c r="H37" s="47"/>
      <c r="I37" s="46"/>
      <c r="J37" s="46"/>
      <c r="K37" s="47"/>
      <c r="L37" s="47"/>
      <c r="M37" s="47"/>
      <c r="N37" s="46"/>
      <c r="O37" s="48"/>
      <c r="P37" s="47"/>
      <c r="Q37" s="46"/>
      <c r="R37" s="46"/>
      <c r="S37" s="46"/>
      <c r="T37" s="49"/>
      <c r="U37" s="49"/>
      <c r="V37" s="49"/>
      <c r="W37" s="49"/>
      <c r="X37" s="49"/>
      <c r="Y37" s="49"/>
      <c r="Z37" s="49"/>
      <c r="AA37" s="50"/>
      <c r="AB37" s="51"/>
      <c r="AC37" s="52"/>
      <c r="AD37" s="47"/>
      <c r="AE37"/>
    </row>
    <row r="38" spans="1:31" ht="13">
      <c r="A38" s="38"/>
      <c r="B38" s="39"/>
      <c r="C38" s="40"/>
      <c r="D38" s="17"/>
      <c r="E38" s="17"/>
      <c r="F38" s="17"/>
      <c r="G38" s="17"/>
      <c r="H38" s="17"/>
      <c r="I38" s="40"/>
      <c r="J38" s="40"/>
      <c r="K38" s="17"/>
      <c r="L38" s="17"/>
      <c r="M38" s="17"/>
      <c r="N38" s="40"/>
      <c r="O38" s="53"/>
      <c r="P38" s="17"/>
      <c r="Q38" s="40"/>
      <c r="R38" s="40"/>
      <c r="S38" s="40"/>
      <c r="T38" s="41"/>
      <c r="U38" s="41"/>
      <c r="V38" s="41"/>
      <c r="W38" s="41"/>
      <c r="X38" s="41"/>
      <c r="Y38" s="41"/>
      <c r="Z38" s="41"/>
      <c r="AA38" s="54"/>
      <c r="AB38" s="43"/>
      <c r="AC38" s="44"/>
      <c r="AD38" s="17"/>
      <c r="AE38"/>
    </row>
    <row r="39" spans="1:31" ht="13">
      <c r="A39" s="38"/>
      <c r="B39" s="39"/>
      <c r="C39" s="40"/>
      <c r="D39" s="17"/>
      <c r="E39" s="17"/>
      <c r="F39" s="17"/>
      <c r="G39" s="17"/>
      <c r="H39" s="17"/>
      <c r="I39" s="40"/>
      <c r="J39" s="40"/>
      <c r="K39" s="17"/>
      <c r="L39" s="17"/>
      <c r="M39" s="17"/>
      <c r="N39" s="40"/>
      <c r="O39" s="53"/>
      <c r="P39" s="17"/>
      <c r="Q39" s="40"/>
      <c r="R39" s="40"/>
      <c r="S39" s="40"/>
      <c r="T39" s="41"/>
      <c r="U39" s="41"/>
      <c r="V39" s="41"/>
      <c r="W39" s="41"/>
      <c r="X39" s="41"/>
      <c r="Y39" s="41"/>
      <c r="Z39" s="41"/>
      <c r="AA39" s="54"/>
      <c r="AB39" s="43"/>
      <c r="AC39" s="44"/>
      <c r="AD39" s="17"/>
      <c r="AE39"/>
    </row>
    <row r="40" spans="1:31" ht="13">
      <c r="A40" s="55"/>
      <c r="B40" s="56"/>
      <c r="C40" s="46"/>
      <c r="D40" s="47"/>
      <c r="E40" s="47"/>
      <c r="F40" s="47"/>
      <c r="G40" s="47"/>
      <c r="H40" s="47"/>
      <c r="I40" s="46"/>
      <c r="J40" s="46"/>
      <c r="K40" s="47"/>
      <c r="L40" s="47"/>
      <c r="M40" s="47"/>
      <c r="N40" s="46"/>
      <c r="O40" s="48"/>
      <c r="P40" s="47"/>
      <c r="Q40" s="46"/>
      <c r="R40" s="46"/>
      <c r="S40" s="46"/>
      <c r="T40" s="49"/>
      <c r="U40" s="49"/>
      <c r="V40" s="49"/>
      <c r="W40" s="49"/>
      <c r="X40" s="49"/>
      <c r="Y40" s="49"/>
      <c r="Z40" s="49"/>
      <c r="AA40" s="50"/>
      <c r="AB40" s="43"/>
      <c r="AC40" s="44"/>
      <c r="AD40" s="47"/>
      <c r="AE40"/>
    </row>
    <row r="41" spans="1:31" ht="13">
      <c r="A41" s="36"/>
      <c r="B41" s="24"/>
      <c r="C41" s="18"/>
      <c r="D41" s="12"/>
      <c r="E41" s="12"/>
      <c r="F41" s="12"/>
      <c r="G41" s="12"/>
      <c r="H41" s="12"/>
      <c r="I41" s="18"/>
      <c r="J41" s="18"/>
      <c r="K41" s="12"/>
      <c r="L41" s="12"/>
      <c r="M41" s="12"/>
      <c r="N41" s="18"/>
      <c r="O41" s="18"/>
      <c r="P41" s="12"/>
      <c r="Q41" s="18"/>
      <c r="R41" s="18"/>
      <c r="S41" s="18"/>
      <c r="T41" s="20"/>
      <c r="U41" s="20"/>
      <c r="V41" s="20"/>
      <c r="W41" s="20"/>
      <c r="X41" s="20"/>
      <c r="Y41" s="20"/>
      <c r="Z41" s="20"/>
      <c r="AA41" s="37"/>
      <c r="AB41" s="22"/>
      <c r="AC41" s="23"/>
      <c r="AD41" s="17"/>
      <c r="AE41"/>
    </row>
    <row r="42" spans="1:31" ht="13">
      <c r="A42" s="38"/>
      <c r="B42" s="39"/>
      <c r="C42" s="40"/>
      <c r="D42" s="17"/>
      <c r="E42" s="17"/>
      <c r="F42" s="17"/>
      <c r="G42" s="17"/>
      <c r="H42" s="17"/>
      <c r="I42" s="40"/>
      <c r="J42" s="40"/>
      <c r="K42" s="17"/>
      <c r="L42" s="17"/>
      <c r="M42" s="17"/>
      <c r="N42" s="40"/>
      <c r="O42" s="40"/>
      <c r="P42" s="17"/>
      <c r="Q42" s="40"/>
      <c r="R42" s="40"/>
      <c r="S42" s="40"/>
      <c r="T42" s="41"/>
      <c r="U42" s="41"/>
      <c r="V42" s="41"/>
      <c r="W42" s="41"/>
      <c r="X42" s="41"/>
      <c r="Y42" s="41"/>
      <c r="Z42" s="41"/>
      <c r="AA42" s="42"/>
      <c r="AB42" s="43"/>
      <c r="AC42" s="44"/>
      <c r="AD42" s="17"/>
      <c r="AE42"/>
    </row>
    <row r="43" spans="1:31" ht="13">
      <c r="A43" s="38"/>
      <c r="B43" s="45"/>
      <c r="C43" s="46"/>
      <c r="D43" s="47"/>
      <c r="E43" s="47"/>
      <c r="F43" s="47"/>
      <c r="G43" s="47"/>
      <c r="H43" s="47"/>
      <c r="I43" s="46"/>
      <c r="J43" s="46"/>
      <c r="K43" s="47"/>
      <c r="L43" s="47"/>
      <c r="M43" s="47"/>
      <c r="N43" s="46"/>
      <c r="O43" s="48"/>
      <c r="P43" s="47"/>
      <c r="Q43" s="46"/>
      <c r="R43" s="46"/>
      <c r="S43" s="46"/>
      <c r="T43" s="49"/>
      <c r="U43" s="49"/>
      <c r="V43" s="49"/>
      <c r="W43" s="49"/>
      <c r="X43" s="49"/>
      <c r="Y43" s="49"/>
      <c r="Z43" s="49"/>
      <c r="AA43" s="50"/>
      <c r="AB43" s="51"/>
      <c r="AC43" s="52"/>
      <c r="AD43" s="47"/>
      <c r="AE43"/>
    </row>
    <row r="44" spans="1:31" ht="13">
      <c r="A44" s="38"/>
      <c r="B44" s="39"/>
      <c r="C44" s="40"/>
      <c r="D44" s="17"/>
      <c r="E44" s="17"/>
      <c r="F44" s="17"/>
      <c r="G44" s="17"/>
      <c r="H44" s="17"/>
      <c r="I44" s="40"/>
      <c r="J44" s="40"/>
      <c r="K44" s="17"/>
      <c r="L44" s="17"/>
      <c r="M44" s="17"/>
      <c r="N44" s="40"/>
      <c r="O44" s="53"/>
      <c r="P44" s="17"/>
      <c r="Q44" s="40"/>
      <c r="R44" s="40"/>
      <c r="S44" s="40"/>
      <c r="T44" s="41"/>
      <c r="U44" s="41"/>
      <c r="V44" s="41"/>
      <c r="W44" s="41"/>
      <c r="X44" s="41"/>
      <c r="Y44" s="41"/>
      <c r="Z44" s="41"/>
      <c r="AA44" s="54"/>
      <c r="AB44" s="43"/>
      <c r="AC44" s="44"/>
      <c r="AD44" s="17"/>
      <c r="AE44"/>
    </row>
    <row r="45" spans="1:31" ht="13">
      <c r="A45" s="38"/>
      <c r="B45" s="39"/>
      <c r="C45" s="40"/>
      <c r="D45" s="17"/>
      <c r="E45" s="17"/>
      <c r="F45" s="17"/>
      <c r="G45" s="17"/>
      <c r="H45" s="17"/>
      <c r="I45" s="40"/>
      <c r="J45" s="40"/>
      <c r="K45" s="17"/>
      <c r="L45" s="17"/>
      <c r="M45" s="17"/>
      <c r="N45" s="40"/>
      <c r="O45" s="53"/>
      <c r="P45" s="17"/>
      <c r="Q45" s="40"/>
      <c r="R45" s="40"/>
      <c r="S45" s="40"/>
      <c r="T45" s="41"/>
      <c r="U45" s="41"/>
      <c r="V45" s="41"/>
      <c r="W45" s="41"/>
      <c r="X45" s="41"/>
      <c r="Y45" s="41"/>
      <c r="Z45" s="41"/>
      <c r="AA45" s="54"/>
      <c r="AB45" s="43"/>
      <c r="AC45" s="44"/>
      <c r="AD45" s="17"/>
      <c r="AE45"/>
    </row>
    <row r="46" spans="1:31" ht="13">
      <c r="A46" s="38"/>
      <c r="B46" s="45"/>
      <c r="C46" s="46"/>
      <c r="D46" s="47"/>
      <c r="E46" s="47"/>
      <c r="F46" s="47"/>
      <c r="G46" s="47"/>
      <c r="H46" s="47"/>
      <c r="I46" s="46"/>
      <c r="J46" s="46"/>
      <c r="K46" s="47"/>
      <c r="L46" s="47"/>
      <c r="M46" s="47"/>
      <c r="N46" s="46"/>
      <c r="O46" s="48"/>
      <c r="P46" s="47"/>
      <c r="Q46" s="46"/>
      <c r="R46" s="46"/>
      <c r="S46" s="46"/>
      <c r="T46" s="49"/>
      <c r="U46" s="49"/>
      <c r="V46" s="49"/>
      <c r="W46" s="49"/>
      <c r="X46" s="49"/>
      <c r="Y46" s="49"/>
      <c r="Z46" s="49"/>
      <c r="AA46" s="50"/>
      <c r="AB46" s="51"/>
      <c r="AC46" s="52"/>
      <c r="AD46" s="47"/>
      <c r="AE46"/>
    </row>
    <row r="47" spans="1:31" ht="13">
      <c r="A47" s="38"/>
      <c r="B47" s="39"/>
      <c r="C47" s="40"/>
      <c r="D47" s="17"/>
      <c r="E47" s="17"/>
      <c r="F47" s="17"/>
      <c r="G47" s="17"/>
      <c r="H47" s="17"/>
      <c r="I47" s="40"/>
      <c r="J47" s="40"/>
      <c r="K47" s="17"/>
      <c r="L47" s="17"/>
      <c r="M47" s="17"/>
      <c r="N47" s="40"/>
      <c r="O47" s="53"/>
      <c r="P47" s="17"/>
      <c r="Q47" s="40"/>
      <c r="R47" s="40"/>
      <c r="S47" s="40"/>
      <c r="T47" s="41"/>
      <c r="U47" s="41"/>
      <c r="V47" s="41"/>
      <c r="W47" s="41"/>
      <c r="X47" s="41"/>
      <c r="Y47" s="41"/>
      <c r="Z47" s="41"/>
      <c r="AA47" s="54"/>
      <c r="AB47" s="43"/>
      <c r="AC47" s="44"/>
      <c r="AD47" s="17"/>
      <c r="AE47"/>
    </row>
    <row r="48" spans="1:31" ht="13">
      <c r="A48" s="38"/>
      <c r="B48" s="39"/>
      <c r="C48" s="40"/>
      <c r="D48" s="17"/>
      <c r="E48" s="17"/>
      <c r="F48" s="17"/>
      <c r="G48" s="17"/>
      <c r="H48" s="17"/>
      <c r="I48" s="40"/>
      <c r="J48" s="40"/>
      <c r="K48" s="17"/>
      <c r="L48" s="17"/>
      <c r="M48" s="17"/>
      <c r="N48" s="40"/>
      <c r="O48" s="53"/>
      <c r="P48" s="17"/>
      <c r="Q48" s="40"/>
      <c r="R48" s="40"/>
      <c r="S48" s="40"/>
      <c r="T48" s="41"/>
      <c r="U48" s="41"/>
      <c r="V48" s="41"/>
      <c r="W48" s="41"/>
      <c r="X48" s="41"/>
      <c r="Y48" s="41"/>
      <c r="Z48" s="41"/>
      <c r="AA48" s="54"/>
      <c r="AB48" s="43"/>
      <c r="AC48" s="44"/>
      <c r="AD48" s="17"/>
      <c r="AE48"/>
    </row>
    <row r="49" spans="1:31" ht="13">
      <c r="A49" s="38"/>
      <c r="B49" s="45"/>
      <c r="C49" s="46"/>
      <c r="D49" s="47"/>
      <c r="E49" s="47"/>
      <c r="F49" s="47"/>
      <c r="G49" s="47"/>
      <c r="H49" s="47"/>
      <c r="I49" s="46"/>
      <c r="J49" s="46"/>
      <c r="K49" s="47"/>
      <c r="L49" s="47"/>
      <c r="M49" s="47"/>
      <c r="N49" s="46"/>
      <c r="O49" s="48"/>
      <c r="P49" s="47"/>
      <c r="Q49" s="46"/>
      <c r="R49" s="46"/>
      <c r="S49" s="46"/>
      <c r="T49" s="49"/>
      <c r="U49" s="49"/>
      <c r="V49" s="49"/>
      <c r="W49" s="49"/>
      <c r="X49" s="49"/>
      <c r="Y49" s="49"/>
      <c r="Z49" s="49"/>
      <c r="AA49" s="50"/>
      <c r="AB49" s="51"/>
      <c r="AC49" s="52"/>
      <c r="AD49" s="47"/>
      <c r="AE49"/>
    </row>
    <row r="50" spans="1:31" ht="13">
      <c r="A50" s="38"/>
      <c r="B50" s="39"/>
      <c r="C50" s="40"/>
      <c r="D50" s="17"/>
      <c r="E50" s="17"/>
      <c r="F50" s="17"/>
      <c r="G50" s="17"/>
      <c r="H50" s="17"/>
      <c r="I50" s="40"/>
      <c r="J50" s="40"/>
      <c r="K50" s="17"/>
      <c r="L50" s="17"/>
      <c r="M50" s="17"/>
      <c r="N50" s="40"/>
      <c r="O50" s="53"/>
      <c r="P50" s="17"/>
      <c r="Q50" s="40"/>
      <c r="R50" s="40"/>
      <c r="S50" s="40"/>
      <c r="T50" s="41"/>
      <c r="U50" s="41"/>
      <c r="V50" s="41"/>
      <c r="W50" s="41"/>
      <c r="X50" s="41"/>
      <c r="Y50" s="41"/>
      <c r="Z50" s="41"/>
      <c r="AA50" s="54"/>
      <c r="AB50" s="43"/>
      <c r="AC50" s="44"/>
      <c r="AD50" s="17"/>
      <c r="AE50"/>
    </row>
    <row r="51" spans="1:31" ht="13">
      <c r="A51" s="38"/>
      <c r="B51" s="39"/>
      <c r="C51" s="40"/>
      <c r="D51" s="17"/>
      <c r="E51" s="17"/>
      <c r="F51" s="17"/>
      <c r="G51" s="17"/>
      <c r="H51" s="17"/>
      <c r="I51" s="40"/>
      <c r="J51" s="40"/>
      <c r="K51" s="17"/>
      <c r="L51" s="17"/>
      <c r="M51" s="17"/>
      <c r="N51" s="40"/>
      <c r="O51" s="53"/>
      <c r="P51" s="17"/>
      <c r="Q51" s="40"/>
      <c r="R51" s="40"/>
      <c r="S51" s="40"/>
      <c r="T51" s="41"/>
      <c r="U51" s="41"/>
      <c r="V51" s="41"/>
      <c r="W51" s="41"/>
      <c r="X51" s="41"/>
      <c r="Y51" s="41"/>
      <c r="Z51" s="41"/>
      <c r="AA51" s="54"/>
      <c r="AB51" s="43"/>
      <c r="AC51" s="44"/>
      <c r="AD51" s="17"/>
      <c r="AE51"/>
    </row>
    <row r="52" spans="1:31" ht="13">
      <c r="A52" s="55"/>
      <c r="B52" s="56"/>
      <c r="C52" s="46"/>
      <c r="D52" s="47"/>
      <c r="E52" s="47"/>
      <c r="F52" s="47"/>
      <c r="G52" s="47"/>
      <c r="H52" s="47"/>
      <c r="I52" s="46"/>
      <c r="J52" s="46"/>
      <c r="K52" s="47"/>
      <c r="L52" s="47"/>
      <c r="M52" s="47"/>
      <c r="N52" s="46"/>
      <c r="O52" s="48"/>
      <c r="P52" s="47"/>
      <c r="Q52" s="46"/>
      <c r="R52" s="46"/>
      <c r="S52" s="46"/>
      <c r="T52" s="49"/>
      <c r="U52" s="49"/>
      <c r="V52" s="49"/>
      <c r="W52" s="49"/>
      <c r="X52" s="49"/>
      <c r="Y52" s="49"/>
      <c r="Z52" s="49"/>
      <c r="AA52" s="50"/>
      <c r="AB52" s="43"/>
      <c r="AC52" s="44"/>
      <c r="AD52" s="47"/>
      <c r="AE52"/>
    </row>
    <row r="53" spans="1:31" ht="13">
      <c r="A53" s="36"/>
      <c r="B53" s="24"/>
      <c r="C53" s="18"/>
      <c r="D53" s="12"/>
      <c r="E53" s="12"/>
      <c r="F53" s="12"/>
      <c r="G53" s="12"/>
      <c r="H53" s="12"/>
      <c r="I53" s="18"/>
      <c r="J53" s="18"/>
      <c r="K53" s="12"/>
      <c r="L53" s="12"/>
      <c r="M53" s="12"/>
      <c r="N53" s="18"/>
      <c r="O53" s="18"/>
      <c r="P53" s="12"/>
      <c r="Q53" s="18"/>
      <c r="R53" s="18"/>
      <c r="S53" s="18"/>
      <c r="T53" s="20"/>
      <c r="U53" s="20"/>
      <c r="V53" s="20"/>
      <c r="W53" s="20"/>
      <c r="X53" s="20"/>
      <c r="Y53" s="20"/>
      <c r="Z53" s="20"/>
      <c r="AA53" s="37"/>
      <c r="AB53" s="22"/>
      <c r="AC53" s="23"/>
      <c r="AD53" s="17"/>
      <c r="AE53"/>
    </row>
    <row r="54" spans="1:31" ht="13">
      <c r="A54" s="38"/>
      <c r="B54" s="39"/>
      <c r="C54" s="40"/>
      <c r="D54" s="17"/>
      <c r="E54" s="17"/>
      <c r="F54" s="17"/>
      <c r="G54" s="17"/>
      <c r="H54" s="17"/>
      <c r="I54" s="40"/>
      <c r="J54" s="40"/>
      <c r="K54" s="17"/>
      <c r="L54" s="17"/>
      <c r="M54" s="17"/>
      <c r="N54" s="40"/>
      <c r="O54" s="40"/>
      <c r="P54" s="17"/>
      <c r="Q54" s="40"/>
      <c r="R54" s="40"/>
      <c r="S54" s="40"/>
      <c r="T54" s="41"/>
      <c r="U54" s="41"/>
      <c r="V54" s="41"/>
      <c r="W54" s="41"/>
      <c r="X54" s="41"/>
      <c r="Y54" s="41"/>
      <c r="Z54" s="41"/>
      <c r="AA54" s="42"/>
      <c r="AB54" s="43"/>
      <c r="AC54" s="44"/>
      <c r="AD54" s="17"/>
      <c r="AE54"/>
    </row>
    <row r="55" spans="1:31" ht="13">
      <c r="A55" s="38"/>
      <c r="B55" s="45"/>
      <c r="C55" s="46"/>
      <c r="D55" s="47"/>
      <c r="E55" s="47"/>
      <c r="F55" s="47"/>
      <c r="G55" s="47"/>
      <c r="H55" s="47"/>
      <c r="I55" s="46"/>
      <c r="J55" s="46"/>
      <c r="K55" s="47"/>
      <c r="L55" s="47"/>
      <c r="M55" s="47"/>
      <c r="N55" s="46"/>
      <c r="O55" s="48"/>
      <c r="P55" s="47"/>
      <c r="Q55" s="46"/>
      <c r="R55" s="46"/>
      <c r="S55" s="46"/>
      <c r="T55" s="49"/>
      <c r="U55" s="49"/>
      <c r="V55" s="49"/>
      <c r="W55" s="49"/>
      <c r="X55" s="49"/>
      <c r="Y55" s="49"/>
      <c r="Z55" s="49"/>
      <c r="AA55" s="50"/>
      <c r="AB55" s="51"/>
      <c r="AC55" s="52"/>
      <c r="AD55" s="47"/>
      <c r="AE55"/>
    </row>
    <row r="56" spans="1:31" ht="13">
      <c r="A56" s="38"/>
      <c r="B56" s="39"/>
      <c r="C56" s="40"/>
      <c r="D56" s="17"/>
      <c r="E56" s="17"/>
      <c r="F56" s="17"/>
      <c r="G56" s="17"/>
      <c r="H56" s="17"/>
      <c r="I56" s="40"/>
      <c r="J56" s="40"/>
      <c r="K56" s="17"/>
      <c r="L56" s="17"/>
      <c r="M56" s="17"/>
      <c r="N56" s="40"/>
      <c r="O56" s="53"/>
      <c r="P56" s="17"/>
      <c r="Q56" s="40"/>
      <c r="R56" s="40"/>
      <c r="S56" s="40"/>
      <c r="T56" s="41"/>
      <c r="U56" s="41"/>
      <c r="V56" s="41"/>
      <c r="W56" s="41"/>
      <c r="X56" s="41"/>
      <c r="Y56" s="41"/>
      <c r="Z56" s="41"/>
      <c r="AA56" s="54"/>
      <c r="AB56" s="43"/>
      <c r="AC56" s="44"/>
      <c r="AD56" s="17"/>
      <c r="AE56"/>
    </row>
    <row r="57" spans="1:31" ht="13">
      <c r="A57" s="38"/>
      <c r="B57" s="39"/>
      <c r="C57" s="40"/>
      <c r="D57" s="17"/>
      <c r="E57" s="17"/>
      <c r="F57" s="17"/>
      <c r="G57" s="17"/>
      <c r="H57" s="17"/>
      <c r="I57" s="40"/>
      <c r="J57" s="40"/>
      <c r="K57" s="17"/>
      <c r="L57" s="17"/>
      <c r="M57" s="17"/>
      <c r="N57" s="40"/>
      <c r="O57" s="53"/>
      <c r="P57" s="17"/>
      <c r="Q57" s="40"/>
      <c r="R57" s="40"/>
      <c r="S57" s="40"/>
      <c r="T57" s="41"/>
      <c r="U57" s="41"/>
      <c r="V57" s="41"/>
      <c r="W57" s="41"/>
      <c r="X57" s="41"/>
      <c r="Y57" s="41"/>
      <c r="Z57" s="41"/>
      <c r="AA57" s="54"/>
      <c r="AB57" s="43"/>
      <c r="AC57" s="44"/>
      <c r="AD57" s="17"/>
      <c r="AE57"/>
    </row>
    <row r="58" spans="1:31" ht="13">
      <c r="A58" s="38"/>
      <c r="B58" s="45"/>
      <c r="C58" s="46"/>
      <c r="D58" s="47"/>
      <c r="E58" s="47"/>
      <c r="F58" s="47"/>
      <c r="G58" s="47"/>
      <c r="H58" s="47"/>
      <c r="I58" s="46"/>
      <c r="J58" s="46"/>
      <c r="K58" s="47"/>
      <c r="L58" s="47"/>
      <c r="M58" s="47"/>
      <c r="N58" s="46"/>
      <c r="O58" s="48"/>
      <c r="P58" s="47"/>
      <c r="Q58" s="46"/>
      <c r="R58" s="46"/>
      <c r="S58" s="46"/>
      <c r="T58" s="49"/>
      <c r="U58" s="49"/>
      <c r="V58" s="49"/>
      <c r="W58" s="49"/>
      <c r="X58" s="49"/>
      <c r="Y58" s="49"/>
      <c r="Z58" s="49"/>
      <c r="AA58" s="50"/>
      <c r="AB58" s="51"/>
      <c r="AC58" s="52"/>
      <c r="AD58" s="47"/>
      <c r="AE58"/>
    </row>
    <row r="59" spans="1:31" ht="13">
      <c r="A59" s="38"/>
      <c r="B59" s="39"/>
      <c r="C59" s="40"/>
      <c r="D59" s="17"/>
      <c r="E59" s="17"/>
      <c r="F59" s="17"/>
      <c r="G59" s="17"/>
      <c r="H59" s="17"/>
      <c r="I59" s="40"/>
      <c r="J59" s="40"/>
      <c r="K59" s="17"/>
      <c r="L59" s="17"/>
      <c r="M59" s="17"/>
      <c r="N59" s="40"/>
      <c r="O59" s="53"/>
      <c r="P59" s="17"/>
      <c r="Q59" s="40"/>
      <c r="R59" s="40"/>
      <c r="S59" s="40"/>
      <c r="T59" s="41"/>
      <c r="U59" s="41"/>
      <c r="V59" s="41"/>
      <c r="W59" s="41"/>
      <c r="X59" s="41"/>
      <c r="Y59" s="41"/>
      <c r="Z59" s="41"/>
      <c r="AA59" s="54"/>
      <c r="AB59" s="43"/>
      <c r="AC59" s="44"/>
      <c r="AD59" s="17"/>
      <c r="AE59"/>
    </row>
    <row r="60" spans="1:31" ht="13">
      <c r="A60" s="38"/>
      <c r="B60" s="39"/>
      <c r="C60" s="40"/>
      <c r="D60" s="17"/>
      <c r="E60" s="17"/>
      <c r="F60" s="17"/>
      <c r="G60" s="17"/>
      <c r="H60" s="17"/>
      <c r="I60" s="40"/>
      <c r="J60" s="40"/>
      <c r="K60" s="17"/>
      <c r="L60" s="17"/>
      <c r="M60" s="17"/>
      <c r="N60" s="40"/>
      <c r="O60" s="53"/>
      <c r="P60" s="17"/>
      <c r="Q60" s="40"/>
      <c r="R60" s="40"/>
      <c r="S60" s="40"/>
      <c r="T60" s="41"/>
      <c r="U60" s="41"/>
      <c r="V60" s="41"/>
      <c r="W60" s="41"/>
      <c r="X60" s="41"/>
      <c r="Y60" s="41"/>
      <c r="Z60" s="41"/>
      <c r="AA60" s="54"/>
      <c r="AB60" s="43"/>
      <c r="AC60" s="44"/>
      <c r="AD60" s="17"/>
      <c r="AE60"/>
    </row>
    <row r="61" spans="1:31" ht="13">
      <c r="A61" s="38"/>
      <c r="B61" s="45"/>
      <c r="C61" s="46"/>
      <c r="D61" s="47"/>
      <c r="E61" s="47"/>
      <c r="F61" s="47"/>
      <c r="G61" s="47"/>
      <c r="H61" s="47"/>
      <c r="I61" s="46"/>
      <c r="J61" s="46"/>
      <c r="K61" s="47"/>
      <c r="L61" s="47"/>
      <c r="M61" s="47"/>
      <c r="N61" s="46"/>
      <c r="O61" s="48"/>
      <c r="P61" s="47"/>
      <c r="Q61" s="46"/>
      <c r="R61" s="46"/>
      <c r="S61" s="46"/>
      <c r="T61" s="49"/>
      <c r="U61" s="49"/>
      <c r="V61" s="49"/>
      <c r="W61" s="49"/>
      <c r="X61" s="49"/>
      <c r="Y61" s="49"/>
      <c r="Z61" s="49"/>
      <c r="AA61" s="50"/>
      <c r="AB61" s="51"/>
      <c r="AC61" s="52"/>
      <c r="AD61" s="47"/>
      <c r="AE61"/>
    </row>
    <row r="62" spans="1:31" ht="13">
      <c r="A62" s="38"/>
      <c r="B62" s="39"/>
      <c r="C62" s="40"/>
      <c r="D62" s="17"/>
      <c r="E62" s="17"/>
      <c r="F62" s="17"/>
      <c r="G62" s="17"/>
      <c r="H62" s="17"/>
      <c r="I62" s="40"/>
      <c r="J62" s="40"/>
      <c r="K62" s="17"/>
      <c r="L62" s="17"/>
      <c r="M62" s="17"/>
      <c r="N62" s="40"/>
      <c r="O62" s="53"/>
      <c r="P62" s="17"/>
      <c r="Q62" s="40"/>
      <c r="R62" s="40"/>
      <c r="S62" s="40"/>
      <c r="T62" s="41"/>
      <c r="U62" s="41"/>
      <c r="V62" s="41"/>
      <c r="W62" s="41"/>
      <c r="X62" s="41"/>
      <c r="Y62" s="41"/>
      <c r="Z62" s="41"/>
      <c r="AA62" s="54"/>
      <c r="AB62" s="43"/>
      <c r="AC62" s="44"/>
      <c r="AD62" s="17"/>
      <c r="AE62"/>
    </row>
    <row r="63" spans="1:31" ht="13">
      <c r="A63" s="38"/>
      <c r="B63" s="39"/>
      <c r="C63" s="40"/>
      <c r="D63" s="17"/>
      <c r="E63" s="17"/>
      <c r="F63" s="17"/>
      <c r="G63" s="17"/>
      <c r="H63" s="17"/>
      <c r="I63" s="40"/>
      <c r="J63" s="40"/>
      <c r="K63" s="17"/>
      <c r="L63" s="17"/>
      <c r="M63" s="17"/>
      <c r="N63" s="40"/>
      <c r="O63" s="53"/>
      <c r="P63" s="17"/>
      <c r="Q63" s="40"/>
      <c r="R63" s="40"/>
      <c r="S63" s="40"/>
      <c r="T63" s="41"/>
      <c r="U63" s="41"/>
      <c r="V63" s="41"/>
      <c r="W63" s="41"/>
      <c r="X63" s="41"/>
      <c r="Y63" s="41"/>
      <c r="Z63" s="41"/>
      <c r="AA63" s="54"/>
      <c r="AB63" s="43"/>
      <c r="AC63" s="44"/>
      <c r="AD63" s="17"/>
      <c r="AE63"/>
    </row>
    <row r="64" spans="1:31" ht="13">
      <c r="A64" s="55"/>
      <c r="B64" s="56"/>
      <c r="C64" s="46"/>
      <c r="D64" s="47"/>
      <c r="E64" s="47"/>
      <c r="F64" s="47"/>
      <c r="G64" s="47"/>
      <c r="H64" s="47"/>
      <c r="I64" s="46"/>
      <c r="J64" s="46"/>
      <c r="K64" s="47"/>
      <c r="L64" s="47"/>
      <c r="M64" s="47"/>
      <c r="N64" s="46"/>
      <c r="O64" s="48"/>
      <c r="P64" s="47"/>
      <c r="Q64" s="46"/>
      <c r="R64" s="46"/>
      <c r="S64" s="46"/>
      <c r="T64" s="49"/>
      <c r="U64" s="49"/>
      <c r="V64" s="49"/>
      <c r="W64" s="49"/>
      <c r="X64" s="49"/>
      <c r="Y64" s="49"/>
      <c r="Z64" s="49"/>
      <c r="AA64" s="50"/>
      <c r="AB64" s="43"/>
      <c r="AC64" s="44"/>
      <c r="AD64" s="47"/>
      <c r="AE64"/>
    </row>
    <row r="65" spans="1:31" ht="13">
      <c r="A65" s="36"/>
      <c r="B65" s="24"/>
      <c r="C65" s="18"/>
      <c r="D65" s="12"/>
      <c r="E65" s="12"/>
      <c r="F65" s="12"/>
      <c r="G65" s="12"/>
      <c r="H65" s="12"/>
      <c r="I65" s="18"/>
      <c r="J65" s="18"/>
      <c r="K65" s="12"/>
      <c r="L65" s="12"/>
      <c r="M65" s="12"/>
      <c r="N65" s="18"/>
      <c r="O65" s="18"/>
      <c r="P65" s="12"/>
      <c r="Q65" s="18"/>
      <c r="R65" s="18"/>
      <c r="S65" s="18"/>
      <c r="T65" s="20"/>
      <c r="U65" s="20"/>
      <c r="V65" s="20"/>
      <c r="W65" s="20"/>
      <c r="X65" s="20"/>
      <c r="Y65" s="20"/>
      <c r="Z65" s="20"/>
      <c r="AA65" s="37"/>
      <c r="AB65" s="22"/>
      <c r="AC65" s="23"/>
      <c r="AD65" s="17"/>
      <c r="AE65"/>
    </row>
    <row r="66" spans="1:31" ht="13">
      <c r="A66" s="38"/>
      <c r="B66" s="39"/>
      <c r="C66" s="40"/>
      <c r="D66" s="17"/>
      <c r="E66" s="17"/>
      <c r="F66" s="17"/>
      <c r="G66" s="17"/>
      <c r="H66" s="17"/>
      <c r="I66" s="40"/>
      <c r="J66" s="40"/>
      <c r="K66" s="17"/>
      <c r="L66" s="17"/>
      <c r="M66" s="17"/>
      <c r="N66" s="40"/>
      <c r="O66" s="40"/>
      <c r="P66" s="17"/>
      <c r="Q66" s="40"/>
      <c r="R66" s="40"/>
      <c r="S66" s="40"/>
      <c r="T66" s="41"/>
      <c r="U66" s="41"/>
      <c r="V66" s="41"/>
      <c r="W66" s="41"/>
      <c r="X66" s="41"/>
      <c r="Y66" s="41"/>
      <c r="Z66" s="41"/>
      <c r="AA66" s="42"/>
      <c r="AB66" s="43"/>
      <c r="AC66" s="44"/>
      <c r="AD66" s="17"/>
      <c r="AE66"/>
    </row>
    <row r="67" spans="1:31" ht="13">
      <c r="A67" s="38"/>
      <c r="B67" s="45"/>
      <c r="C67" s="46"/>
      <c r="D67" s="47"/>
      <c r="E67" s="47"/>
      <c r="F67" s="47"/>
      <c r="G67" s="47"/>
      <c r="H67" s="47"/>
      <c r="I67" s="46"/>
      <c r="J67" s="46"/>
      <c r="K67" s="47"/>
      <c r="L67" s="47"/>
      <c r="M67" s="47"/>
      <c r="N67" s="46"/>
      <c r="O67" s="48"/>
      <c r="P67" s="47"/>
      <c r="Q67" s="46"/>
      <c r="R67" s="46"/>
      <c r="S67" s="46"/>
      <c r="T67" s="49"/>
      <c r="U67" s="49"/>
      <c r="V67" s="49"/>
      <c r="W67" s="49"/>
      <c r="X67" s="49"/>
      <c r="Y67" s="49"/>
      <c r="Z67" s="49"/>
      <c r="AA67" s="50"/>
      <c r="AB67" s="51"/>
      <c r="AC67" s="52"/>
      <c r="AD67" s="47"/>
      <c r="AE67"/>
    </row>
    <row r="68" spans="1:31" ht="13">
      <c r="A68" s="38"/>
      <c r="B68" s="39"/>
      <c r="C68" s="40"/>
      <c r="D68" s="17"/>
      <c r="E68" s="17"/>
      <c r="F68" s="17"/>
      <c r="G68" s="17"/>
      <c r="H68" s="17"/>
      <c r="I68" s="40"/>
      <c r="J68" s="40"/>
      <c r="K68" s="17"/>
      <c r="L68" s="17"/>
      <c r="M68" s="17"/>
      <c r="N68" s="40"/>
      <c r="O68" s="53"/>
      <c r="P68" s="17"/>
      <c r="Q68" s="40"/>
      <c r="R68" s="40"/>
      <c r="S68" s="40"/>
      <c r="T68" s="41"/>
      <c r="U68" s="41"/>
      <c r="V68" s="41"/>
      <c r="W68" s="41"/>
      <c r="X68" s="41"/>
      <c r="Y68" s="41"/>
      <c r="Z68" s="41"/>
      <c r="AA68" s="54"/>
      <c r="AB68" s="43"/>
      <c r="AC68" s="44"/>
      <c r="AD68" s="17"/>
      <c r="AE68"/>
    </row>
    <row r="69" spans="1:31" ht="13">
      <c r="A69" s="38"/>
      <c r="B69" s="39"/>
      <c r="C69" s="40"/>
      <c r="D69" s="17"/>
      <c r="E69" s="17"/>
      <c r="F69" s="17"/>
      <c r="G69" s="17"/>
      <c r="H69" s="17"/>
      <c r="I69" s="40"/>
      <c r="J69" s="40"/>
      <c r="K69" s="17"/>
      <c r="L69" s="17"/>
      <c r="M69" s="17"/>
      <c r="N69" s="40"/>
      <c r="O69" s="53"/>
      <c r="P69" s="17"/>
      <c r="Q69" s="40"/>
      <c r="R69" s="40"/>
      <c r="S69" s="40"/>
      <c r="T69" s="41"/>
      <c r="U69" s="41"/>
      <c r="V69" s="41"/>
      <c r="W69" s="41"/>
      <c r="X69" s="41"/>
      <c r="Y69" s="41"/>
      <c r="Z69" s="41"/>
      <c r="AA69" s="54"/>
      <c r="AB69" s="43"/>
      <c r="AC69" s="44"/>
      <c r="AD69" s="17"/>
      <c r="AE69"/>
    </row>
    <row r="70" spans="1:31" ht="13">
      <c r="A70" s="38"/>
      <c r="B70" s="45"/>
      <c r="C70" s="46"/>
      <c r="D70" s="47"/>
      <c r="E70" s="47"/>
      <c r="F70" s="47"/>
      <c r="G70" s="47"/>
      <c r="H70" s="47"/>
      <c r="I70" s="46"/>
      <c r="J70" s="46"/>
      <c r="K70" s="47"/>
      <c r="L70" s="47"/>
      <c r="M70" s="47"/>
      <c r="N70" s="46"/>
      <c r="O70" s="48"/>
      <c r="P70" s="47"/>
      <c r="Q70" s="46"/>
      <c r="R70" s="46"/>
      <c r="S70" s="46"/>
      <c r="T70" s="49"/>
      <c r="U70" s="49"/>
      <c r="V70" s="49"/>
      <c r="W70" s="49"/>
      <c r="X70" s="49"/>
      <c r="Y70" s="49"/>
      <c r="Z70" s="49"/>
      <c r="AA70" s="50"/>
      <c r="AB70" s="51"/>
      <c r="AC70" s="52"/>
      <c r="AD70" s="47"/>
      <c r="AE70"/>
    </row>
    <row r="71" spans="1:31" ht="13">
      <c r="A71" s="38"/>
      <c r="B71" s="39"/>
      <c r="C71" s="40"/>
      <c r="D71" s="17"/>
      <c r="E71" s="17"/>
      <c r="F71" s="17"/>
      <c r="G71" s="17"/>
      <c r="H71" s="17"/>
      <c r="I71" s="40"/>
      <c r="J71" s="40"/>
      <c r="K71" s="17"/>
      <c r="L71" s="17"/>
      <c r="M71" s="17"/>
      <c r="N71" s="40"/>
      <c r="O71" s="53"/>
      <c r="P71" s="17"/>
      <c r="Q71" s="40"/>
      <c r="R71" s="40"/>
      <c r="S71" s="40"/>
      <c r="T71" s="41"/>
      <c r="U71" s="41"/>
      <c r="V71" s="41"/>
      <c r="W71" s="41"/>
      <c r="X71" s="41"/>
      <c r="Y71" s="41"/>
      <c r="Z71" s="41"/>
      <c r="AA71" s="54"/>
      <c r="AB71" s="43"/>
      <c r="AC71" s="44"/>
      <c r="AD71" s="17"/>
      <c r="AE71"/>
    </row>
    <row r="72" spans="1:31" ht="13">
      <c r="A72" s="38"/>
      <c r="B72" s="39"/>
      <c r="C72" s="40"/>
      <c r="D72" s="17"/>
      <c r="E72" s="17"/>
      <c r="F72" s="17"/>
      <c r="G72" s="17"/>
      <c r="H72" s="17"/>
      <c r="I72" s="40"/>
      <c r="J72" s="40"/>
      <c r="K72" s="17"/>
      <c r="L72" s="17"/>
      <c r="M72" s="17"/>
      <c r="N72" s="40"/>
      <c r="O72" s="53"/>
      <c r="P72" s="17"/>
      <c r="Q72" s="40"/>
      <c r="R72" s="40"/>
      <c r="S72" s="40"/>
      <c r="T72" s="41"/>
      <c r="U72" s="41"/>
      <c r="V72" s="41"/>
      <c r="W72" s="41"/>
      <c r="X72" s="41"/>
      <c r="Y72" s="41"/>
      <c r="Z72" s="41"/>
      <c r="AA72" s="54"/>
      <c r="AB72" s="43"/>
      <c r="AC72" s="44"/>
      <c r="AD72" s="17"/>
      <c r="AE72"/>
    </row>
    <row r="73" spans="1:31" ht="13">
      <c r="A73" s="38"/>
      <c r="B73" s="45"/>
      <c r="C73" s="46"/>
      <c r="D73" s="47"/>
      <c r="E73" s="47"/>
      <c r="F73" s="47"/>
      <c r="G73" s="47"/>
      <c r="H73" s="47"/>
      <c r="I73" s="46"/>
      <c r="J73" s="46"/>
      <c r="K73" s="47"/>
      <c r="L73" s="47"/>
      <c r="M73" s="47"/>
      <c r="N73" s="46"/>
      <c r="O73" s="48"/>
      <c r="P73" s="47"/>
      <c r="Q73" s="46"/>
      <c r="R73" s="46"/>
      <c r="S73" s="46"/>
      <c r="T73" s="49"/>
      <c r="U73" s="49"/>
      <c r="V73" s="49"/>
      <c r="W73" s="49"/>
      <c r="X73" s="49"/>
      <c r="Y73" s="49"/>
      <c r="Z73" s="49"/>
      <c r="AA73" s="50"/>
      <c r="AB73" s="51"/>
      <c r="AC73" s="52"/>
      <c r="AD73" s="47"/>
      <c r="AE73"/>
    </row>
    <row r="74" spans="1:31" ht="13">
      <c r="A74" s="38"/>
      <c r="B74" s="39"/>
      <c r="C74" s="40"/>
      <c r="D74" s="17"/>
      <c r="E74" s="17"/>
      <c r="F74" s="17"/>
      <c r="G74" s="17"/>
      <c r="H74" s="17"/>
      <c r="I74" s="40"/>
      <c r="J74" s="40"/>
      <c r="K74" s="17"/>
      <c r="L74" s="17"/>
      <c r="M74" s="17"/>
      <c r="N74" s="40"/>
      <c r="O74" s="53"/>
      <c r="P74" s="17"/>
      <c r="Q74" s="40"/>
      <c r="R74" s="40"/>
      <c r="S74" s="40"/>
      <c r="T74" s="41"/>
      <c r="U74" s="41"/>
      <c r="V74" s="41"/>
      <c r="W74" s="41"/>
      <c r="X74" s="41"/>
      <c r="Y74" s="41"/>
      <c r="Z74" s="41"/>
      <c r="AA74" s="54"/>
      <c r="AB74" s="43"/>
      <c r="AC74" s="44"/>
      <c r="AD74" s="17"/>
      <c r="AE74"/>
    </row>
    <row r="75" spans="1:31" ht="13">
      <c r="A75" s="38"/>
      <c r="B75" s="39"/>
      <c r="C75" s="40"/>
      <c r="D75" s="17"/>
      <c r="E75" s="17"/>
      <c r="F75" s="17"/>
      <c r="G75" s="17"/>
      <c r="H75" s="17"/>
      <c r="I75" s="40"/>
      <c r="J75" s="40"/>
      <c r="K75" s="17"/>
      <c r="L75" s="17"/>
      <c r="M75" s="17"/>
      <c r="N75" s="40"/>
      <c r="O75" s="53"/>
      <c r="P75" s="17"/>
      <c r="Q75" s="40"/>
      <c r="R75" s="40"/>
      <c r="S75" s="40"/>
      <c r="T75" s="41"/>
      <c r="U75" s="41"/>
      <c r="V75" s="41"/>
      <c r="W75" s="41"/>
      <c r="X75" s="41"/>
      <c r="Y75" s="41"/>
      <c r="Z75" s="41"/>
      <c r="AA75" s="54"/>
      <c r="AB75" s="43"/>
      <c r="AC75" s="44"/>
      <c r="AD75" s="17"/>
      <c r="AE75"/>
    </row>
    <row r="76" spans="1:31" ht="13">
      <c r="A76" s="55"/>
      <c r="B76" s="56"/>
      <c r="C76" s="46"/>
      <c r="D76" s="47"/>
      <c r="E76" s="47"/>
      <c r="F76" s="47"/>
      <c r="G76" s="47"/>
      <c r="H76" s="47"/>
      <c r="I76" s="46"/>
      <c r="J76" s="46"/>
      <c r="K76" s="47"/>
      <c r="L76" s="47"/>
      <c r="M76" s="47"/>
      <c r="N76" s="46"/>
      <c r="O76" s="48"/>
      <c r="P76" s="47"/>
      <c r="Q76" s="46"/>
      <c r="R76" s="46"/>
      <c r="S76" s="46"/>
      <c r="T76" s="49"/>
      <c r="U76" s="49"/>
      <c r="V76" s="49"/>
      <c r="W76" s="49"/>
      <c r="X76" s="49"/>
      <c r="Y76" s="49"/>
      <c r="Z76" s="49"/>
      <c r="AA76" s="50"/>
      <c r="AB76" s="43"/>
      <c r="AC76" s="44"/>
      <c r="AD76" s="47"/>
      <c r="AE76"/>
    </row>
    <row r="77" spans="1:31" ht="13">
      <c r="A77" s="36"/>
      <c r="B77" s="24"/>
      <c r="C77" s="18"/>
      <c r="D77" s="12"/>
      <c r="E77" s="12"/>
      <c r="F77" s="12"/>
      <c r="G77" s="12"/>
      <c r="H77" s="12"/>
      <c r="I77" s="18"/>
      <c r="J77" s="18"/>
      <c r="K77" s="12"/>
      <c r="L77" s="12"/>
      <c r="M77" s="12"/>
      <c r="N77" s="18"/>
      <c r="O77" s="18"/>
      <c r="P77" s="12"/>
      <c r="Q77" s="18"/>
      <c r="R77" s="18"/>
      <c r="S77" s="18"/>
      <c r="T77" s="20"/>
      <c r="U77" s="20"/>
      <c r="V77" s="20"/>
      <c r="W77" s="20"/>
      <c r="X77" s="20"/>
      <c r="Y77" s="20"/>
      <c r="Z77" s="20"/>
      <c r="AA77" s="37"/>
      <c r="AB77" s="22"/>
      <c r="AC77" s="23"/>
      <c r="AD77" s="17"/>
      <c r="AE77"/>
    </row>
    <row r="78" spans="1:31" ht="13">
      <c r="A78" s="38"/>
      <c r="B78" s="39"/>
      <c r="C78" s="40"/>
      <c r="D78" s="17"/>
      <c r="E78" s="17"/>
      <c r="F78" s="17"/>
      <c r="G78" s="17"/>
      <c r="H78" s="17"/>
      <c r="I78" s="40"/>
      <c r="J78" s="40"/>
      <c r="K78" s="17"/>
      <c r="L78" s="17"/>
      <c r="M78" s="17"/>
      <c r="N78" s="40"/>
      <c r="O78" s="40"/>
      <c r="P78" s="17"/>
      <c r="Q78" s="40"/>
      <c r="R78" s="40"/>
      <c r="S78" s="40"/>
      <c r="T78" s="41"/>
      <c r="U78" s="41"/>
      <c r="V78" s="41"/>
      <c r="W78" s="41"/>
      <c r="X78" s="41"/>
      <c r="Y78" s="41"/>
      <c r="Z78" s="41"/>
      <c r="AA78" s="42"/>
      <c r="AB78" s="43"/>
      <c r="AC78" s="44"/>
      <c r="AD78" s="17"/>
      <c r="AE78"/>
    </row>
    <row r="79" spans="1:31" ht="13">
      <c r="A79" s="38"/>
      <c r="B79" s="45"/>
      <c r="C79" s="46"/>
      <c r="D79" s="47"/>
      <c r="E79" s="47"/>
      <c r="F79" s="47"/>
      <c r="G79" s="47"/>
      <c r="H79" s="47"/>
      <c r="I79" s="46"/>
      <c r="J79" s="46"/>
      <c r="K79" s="47"/>
      <c r="L79" s="47"/>
      <c r="M79" s="47"/>
      <c r="N79" s="46"/>
      <c r="O79" s="48"/>
      <c r="P79" s="47"/>
      <c r="Q79" s="46"/>
      <c r="R79" s="46"/>
      <c r="S79" s="46"/>
      <c r="T79" s="49"/>
      <c r="U79" s="49"/>
      <c r="V79" s="49"/>
      <c r="W79" s="49"/>
      <c r="X79" s="49"/>
      <c r="Y79" s="49"/>
      <c r="Z79" s="49"/>
      <c r="AA79" s="50"/>
      <c r="AB79" s="51"/>
      <c r="AC79" s="52"/>
      <c r="AD79" s="47"/>
      <c r="AE79"/>
    </row>
    <row r="80" spans="1:31" ht="13">
      <c r="A80" s="38"/>
      <c r="B80" s="39"/>
      <c r="C80" s="40"/>
      <c r="D80" s="17"/>
      <c r="E80" s="17"/>
      <c r="F80" s="17"/>
      <c r="G80" s="17"/>
      <c r="H80" s="17"/>
      <c r="I80" s="40"/>
      <c r="J80" s="40"/>
      <c r="K80" s="17"/>
      <c r="L80" s="57"/>
      <c r="M80" s="17"/>
      <c r="N80" s="58"/>
      <c r="O80" s="53"/>
      <c r="P80" s="17"/>
      <c r="Q80" s="40"/>
      <c r="R80" s="40"/>
      <c r="S80" s="40"/>
      <c r="T80" s="41"/>
      <c r="U80" s="41"/>
      <c r="V80" s="41"/>
      <c r="W80" s="41"/>
      <c r="X80" s="41"/>
      <c r="Y80" s="41"/>
      <c r="Z80" s="41"/>
      <c r="AA80" s="54"/>
      <c r="AB80" s="43"/>
      <c r="AC80" s="44"/>
      <c r="AD80" s="17"/>
      <c r="AE80"/>
    </row>
    <row r="81" spans="1:31" ht="13">
      <c r="A81" s="38"/>
      <c r="B81" s="39"/>
      <c r="C81" s="40"/>
      <c r="D81" s="17"/>
      <c r="E81" s="17"/>
      <c r="F81" s="17"/>
      <c r="G81" s="17"/>
      <c r="H81" s="17"/>
      <c r="I81" s="40"/>
      <c r="J81" s="40"/>
      <c r="K81" s="17"/>
      <c r="L81" s="17"/>
      <c r="M81" s="17"/>
      <c r="N81" s="40"/>
      <c r="O81" s="53"/>
      <c r="P81" s="17"/>
      <c r="Q81" s="40"/>
      <c r="R81" s="40"/>
      <c r="S81" s="40"/>
      <c r="T81" s="41"/>
      <c r="U81" s="41"/>
      <c r="V81" s="41"/>
      <c r="W81" s="41"/>
      <c r="X81" s="41"/>
      <c r="Y81" s="41"/>
      <c r="Z81" s="41"/>
      <c r="AA81" s="54"/>
      <c r="AB81" s="43"/>
      <c r="AC81" s="44"/>
      <c r="AD81" s="17"/>
      <c r="AE81"/>
    </row>
    <row r="82" spans="1:31" ht="13">
      <c r="A82" s="38"/>
      <c r="B82" s="45"/>
      <c r="C82" s="46"/>
      <c r="D82" s="47"/>
      <c r="E82" s="47"/>
      <c r="F82" s="47"/>
      <c r="G82" s="47"/>
      <c r="H82" s="47"/>
      <c r="I82" s="46"/>
      <c r="J82" s="46"/>
      <c r="K82" s="47"/>
      <c r="L82" s="47"/>
      <c r="M82" s="47"/>
      <c r="N82" s="46"/>
      <c r="O82" s="48"/>
      <c r="P82" s="47"/>
      <c r="Q82" s="46"/>
      <c r="R82" s="46"/>
      <c r="S82" s="46"/>
      <c r="T82" s="49"/>
      <c r="U82" s="49"/>
      <c r="V82" s="49"/>
      <c r="W82" s="49"/>
      <c r="X82" s="49"/>
      <c r="Y82" s="49"/>
      <c r="Z82" s="49"/>
      <c r="AA82" s="50"/>
      <c r="AB82" s="51"/>
      <c r="AC82" s="52"/>
      <c r="AD82" s="47"/>
      <c r="AE82"/>
    </row>
    <row r="83" spans="1:31" ht="13">
      <c r="A83" s="38"/>
      <c r="B83" s="39"/>
      <c r="C83" s="40"/>
      <c r="D83" s="17"/>
      <c r="E83" s="17"/>
      <c r="F83" s="17"/>
      <c r="G83" s="17"/>
      <c r="H83" s="17"/>
      <c r="I83" s="40"/>
      <c r="J83" s="40"/>
      <c r="K83" s="17"/>
      <c r="L83" s="17"/>
      <c r="M83" s="17"/>
      <c r="N83" s="40"/>
      <c r="O83" s="53"/>
      <c r="P83" s="17"/>
      <c r="Q83" s="40"/>
      <c r="R83" s="40"/>
      <c r="S83" s="40"/>
      <c r="T83" s="41"/>
      <c r="U83" s="41"/>
      <c r="V83" s="41"/>
      <c r="W83" s="41"/>
      <c r="X83" s="41"/>
      <c r="Y83" s="41"/>
      <c r="Z83" s="41"/>
      <c r="AA83" s="54"/>
      <c r="AB83" s="43"/>
      <c r="AC83" s="44"/>
      <c r="AD83" s="17"/>
      <c r="AE83"/>
    </row>
    <row r="84" spans="1:31" ht="13">
      <c r="A84" s="38"/>
      <c r="B84" s="39"/>
      <c r="C84" s="40"/>
      <c r="D84" s="17"/>
      <c r="E84" s="17"/>
      <c r="F84" s="17"/>
      <c r="G84" s="17"/>
      <c r="H84" s="17"/>
      <c r="I84" s="40"/>
      <c r="J84" s="40"/>
      <c r="K84" s="17"/>
      <c r="L84" s="17"/>
      <c r="M84" s="17"/>
      <c r="N84" s="40"/>
      <c r="O84" s="53"/>
      <c r="P84" s="17"/>
      <c r="Q84" s="40"/>
      <c r="R84" s="40"/>
      <c r="S84" s="40"/>
      <c r="T84" s="41"/>
      <c r="U84" s="41"/>
      <c r="V84" s="41"/>
      <c r="W84" s="41"/>
      <c r="X84" s="41"/>
      <c r="Y84" s="41"/>
      <c r="Z84" s="41"/>
      <c r="AA84" s="54"/>
      <c r="AB84" s="43"/>
      <c r="AC84" s="44"/>
      <c r="AD84" s="17"/>
      <c r="AE84"/>
    </row>
    <row r="85" spans="1:31" ht="13">
      <c r="A85" s="38"/>
      <c r="B85" s="45"/>
      <c r="C85" s="46"/>
      <c r="D85" s="47"/>
      <c r="E85" s="47"/>
      <c r="F85" s="47"/>
      <c r="G85" s="47"/>
      <c r="H85" s="47"/>
      <c r="I85" s="46"/>
      <c r="J85" s="46"/>
      <c r="K85" s="47"/>
      <c r="L85" s="47"/>
      <c r="M85" s="47"/>
      <c r="N85" s="46"/>
      <c r="O85" s="48"/>
      <c r="P85" s="47"/>
      <c r="Q85" s="46"/>
      <c r="R85" s="46"/>
      <c r="S85" s="46"/>
      <c r="T85" s="49"/>
      <c r="U85" s="49"/>
      <c r="V85" s="49"/>
      <c r="W85" s="49"/>
      <c r="X85" s="49"/>
      <c r="Y85" s="49"/>
      <c r="Z85" s="49"/>
      <c r="AA85" s="50"/>
      <c r="AB85" s="51"/>
      <c r="AC85" s="52"/>
      <c r="AD85" s="47"/>
      <c r="AE85"/>
    </row>
    <row r="86" spans="1:31" ht="13">
      <c r="A86" s="38"/>
      <c r="B86" s="39"/>
      <c r="C86" s="40"/>
      <c r="D86" s="17"/>
      <c r="E86" s="17"/>
      <c r="F86" s="17"/>
      <c r="G86" s="17"/>
      <c r="H86" s="17"/>
      <c r="I86" s="40"/>
      <c r="J86" s="40"/>
      <c r="K86" s="17"/>
      <c r="L86" s="17"/>
      <c r="M86" s="17"/>
      <c r="N86" s="40"/>
      <c r="O86" s="53"/>
      <c r="P86" s="17"/>
      <c r="Q86" s="40"/>
      <c r="R86" s="40"/>
      <c r="S86" s="40"/>
      <c r="T86" s="41"/>
      <c r="U86" s="41"/>
      <c r="V86" s="41"/>
      <c r="W86" s="41"/>
      <c r="X86" s="41"/>
      <c r="Y86" s="41"/>
      <c r="Z86" s="41"/>
      <c r="AA86" s="54"/>
      <c r="AB86" s="43"/>
      <c r="AC86" s="44"/>
      <c r="AD86" s="17"/>
      <c r="AE86"/>
    </row>
    <row r="87" spans="1:31" ht="13">
      <c r="A87" s="38"/>
      <c r="B87" s="39"/>
      <c r="C87" s="40"/>
      <c r="D87" s="17"/>
      <c r="E87" s="17"/>
      <c r="F87" s="17"/>
      <c r="G87" s="17"/>
      <c r="H87" s="17"/>
      <c r="I87" s="40"/>
      <c r="J87" s="40"/>
      <c r="K87" s="17"/>
      <c r="L87" s="17"/>
      <c r="M87" s="17"/>
      <c r="N87" s="40"/>
      <c r="O87" s="53"/>
      <c r="P87" s="17"/>
      <c r="Q87" s="40"/>
      <c r="R87" s="40"/>
      <c r="S87" s="40"/>
      <c r="T87" s="41"/>
      <c r="U87" s="41"/>
      <c r="V87" s="41"/>
      <c r="W87" s="41"/>
      <c r="X87" s="41"/>
      <c r="Y87" s="41"/>
      <c r="Z87" s="41"/>
      <c r="AA87" s="54"/>
      <c r="AB87" s="43"/>
      <c r="AC87" s="44"/>
      <c r="AD87" s="17"/>
      <c r="AE87"/>
    </row>
    <row r="88" spans="1:31" ht="13">
      <c r="A88" s="55"/>
      <c r="B88" s="56"/>
      <c r="C88" s="46"/>
      <c r="D88" s="47"/>
      <c r="E88" s="47"/>
      <c r="F88" s="47"/>
      <c r="G88" s="47"/>
      <c r="H88" s="47"/>
      <c r="I88" s="46"/>
      <c r="J88" s="46"/>
      <c r="K88" s="47"/>
      <c r="L88" s="47"/>
      <c r="M88" s="47"/>
      <c r="N88" s="46"/>
      <c r="O88" s="48"/>
      <c r="P88" s="47"/>
      <c r="Q88" s="46"/>
      <c r="R88" s="46"/>
      <c r="S88" s="46"/>
      <c r="T88" s="49"/>
      <c r="U88" s="49"/>
      <c r="V88" s="49"/>
      <c r="W88" s="49"/>
      <c r="X88" s="49"/>
      <c r="Y88" s="49"/>
      <c r="Z88" s="49"/>
      <c r="AA88" s="50"/>
      <c r="AB88" s="43"/>
      <c r="AC88" s="44"/>
      <c r="AD88" s="47"/>
      <c r="AE88"/>
    </row>
    <row r="89" spans="1:31" ht="13">
      <c r="A89" s="36"/>
      <c r="B89" s="24"/>
      <c r="C89" s="18"/>
      <c r="D89" s="12"/>
      <c r="E89" s="12"/>
      <c r="F89" s="12"/>
      <c r="G89" s="12"/>
      <c r="H89" s="12"/>
      <c r="I89" s="18"/>
      <c r="J89" s="18"/>
      <c r="K89" s="12"/>
      <c r="L89" s="12"/>
      <c r="M89" s="12"/>
      <c r="N89" s="18"/>
      <c r="O89" s="18"/>
      <c r="P89" s="12"/>
      <c r="Q89" s="18"/>
      <c r="R89" s="18"/>
      <c r="S89" s="18"/>
      <c r="T89" s="20"/>
      <c r="U89" s="20"/>
      <c r="V89" s="20"/>
      <c r="W89" s="20"/>
      <c r="X89" s="20"/>
      <c r="Y89" s="20"/>
      <c r="Z89" s="20"/>
      <c r="AA89" s="37"/>
      <c r="AB89" s="22"/>
      <c r="AC89" s="23"/>
      <c r="AD89" s="17"/>
      <c r="AE89"/>
    </row>
    <row r="90" spans="1:31" ht="13">
      <c r="A90" s="38"/>
      <c r="B90" s="39"/>
      <c r="C90" s="40"/>
      <c r="D90" s="17"/>
      <c r="E90" s="17"/>
      <c r="F90" s="17"/>
      <c r="G90" s="17"/>
      <c r="H90" s="17"/>
      <c r="I90" s="40"/>
      <c r="J90" s="40"/>
      <c r="K90" s="17"/>
      <c r="L90" s="17"/>
      <c r="M90" s="17"/>
      <c r="N90" s="40"/>
      <c r="O90" s="40"/>
      <c r="P90" s="17"/>
      <c r="Q90" s="40"/>
      <c r="R90" s="40"/>
      <c r="S90" s="40"/>
      <c r="T90" s="41"/>
      <c r="U90" s="41"/>
      <c r="V90" s="41"/>
      <c r="W90" s="41"/>
      <c r="X90" s="41"/>
      <c r="Y90" s="41"/>
      <c r="Z90" s="41"/>
      <c r="AA90" s="42"/>
      <c r="AB90" s="43"/>
      <c r="AC90" s="44"/>
      <c r="AD90" s="17"/>
      <c r="AE90"/>
    </row>
    <row r="91" spans="1:31" ht="13">
      <c r="A91" s="38"/>
      <c r="B91" s="45"/>
      <c r="C91" s="46"/>
      <c r="D91" s="47"/>
      <c r="E91" s="47"/>
      <c r="F91" s="47"/>
      <c r="G91" s="47"/>
      <c r="H91" s="47"/>
      <c r="I91" s="46"/>
      <c r="J91" s="46"/>
      <c r="K91" s="47"/>
      <c r="L91" s="47"/>
      <c r="M91" s="47"/>
      <c r="N91" s="46"/>
      <c r="O91" s="48"/>
      <c r="P91" s="47"/>
      <c r="Q91" s="46"/>
      <c r="R91" s="46"/>
      <c r="S91" s="46"/>
      <c r="T91" s="49"/>
      <c r="U91" s="49"/>
      <c r="V91" s="49"/>
      <c r="W91" s="49"/>
      <c r="X91" s="49"/>
      <c r="Y91" s="49"/>
      <c r="Z91" s="49"/>
      <c r="AA91" s="50"/>
      <c r="AB91" s="51"/>
      <c r="AC91" s="52"/>
      <c r="AD91" s="47"/>
      <c r="AE91"/>
    </row>
    <row r="92" spans="1:31" ht="13">
      <c r="A92" s="38"/>
      <c r="B92" s="39"/>
      <c r="C92" s="40"/>
      <c r="D92" s="17"/>
      <c r="E92" s="17"/>
      <c r="F92" s="17"/>
      <c r="G92" s="17"/>
      <c r="H92" s="17"/>
      <c r="I92" s="40"/>
      <c r="J92" s="40"/>
      <c r="K92" s="17"/>
      <c r="L92" s="17"/>
      <c r="M92" s="17"/>
      <c r="N92" s="40"/>
      <c r="O92" s="53"/>
      <c r="P92" s="17"/>
      <c r="Q92" s="40"/>
      <c r="R92" s="40"/>
      <c r="S92" s="40"/>
      <c r="T92" s="41"/>
      <c r="U92" s="41"/>
      <c r="V92" s="41"/>
      <c r="W92" s="41"/>
      <c r="X92" s="41"/>
      <c r="Y92" s="41"/>
      <c r="Z92" s="41"/>
      <c r="AA92" s="54"/>
      <c r="AB92" s="43"/>
      <c r="AC92" s="44"/>
      <c r="AD92" s="17"/>
      <c r="AE92"/>
    </row>
    <row r="93" spans="1:31" ht="13">
      <c r="A93" s="38"/>
      <c r="B93" s="39"/>
      <c r="C93" s="40"/>
      <c r="D93" s="17"/>
      <c r="E93" s="17"/>
      <c r="F93" s="17"/>
      <c r="G93" s="17"/>
      <c r="H93" s="17"/>
      <c r="I93" s="40"/>
      <c r="J93" s="40"/>
      <c r="K93" s="17"/>
      <c r="L93" s="17"/>
      <c r="M93" s="17"/>
      <c r="N93" s="40"/>
      <c r="O93" s="53"/>
      <c r="P93" s="17"/>
      <c r="Q93" s="40"/>
      <c r="R93" s="40"/>
      <c r="S93" s="40"/>
      <c r="T93" s="41"/>
      <c r="U93" s="41"/>
      <c r="V93" s="41"/>
      <c r="W93" s="41"/>
      <c r="X93" s="41"/>
      <c r="Y93" s="41"/>
      <c r="Z93" s="41"/>
      <c r="AA93" s="54"/>
      <c r="AB93" s="43"/>
      <c r="AC93" s="44"/>
      <c r="AD93" s="17"/>
      <c r="AE93"/>
    </row>
    <row r="94" spans="1:31" ht="13">
      <c r="A94" s="38"/>
      <c r="B94" s="45"/>
      <c r="C94" s="46"/>
      <c r="D94" s="47"/>
      <c r="E94" s="47"/>
      <c r="F94" s="47"/>
      <c r="G94" s="47"/>
      <c r="H94" s="47"/>
      <c r="I94" s="46"/>
      <c r="J94" s="46"/>
      <c r="K94" s="47"/>
      <c r="L94" s="47"/>
      <c r="M94" s="47"/>
      <c r="N94" s="46"/>
      <c r="O94" s="48"/>
      <c r="P94" s="47"/>
      <c r="Q94" s="46"/>
      <c r="R94" s="46"/>
      <c r="S94" s="46"/>
      <c r="T94" s="49"/>
      <c r="U94" s="49"/>
      <c r="V94" s="49"/>
      <c r="W94" s="49"/>
      <c r="X94" s="49"/>
      <c r="Y94" s="49"/>
      <c r="Z94" s="49"/>
      <c r="AA94" s="50"/>
      <c r="AB94" s="51"/>
      <c r="AC94" s="52"/>
      <c r="AD94" s="47"/>
      <c r="AE94"/>
    </row>
    <row r="95" spans="1:31" ht="13">
      <c r="A95" s="38"/>
      <c r="B95" s="39"/>
      <c r="C95" s="40"/>
      <c r="D95" s="17"/>
      <c r="E95" s="17"/>
      <c r="F95" s="17"/>
      <c r="G95" s="17"/>
      <c r="H95" s="17"/>
      <c r="I95" s="40"/>
      <c r="J95" s="40"/>
      <c r="K95" s="17"/>
      <c r="L95" s="17"/>
      <c r="M95" s="17"/>
      <c r="N95" s="40"/>
      <c r="O95" s="53"/>
      <c r="P95" s="17"/>
      <c r="Q95" s="40"/>
      <c r="R95" s="40"/>
      <c r="S95" s="40"/>
      <c r="T95" s="41"/>
      <c r="U95" s="41"/>
      <c r="V95" s="41"/>
      <c r="W95" s="41"/>
      <c r="X95" s="41"/>
      <c r="Y95" s="41"/>
      <c r="Z95" s="41"/>
      <c r="AA95" s="54"/>
      <c r="AB95" s="43"/>
      <c r="AC95" s="44"/>
      <c r="AD95" s="17"/>
      <c r="AE95"/>
    </row>
    <row r="96" spans="1:31" ht="13">
      <c r="A96" s="38"/>
      <c r="B96" s="39"/>
      <c r="C96" s="40"/>
      <c r="D96" s="17"/>
      <c r="E96" s="17"/>
      <c r="F96" s="17"/>
      <c r="G96" s="17"/>
      <c r="H96" s="17"/>
      <c r="I96" s="40"/>
      <c r="J96" s="40"/>
      <c r="K96" s="17"/>
      <c r="L96" s="17"/>
      <c r="M96" s="17"/>
      <c r="N96" s="40"/>
      <c r="O96" s="53"/>
      <c r="P96" s="17"/>
      <c r="Q96" s="40"/>
      <c r="R96" s="40"/>
      <c r="S96" s="40"/>
      <c r="T96" s="41"/>
      <c r="U96" s="41"/>
      <c r="V96" s="41"/>
      <c r="W96" s="41"/>
      <c r="X96" s="41"/>
      <c r="Y96" s="41"/>
      <c r="Z96" s="41"/>
      <c r="AA96" s="54"/>
      <c r="AB96" s="43"/>
      <c r="AC96" s="44"/>
      <c r="AD96" s="17"/>
      <c r="AE96"/>
    </row>
    <row r="97" spans="1:31" ht="13">
      <c r="A97" s="38"/>
      <c r="B97" s="45"/>
      <c r="C97" s="46"/>
      <c r="D97" s="47"/>
      <c r="E97" s="47"/>
      <c r="F97" s="47"/>
      <c r="G97" s="47"/>
      <c r="H97" s="47"/>
      <c r="I97" s="46"/>
      <c r="J97" s="46"/>
      <c r="K97" s="47"/>
      <c r="L97" s="47"/>
      <c r="M97" s="47"/>
      <c r="N97" s="46"/>
      <c r="O97" s="48"/>
      <c r="P97" s="47"/>
      <c r="Q97" s="46"/>
      <c r="R97" s="46"/>
      <c r="S97" s="46"/>
      <c r="T97" s="49"/>
      <c r="U97" s="49"/>
      <c r="V97" s="49"/>
      <c r="W97" s="49"/>
      <c r="X97" s="49"/>
      <c r="Y97" s="49"/>
      <c r="Z97" s="49"/>
      <c r="AA97" s="50"/>
      <c r="AB97" s="51"/>
      <c r="AC97" s="52"/>
      <c r="AD97" s="47"/>
      <c r="AE97"/>
    </row>
    <row r="98" spans="1:31" ht="13">
      <c r="A98" s="38"/>
      <c r="B98" s="39"/>
      <c r="C98" s="40"/>
      <c r="D98" s="17"/>
      <c r="E98" s="17"/>
      <c r="F98" s="17"/>
      <c r="G98" s="17"/>
      <c r="H98" s="17"/>
      <c r="I98" s="40"/>
      <c r="J98" s="40"/>
      <c r="K98" s="17"/>
      <c r="L98" s="17"/>
      <c r="M98" s="17"/>
      <c r="N98" s="40"/>
      <c r="O98" s="53"/>
      <c r="P98" s="17"/>
      <c r="Q98" s="40"/>
      <c r="R98" s="40"/>
      <c r="S98" s="40"/>
      <c r="T98" s="41"/>
      <c r="U98" s="41"/>
      <c r="V98" s="41"/>
      <c r="W98" s="41"/>
      <c r="X98" s="41"/>
      <c r="Y98" s="41"/>
      <c r="Z98" s="41"/>
      <c r="AA98" s="54"/>
      <c r="AB98" s="43"/>
      <c r="AC98" s="44"/>
      <c r="AD98" s="17"/>
      <c r="AE98"/>
    </row>
    <row r="99" spans="1:31" ht="13">
      <c r="A99" s="38"/>
      <c r="B99" s="39"/>
      <c r="C99" s="40"/>
      <c r="D99" s="17"/>
      <c r="E99" s="17"/>
      <c r="F99" s="17"/>
      <c r="G99" s="17"/>
      <c r="H99" s="17"/>
      <c r="I99" s="40"/>
      <c r="J99" s="40"/>
      <c r="K99" s="17"/>
      <c r="L99" s="17"/>
      <c r="M99" s="17"/>
      <c r="N99" s="40"/>
      <c r="O99" s="53"/>
      <c r="P99" s="17"/>
      <c r="Q99" s="40"/>
      <c r="R99" s="40"/>
      <c r="S99" s="40"/>
      <c r="T99" s="41"/>
      <c r="U99" s="41"/>
      <c r="V99" s="41"/>
      <c r="W99" s="41"/>
      <c r="X99" s="41"/>
      <c r="Y99" s="41"/>
      <c r="Z99" s="41"/>
      <c r="AA99" s="54"/>
      <c r="AB99" s="43"/>
      <c r="AC99" s="44"/>
      <c r="AD99" s="17"/>
      <c r="AE99"/>
    </row>
    <row r="100" spans="1:31" ht="13">
      <c r="A100" s="55"/>
      <c r="B100" s="56"/>
      <c r="C100" s="46"/>
      <c r="D100" s="47"/>
      <c r="E100" s="47"/>
      <c r="F100" s="47"/>
      <c r="G100" s="47"/>
      <c r="H100" s="47"/>
      <c r="I100" s="46"/>
      <c r="J100" s="46"/>
      <c r="K100" s="47"/>
      <c r="L100" s="47"/>
      <c r="M100" s="47"/>
      <c r="N100" s="46"/>
      <c r="O100" s="48"/>
      <c r="P100" s="47"/>
      <c r="Q100" s="46"/>
      <c r="R100" s="46"/>
      <c r="S100" s="46"/>
      <c r="T100" s="49"/>
      <c r="U100" s="49"/>
      <c r="V100" s="49"/>
      <c r="W100" s="49"/>
      <c r="X100" s="49"/>
      <c r="Y100" s="49"/>
      <c r="Z100" s="49"/>
      <c r="AA100" s="50"/>
      <c r="AB100" s="43"/>
      <c r="AC100" s="44"/>
      <c r="AD100" s="47"/>
      <c r="AE100"/>
    </row>
    <row r="101" spans="1:31" ht="13">
      <c r="A101" s="36"/>
      <c r="B101" s="24"/>
      <c r="C101" s="18"/>
      <c r="D101" s="12"/>
      <c r="E101" s="12"/>
      <c r="F101" s="12"/>
      <c r="G101" s="12"/>
      <c r="H101" s="12"/>
      <c r="I101" s="18"/>
      <c r="J101" s="18"/>
      <c r="K101" s="12"/>
      <c r="L101" s="12"/>
      <c r="M101" s="12"/>
      <c r="N101" s="18"/>
      <c r="O101" s="18"/>
      <c r="P101" s="12"/>
      <c r="Q101" s="18"/>
      <c r="R101" s="18"/>
      <c r="S101" s="18"/>
      <c r="T101" s="20"/>
      <c r="U101" s="20"/>
      <c r="V101" s="20"/>
      <c r="W101" s="20"/>
      <c r="X101" s="20"/>
      <c r="Y101" s="20"/>
      <c r="Z101" s="20"/>
      <c r="AA101" s="37"/>
      <c r="AB101" s="22"/>
      <c r="AC101" s="23"/>
      <c r="AD101" s="17"/>
      <c r="AE101"/>
    </row>
    <row r="102" spans="1:31" ht="13">
      <c r="A102" s="38"/>
      <c r="B102" s="39"/>
      <c r="C102" s="40"/>
      <c r="D102" s="17"/>
      <c r="E102" s="17"/>
      <c r="F102" s="17"/>
      <c r="G102" s="17"/>
      <c r="H102" s="17"/>
      <c r="I102" s="40"/>
      <c r="J102" s="40"/>
      <c r="K102" s="17"/>
      <c r="L102" s="17"/>
      <c r="M102" s="17"/>
      <c r="N102" s="40"/>
      <c r="O102" s="40"/>
      <c r="P102" s="17"/>
      <c r="Q102" s="40"/>
      <c r="R102" s="40"/>
      <c r="S102" s="40"/>
      <c r="T102" s="41"/>
      <c r="U102" s="41"/>
      <c r="V102" s="41"/>
      <c r="W102" s="41"/>
      <c r="X102" s="41"/>
      <c r="Y102" s="41"/>
      <c r="Z102" s="41"/>
      <c r="AA102" s="42"/>
      <c r="AB102" s="43"/>
      <c r="AC102" s="44"/>
      <c r="AD102" s="17"/>
      <c r="AE102"/>
    </row>
    <row r="103" spans="1:31" ht="13">
      <c r="A103" s="38"/>
      <c r="B103" s="45"/>
      <c r="C103" s="46"/>
      <c r="D103" s="47"/>
      <c r="E103" s="47"/>
      <c r="F103" s="47"/>
      <c r="G103" s="47"/>
      <c r="H103" s="47"/>
      <c r="I103" s="46"/>
      <c r="J103" s="46"/>
      <c r="K103" s="47"/>
      <c r="L103" s="47"/>
      <c r="M103" s="47"/>
      <c r="N103" s="46"/>
      <c r="O103" s="48"/>
      <c r="P103" s="47"/>
      <c r="Q103" s="46"/>
      <c r="R103" s="46"/>
      <c r="S103" s="46"/>
      <c r="T103" s="49"/>
      <c r="U103" s="49"/>
      <c r="V103" s="49"/>
      <c r="W103" s="49"/>
      <c r="X103" s="49"/>
      <c r="Y103" s="49"/>
      <c r="Z103" s="49"/>
      <c r="AA103" s="50"/>
      <c r="AB103" s="51"/>
      <c r="AC103" s="52"/>
      <c r="AD103" s="47"/>
      <c r="AE103"/>
    </row>
    <row r="104" spans="1:31" ht="13">
      <c r="A104" s="38"/>
      <c r="B104" s="39"/>
      <c r="C104" s="40"/>
      <c r="D104" s="17"/>
      <c r="E104" s="17"/>
      <c r="F104" s="17"/>
      <c r="G104" s="17"/>
      <c r="H104" s="17"/>
      <c r="I104" s="40"/>
      <c r="J104" s="40"/>
      <c r="K104" s="17"/>
      <c r="L104" s="17"/>
      <c r="M104" s="17"/>
      <c r="N104" s="40"/>
      <c r="O104" s="53"/>
      <c r="P104" s="17"/>
      <c r="Q104" s="40"/>
      <c r="R104" s="40"/>
      <c r="S104" s="40"/>
      <c r="T104" s="41"/>
      <c r="U104" s="41"/>
      <c r="V104" s="41"/>
      <c r="W104" s="41"/>
      <c r="X104" s="41"/>
      <c r="Y104" s="41"/>
      <c r="Z104" s="41"/>
      <c r="AA104" s="54"/>
      <c r="AB104" s="43"/>
      <c r="AC104" s="44"/>
      <c r="AD104" s="17"/>
      <c r="AE104"/>
    </row>
    <row r="105" spans="1:31" ht="13">
      <c r="A105" s="38"/>
      <c r="B105" s="39"/>
      <c r="C105" s="40"/>
      <c r="D105" s="17"/>
      <c r="E105" s="17"/>
      <c r="F105" s="17"/>
      <c r="G105" s="17"/>
      <c r="H105" s="17"/>
      <c r="I105" s="40"/>
      <c r="J105" s="40"/>
      <c r="K105" s="17"/>
      <c r="L105" s="17"/>
      <c r="M105" s="17"/>
      <c r="N105" s="40"/>
      <c r="O105" s="53"/>
      <c r="P105" s="17"/>
      <c r="Q105" s="40"/>
      <c r="R105" s="40"/>
      <c r="S105" s="40"/>
      <c r="T105" s="41"/>
      <c r="U105" s="41"/>
      <c r="V105" s="41"/>
      <c r="W105" s="41"/>
      <c r="X105" s="41"/>
      <c r="Y105" s="41"/>
      <c r="Z105" s="41"/>
      <c r="AA105" s="54"/>
      <c r="AB105" s="43"/>
      <c r="AC105" s="44"/>
      <c r="AD105" s="17"/>
      <c r="AE105"/>
    </row>
    <row r="106" spans="1:31" ht="13">
      <c r="A106" s="38"/>
      <c r="B106" s="45"/>
      <c r="C106" s="46"/>
      <c r="D106" s="47"/>
      <c r="E106" s="47"/>
      <c r="F106" s="47"/>
      <c r="G106" s="47"/>
      <c r="H106" s="47"/>
      <c r="I106" s="46"/>
      <c r="J106" s="46"/>
      <c r="K106" s="47"/>
      <c r="L106" s="47"/>
      <c r="M106" s="47"/>
      <c r="N106" s="46"/>
      <c r="O106" s="48"/>
      <c r="P106" s="47"/>
      <c r="Q106" s="46"/>
      <c r="R106" s="46"/>
      <c r="S106" s="46"/>
      <c r="T106" s="49"/>
      <c r="U106" s="49"/>
      <c r="V106" s="49"/>
      <c r="W106" s="49"/>
      <c r="X106" s="49"/>
      <c r="Y106" s="49"/>
      <c r="Z106" s="49"/>
      <c r="AA106" s="50"/>
      <c r="AB106" s="51"/>
      <c r="AC106" s="52"/>
      <c r="AD106" s="47"/>
      <c r="AE106"/>
    </row>
    <row r="107" spans="1:31" ht="13">
      <c r="A107" s="38"/>
      <c r="B107" s="39"/>
      <c r="C107" s="40"/>
      <c r="D107" s="17"/>
      <c r="E107" s="17"/>
      <c r="F107" s="17"/>
      <c r="G107" s="17"/>
      <c r="H107" s="17"/>
      <c r="I107" s="40"/>
      <c r="J107" s="40"/>
      <c r="K107" s="17"/>
      <c r="L107" s="17"/>
      <c r="M107" s="17"/>
      <c r="N107" s="40"/>
      <c r="O107" s="53"/>
      <c r="P107" s="17"/>
      <c r="Q107" s="40"/>
      <c r="R107" s="40"/>
      <c r="S107" s="40"/>
      <c r="T107" s="41"/>
      <c r="U107" s="41"/>
      <c r="V107" s="41"/>
      <c r="W107" s="41"/>
      <c r="X107" s="41"/>
      <c r="Y107" s="41"/>
      <c r="Z107" s="41"/>
      <c r="AA107" s="54"/>
      <c r="AB107" s="43"/>
      <c r="AC107" s="44"/>
      <c r="AD107" s="17"/>
      <c r="AE107"/>
    </row>
    <row r="108" spans="1:31" ht="13">
      <c r="A108" s="38"/>
      <c r="B108" s="39"/>
      <c r="C108" s="40"/>
      <c r="D108" s="17"/>
      <c r="E108" s="17"/>
      <c r="F108" s="17"/>
      <c r="G108" s="17"/>
      <c r="H108" s="17"/>
      <c r="I108" s="40"/>
      <c r="J108" s="40"/>
      <c r="K108" s="17"/>
      <c r="L108" s="17"/>
      <c r="M108" s="17"/>
      <c r="N108" s="40"/>
      <c r="O108" s="53"/>
      <c r="P108" s="17"/>
      <c r="Q108" s="40"/>
      <c r="R108" s="40"/>
      <c r="S108" s="40"/>
      <c r="T108" s="41"/>
      <c r="U108" s="41"/>
      <c r="V108" s="41"/>
      <c r="W108" s="41"/>
      <c r="X108" s="41"/>
      <c r="Y108" s="41"/>
      <c r="Z108" s="41"/>
      <c r="AA108" s="54"/>
      <c r="AB108" s="43"/>
      <c r="AC108" s="44"/>
      <c r="AD108" s="17"/>
      <c r="AE108"/>
    </row>
    <row r="109" spans="1:31" ht="13">
      <c r="A109" s="38"/>
      <c r="B109" s="45"/>
      <c r="C109" s="46"/>
      <c r="D109" s="47"/>
      <c r="E109" s="47"/>
      <c r="F109" s="47"/>
      <c r="G109" s="47"/>
      <c r="H109" s="47"/>
      <c r="I109" s="46"/>
      <c r="J109" s="46"/>
      <c r="K109" s="47"/>
      <c r="L109" s="47"/>
      <c r="M109" s="47"/>
      <c r="N109" s="46"/>
      <c r="O109" s="48"/>
      <c r="P109" s="47"/>
      <c r="Q109" s="46"/>
      <c r="R109" s="46"/>
      <c r="S109" s="46"/>
      <c r="T109" s="49"/>
      <c r="U109" s="49"/>
      <c r="V109" s="49"/>
      <c r="W109" s="49"/>
      <c r="X109" s="49"/>
      <c r="Y109" s="49"/>
      <c r="Z109" s="49"/>
      <c r="AA109" s="50"/>
      <c r="AB109" s="51"/>
      <c r="AC109" s="52"/>
      <c r="AD109" s="47"/>
      <c r="AE109"/>
    </row>
    <row r="110" spans="1:31" ht="13">
      <c r="A110" s="38"/>
      <c r="B110" s="39"/>
      <c r="C110" s="40"/>
      <c r="D110" s="17"/>
      <c r="E110" s="17"/>
      <c r="F110" s="17"/>
      <c r="G110" s="17"/>
      <c r="H110" s="17"/>
      <c r="I110" s="40"/>
      <c r="J110" s="40"/>
      <c r="K110" s="17"/>
      <c r="L110" s="17"/>
      <c r="M110" s="17"/>
      <c r="N110" s="40"/>
      <c r="O110" s="53"/>
      <c r="P110" s="17"/>
      <c r="Q110" s="40"/>
      <c r="R110" s="40"/>
      <c r="S110" s="40"/>
      <c r="T110" s="41"/>
      <c r="U110" s="41"/>
      <c r="V110" s="41"/>
      <c r="W110" s="41"/>
      <c r="X110" s="41"/>
      <c r="Y110" s="41"/>
      <c r="Z110" s="41"/>
      <c r="AA110" s="54"/>
      <c r="AB110" s="43"/>
      <c r="AC110" s="44"/>
      <c r="AD110" s="17"/>
      <c r="AE110"/>
    </row>
    <row r="111" spans="1:31" ht="13">
      <c r="A111" s="38"/>
      <c r="B111" s="39"/>
      <c r="C111" s="40"/>
      <c r="D111" s="17"/>
      <c r="E111" s="17"/>
      <c r="F111" s="17"/>
      <c r="G111" s="17"/>
      <c r="H111" s="17"/>
      <c r="I111" s="40"/>
      <c r="J111" s="40"/>
      <c r="K111" s="17"/>
      <c r="L111" s="17"/>
      <c r="M111" s="17"/>
      <c r="N111" s="40"/>
      <c r="O111" s="53"/>
      <c r="P111" s="17"/>
      <c r="Q111" s="40"/>
      <c r="R111" s="40"/>
      <c r="S111" s="40"/>
      <c r="T111" s="41"/>
      <c r="U111" s="41"/>
      <c r="V111" s="41"/>
      <c r="W111" s="41"/>
      <c r="X111" s="41"/>
      <c r="Y111" s="41"/>
      <c r="Z111" s="41"/>
      <c r="AA111" s="54"/>
      <c r="AB111" s="43"/>
      <c r="AC111" s="44"/>
      <c r="AD111" s="17"/>
      <c r="AE111"/>
    </row>
    <row r="112" spans="1:31" ht="13">
      <c r="A112" s="55"/>
      <c r="B112" s="56"/>
      <c r="C112" s="46"/>
      <c r="D112" s="47"/>
      <c r="E112" s="47"/>
      <c r="F112" s="47"/>
      <c r="G112" s="47"/>
      <c r="H112" s="47"/>
      <c r="I112" s="46"/>
      <c r="J112" s="46"/>
      <c r="K112" s="47"/>
      <c r="L112" s="47"/>
      <c r="M112" s="47"/>
      <c r="N112" s="46"/>
      <c r="O112" s="48"/>
      <c r="P112" s="47"/>
      <c r="Q112" s="46"/>
      <c r="R112" s="46"/>
      <c r="S112" s="46"/>
      <c r="T112" s="49"/>
      <c r="U112" s="49"/>
      <c r="V112" s="49"/>
      <c r="W112" s="49"/>
      <c r="X112" s="49"/>
      <c r="Y112" s="49"/>
      <c r="Z112" s="49"/>
      <c r="AA112" s="50"/>
      <c r="AB112" s="43"/>
      <c r="AC112" s="44"/>
      <c r="AD112" s="47"/>
      <c r="AE112"/>
    </row>
    <row r="113" spans="1:31" ht="13">
      <c r="A113" s="36"/>
      <c r="B113" s="24"/>
      <c r="C113" s="18"/>
      <c r="D113" s="12"/>
      <c r="E113" s="12"/>
      <c r="F113" s="12"/>
      <c r="G113" s="12"/>
      <c r="H113" s="12"/>
      <c r="I113" s="18"/>
      <c r="J113" s="18"/>
      <c r="K113" s="12"/>
      <c r="L113" s="12"/>
      <c r="M113" s="12"/>
      <c r="N113" s="18"/>
      <c r="O113" s="18"/>
      <c r="P113" s="12"/>
      <c r="Q113" s="18"/>
      <c r="R113" s="18"/>
      <c r="S113" s="18"/>
      <c r="T113" s="20"/>
      <c r="U113" s="20"/>
      <c r="V113" s="20"/>
      <c r="W113" s="20"/>
      <c r="X113" s="20"/>
      <c r="Y113" s="20"/>
      <c r="Z113" s="20"/>
      <c r="AA113" s="37"/>
      <c r="AB113" s="22"/>
      <c r="AC113" s="23"/>
      <c r="AD113" s="17"/>
      <c r="AE113"/>
    </row>
    <row r="114" spans="1:31" ht="13">
      <c r="A114" s="38"/>
      <c r="B114" s="39"/>
      <c r="C114" s="40"/>
      <c r="D114" s="17"/>
      <c r="E114" s="17"/>
      <c r="F114" s="17"/>
      <c r="G114" s="17"/>
      <c r="H114" s="17"/>
      <c r="I114" s="40"/>
      <c r="J114" s="40"/>
      <c r="K114" s="17"/>
      <c r="L114" s="17"/>
      <c r="M114" s="17"/>
      <c r="N114" s="40"/>
      <c r="O114" s="40"/>
      <c r="P114" s="17"/>
      <c r="Q114" s="40"/>
      <c r="R114" s="40"/>
      <c r="S114" s="40"/>
      <c r="T114" s="41"/>
      <c r="U114" s="41"/>
      <c r="V114" s="41"/>
      <c r="W114" s="41"/>
      <c r="X114" s="41"/>
      <c r="Y114" s="41"/>
      <c r="Z114" s="41"/>
      <c r="AA114" s="42"/>
      <c r="AB114" s="43"/>
      <c r="AC114" s="44"/>
      <c r="AD114" s="17"/>
      <c r="AE114"/>
    </row>
    <row r="115" spans="1:31" ht="13">
      <c r="A115" s="38"/>
      <c r="B115" s="45"/>
      <c r="C115" s="46"/>
      <c r="D115" s="47"/>
      <c r="E115" s="47"/>
      <c r="F115" s="47"/>
      <c r="G115" s="47"/>
      <c r="H115" s="47"/>
      <c r="I115" s="46"/>
      <c r="J115" s="46"/>
      <c r="K115" s="47"/>
      <c r="L115" s="47"/>
      <c r="M115" s="47"/>
      <c r="N115" s="46"/>
      <c r="O115" s="48"/>
      <c r="P115" s="47"/>
      <c r="Q115" s="46"/>
      <c r="R115" s="46"/>
      <c r="S115" s="46"/>
      <c r="T115" s="49"/>
      <c r="U115" s="49"/>
      <c r="V115" s="49"/>
      <c r="W115" s="49"/>
      <c r="X115" s="49"/>
      <c r="Y115" s="49"/>
      <c r="Z115" s="49"/>
      <c r="AA115" s="50"/>
      <c r="AB115" s="51"/>
      <c r="AC115" s="52"/>
      <c r="AD115" s="47"/>
      <c r="AE115"/>
    </row>
    <row r="116" spans="1:31" ht="13">
      <c r="A116" s="38"/>
      <c r="B116" s="39"/>
      <c r="C116" s="40"/>
      <c r="D116" s="17"/>
      <c r="E116" s="17"/>
      <c r="F116" s="17"/>
      <c r="G116" s="17"/>
      <c r="H116" s="17"/>
      <c r="I116" s="40"/>
      <c r="J116" s="40"/>
      <c r="K116" s="17"/>
      <c r="L116" s="17"/>
      <c r="M116" s="17"/>
      <c r="N116" s="40"/>
      <c r="O116" s="53"/>
      <c r="P116" s="17"/>
      <c r="Q116" s="40"/>
      <c r="R116" s="40"/>
      <c r="S116" s="40"/>
      <c r="T116" s="41"/>
      <c r="U116" s="41"/>
      <c r="V116" s="41"/>
      <c r="W116" s="41"/>
      <c r="X116" s="41"/>
      <c r="Y116" s="41"/>
      <c r="Z116" s="41"/>
      <c r="AA116" s="54"/>
      <c r="AB116" s="43"/>
      <c r="AC116" s="44"/>
      <c r="AD116" s="17"/>
      <c r="AE116"/>
    </row>
    <row r="117" spans="1:31" ht="13">
      <c r="A117" s="38"/>
      <c r="B117" s="39"/>
      <c r="C117" s="40"/>
      <c r="D117" s="17"/>
      <c r="E117" s="17"/>
      <c r="F117" s="17"/>
      <c r="G117" s="17"/>
      <c r="H117" s="17"/>
      <c r="I117" s="40"/>
      <c r="J117" s="40"/>
      <c r="K117" s="17"/>
      <c r="L117" s="17"/>
      <c r="M117" s="17"/>
      <c r="N117" s="40"/>
      <c r="O117" s="53"/>
      <c r="P117" s="17"/>
      <c r="Q117" s="40"/>
      <c r="R117" s="40"/>
      <c r="S117" s="40"/>
      <c r="T117" s="41"/>
      <c r="U117" s="41"/>
      <c r="V117" s="41"/>
      <c r="W117" s="41"/>
      <c r="X117" s="41"/>
      <c r="Y117" s="41"/>
      <c r="Z117" s="41"/>
      <c r="AA117" s="54"/>
      <c r="AB117" s="43"/>
      <c r="AC117" s="44"/>
      <c r="AD117" s="17"/>
      <c r="AE117"/>
    </row>
    <row r="118" spans="1:31" ht="13">
      <c r="A118" s="38"/>
      <c r="B118" s="45"/>
      <c r="C118" s="46"/>
      <c r="D118" s="47"/>
      <c r="E118" s="47"/>
      <c r="F118" s="47"/>
      <c r="G118" s="47"/>
      <c r="H118" s="47"/>
      <c r="I118" s="46"/>
      <c r="J118" s="46"/>
      <c r="K118" s="47"/>
      <c r="L118" s="47"/>
      <c r="M118" s="47"/>
      <c r="N118" s="46"/>
      <c r="O118" s="48"/>
      <c r="P118" s="47"/>
      <c r="Q118" s="46"/>
      <c r="R118" s="46"/>
      <c r="S118" s="46"/>
      <c r="T118" s="49"/>
      <c r="U118" s="49"/>
      <c r="V118" s="49"/>
      <c r="W118" s="49"/>
      <c r="X118" s="49"/>
      <c r="Y118" s="49"/>
      <c r="Z118" s="49"/>
      <c r="AA118" s="50"/>
      <c r="AB118" s="51"/>
      <c r="AC118" s="52"/>
      <c r="AD118" s="47"/>
      <c r="AE118"/>
    </row>
    <row r="119" spans="1:31" ht="13">
      <c r="A119" s="38"/>
      <c r="B119" s="39"/>
      <c r="C119" s="40"/>
      <c r="D119" s="17"/>
      <c r="E119" s="17"/>
      <c r="F119" s="17"/>
      <c r="G119" s="17"/>
      <c r="H119" s="17"/>
      <c r="I119" s="40"/>
      <c r="J119" s="40"/>
      <c r="K119" s="17"/>
      <c r="L119" s="17"/>
      <c r="M119" s="17"/>
      <c r="N119" s="40"/>
      <c r="O119" s="53"/>
      <c r="P119" s="17"/>
      <c r="Q119" s="40"/>
      <c r="R119" s="40"/>
      <c r="S119" s="40"/>
      <c r="T119" s="41"/>
      <c r="U119" s="41"/>
      <c r="V119" s="41"/>
      <c r="W119" s="41"/>
      <c r="X119" s="41"/>
      <c r="Y119" s="41"/>
      <c r="Z119" s="41"/>
      <c r="AA119" s="54"/>
      <c r="AB119" s="43"/>
      <c r="AC119" s="44"/>
      <c r="AD119" s="17"/>
      <c r="AE119"/>
    </row>
    <row r="120" spans="1:31" ht="13">
      <c r="A120" s="38"/>
      <c r="B120" s="39"/>
      <c r="C120" s="40"/>
      <c r="D120" s="17"/>
      <c r="E120" s="17"/>
      <c r="F120" s="17"/>
      <c r="G120" s="17"/>
      <c r="H120" s="17"/>
      <c r="I120" s="40"/>
      <c r="J120" s="40"/>
      <c r="K120" s="17"/>
      <c r="L120" s="17"/>
      <c r="M120" s="17"/>
      <c r="N120" s="40"/>
      <c r="O120" s="53"/>
      <c r="P120" s="17"/>
      <c r="Q120" s="40"/>
      <c r="R120" s="40"/>
      <c r="S120" s="40"/>
      <c r="T120" s="41"/>
      <c r="U120" s="41"/>
      <c r="V120" s="41"/>
      <c r="W120" s="41"/>
      <c r="X120" s="41"/>
      <c r="Y120" s="41"/>
      <c r="Z120" s="41"/>
      <c r="AA120" s="54"/>
      <c r="AB120" s="43"/>
      <c r="AC120" s="44"/>
      <c r="AD120" s="17"/>
      <c r="AE120"/>
    </row>
    <row r="121" spans="1:31" ht="13">
      <c r="A121" s="38"/>
      <c r="B121" s="45"/>
      <c r="C121" s="46"/>
      <c r="D121" s="47"/>
      <c r="E121" s="47"/>
      <c r="F121" s="47"/>
      <c r="G121" s="47"/>
      <c r="H121" s="47"/>
      <c r="I121" s="46"/>
      <c r="J121" s="46"/>
      <c r="K121" s="47"/>
      <c r="L121" s="47"/>
      <c r="M121" s="47"/>
      <c r="N121" s="46"/>
      <c r="O121" s="48"/>
      <c r="P121" s="47"/>
      <c r="Q121" s="46"/>
      <c r="R121" s="46"/>
      <c r="S121" s="46"/>
      <c r="T121" s="49"/>
      <c r="U121" s="49"/>
      <c r="V121" s="49"/>
      <c r="W121" s="49"/>
      <c r="X121" s="49"/>
      <c r="Y121" s="49"/>
      <c r="Z121" s="49"/>
      <c r="AA121" s="50"/>
      <c r="AB121" s="51"/>
      <c r="AC121" s="52"/>
      <c r="AD121" s="47"/>
      <c r="AE121"/>
    </row>
    <row r="122" spans="1:31" ht="13">
      <c r="A122" s="38"/>
      <c r="B122" s="39"/>
      <c r="C122" s="40"/>
      <c r="D122" s="17"/>
      <c r="E122" s="17"/>
      <c r="F122" s="17"/>
      <c r="G122" s="17"/>
      <c r="H122" s="17"/>
      <c r="I122" s="40"/>
      <c r="J122" s="40"/>
      <c r="K122" s="17"/>
      <c r="L122" s="17"/>
      <c r="M122" s="17"/>
      <c r="N122" s="40"/>
      <c r="O122" s="53"/>
      <c r="P122" s="17"/>
      <c r="Q122" s="40"/>
      <c r="R122" s="40"/>
      <c r="S122" s="40"/>
      <c r="T122" s="41"/>
      <c r="U122" s="41"/>
      <c r="V122" s="41"/>
      <c r="W122" s="41"/>
      <c r="X122" s="41"/>
      <c r="Y122" s="41"/>
      <c r="Z122" s="41"/>
      <c r="AA122" s="54"/>
      <c r="AB122" s="43"/>
      <c r="AC122" s="44"/>
      <c r="AD122" s="17"/>
      <c r="AE122"/>
    </row>
    <row r="123" spans="1:31" ht="13">
      <c r="A123" s="38"/>
      <c r="B123" s="39"/>
      <c r="C123" s="40"/>
      <c r="D123" s="17"/>
      <c r="E123" s="17"/>
      <c r="F123" s="17"/>
      <c r="G123" s="17"/>
      <c r="H123" s="17"/>
      <c r="I123" s="40"/>
      <c r="J123" s="40"/>
      <c r="K123" s="17"/>
      <c r="L123" s="17"/>
      <c r="M123" s="17"/>
      <c r="N123" s="40"/>
      <c r="O123" s="53"/>
      <c r="P123" s="17"/>
      <c r="Q123" s="40"/>
      <c r="R123" s="40"/>
      <c r="S123" s="40"/>
      <c r="T123" s="41"/>
      <c r="U123" s="41"/>
      <c r="V123" s="41"/>
      <c r="W123" s="41"/>
      <c r="X123" s="41"/>
      <c r="Y123" s="41"/>
      <c r="Z123" s="41"/>
      <c r="AA123" s="54"/>
      <c r="AB123" s="43"/>
      <c r="AC123" s="44"/>
      <c r="AD123" s="17"/>
      <c r="AE123"/>
    </row>
    <row r="124" spans="1:31" ht="13">
      <c r="A124" s="55"/>
      <c r="B124" s="56"/>
      <c r="C124" s="46"/>
      <c r="D124" s="47"/>
      <c r="E124" s="47"/>
      <c r="F124" s="47"/>
      <c r="G124" s="47"/>
      <c r="H124" s="47"/>
      <c r="I124" s="46"/>
      <c r="J124" s="46"/>
      <c r="K124" s="47"/>
      <c r="L124" s="47"/>
      <c r="M124" s="47"/>
      <c r="N124" s="46"/>
      <c r="O124" s="48"/>
      <c r="P124" s="47"/>
      <c r="Q124" s="46"/>
      <c r="R124" s="46"/>
      <c r="S124" s="46"/>
      <c r="T124" s="49"/>
      <c r="U124" s="49"/>
      <c r="V124" s="49"/>
      <c r="W124" s="49"/>
      <c r="X124" s="49"/>
      <c r="Y124" s="49"/>
      <c r="Z124" s="49"/>
      <c r="AA124" s="50"/>
      <c r="AB124" s="43"/>
      <c r="AC124" s="44"/>
      <c r="AD124" s="47"/>
      <c r="AE124"/>
    </row>
    <row r="125" spans="1:31" ht="13">
      <c r="A125" s="36"/>
      <c r="B125" s="24"/>
      <c r="C125" s="18"/>
      <c r="D125" s="12"/>
      <c r="E125" s="12"/>
      <c r="F125" s="12"/>
      <c r="G125" s="12"/>
      <c r="H125" s="12"/>
      <c r="I125" s="18"/>
      <c r="J125" s="18"/>
      <c r="K125" s="12"/>
      <c r="L125" s="12"/>
      <c r="M125" s="12"/>
      <c r="N125" s="18"/>
      <c r="O125" s="18"/>
      <c r="P125" s="12"/>
      <c r="Q125" s="18"/>
      <c r="R125" s="18"/>
      <c r="S125" s="18"/>
      <c r="T125" s="20"/>
      <c r="U125" s="20"/>
      <c r="V125" s="20"/>
      <c r="W125" s="20"/>
      <c r="X125" s="20"/>
      <c r="Y125" s="20"/>
      <c r="Z125" s="20"/>
      <c r="AA125" s="37"/>
      <c r="AB125" s="22"/>
      <c r="AC125" s="23"/>
      <c r="AD125" s="17"/>
      <c r="AE125"/>
    </row>
    <row r="126" spans="1:31" ht="13">
      <c r="A126" s="38"/>
      <c r="B126" s="39"/>
      <c r="C126" s="40"/>
      <c r="D126" s="17"/>
      <c r="E126" s="17"/>
      <c r="F126" s="17"/>
      <c r="G126" s="17"/>
      <c r="H126" s="17"/>
      <c r="I126" s="40"/>
      <c r="J126" s="40"/>
      <c r="K126" s="17"/>
      <c r="L126" s="17"/>
      <c r="M126" s="17"/>
      <c r="N126" s="40"/>
      <c r="O126" s="40"/>
      <c r="P126" s="17"/>
      <c r="Q126" s="40"/>
      <c r="R126" s="40"/>
      <c r="S126" s="40"/>
      <c r="T126" s="41"/>
      <c r="U126" s="41"/>
      <c r="V126" s="41"/>
      <c r="W126" s="41"/>
      <c r="X126" s="41"/>
      <c r="Y126" s="41"/>
      <c r="Z126" s="41"/>
      <c r="AA126" s="42"/>
      <c r="AB126" s="43"/>
      <c r="AC126" s="44"/>
      <c r="AD126" s="17"/>
      <c r="AE126"/>
    </row>
    <row r="127" spans="1:31" ht="13">
      <c r="A127" s="38"/>
      <c r="B127" s="45"/>
      <c r="C127" s="46"/>
      <c r="D127" s="47"/>
      <c r="E127" s="47"/>
      <c r="F127" s="47"/>
      <c r="G127" s="47"/>
      <c r="H127" s="47"/>
      <c r="I127" s="46"/>
      <c r="J127" s="46"/>
      <c r="K127" s="47"/>
      <c r="L127" s="47"/>
      <c r="M127" s="47"/>
      <c r="N127" s="46"/>
      <c r="O127" s="48"/>
      <c r="P127" s="47"/>
      <c r="Q127" s="46"/>
      <c r="R127" s="46"/>
      <c r="S127" s="46"/>
      <c r="T127" s="49"/>
      <c r="U127" s="49"/>
      <c r="V127" s="49"/>
      <c r="W127" s="49"/>
      <c r="X127" s="49"/>
      <c r="Y127" s="49"/>
      <c r="Z127" s="49"/>
      <c r="AA127" s="50"/>
      <c r="AB127" s="51"/>
      <c r="AC127" s="52"/>
      <c r="AD127" s="47"/>
      <c r="AE127"/>
    </row>
    <row r="128" spans="1:31" ht="13">
      <c r="A128" s="38"/>
      <c r="B128" s="39"/>
      <c r="C128" s="40"/>
      <c r="D128" s="17"/>
      <c r="E128" s="17"/>
      <c r="F128" s="17"/>
      <c r="G128" s="17"/>
      <c r="H128" s="17"/>
      <c r="I128" s="40"/>
      <c r="J128" s="40"/>
      <c r="K128" s="17"/>
      <c r="L128" s="17"/>
      <c r="M128" s="17"/>
      <c r="N128" s="40"/>
      <c r="O128" s="53"/>
      <c r="P128" s="17"/>
      <c r="Q128" s="40"/>
      <c r="R128" s="40"/>
      <c r="S128" s="40"/>
      <c r="T128" s="41"/>
      <c r="U128" s="41"/>
      <c r="V128" s="41"/>
      <c r="W128" s="41"/>
      <c r="X128" s="41"/>
      <c r="Y128" s="41"/>
      <c r="Z128" s="41"/>
      <c r="AA128" s="54"/>
      <c r="AB128" s="43"/>
      <c r="AC128" s="44"/>
      <c r="AD128" s="17"/>
      <c r="AE128"/>
    </row>
    <row r="129" spans="1:31" ht="13">
      <c r="A129" s="38"/>
      <c r="B129" s="39"/>
      <c r="C129" s="40"/>
      <c r="D129" s="17"/>
      <c r="E129" s="17"/>
      <c r="F129" s="17"/>
      <c r="G129" s="17"/>
      <c r="H129" s="17"/>
      <c r="I129" s="40"/>
      <c r="J129" s="40"/>
      <c r="K129" s="17"/>
      <c r="L129" s="17"/>
      <c r="M129" s="17"/>
      <c r="N129" s="40"/>
      <c r="O129" s="53"/>
      <c r="P129" s="17"/>
      <c r="Q129" s="40"/>
      <c r="R129" s="40"/>
      <c r="S129" s="40"/>
      <c r="T129" s="41"/>
      <c r="U129" s="41"/>
      <c r="V129" s="41"/>
      <c r="W129" s="41"/>
      <c r="X129" s="41"/>
      <c r="Y129" s="41"/>
      <c r="Z129" s="41"/>
      <c r="AA129" s="54"/>
      <c r="AB129" s="43"/>
      <c r="AC129" s="44"/>
      <c r="AD129" s="17"/>
      <c r="AE129"/>
    </row>
    <row r="130" spans="1:31" ht="13">
      <c r="A130" s="38"/>
      <c r="B130" s="45"/>
      <c r="C130" s="46"/>
      <c r="D130" s="47"/>
      <c r="E130" s="47"/>
      <c r="F130" s="47"/>
      <c r="G130" s="47"/>
      <c r="H130" s="47"/>
      <c r="I130" s="46"/>
      <c r="J130" s="46"/>
      <c r="K130" s="47"/>
      <c r="L130" s="47"/>
      <c r="M130" s="47"/>
      <c r="N130" s="46"/>
      <c r="O130" s="48"/>
      <c r="P130" s="47"/>
      <c r="Q130" s="46"/>
      <c r="R130" s="46"/>
      <c r="S130" s="46"/>
      <c r="T130" s="49"/>
      <c r="U130" s="49"/>
      <c r="V130" s="49"/>
      <c r="W130" s="49"/>
      <c r="X130" s="49"/>
      <c r="Y130" s="49"/>
      <c r="Z130" s="49"/>
      <c r="AA130" s="50"/>
      <c r="AB130" s="51"/>
      <c r="AC130" s="52"/>
      <c r="AD130" s="47"/>
      <c r="AE130"/>
    </row>
    <row r="131" spans="1:31" ht="13">
      <c r="A131" s="38"/>
      <c r="B131" s="39"/>
      <c r="C131" s="40"/>
      <c r="D131" s="17"/>
      <c r="E131" s="17"/>
      <c r="F131" s="17"/>
      <c r="G131" s="17"/>
      <c r="H131" s="17"/>
      <c r="I131" s="40"/>
      <c r="J131" s="40"/>
      <c r="K131" s="17"/>
      <c r="L131" s="17"/>
      <c r="M131" s="17"/>
      <c r="N131" s="40"/>
      <c r="O131" s="53"/>
      <c r="P131" s="17"/>
      <c r="Q131" s="40"/>
      <c r="R131" s="40"/>
      <c r="S131" s="40"/>
      <c r="T131" s="41"/>
      <c r="U131" s="41"/>
      <c r="V131" s="41"/>
      <c r="W131" s="41"/>
      <c r="X131" s="41"/>
      <c r="Y131" s="41"/>
      <c r="Z131" s="41"/>
      <c r="AA131" s="54"/>
      <c r="AB131" s="43"/>
      <c r="AC131" s="44"/>
      <c r="AD131" s="17"/>
      <c r="AE131"/>
    </row>
    <row r="132" spans="1:31" ht="13">
      <c r="A132" s="38"/>
      <c r="B132" s="39"/>
      <c r="C132" s="40"/>
      <c r="D132" s="17"/>
      <c r="E132" s="17"/>
      <c r="F132" s="17"/>
      <c r="G132" s="17"/>
      <c r="H132" s="17"/>
      <c r="I132" s="40"/>
      <c r="J132" s="40"/>
      <c r="K132" s="17"/>
      <c r="L132" s="17"/>
      <c r="M132" s="17"/>
      <c r="N132" s="40"/>
      <c r="O132" s="53"/>
      <c r="P132" s="17"/>
      <c r="Q132" s="40"/>
      <c r="R132" s="40"/>
      <c r="S132" s="40"/>
      <c r="T132" s="41"/>
      <c r="U132" s="41"/>
      <c r="V132" s="41"/>
      <c r="W132" s="41"/>
      <c r="X132" s="41"/>
      <c r="Y132" s="41"/>
      <c r="Z132" s="41"/>
      <c r="AA132" s="54"/>
      <c r="AB132" s="43"/>
      <c r="AC132" s="44"/>
      <c r="AD132" s="17"/>
      <c r="AE132"/>
    </row>
    <row r="133" spans="1:31" ht="13">
      <c r="A133" s="38"/>
      <c r="B133" s="45"/>
      <c r="C133" s="46"/>
      <c r="D133" s="47"/>
      <c r="E133" s="47"/>
      <c r="F133" s="47"/>
      <c r="G133" s="47"/>
      <c r="H133" s="47"/>
      <c r="I133" s="46"/>
      <c r="J133" s="46"/>
      <c r="K133" s="47"/>
      <c r="L133" s="47"/>
      <c r="M133" s="47"/>
      <c r="N133" s="46"/>
      <c r="O133" s="48"/>
      <c r="P133" s="47"/>
      <c r="Q133" s="46"/>
      <c r="R133" s="46"/>
      <c r="S133" s="46"/>
      <c r="T133" s="49"/>
      <c r="U133" s="49"/>
      <c r="V133" s="49"/>
      <c r="W133" s="49"/>
      <c r="X133" s="49"/>
      <c r="Y133" s="49"/>
      <c r="Z133" s="49"/>
      <c r="AA133" s="50"/>
      <c r="AB133" s="51"/>
      <c r="AC133" s="52"/>
      <c r="AD133" s="47"/>
      <c r="AE133"/>
    </row>
    <row r="134" spans="1:31" ht="13">
      <c r="A134" s="38"/>
      <c r="B134" s="39"/>
      <c r="C134" s="40"/>
      <c r="D134" s="17"/>
      <c r="E134" s="17"/>
      <c r="F134" s="17"/>
      <c r="G134" s="17"/>
      <c r="H134" s="17"/>
      <c r="I134" s="40"/>
      <c r="J134" s="40"/>
      <c r="K134" s="17"/>
      <c r="L134" s="17"/>
      <c r="M134" s="17"/>
      <c r="N134" s="40"/>
      <c r="O134" s="53"/>
      <c r="P134" s="17"/>
      <c r="Q134" s="40"/>
      <c r="R134" s="40"/>
      <c r="S134" s="40"/>
      <c r="T134" s="41"/>
      <c r="U134" s="41"/>
      <c r="V134" s="41"/>
      <c r="W134" s="41"/>
      <c r="X134" s="41"/>
      <c r="Y134" s="41"/>
      <c r="Z134" s="41"/>
      <c r="AA134" s="54"/>
      <c r="AB134" s="43"/>
      <c r="AC134" s="44"/>
      <c r="AD134" s="17"/>
      <c r="AE134"/>
    </row>
    <row r="135" spans="1:31" ht="13">
      <c r="A135" s="38"/>
      <c r="B135" s="39"/>
      <c r="C135" s="40"/>
      <c r="D135" s="17"/>
      <c r="E135" s="17"/>
      <c r="F135" s="17"/>
      <c r="G135" s="17"/>
      <c r="H135" s="17"/>
      <c r="I135" s="40"/>
      <c r="J135" s="40"/>
      <c r="K135" s="17"/>
      <c r="L135" s="17"/>
      <c r="M135" s="17"/>
      <c r="N135" s="40"/>
      <c r="O135" s="53"/>
      <c r="P135" s="17"/>
      <c r="Q135" s="40"/>
      <c r="R135" s="40"/>
      <c r="S135" s="40"/>
      <c r="T135" s="41"/>
      <c r="U135" s="41"/>
      <c r="V135" s="41"/>
      <c r="W135" s="41"/>
      <c r="X135" s="41"/>
      <c r="Y135" s="41"/>
      <c r="Z135" s="41"/>
      <c r="AA135" s="54"/>
      <c r="AB135" s="43"/>
      <c r="AC135" s="44"/>
      <c r="AD135" s="17"/>
      <c r="AE135"/>
    </row>
    <row r="136" spans="1:31" ht="13">
      <c r="A136" s="55"/>
      <c r="B136" s="56"/>
      <c r="C136" s="46"/>
      <c r="D136" s="47"/>
      <c r="E136" s="47"/>
      <c r="F136" s="47"/>
      <c r="G136" s="47"/>
      <c r="H136" s="47"/>
      <c r="I136" s="46"/>
      <c r="J136" s="46"/>
      <c r="K136" s="47"/>
      <c r="L136" s="47"/>
      <c r="M136" s="47"/>
      <c r="N136" s="46"/>
      <c r="O136" s="48"/>
      <c r="P136" s="47"/>
      <c r="Q136" s="46"/>
      <c r="R136" s="46"/>
      <c r="S136" s="46"/>
      <c r="T136" s="49"/>
      <c r="U136" s="49"/>
      <c r="V136" s="49"/>
      <c r="W136" s="49"/>
      <c r="X136" s="49"/>
      <c r="Y136" s="49"/>
      <c r="Z136" s="49"/>
      <c r="AA136" s="50"/>
      <c r="AB136" s="43"/>
      <c r="AC136" s="44"/>
      <c r="AD136" s="47"/>
      <c r="AE136"/>
    </row>
    <row r="137" spans="1:31" ht="13">
      <c r="A137" s="36"/>
      <c r="B137" s="24"/>
      <c r="C137" s="18"/>
      <c r="D137" s="12"/>
      <c r="E137" s="12"/>
      <c r="F137" s="12"/>
      <c r="G137" s="12"/>
      <c r="H137" s="12"/>
      <c r="I137" s="18"/>
      <c r="J137" s="18"/>
      <c r="K137" s="12"/>
      <c r="L137" s="12"/>
      <c r="M137" s="12"/>
      <c r="N137" s="18"/>
      <c r="O137" s="18"/>
      <c r="P137" s="12"/>
      <c r="Q137" s="18"/>
      <c r="R137" s="18"/>
      <c r="S137" s="18"/>
      <c r="T137" s="20"/>
      <c r="U137" s="20"/>
      <c r="V137" s="20"/>
      <c r="W137" s="20"/>
      <c r="X137" s="20"/>
      <c r="Y137" s="20"/>
      <c r="Z137" s="20"/>
      <c r="AA137" s="37"/>
      <c r="AB137" s="22"/>
      <c r="AC137" s="23"/>
      <c r="AD137" s="17"/>
      <c r="AE137"/>
    </row>
    <row r="138" spans="1:31" ht="13">
      <c r="A138" s="38"/>
      <c r="B138" s="39"/>
      <c r="C138" s="40"/>
      <c r="D138" s="17"/>
      <c r="E138" s="17"/>
      <c r="F138" s="17"/>
      <c r="G138" s="17"/>
      <c r="H138" s="17"/>
      <c r="I138" s="40"/>
      <c r="J138" s="40"/>
      <c r="K138" s="17"/>
      <c r="L138" s="17"/>
      <c r="M138" s="17"/>
      <c r="N138" s="40"/>
      <c r="O138" s="40"/>
      <c r="P138" s="17"/>
      <c r="Q138" s="40"/>
      <c r="R138" s="40"/>
      <c r="S138" s="40"/>
      <c r="T138" s="41"/>
      <c r="U138" s="41"/>
      <c r="V138" s="41"/>
      <c r="W138" s="41"/>
      <c r="X138" s="41"/>
      <c r="Y138" s="41"/>
      <c r="Z138" s="41"/>
      <c r="AA138" s="42"/>
      <c r="AB138" s="43"/>
      <c r="AC138" s="44"/>
      <c r="AD138" s="17"/>
      <c r="AE138"/>
    </row>
    <row r="139" spans="1:31" ht="13">
      <c r="A139" s="38"/>
      <c r="B139" s="45"/>
      <c r="C139" s="46"/>
      <c r="D139" s="47"/>
      <c r="E139" s="47"/>
      <c r="F139" s="47"/>
      <c r="G139" s="47"/>
      <c r="H139" s="47"/>
      <c r="I139" s="46"/>
      <c r="J139" s="46"/>
      <c r="K139" s="47"/>
      <c r="L139" s="47"/>
      <c r="M139" s="47"/>
      <c r="N139" s="46"/>
      <c r="O139" s="48"/>
      <c r="P139" s="47"/>
      <c r="Q139" s="46"/>
      <c r="R139" s="46"/>
      <c r="S139" s="46"/>
      <c r="T139" s="49"/>
      <c r="U139" s="49"/>
      <c r="V139" s="49"/>
      <c r="W139" s="49"/>
      <c r="X139" s="49"/>
      <c r="Y139" s="49"/>
      <c r="Z139" s="49"/>
      <c r="AA139" s="50"/>
      <c r="AB139" s="51"/>
      <c r="AC139" s="52"/>
      <c r="AD139" s="47"/>
      <c r="AE139"/>
    </row>
    <row r="140" spans="1:31" ht="13">
      <c r="A140" s="38"/>
      <c r="B140" s="39"/>
      <c r="C140" s="40"/>
      <c r="D140" s="17"/>
      <c r="E140" s="17"/>
      <c r="F140" s="17"/>
      <c r="G140" s="17"/>
      <c r="H140" s="17"/>
      <c r="I140" s="40"/>
      <c r="J140" s="40"/>
      <c r="K140" s="17"/>
      <c r="L140" s="17"/>
      <c r="M140" s="17"/>
      <c r="N140" s="40"/>
      <c r="O140" s="53"/>
      <c r="P140" s="17"/>
      <c r="Q140" s="40"/>
      <c r="R140" s="40"/>
      <c r="S140" s="40"/>
      <c r="T140" s="41"/>
      <c r="U140" s="41"/>
      <c r="V140" s="41"/>
      <c r="W140" s="41"/>
      <c r="X140" s="41"/>
      <c r="Y140" s="41"/>
      <c r="Z140" s="41"/>
      <c r="AA140" s="54"/>
      <c r="AB140" s="43"/>
      <c r="AC140" s="44"/>
      <c r="AD140" s="17"/>
      <c r="AE140"/>
    </row>
    <row r="141" spans="1:31" ht="13">
      <c r="A141" s="38"/>
      <c r="B141" s="39"/>
      <c r="C141" s="40"/>
      <c r="D141" s="17"/>
      <c r="E141" s="17"/>
      <c r="F141" s="17"/>
      <c r="G141" s="17"/>
      <c r="H141" s="17"/>
      <c r="I141" s="40"/>
      <c r="J141" s="40"/>
      <c r="K141" s="17"/>
      <c r="L141" s="17"/>
      <c r="M141" s="17"/>
      <c r="N141" s="40"/>
      <c r="O141" s="53"/>
      <c r="P141" s="17"/>
      <c r="Q141" s="40"/>
      <c r="R141" s="40"/>
      <c r="S141" s="40"/>
      <c r="T141" s="41"/>
      <c r="U141" s="41"/>
      <c r="V141" s="41"/>
      <c r="W141" s="41"/>
      <c r="X141" s="41"/>
      <c r="Y141" s="41"/>
      <c r="Z141" s="41"/>
      <c r="AA141" s="54"/>
      <c r="AB141" s="43"/>
      <c r="AC141" s="44"/>
      <c r="AD141" s="17"/>
      <c r="AE141"/>
    </row>
    <row r="142" spans="1:31" ht="13">
      <c r="A142" s="38"/>
      <c r="B142" s="45"/>
      <c r="C142" s="46"/>
      <c r="D142" s="47"/>
      <c r="E142" s="47"/>
      <c r="F142" s="47"/>
      <c r="G142" s="47"/>
      <c r="H142" s="47"/>
      <c r="I142" s="46"/>
      <c r="J142" s="46"/>
      <c r="K142" s="47"/>
      <c r="L142" s="47"/>
      <c r="M142" s="47"/>
      <c r="N142" s="46"/>
      <c r="O142" s="48"/>
      <c r="P142" s="47"/>
      <c r="Q142" s="46"/>
      <c r="R142" s="46"/>
      <c r="S142" s="46"/>
      <c r="T142" s="49"/>
      <c r="U142" s="49"/>
      <c r="V142" s="49"/>
      <c r="W142" s="49"/>
      <c r="X142" s="49"/>
      <c r="Y142" s="49"/>
      <c r="Z142" s="49"/>
      <c r="AA142" s="50"/>
      <c r="AB142" s="51"/>
      <c r="AC142" s="52"/>
      <c r="AD142" s="47"/>
      <c r="AE142"/>
    </row>
    <row r="143" spans="1:31" ht="13">
      <c r="A143" s="38"/>
      <c r="B143" s="39"/>
      <c r="C143" s="40"/>
      <c r="D143" s="17"/>
      <c r="E143" s="17"/>
      <c r="F143" s="17"/>
      <c r="G143" s="17"/>
      <c r="H143" s="17"/>
      <c r="I143" s="40"/>
      <c r="J143" s="40"/>
      <c r="K143" s="17"/>
      <c r="L143" s="17"/>
      <c r="M143" s="17"/>
      <c r="N143" s="40"/>
      <c r="O143" s="53"/>
      <c r="P143" s="17"/>
      <c r="Q143" s="40"/>
      <c r="R143" s="40"/>
      <c r="S143" s="40"/>
      <c r="T143" s="41"/>
      <c r="U143" s="41"/>
      <c r="V143" s="41"/>
      <c r="W143" s="41"/>
      <c r="X143" s="41"/>
      <c r="Y143" s="41"/>
      <c r="Z143" s="41"/>
      <c r="AA143" s="54"/>
      <c r="AB143" s="43"/>
      <c r="AC143" s="44"/>
      <c r="AD143" s="17"/>
      <c r="AE143"/>
    </row>
    <row r="144" spans="1:31" ht="13">
      <c r="A144" s="38"/>
      <c r="B144" s="39"/>
      <c r="C144" s="40"/>
      <c r="D144" s="17"/>
      <c r="E144" s="17"/>
      <c r="F144" s="17"/>
      <c r="G144" s="17"/>
      <c r="H144" s="17"/>
      <c r="I144" s="40"/>
      <c r="J144" s="40"/>
      <c r="K144" s="17"/>
      <c r="L144" s="17"/>
      <c r="M144" s="17"/>
      <c r="N144" s="40"/>
      <c r="O144" s="53"/>
      <c r="P144" s="17"/>
      <c r="Q144" s="40"/>
      <c r="R144" s="40"/>
      <c r="S144" s="40"/>
      <c r="T144" s="41"/>
      <c r="U144" s="41"/>
      <c r="V144" s="41"/>
      <c r="W144" s="41"/>
      <c r="X144" s="41"/>
      <c r="Y144" s="41"/>
      <c r="Z144" s="41"/>
      <c r="AA144" s="54"/>
      <c r="AB144" s="43"/>
      <c r="AC144" s="44"/>
      <c r="AD144" s="17"/>
      <c r="AE144"/>
    </row>
    <row r="145" spans="1:31" ht="13">
      <c r="A145" s="38"/>
      <c r="B145" s="45"/>
      <c r="C145" s="46"/>
      <c r="D145" s="47"/>
      <c r="E145" s="47"/>
      <c r="F145" s="47"/>
      <c r="G145" s="47"/>
      <c r="H145" s="47"/>
      <c r="I145" s="46"/>
      <c r="J145" s="46"/>
      <c r="K145" s="47"/>
      <c r="L145" s="47"/>
      <c r="M145" s="47"/>
      <c r="N145" s="46"/>
      <c r="O145" s="48"/>
      <c r="P145" s="47"/>
      <c r="Q145" s="46"/>
      <c r="R145" s="46"/>
      <c r="S145" s="46"/>
      <c r="T145" s="49"/>
      <c r="U145" s="49"/>
      <c r="V145" s="49"/>
      <c r="W145" s="49"/>
      <c r="X145" s="49"/>
      <c r="Y145" s="49"/>
      <c r="Z145" s="49"/>
      <c r="AA145" s="50"/>
      <c r="AB145" s="51"/>
      <c r="AC145" s="52"/>
      <c r="AD145" s="47"/>
      <c r="AE145"/>
    </row>
    <row r="146" spans="1:31" ht="13">
      <c r="A146" s="38"/>
      <c r="B146" s="39"/>
      <c r="C146" s="40"/>
      <c r="D146" s="17"/>
      <c r="E146" s="17"/>
      <c r="F146" s="17"/>
      <c r="G146" s="17"/>
      <c r="H146" s="17"/>
      <c r="I146" s="40"/>
      <c r="J146" s="40"/>
      <c r="K146" s="17"/>
      <c r="L146" s="17"/>
      <c r="M146" s="17"/>
      <c r="N146" s="40"/>
      <c r="O146" s="53"/>
      <c r="P146" s="17"/>
      <c r="Q146" s="40"/>
      <c r="R146" s="40"/>
      <c r="S146" s="40"/>
      <c r="T146" s="41"/>
      <c r="U146" s="41"/>
      <c r="V146" s="41"/>
      <c r="W146" s="41"/>
      <c r="X146" s="41"/>
      <c r="Y146" s="41"/>
      <c r="Z146" s="41"/>
      <c r="AA146" s="54"/>
      <c r="AB146" s="43"/>
      <c r="AC146" s="44"/>
      <c r="AD146" s="17"/>
      <c r="AE146"/>
    </row>
    <row r="147" spans="1:31" ht="13">
      <c r="A147" s="38"/>
      <c r="B147" s="39"/>
      <c r="C147" s="40"/>
      <c r="D147" s="17"/>
      <c r="E147" s="17"/>
      <c r="F147" s="17"/>
      <c r="G147" s="17"/>
      <c r="H147" s="17"/>
      <c r="I147" s="40"/>
      <c r="J147" s="40"/>
      <c r="K147" s="17"/>
      <c r="L147" s="17"/>
      <c r="M147" s="17"/>
      <c r="N147" s="40"/>
      <c r="O147" s="53"/>
      <c r="P147" s="17"/>
      <c r="Q147" s="40"/>
      <c r="R147" s="40"/>
      <c r="S147" s="40"/>
      <c r="T147" s="41"/>
      <c r="U147" s="41"/>
      <c r="V147" s="41"/>
      <c r="W147" s="41"/>
      <c r="X147" s="41"/>
      <c r="Y147" s="41"/>
      <c r="Z147" s="41"/>
      <c r="AA147" s="54"/>
      <c r="AB147" s="43"/>
      <c r="AC147" s="44"/>
      <c r="AD147" s="17"/>
      <c r="AE147"/>
    </row>
    <row r="148" spans="1:31" ht="13">
      <c r="A148" s="55"/>
      <c r="B148" s="56"/>
      <c r="C148" s="46"/>
      <c r="D148" s="47"/>
      <c r="E148" s="47"/>
      <c r="F148" s="47"/>
      <c r="G148" s="47"/>
      <c r="H148" s="47"/>
      <c r="I148" s="46"/>
      <c r="J148" s="46"/>
      <c r="K148" s="47"/>
      <c r="L148" s="47"/>
      <c r="M148" s="47"/>
      <c r="N148" s="46"/>
      <c r="O148" s="48"/>
      <c r="P148" s="47"/>
      <c r="Q148" s="46"/>
      <c r="R148" s="46"/>
      <c r="S148" s="46"/>
      <c r="T148" s="49"/>
      <c r="U148" s="49"/>
      <c r="V148" s="49"/>
      <c r="W148" s="49"/>
      <c r="X148" s="49"/>
      <c r="Y148" s="49"/>
      <c r="Z148" s="49"/>
      <c r="AA148" s="50"/>
      <c r="AB148" s="43"/>
      <c r="AC148" s="44"/>
      <c r="AD148" s="47"/>
      <c r="AE148"/>
    </row>
    <row r="149" spans="1:31" ht="13">
      <c r="A149" s="36"/>
      <c r="B149" s="24"/>
      <c r="C149" s="18"/>
      <c r="D149" s="12"/>
      <c r="E149" s="12"/>
      <c r="F149" s="12"/>
      <c r="G149" s="12"/>
      <c r="H149" s="12"/>
      <c r="I149" s="18"/>
      <c r="J149" s="18"/>
      <c r="K149" s="12"/>
      <c r="L149" s="12"/>
      <c r="M149" s="12"/>
      <c r="N149" s="18"/>
      <c r="O149" s="18"/>
      <c r="P149" s="12"/>
      <c r="Q149" s="18"/>
      <c r="R149" s="18"/>
      <c r="S149" s="18"/>
      <c r="T149" s="20"/>
      <c r="U149" s="20"/>
      <c r="V149" s="20"/>
      <c r="W149" s="20"/>
      <c r="X149" s="20"/>
      <c r="Y149" s="20"/>
      <c r="Z149" s="20"/>
      <c r="AA149" s="37"/>
      <c r="AB149" s="22"/>
      <c r="AC149" s="23"/>
      <c r="AD149" s="17"/>
      <c r="AE149"/>
    </row>
    <row r="150" spans="1:31" ht="13">
      <c r="A150" s="38"/>
      <c r="B150" s="39"/>
      <c r="C150" s="40"/>
      <c r="D150" s="17"/>
      <c r="E150" s="17"/>
      <c r="F150" s="17"/>
      <c r="G150" s="17"/>
      <c r="H150" s="17"/>
      <c r="I150" s="40"/>
      <c r="J150" s="40"/>
      <c r="K150" s="17"/>
      <c r="L150" s="17"/>
      <c r="M150" s="17"/>
      <c r="N150" s="40"/>
      <c r="O150" s="40"/>
      <c r="P150" s="17"/>
      <c r="Q150" s="40"/>
      <c r="R150" s="40"/>
      <c r="S150" s="40"/>
      <c r="T150" s="41"/>
      <c r="U150" s="41"/>
      <c r="V150" s="41"/>
      <c r="W150" s="41"/>
      <c r="X150" s="41"/>
      <c r="Y150" s="41"/>
      <c r="Z150" s="41"/>
      <c r="AA150" s="42"/>
      <c r="AB150" s="43"/>
      <c r="AC150" s="44"/>
      <c r="AD150" s="17"/>
      <c r="AE150"/>
    </row>
    <row r="151" spans="1:31" ht="13">
      <c r="A151" s="38"/>
      <c r="B151" s="45"/>
      <c r="C151" s="46"/>
      <c r="D151" s="47"/>
      <c r="E151" s="47"/>
      <c r="F151" s="47"/>
      <c r="G151" s="47"/>
      <c r="H151" s="47"/>
      <c r="I151" s="46"/>
      <c r="J151" s="46"/>
      <c r="K151" s="47"/>
      <c r="L151" s="47"/>
      <c r="M151" s="47"/>
      <c r="N151" s="46"/>
      <c r="O151" s="48"/>
      <c r="P151" s="47"/>
      <c r="Q151" s="46"/>
      <c r="R151" s="46"/>
      <c r="S151" s="46"/>
      <c r="T151" s="49"/>
      <c r="U151" s="49"/>
      <c r="V151" s="49"/>
      <c r="W151" s="49"/>
      <c r="X151" s="49"/>
      <c r="Y151" s="49"/>
      <c r="Z151" s="49"/>
      <c r="AA151" s="50"/>
      <c r="AB151" s="51"/>
      <c r="AC151" s="52"/>
      <c r="AD151" s="47"/>
      <c r="AE151"/>
    </row>
    <row r="152" spans="1:31" ht="13">
      <c r="A152" s="38"/>
      <c r="B152" s="39"/>
      <c r="C152" s="40"/>
      <c r="D152" s="17"/>
      <c r="E152" s="17"/>
      <c r="F152" s="17"/>
      <c r="G152" s="17"/>
      <c r="H152" s="17"/>
      <c r="I152" s="40"/>
      <c r="J152" s="40"/>
      <c r="K152" s="17"/>
      <c r="L152" s="17"/>
      <c r="M152" s="17"/>
      <c r="N152" s="40"/>
      <c r="O152" s="53"/>
      <c r="P152" s="17"/>
      <c r="Q152" s="40"/>
      <c r="R152" s="40"/>
      <c r="S152" s="40"/>
      <c r="T152" s="41"/>
      <c r="U152" s="41"/>
      <c r="V152" s="41"/>
      <c r="W152" s="41"/>
      <c r="X152" s="41"/>
      <c r="Y152" s="41"/>
      <c r="Z152" s="41"/>
      <c r="AA152" s="54"/>
      <c r="AB152" s="43"/>
      <c r="AC152" s="44"/>
      <c r="AD152" s="17"/>
      <c r="AE152"/>
    </row>
    <row r="153" spans="1:31" ht="13">
      <c r="A153" s="38"/>
      <c r="B153" s="39"/>
      <c r="C153" s="40"/>
      <c r="D153" s="17"/>
      <c r="E153" s="17"/>
      <c r="F153" s="17"/>
      <c r="G153" s="17"/>
      <c r="H153" s="17"/>
      <c r="I153" s="40"/>
      <c r="J153" s="40"/>
      <c r="K153" s="17"/>
      <c r="L153" s="17"/>
      <c r="M153" s="17"/>
      <c r="N153" s="40"/>
      <c r="O153" s="53"/>
      <c r="P153" s="17"/>
      <c r="Q153" s="40"/>
      <c r="R153" s="40"/>
      <c r="S153" s="40"/>
      <c r="T153" s="41"/>
      <c r="U153" s="41"/>
      <c r="V153" s="41"/>
      <c r="W153" s="41"/>
      <c r="X153" s="41"/>
      <c r="Y153" s="41"/>
      <c r="Z153" s="41"/>
      <c r="AA153" s="54"/>
      <c r="AB153" s="43"/>
      <c r="AC153" s="44"/>
      <c r="AD153" s="17"/>
      <c r="AE153"/>
    </row>
    <row r="154" spans="1:31" ht="13">
      <c r="A154" s="38"/>
      <c r="B154" s="45"/>
      <c r="C154" s="46"/>
      <c r="D154" s="47"/>
      <c r="E154" s="47"/>
      <c r="F154" s="47"/>
      <c r="G154" s="47"/>
      <c r="H154" s="47"/>
      <c r="I154" s="46"/>
      <c r="J154" s="46"/>
      <c r="K154" s="47"/>
      <c r="L154" s="47"/>
      <c r="M154" s="47"/>
      <c r="N154" s="46"/>
      <c r="O154" s="48"/>
      <c r="P154" s="47"/>
      <c r="Q154" s="46"/>
      <c r="R154" s="46"/>
      <c r="S154" s="46"/>
      <c r="T154" s="49"/>
      <c r="U154" s="49"/>
      <c r="V154" s="49"/>
      <c r="W154" s="49"/>
      <c r="X154" s="49"/>
      <c r="Y154" s="49"/>
      <c r="Z154" s="49"/>
      <c r="AA154" s="50"/>
      <c r="AB154" s="51"/>
      <c r="AC154" s="52"/>
      <c r="AD154" s="47"/>
      <c r="AE154"/>
    </row>
    <row r="155" spans="1:31" ht="13">
      <c r="A155" s="38"/>
      <c r="B155" s="39"/>
      <c r="C155" s="40"/>
      <c r="D155" s="17"/>
      <c r="E155" s="17"/>
      <c r="F155" s="17"/>
      <c r="G155" s="17"/>
      <c r="H155" s="17"/>
      <c r="I155" s="40"/>
      <c r="J155" s="40"/>
      <c r="K155" s="17"/>
      <c r="L155" s="17"/>
      <c r="M155" s="17"/>
      <c r="N155" s="40"/>
      <c r="O155" s="53"/>
      <c r="P155" s="17"/>
      <c r="Q155" s="40"/>
      <c r="R155" s="40"/>
      <c r="S155" s="40"/>
      <c r="T155" s="41"/>
      <c r="U155" s="41"/>
      <c r="V155" s="41"/>
      <c r="W155" s="41"/>
      <c r="X155" s="41"/>
      <c r="Y155" s="41"/>
      <c r="Z155" s="41"/>
      <c r="AA155" s="54"/>
      <c r="AB155" s="43"/>
      <c r="AC155" s="44"/>
      <c r="AD155" s="17"/>
      <c r="AE155"/>
    </row>
    <row r="156" spans="1:31" ht="13">
      <c r="A156" s="38"/>
      <c r="B156" s="39"/>
      <c r="C156" s="40"/>
      <c r="D156" s="17"/>
      <c r="E156" s="17"/>
      <c r="F156" s="17"/>
      <c r="G156" s="17"/>
      <c r="H156" s="17"/>
      <c r="I156" s="40"/>
      <c r="J156" s="40"/>
      <c r="K156" s="17"/>
      <c r="L156" s="17"/>
      <c r="M156" s="17"/>
      <c r="N156" s="40"/>
      <c r="O156" s="53"/>
      <c r="P156" s="17"/>
      <c r="Q156" s="40"/>
      <c r="R156" s="40"/>
      <c r="S156" s="40"/>
      <c r="T156" s="41"/>
      <c r="U156" s="41"/>
      <c r="V156" s="41"/>
      <c r="W156" s="41"/>
      <c r="X156" s="41"/>
      <c r="Y156" s="41"/>
      <c r="Z156" s="41"/>
      <c r="AA156" s="54"/>
      <c r="AB156" s="43"/>
      <c r="AC156" s="44"/>
      <c r="AD156" s="17"/>
      <c r="AE156"/>
    </row>
    <row r="157" spans="1:31" ht="13">
      <c r="A157" s="38"/>
      <c r="B157" s="45"/>
      <c r="C157" s="46"/>
      <c r="D157" s="47"/>
      <c r="E157" s="47"/>
      <c r="F157" s="47"/>
      <c r="G157" s="47"/>
      <c r="H157" s="47"/>
      <c r="I157" s="46"/>
      <c r="J157" s="46"/>
      <c r="K157" s="47"/>
      <c r="L157" s="47"/>
      <c r="M157" s="47"/>
      <c r="N157" s="46"/>
      <c r="O157" s="48"/>
      <c r="P157" s="47"/>
      <c r="Q157" s="46"/>
      <c r="R157" s="46"/>
      <c r="S157" s="46"/>
      <c r="T157" s="49"/>
      <c r="U157" s="49"/>
      <c r="V157" s="49"/>
      <c r="W157" s="49"/>
      <c r="X157" s="49"/>
      <c r="Y157" s="49"/>
      <c r="Z157" s="49"/>
      <c r="AA157" s="50"/>
      <c r="AB157" s="51"/>
      <c r="AC157" s="52"/>
      <c r="AD157" s="47"/>
      <c r="AE157"/>
    </row>
    <row r="158" spans="1:31" ht="13">
      <c r="A158" s="38"/>
      <c r="B158" s="39"/>
      <c r="C158" s="40"/>
      <c r="D158" s="17"/>
      <c r="E158" s="17"/>
      <c r="F158" s="17"/>
      <c r="G158" s="17"/>
      <c r="H158" s="17"/>
      <c r="I158" s="40"/>
      <c r="J158" s="40"/>
      <c r="K158" s="17"/>
      <c r="L158" s="17"/>
      <c r="M158" s="17"/>
      <c r="N158" s="40"/>
      <c r="O158" s="53"/>
      <c r="P158" s="17"/>
      <c r="Q158" s="40"/>
      <c r="R158" s="40"/>
      <c r="S158" s="40"/>
      <c r="T158" s="41"/>
      <c r="U158" s="41"/>
      <c r="V158" s="41"/>
      <c r="W158" s="41"/>
      <c r="X158" s="41"/>
      <c r="Y158" s="41"/>
      <c r="Z158" s="41"/>
      <c r="AA158" s="54"/>
      <c r="AB158" s="43"/>
      <c r="AC158" s="44"/>
      <c r="AD158" s="17"/>
      <c r="AE158"/>
    </row>
    <row r="159" spans="1:31" ht="13">
      <c r="A159" s="38"/>
      <c r="B159" s="39"/>
      <c r="C159" s="40"/>
      <c r="D159" s="17"/>
      <c r="E159" s="17"/>
      <c r="F159" s="17"/>
      <c r="G159" s="17"/>
      <c r="H159" s="17"/>
      <c r="I159" s="40"/>
      <c r="J159" s="40"/>
      <c r="K159" s="17"/>
      <c r="L159" s="17"/>
      <c r="M159" s="17"/>
      <c r="N159" s="40"/>
      <c r="O159" s="53"/>
      <c r="P159" s="17"/>
      <c r="Q159" s="40"/>
      <c r="R159" s="40"/>
      <c r="S159" s="40"/>
      <c r="T159" s="41"/>
      <c r="U159" s="41"/>
      <c r="V159" s="41"/>
      <c r="W159" s="41"/>
      <c r="X159" s="41"/>
      <c r="Y159" s="41"/>
      <c r="Z159" s="41"/>
      <c r="AA159" s="54"/>
      <c r="AB159" s="43"/>
      <c r="AC159" s="44"/>
      <c r="AD159" s="17"/>
      <c r="AE159"/>
    </row>
    <row r="160" spans="1:31" ht="13">
      <c r="A160" s="55"/>
      <c r="B160" s="56"/>
      <c r="C160" s="46"/>
      <c r="D160" s="47"/>
      <c r="E160" s="47"/>
      <c r="F160" s="47"/>
      <c r="G160" s="47"/>
      <c r="H160" s="47"/>
      <c r="I160" s="46"/>
      <c r="J160" s="46"/>
      <c r="K160" s="47"/>
      <c r="L160" s="47"/>
      <c r="M160" s="47"/>
      <c r="N160" s="46"/>
      <c r="O160" s="48"/>
      <c r="P160" s="47"/>
      <c r="Q160" s="46"/>
      <c r="R160" s="46"/>
      <c r="S160" s="46"/>
      <c r="T160" s="49"/>
      <c r="U160" s="49"/>
      <c r="V160" s="49"/>
      <c r="W160" s="49"/>
      <c r="X160" s="49"/>
      <c r="Y160" s="49"/>
      <c r="Z160" s="49"/>
      <c r="AA160" s="50"/>
      <c r="AB160" s="43"/>
      <c r="AC160" s="44"/>
      <c r="AD160" s="47"/>
      <c r="AE160"/>
    </row>
    <row r="161" spans="1:31" ht="13">
      <c r="A161" s="36"/>
      <c r="B161" s="24"/>
      <c r="C161" s="18"/>
      <c r="D161" s="12"/>
      <c r="E161" s="12"/>
      <c r="F161" s="12"/>
      <c r="G161" s="12"/>
      <c r="H161" s="12"/>
      <c r="I161" s="18"/>
      <c r="J161" s="18"/>
      <c r="K161" s="12"/>
      <c r="L161" s="12"/>
      <c r="M161" s="12"/>
      <c r="N161" s="18"/>
      <c r="O161" s="18"/>
      <c r="P161" s="12"/>
      <c r="Q161" s="18"/>
      <c r="R161" s="18"/>
      <c r="S161" s="18"/>
      <c r="T161" s="20"/>
      <c r="U161" s="20"/>
      <c r="V161" s="20"/>
      <c r="W161" s="20"/>
      <c r="X161" s="20"/>
      <c r="Y161" s="20"/>
      <c r="Z161" s="20"/>
      <c r="AA161" s="37"/>
      <c r="AB161" s="22"/>
      <c r="AC161" s="23"/>
      <c r="AD161" s="17"/>
      <c r="AE161"/>
    </row>
    <row r="162" spans="1:31" ht="13">
      <c r="A162" s="38"/>
      <c r="B162" s="39"/>
      <c r="C162" s="40"/>
      <c r="D162" s="17"/>
      <c r="E162" s="17"/>
      <c r="F162" s="17"/>
      <c r="G162" s="17"/>
      <c r="H162" s="17"/>
      <c r="I162" s="40"/>
      <c r="J162" s="40"/>
      <c r="K162" s="17"/>
      <c r="L162" s="17"/>
      <c r="M162" s="17"/>
      <c r="N162" s="40"/>
      <c r="O162" s="40"/>
      <c r="P162" s="17"/>
      <c r="Q162" s="40"/>
      <c r="R162" s="40"/>
      <c r="S162" s="40"/>
      <c r="T162" s="41"/>
      <c r="U162" s="41"/>
      <c r="V162" s="41"/>
      <c r="W162" s="41"/>
      <c r="X162" s="41"/>
      <c r="Y162" s="41"/>
      <c r="Z162" s="41"/>
      <c r="AA162" s="42"/>
      <c r="AB162" s="43"/>
      <c r="AC162" s="44"/>
      <c r="AD162" s="17"/>
      <c r="AE162"/>
    </row>
    <row r="163" spans="1:31" ht="13">
      <c r="A163" s="38"/>
      <c r="B163" s="45"/>
      <c r="C163" s="46"/>
      <c r="D163" s="47"/>
      <c r="E163" s="47"/>
      <c r="F163" s="47"/>
      <c r="G163" s="47"/>
      <c r="H163" s="47"/>
      <c r="I163" s="46"/>
      <c r="J163" s="46"/>
      <c r="K163" s="47"/>
      <c r="L163" s="47"/>
      <c r="M163" s="47"/>
      <c r="N163" s="46"/>
      <c r="O163" s="48"/>
      <c r="P163" s="47"/>
      <c r="Q163" s="46"/>
      <c r="R163" s="46"/>
      <c r="S163" s="46"/>
      <c r="T163" s="49"/>
      <c r="U163" s="49"/>
      <c r="V163" s="49"/>
      <c r="W163" s="49"/>
      <c r="X163" s="49"/>
      <c r="Y163" s="49"/>
      <c r="Z163" s="49"/>
      <c r="AA163" s="50"/>
      <c r="AB163" s="51"/>
      <c r="AC163" s="52"/>
      <c r="AD163" s="47"/>
      <c r="AE163"/>
    </row>
    <row r="164" spans="1:31" ht="13">
      <c r="A164" s="38"/>
      <c r="B164" s="39"/>
      <c r="C164" s="40"/>
      <c r="D164" s="17"/>
      <c r="E164" s="17"/>
      <c r="F164" s="17"/>
      <c r="G164" s="17"/>
      <c r="H164" s="17"/>
      <c r="I164" s="40"/>
      <c r="J164" s="40"/>
      <c r="K164" s="17"/>
      <c r="L164" s="17"/>
      <c r="M164" s="17"/>
      <c r="N164" s="40"/>
      <c r="O164" s="53"/>
      <c r="P164" s="17"/>
      <c r="Q164" s="40"/>
      <c r="R164" s="40"/>
      <c r="S164" s="40"/>
      <c r="T164" s="41"/>
      <c r="U164" s="41"/>
      <c r="V164" s="41"/>
      <c r="W164" s="41"/>
      <c r="X164" s="41"/>
      <c r="Y164" s="41"/>
      <c r="Z164" s="41"/>
      <c r="AA164" s="54"/>
      <c r="AB164" s="43"/>
      <c r="AC164" s="44"/>
      <c r="AD164" s="17"/>
      <c r="AE164"/>
    </row>
    <row r="165" spans="1:31" ht="13">
      <c r="A165" s="38"/>
      <c r="B165" s="39"/>
      <c r="C165" s="40"/>
      <c r="D165" s="17"/>
      <c r="E165" s="17"/>
      <c r="F165" s="17"/>
      <c r="G165" s="17"/>
      <c r="H165" s="17"/>
      <c r="I165" s="40"/>
      <c r="J165" s="40"/>
      <c r="K165" s="17"/>
      <c r="L165" s="17"/>
      <c r="M165" s="17"/>
      <c r="N165" s="40"/>
      <c r="O165" s="53"/>
      <c r="P165" s="17"/>
      <c r="Q165" s="40"/>
      <c r="R165" s="40"/>
      <c r="S165" s="40"/>
      <c r="T165" s="41"/>
      <c r="U165" s="41"/>
      <c r="V165" s="41"/>
      <c r="W165" s="41"/>
      <c r="X165" s="41"/>
      <c r="Y165" s="41"/>
      <c r="Z165" s="41"/>
      <c r="AA165" s="54"/>
      <c r="AB165" s="43"/>
      <c r="AC165" s="44"/>
      <c r="AD165" s="17"/>
      <c r="AE165"/>
    </row>
    <row r="166" spans="1:31" ht="13">
      <c r="A166" s="38"/>
      <c r="B166" s="45"/>
      <c r="C166" s="46"/>
      <c r="D166" s="47"/>
      <c r="E166" s="47"/>
      <c r="F166" s="47"/>
      <c r="G166" s="47"/>
      <c r="H166" s="47"/>
      <c r="I166" s="46"/>
      <c r="J166" s="46"/>
      <c r="K166" s="47"/>
      <c r="L166" s="47"/>
      <c r="M166" s="47"/>
      <c r="N166" s="46"/>
      <c r="O166" s="48"/>
      <c r="P166" s="47"/>
      <c r="Q166" s="46"/>
      <c r="R166" s="46"/>
      <c r="S166" s="46"/>
      <c r="T166" s="49"/>
      <c r="U166" s="49"/>
      <c r="V166" s="49"/>
      <c r="W166" s="49"/>
      <c r="X166" s="49"/>
      <c r="Y166" s="49"/>
      <c r="Z166" s="49"/>
      <c r="AA166" s="50"/>
      <c r="AB166" s="51"/>
      <c r="AC166" s="52"/>
      <c r="AD166" s="47"/>
      <c r="AE166"/>
    </row>
    <row r="167" spans="1:31" ht="13">
      <c r="A167" s="38"/>
      <c r="B167" s="39"/>
      <c r="C167" s="40"/>
      <c r="D167" s="17"/>
      <c r="E167" s="17"/>
      <c r="F167" s="17"/>
      <c r="G167" s="17"/>
      <c r="H167" s="17"/>
      <c r="I167" s="40"/>
      <c r="J167" s="40"/>
      <c r="K167" s="17"/>
      <c r="L167" s="17"/>
      <c r="M167" s="17"/>
      <c r="N167" s="40"/>
      <c r="O167" s="53"/>
      <c r="P167" s="17"/>
      <c r="Q167" s="40"/>
      <c r="R167" s="40"/>
      <c r="S167" s="40"/>
      <c r="T167" s="41"/>
      <c r="U167" s="41"/>
      <c r="V167" s="41"/>
      <c r="W167" s="41"/>
      <c r="X167" s="41"/>
      <c r="Y167" s="41"/>
      <c r="Z167" s="41"/>
      <c r="AA167" s="54"/>
      <c r="AB167" s="43"/>
      <c r="AC167" s="44"/>
      <c r="AD167" s="17"/>
      <c r="AE167"/>
    </row>
    <row r="168" spans="1:31" ht="13">
      <c r="A168" s="38"/>
      <c r="B168" s="39"/>
      <c r="C168" s="40"/>
      <c r="D168" s="17"/>
      <c r="E168" s="17"/>
      <c r="F168" s="17"/>
      <c r="G168" s="17"/>
      <c r="H168" s="17"/>
      <c r="I168" s="40"/>
      <c r="J168" s="40"/>
      <c r="K168" s="17"/>
      <c r="L168" s="17"/>
      <c r="M168" s="17"/>
      <c r="N168" s="40"/>
      <c r="O168" s="53"/>
      <c r="P168" s="17"/>
      <c r="Q168" s="40"/>
      <c r="R168" s="40"/>
      <c r="S168" s="40"/>
      <c r="T168" s="41"/>
      <c r="U168" s="41"/>
      <c r="V168" s="41"/>
      <c r="W168" s="41"/>
      <c r="X168" s="41"/>
      <c r="Y168" s="41"/>
      <c r="Z168" s="41"/>
      <c r="AA168" s="54"/>
      <c r="AB168" s="43"/>
      <c r="AC168" s="44"/>
      <c r="AD168" s="17"/>
      <c r="AE168"/>
    </row>
    <row r="169" spans="1:31" ht="13">
      <c r="A169" s="38"/>
      <c r="B169" s="45"/>
      <c r="C169" s="46"/>
      <c r="D169" s="47"/>
      <c r="E169" s="47"/>
      <c r="F169" s="47"/>
      <c r="G169" s="47"/>
      <c r="H169" s="47"/>
      <c r="I169" s="46"/>
      <c r="J169" s="46"/>
      <c r="K169" s="47"/>
      <c r="L169" s="47"/>
      <c r="M169" s="47"/>
      <c r="N169" s="46"/>
      <c r="O169" s="48"/>
      <c r="P169" s="47"/>
      <c r="Q169" s="46"/>
      <c r="R169" s="46"/>
      <c r="S169" s="46"/>
      <c r="T169" s="49"/>
      <c r="U169" s="49"/>
      <c r="V169" s="49"/>
      <c r="W169" s="49"/>
      <c r="X169" s="49"/>
      <c r="Y169" s="49"/>
      <c r="Z169" s="49"/>
      <c r="AA169" s="50"/>
      <c r="AB169" s="51"/>
      <c r="AC169" s="52"/>
      <c r="AD169" s="47"/>
      <c r="AE169"/>
    </row>
    <row r="170" spans="1:31" ht="13">
      <c r="A170" s="38"/>
      <c r="B170" s="39"/>
      <c r="C170" s="40"/>
      <c r="D170" s="17"/>
      <c r="E170" s="17"/>
      <c r="F170" s="17"/>
      <c r="G170" s="17"/>
      <c r="H170" s="17"/>
      <c r="I170" s="40"/>
      <c r="J170" s="40"/>
      <c r="K170" s="17"/>
      <c r="L170" s="17"/>
      <c r="M170" s="17"/>
      <c r="N170" s="40"/>
      <c r="O170" s="53"/>
      <c r="P170" s="17"/>
      <c r="Q170" s="40"/>
      <c r="R170" s="40"/>
      <c r="S170" s="40"/>
      <c r="T170" s="41"/>
      <c r="U170" s="41"/>
      <c r="V170" s="41"/>
      <c r="W170" s="41"/>
      <c r="X170" s="41"/>
      <c r="Y170" s="41"/>
      <c r="Z170" s="41"/>
      <c r="AA170" s="54"/>
      <c r="AB170" s="43"/>
      <c r="AC170" s="44"/>
      <c r="AD170" s="17"/>
      <c r="AE170"/>
    </row>
    <row r="171" spans="1:31" ht="13">
      <c r="A171" s="38"/>
      <c r="B171" s="39"/>
      <c r="C171" s="40"/>
      <c r="D171" s="17"/>
      <c r="E171" s="17"/>
      <c r="F171" s="17"/>
      <c r="G171" s="17"/>
      <c r="H171" s="17"/>
      <c r="I171" s="40"/>
      <c r="J171" s="40"/>
      <c r="K171" s="17"/>
      <c r="L171" s="17"/>
      <c r="M171" s="17"/>
      <c r="N171" s="40"/>
      <c r="O171" s="53"/>
      <c r="P171" s="17"/>
      <c r="Q171" s="40"/>
      <c r="R171" s="40"/>
      <c r="S171" s="40"/>
      <c r="T171" s="41"/>
      <c r="U171" s="41"/>
      <c r="V171" s="41"/>
      <c r="W171" s="41"/>
      <c r="X171" s="41"/>
      <c r="Y171" s="41"/>
      <c r="Z171" s="41"/>
      <c r="AA171" s="54"/>
      <c r="AB171" s="43"/>
      <c r="AC171" s="44"/>
      <c r="AD171" s="17"/>
      <c r="AE171"/>
    </row>
    <row r="172" spans="1:31" ht="13">
      <c r="A172" s="55"/>
      <c r="B172" s="56"/>
      <c r="C172" s="46"/>
      <c r="D172" s="47"/>
      <c r="E172" s="47"/>
      <c r="F172" s="47"/>
      <c r="G172" s="47"/>
      <c r="H172" s="47"/>
      <c r="I172" s="46"/>
      <c r="J172" s="46"/>
      <c r="K172" s="47"/>
      <c r="L172" s="47"/>
      <c r="M172" s="47"/>
      <c r="N172" s="46"/>
      <c r="O172" s="48"/>
      <c r="P172" s="47"/>
      <c r="Q172" s="46"/>
      <c r="R172" s="46"/>
      <c r="S172" s="46"/>
      <c r="T172" s="49"/>
      <c r="U172" s="49"/>
      <c r="V172" s="49"/>
      <c r="W172" s="49"/>
      <c r="X172" s="49"/>
      <c r="Y172" s="49"/>
      <c r="Z172" s="49"/>
      <c r="AA172" s="50"/>
      <c r="AB172" s="43"/>
      <c r="AC172" s="44"/>
      <c r="AD172" s="47"/>
      <c r="AE172"/>
    </row>
    <row r="173" spans="1:31" ht="13">
      <c r="A173" s="36"/>
      <c r="B173" s="24"/>
      <c r="C173" s="18"/>
      <c r="D173" s="12"/>
      <c r="E173" s="12"/>
      <c r="F173" s="12"/>
      <c r="G173" s="12"/>
      <c r="H173" s="12"/>
      <c r="I173" s="18"/>
      <c r="J173" s="18"/>
      <c r="K173" s="12"/>
      <c r="L173" s="12"/>
      <c r="M173" s="12"/>
      <c r="N173" s="18"/>
      <c r="O173" s="18"/>
      <c r="P173" s="12"/>
      <c r="Q173" s="18"/>
      <c r="R173" s="18"/>
      <c r="S173" s="18"/>
      <c r="T173" s="20"/>
      <c r="U173" s="20"/>
      <c r="V173" s="20"/>
      <c r="W173" s="20"/>
      <c r="X173" s="20"/>
      <c r="Y173" s="20"/>
      <c r="Z173" s="20"/>
      <c r="AA173" s="37"/>
      <c r="AB173" s="22"/>
      <c r="AC173" s="23"/>
      <c r="AD173" s="17"/>
      <c r="AE173"/>
    </row>
    <row r="174" spans="1:31" ht="13">
      <c r="A174" s="38"/>
      <c r="B174" s="39"/>
      <c r="C174" s="40"/>
      <c r="D174" s="17"/>
      <c r="E174" s="17"/>
      <c r="F174" s="17"/>
      <c r="G174" s="17"/>
      <c r="H174" s="17"/>
      <c r="I174" s="40"/>
      <c r="J174" s="40"/>
      <c r="K174" s="17"/>
      <c r="L174" s="17"/>
      <c r="M174" s="17"/>
      <c r="N174" s="40"/>
      <c r="O174" s="40"/>
      <c r="P174" s="17"/>
      <c r="Q174" s="40"/>
      <c r="R174" s="40"/>
      <c r="S174" s="40"/>
      <c r="T174" s="41"/>
      <c r="U174" s="41"/>
      <c r="V174" s="41"/>
      <c r="W174" s="41"/>
      <c r="X174" s="41"/>
      <c r="Y174" s="41"/>
      <c r="Z174" s="41"/>
      <c r="AA174" s="42"/>
      <c r="AB174" s="43"/>
      <c r="AC174" s="44"/>
      <c r="AD174" s="17"/>
      <c r="AE174"/>
    </row>
    <row r="175" spans="1:31" ht="13">
      <c r="A175" s="38"/>
      <c r="B175" s="45"/>
      <c r="C175" s="46"/>
      <c r="D175" s="47"/>
      <c r="E175" s="47"/>
      <c r="F175" s="47"/>
      <c r="G175" s="47"/>
      <c r="H175" s="47"/>
      <c r="I175" s="46"/>
      <c r="J175" s="46"/>
      <c r="K175" s="47"/>
      <c r="L175" s="47"/>
      <c r="M175" s="47"/>
      <c r="N175" s="46"/>
      <c r="O175" s="48"/>
      <c r="P175" s="47"/>
      <c r="Q175" s="46"/>
      <c r="R175" s="46"/>
      <c r="S175" s="46"/>
      <c r="T175" s="49"/>
      <c r="U175" s="49"/>
      <c r="V175" s="49"/>
      <c r="W175" s="49"/>
      <c r="X175" s="49"/>
      <c r="Y175" s="49"/>
      <c r="Z175" s="49"/>
      <c r="AA175" s="50"/>
      <c r="AB175" s="51"/>
      <c r="AC175" s="52"/>
      <c r="AD175" s="47"/>
      <c r="AE175"/>
    </row>
    <row r="176" spans="1:31" ht="13">
      <c r="A176" s="38"/>
      <c r="B176" s="39"/>
      <c r="C176" s="40"/>
      <c r="D176" s="17"/>
      <c r="E176" s="17"/>
      <c r="F176" s="17"/>
      <c r="G176" s="17"/>
      <c r="H176" s="17"/>
      <c r="I176" s="40"/>
      <c r="J176" s="40"/>
      <c r="K176" s="17"/>
      <c r="L176" s="17"/>
      <c r="M176" s="17"/>
      <c r="N176" s="40"/>
      <c r="O176" s="53"/>
      <c r="P176" s="17"/>
      <c r="Q176" s="40"/>
      <c r="R176" s="40"/>
      <c r="S176" s="40"/>
      <c r="T176" s="41"/>
      <c r="U176" s="41"/>
      <c r="V176" s="41"/>
      <c r="W176" s="41"/>
      <c r="X176" s="41"/>
      <c r="Y176" s="41"/>
      <c r="Z176" s="41"/>
      <c r="AA176" s="54"/>
      <c r="AB176" s="43"/>
      <c r="AC176" s="44"/>
      <c r="AD176" s="17"/>
      <c r="AE176"/>
    </row>
    <row r="177" spans="1:33" ht="13">
      <c r="A177" s="38"/>
      <c r="B177" s="39"/>
      <c r="C177" s="40"/>
      <c r="D177" s="17"/>
      <c r="E177" s="17"/>
      <c r="F177" s="17"/>
      <c r="G177" s="17"/>
      <c r="H177" s="17"/>
      <c r="I177" s="40"/>
      <c r="J177" s="40"/>
      <c r="K177" s="17"/>
      <c r="L177" s="17"/>
      <c r="M177" s="17"/>
      <c r="N177" s="40"/>
      <c r="O177" s="53"/>
      <c r="P177" s="17"/>
      <c r="Q177" s="40"/>
      <c r="R177" s="40"/>
      <c r="S177" s="40"/>
      <c r="T177" s="41"/>
      <c r="U177" s="41"/>
      <c r="V177" s="41"/>
      <c r="W177" s="41"/>
      <c r="X177" s="41"/>
      <c r="Y177" s="41"/>
      <c r="Z177" s="41"/>
      <c r="AA177" s="54"/>
      <c r="AB177" s="43"/>
      <c r="AC177" s="44"/>
      <c r="AD177" s="17"/>
      <c r="AE177"/>
    </row>
    <row r="178" spans="1:33" ht="13">
      <c r="A178" s="38"/>
      <c r="B178" s="45"/>
      <c r="C178" s="46"/>
      <c r="D178" s="47"/>
      <c r="E178" s="47"/>
      <c r="F178" s="47"/>
      <c r="G178" s="47"/>
      <c r="H178" s="47"/>
      <c r="I178" s="46"/>
      <c r="J178" s="46"/>
      <c r="K178" s="47"/>
      <c r="L178" s="47"/>
      <c r="M178" s="47"/>
      <c r="N178" s="46"/>
      <c r="O178" s="48"/>
      <c r="P178" s="47"/>
      <c r="Q178" s="46"/>
      <c r="R178" s="46"/>
      <c r="S178" s="46"/>
      <c r="T178" s="49"/>
      <c r="U178" s="49"/>
      <c r="V178" s="49"/>
      <c r="W178" s="49"/>
      <c r="X178" s="49"/>
      <c r="Y178" s="49"/>
      <c r="Z178" s="49"/>
      <c r="AA178" s="50"/>
      <c r="AB178" s="51"/>
      <c r="AC178" s="52"/>
      <c r="AD178" s="47"/>
      <c r="AE178"/>
    </row>
    <row r="179" spans="1:33" ht="13">
      <c r="A179" s="38"/>
      <c r="B179" s="39"/>
      <c r="C179" s="40"/>
      <c r="D179" s="17"/>
      <c r="E179" s="17"/>
      <c r="F179" s="17"/>
      <c r="G179" s="17"/>
      <c r="H179" s="17"/>
      <c r="I179" s="40"/>
      <c r="J179" s="40"/>
      <c r="K179" s="17"/>
      <c r="L179" s="17"/>
      <c r="M179" s="17"/>
      <c r="N179" s="40"/>
      <c r="O179" s="53"/>
      <c r="P179" s="17"/>
      <c r="Q179" s="40"/>
      <c r="R179" s="40"/>
      <c r="S179" s="40"/>
      <c r="T179" s="41"/>
      <c r="U179" s="41"/>
      <c r="V179" s="41"/>
      <c r="W179" s="41"/>
      <c r="X179" s="41"/>
      <c r="Y179" s="41"/>
      <c r="Z179" s="41"/>
      <c r="AA179" s="54"/>
      <c r="AB179" s="43"/>
      <c r="AC179" s="44"/>
      <c r="AD179" s="17"/>
      <c r="AE179"/>
    </row>
    <row r="180" spans="1:33" ht="13">
      <c r="A180" s="38"/>
      <c r="B180" s="39"/>
      <c r="C180" s="40"/>
      <c r="D180" s="17"/>
      <c r="E180" s="17"/>
      <c r="F180" s="17"/>
      <c r="G180" s="17"/>
      <c r="H180" s="17"/>
      <c r="I180" s="40"/>
      <c r="J180" s="40"/>
      <c r="K180" s="17"/>
      <c r="L180" s="17"/>
      <c r="M180" s="17"/>
      <c r="N180" s="40"/>
      <c r="O180" s="53"/>
      <c r="P180" s="17"/>
      <c r="Q180" s="40"/>
      <c r="R180" s="40"/>
      <c r="S180" s="40"/>
      <c r="T180" s="41"/>
      <c r="U180" s="41"/>
      <c r="V180" s="41"/>
      <c r="W180" s="41"/>
      <c r="X180" s="41"/>
      <c r="Y180" s="41"/>
      <c r="Z180" s="41"/>
      <c r="AA180" s="54"/>
      <c r="AB180" s="43"/>
      <c r="AC180" s="44"/>
      <c r="AD180" s="17"/>
      <c r="AE180"/>
    </row>
    <row r="181" spans="1:33" ht="13">
      <c r="A181" s="38"/>
      <c r="B181" s="45"/>
      <c r="C181" s="46"/>
      <c r="D181" s="47"/>
      <c r="E181" s="47"/>
      <c r="F181" s="47"/>
      <c r="G181" s="47"/>
      <c r="H181" s="47"/>
      <c r="I181" s="46"/>
      <c r="J181" s="46"/>
      <c r="K181" s="47"/>
      <c r="L181" s="47"/>
      <c r="M181" s="47"/>
      <c r="N181" s="46"/>
      <c r="O181" s="48"/>
      <c r="P181" s="47"/>
      <c r="Q181" s="46"/>
      <c r="R181" s="46"/>
      <c r="S181" s="46"/>
      <c r="T181" s="49"/>
      <c r="U181" s="49"/>
      <c r="V181" s="49"/>
      <c r="W181" s="49"/>
      <c r="X181" s="49"/>
      <c r="Y181" s="49"/>
      <c r="Z181" s="49"/>
      <c r="AA181" s="50"/>
      <c r="AB181" s="51"/>
      <c r="AC181" s="52"/>
      <c r="AD181" s="47"/>
      <c r="AE181"/>
      <c r="AF181" s="59"/>
      <c r="AG181" s="60"/>
    </row>
    <row r="182" spans="1:33" ht="13">
      <c r="A182" s="38"/>
      <c r="B182" s="39"/>
      <c r="C182" s="40"/>
      <c r="D182" s="17"/>
      <c r="E182" s="17"/>
      <c r="F182" s="17"/>
      <c r="G182" s="17"/>
      <c r="H182" s="17"/>
      <c r="I182" s="40"/>
      <c r="J182" s="40"/>
      <c r="K182" s="17"/>
      <c r="L182" s="17"/>
      <c r="M182" s="17"/>
      <c r="N182" s="40"/>
      <c r="O182" s="53"/>
      <c r="P182" s="17"/>
      <c r="Q182" s="40"/>
      <c r="R182" s="40"/>
      <c r="S182" s="40"/>
      <c r="T182" s="41"/>
      <c r="U182" s="41"/>
      <c r="V182" s="41"/>
      <c r="W182" s="41"/>
      <c r="X182" s="41"/>
      <c r="Y182" s="41"/>
      <c r="Z182" s="41"/>
      <c r="AA182" s="54"/>
      <c r="AB182" s="43"/>
      <c r="AC182" s="44"/>
      <c r="AD182" s="17"/>
      <c r="AE182"/>
      <c r="AF182" s="61"/>
    </row>
    <row r="183" spans="1:33" ht="13">
      <c r="A183" s="38"/>
      <c r="B183" s="39"/>
      <c r="C183" s="40"/>
      <c r="D183" s="17"/>
      <c r="E183" s="17"/>
      <c r="F183" s="17"/>
      <c r="G183" s="17"/>
      <c r="H183" s="17"/>
      <c r="I183" s="40"/>
      <c r="J183" s="40"/>
      <c r="K183" s="17"/>
      <c r="L183" s="17"/>
      <c r="M183" s="17"/>
      <c r="N183" s="40"/>
      <c r="O183" s="53"/>
      <c r="P183" s="17"/>
      <c r="Q183" s="40"/>
      <c r="R183" s="40"/>
      <c r="S183" s="40"/>
      <c r="T183" s="41"/>
      <c r="U183" s="41"/>
      <c r="V183" s="41"/>
      <c r="W183" s="41"/>
      <c r="X183" s="41"/>
      <c r="Y183" s="41"/>
      <c r="Z183" s="41"/>
      <c r="AA183" s="54"/>
      <c r="AB183" s="43"/>
      <c r="AC183" s="44"/>
      <c r="AD183" s="17"/>
      <c r="AE183"/>
      <c r="AF183" s="61"/>
    </row>
    <row r="184" spans="1:33" ht="13">
      <c r="A184" s="55"/>
      <c r="B184" s="56"/>
      <c r="C184" s="46"/>
      <c r="D184" s="47"/>
      <c r="E184" s="47"/>
      <c r="F184" s="47"/>
      <c r="G184" s="47"/>
      <c r="H184" s="47"/>
      <c r="I184" s="46"/>
      <c r="J184" s="46"/>
      <c r="K184" s="47"/>
      <c r="L184" s="47"/>
      <c r="M184" s="47"/>
      <c r="N184" s="46"/>
      <c r="O184" s="48"/>
      <c r="P184" s="47"/>
      <c r="Q184" s="46"/>
      <c r="R184" s="46"/>
      <c r="S184" s="46"/>
      <c r="T184" s="49"/>
      <c r="U184" s="49"/>
      <c r="V184" s="49"/>
      <c r="W184" s="49"/>
      <c r="X184" s="49"/>
      <c r="Y184" s="49"/>
      <c r="Z184" s="49"/>
      <c r="AA184" s="50"/>
      <c r="AB184" s="43"/>
      <c r="AC184" s="44"/>
      <c r="AD184" s="47"/>
      <c r="AE184"/>
      <c r="AF184" s="62"/>
      <c r="AG184" s="59"/>
    </row>
    <row r="185" spans="1:33" ht="13">
      <c r="A185" s="36"/>
      <c r="B185" s="24"/>
      <c r="C185" s="18"/>
      <c r="D185" s="12"/>
      <c r="E185" s="12"/>
      <c r="F185" s="12"/>
      <c r="G185" s="12"/>
      <c r="H185" s="12"/>
      <c r="I185" s="18"/>
      <c r="J185" s="18"/>
      <c r="K185" s="12"/>
      <c r="L185" s="12"/>
      <c r="M185" s="12"/>
      <c r="N185" s="18"/>
      <c r="O185" s="18"/>
      <c r="P185" s="12"/>
      <c r="Q185" s="18"/>
      <c r="R185" s="18"/>
      <c r="S185" s="18"/>
      <c r="T185" s="20"/>
      <c r="U185" s="20"/>
      <c r="V185" s="20"/>
      <c r="W185" s="20"/>
      <c r="X185" s="20"/>
      <c r="Y185" s="20"/>
      <c r="Z185" s="20"/>
      <c r="AA185" s="37"/>
      <c r="AB185" s="22"/>
      <c r="AC185" s="23"/>
      <c r="AD185" s="17"/>
      <c r="AE185"/>
    </row>
    <row r="186" spans="1:33" ht="13">
      <c r="A186" s="38"/>
      <c r="B186" s="39"/>
      <c r="C186" s="40"/>
      <c r="D186" s="17"/>
      <c r="E186" s="17"/>
      <c r="F186" s="17"/>
      <c r="G186" s="17"/>
      <c r="H186" s="17"/>
      <c r="I186" s="40"/>
      <c r="J186" s="40"/>
      <c r="K186" s="17"/>
      <c r="L186" s="17"/>
      <c r="M186" s="17"/>
      <c r="N186" s="40"/>
      <c r="O186" s="40"/>
      <c r="P186" s="17"/>
      <c r="Q186" s="40"/>
      <c r="R186" s="40"/>
      <c r="S186" s="40"/>
      <c r="T186" s="41"/>
      <c r="U186" s="41"/>
      <c r="V186" s="41"/>
      <c r="W186" s="41"/>
      <c r="X186" s="41"/>
      <c r="Y186" s="41"/>
      <c r="Z186" s="41"/>
      <c r="AA186" s="42"/>
      <c r="AB186" s="43"/>
      <c r="AC186" s="44"/>
      <c r="AD186" s="17"/>
      <c r="AE186"/>
    </row>
    <row r="187" spans="1:33" ht="13">
      <c r="A187" s="38"/>
      <c r="B187" s="45"/>
      <c r="C187" s="46"/>
      <c r="D187" s="47"/>
      <c r="E187" s="47"/>
      <c r="F187" s="47"/>
      <c r="G187" s="47"/>
      <c r="H187" s="47"/>
      <c r="I187" s="46"/>
      <c r="J187" s="46"/>
      <c r="K187" s="47"/>
      <c r="L187" s="47"/>
      <c r="M187" s="47"/>
      <c r="N187" s="46"/>
      <c r="O187" s="48"/>
      <c r="P187" s="47"/>
      <c r="Q187" s="46"/>
      <c r="R187" s="46"/>
      <c r="S187" s="46"/>
      <c r="T187" s="49"/>
      <c r="U187" s="49"/>
      <c r="V187" s="49"/>
      <c r="W187" s="49"/>
      <c r="X187" s="49"/>
      <c r="Y187" s="49"/>
      <c r="Z187" s="49"/>
      <c r="AA187" s="50"/>
      <c r="AB187" s="51"/>
      <c r="AC187" s="52"/>
      <c r="AD187" s="47"/>
      <c r="AE187"/>
    </row>
    <row r="188" spans="1:33" ht="13">
      <c r="A188" s="38"/>
      <c r="B188" s="39"/>
      <c r="C188" s="40"/>
      <c r="D188" s="17"/>
      <c r="E188" s="17"/>
      <c r="F188" s="17"/>
      <c r="G188" s="17"/>
      <c r="H188" s="17"/>
      <c r="I188" s="40"/>
      <c r="J188" s="40"/>
      <c r="K188" s="17"/>
      <c r="L188" s="17"/>
      <c r="M188" s="17"/>
      <c r="N188" s="40"/>
      <c r="O188" s="53"/>
      <c r="P188" s="17"/>
      <c r="Q188" s="40"/>
      <c r="R188" s="40"/>
      <c r="S188" s="40"/>
      <c r="T188" s="41"/>
      <c r="U188" s="41"/>
      <c r="V188" s="41"/>
      <c r="W188" s="41"/>
      <c r="X188" s="41"/>
      <c r="Y188" s="41"/>
      <c r="Z188" s="41"/>
      <c r="AA188" s="54"/>
      <c r="AB188" s="43"/>
      <c r="AC188" s="44"/>
      <c r="AD188" s="17"/>
      <c r="AE188"/>
    </row>
    <row r="189" spans="1:33" ht="13">
      <c r="A189" s="38"/>
      <c r="B189" s="39"/>
      <c r="C189" s="40"/>
      <c r="D189" s="17"/>
      <c r="E189" s="17"/>
      <c r="F189" s="17"/>
      <c r="G189" s="17"/>
      <c r="H189" s="17"/>
      <c r="I189" s="40"/>
      <c r="J189" s="40"/>
      <c r="K189" s="17"/>
      <c r="L189" s="17"/>
      <c r="M189" s="17"/>
      <c r="N189" s="40"/>
      <c r="O189" s="53"/>
      <c r="P189" s="17"/>
      <c r="Q189" s="40"/>
      <c r="R189" s="40"/>
      <c r="S189" s="40"/>
      <c r="T189" s="41"/>
      <c r="U189" s="41"/>
      <c r="V189" s="41"/>
      <c r="W189" s="41"/>
      <c r="X189" s="41"/>
      <c r="Y189" s="41"/>
      <c r="Z189" s="41"/>
      <c r="AA189" s="54"/>
      <c r="AB189" s="43"/>
      <c r="AC189" s="44"/>
      <c r="AD189" s="17"/>
      <c r="AE189"/>
    </row>
    <row r="190" spans="1:33" ht="13">
      <c r="A190" s="38"/>
      <c r="B190" s="45"/>
      <c r="C190" s="46"/>
      <c r="D190" s="47"/>
      <c r="E190" s="47"/>
      <c r="F190" s="47"/>
      <c r="G190" s="47"/>
      <c r="H190" s="47"/>
      <c r="I190" s="46"/>
      <c r="J190" s="46"/>
      <c r="K190" s="47"/>
      <c r="L190" s="47"/>
      <c r="M190" s="47"/>
      <c r="N190" s="46"/>
      <c r="O190" s="48"/>
      <c r="P190" s="47"/>
      <c r="Q190" s="46"/>
      <c r="R190" s="46"/>
      <c r="S190" s="46"/>
      <c r="T190" s="49"/>
      <c r="U190" s="49"/>
      <c r="V190" s="49"/>
      <c r="W190" s="49"/>
      <c r="X190" s="49"/>
      <c r="Y190" s="49"/>
      <c r="Z190" s="49"/>
      <c r="AA190" s="50"/>
      <c r="AB190" s="51"/>
      <c r="AC190" s="52"/>
      <c r="AD190" s="47"/>
      <c r="AE190"/>
    </row>
    <row r="191" spans="1:33" ht="13">
      <c r="A191" s="38"/>
      <c r="B191" s="39"/>
      <c r="C191" s="40"/>
      <c r="D191" s="17"/>
      <c r="E191" s="17"/>
      <c r="F191" s="17"/>
      <c r="G191" s="17"/>
      <c r="H191" s="17"/>
      <c r="I191" s="40"/>
      <c r="J191" s="40"/>
      <c r="K191" s="17"/>
      <c r="L191" s="17"/>
      <c r="M191" s="17"/>
      <c r="N191" s="40"/>
      <c r="O191" s="53"/>
      <c r="P191" s="17"/>
      <c r="Q191" s="40"/>
      <c r="R191" s="40"/>
      <c r="S191" s="40"/>
      <c r="T191" s="41"/>
      <c r="U191" s="41"/>
      <c r="V191" s="41"/>
      <c r="W191" s="41"/>
      <c r="X191" s="41"/>
      <c r="Y191" s="41"/>
      <c r="Z191" s="41"/>
      <c r="AA191" s="54"/>
      <c r="AB191" s="43"/>
      <c r="AC191" s="44"/>
      <c r="AD191" s="17"/>
      <c r="AE191"/>
    </row>
    <row r="192" spans="1:33" ht="13">
      <c r="A192" s="38"/>
      <c r="B192" s="39"/>
      <c r="C192" s="40"/>
      <c r="D192" s="17"/>
      <c r="E192" s="17"/>
      <c r="F192" s="17"/>
      <c r="G192" s="17"/>
      <c r="H192" s="17"/>
      <c r="I192" s="40"/>
      <c r="J192" s="40"/>
      <c r="K192" s="17"/>
      <c r="L192" s="17"/>
      <c r="M192" s="17"/>
      <c r="N192" s="40"/>
      <c r="O192" s="53"/>
      <c r="P192" s="17"/>
      <c r="Q192" s="40"/>
      <c r="R192" s="40"/>
      <c r="S192" s="40"/>
      <c r="T192" s="41"/>
      <c r="U192" s="41"/>
      <c r="V192" s="41"/>
      <c r="W192" s="41"/>
      <c r="X192" s="41"/>
      <c r="Y192" s="41"/>
      <c r="Z192" s="41"/>
      <c r="AA192" s="54"/>
      <c r="AB192" s="43"/>
      <c r="AC192" s="44"/>
      <c r="AD192" s="17"/>
      <c r="AE192"/>
    </row>
    <row r="193" spans="1:33" ht="13">
      <c r="A193" s="38"/>
      <c r="B193" s="45"/>
      <c r="C193" s="46"/>
      <c r="D193" s="47"/>
      <c r="E193" s="47"/>
      <c r="F193" s="47"/>
      <c r="G193" s="47"/>
      <c r="H193" s="47"/>
      <c r="I193" s="46"/>
      <c r="J193" s="46"/>
      <c r="K193" s="47"/>
      <c r="L193" s="47"/>
      <c r="M193" s="47"/>
      <c r="N193" s="46"/>
      <c r="O193" s="48"/>
      <c r="P193" s="47"/>
      <c r="Q193" s="46"/>
      <c r="R193" s="46"/>
      <c r="S193" s="46"/>
      <c r="T193" s="49"/>
      <c r="U193" s="49"/>
      <c r="V193" s="49"/>
      <c r="W193" s="49"/>
      <c r="X193" s="49"/>
      <c r="Y193" s="49"/>
      <c r="Z193" s="49"/>
      <c r="AA193" s="50"/>
      <c r="AB193" s="51"/>
      <c r="AC193" s="52"/>
      <c r="AD193" s="47"/>
      <c r="AE193"/>
      <c r="AF193" s="59"/>
      <c r="AG193" s="60"/>
    </row>
    <row r="194" spans="1:33" ht="13">
      <c r="A194" s="38"/>
      <c r="B194" s="39"/>
      <c r="C194" s="40"/>
      <c r="D194" s="17"/>
      <c r="E194" s="17"/>
      <c r="F194" s="17"/>
      <c r="G194" s="17"/>
      <c r="H194" s="17"/>
      <c r="I194" s="40"/>
      <c r="J194" s="40"/>
      <c r="K194" s="17"/>
      <c r="L194" s="17"/>
      <c r="M194" s="17"/>
      <c r="N194" s="40"/>
      <c r="O194" s="53"/>
      <c r="P194" s="17"/>
      <c r="Q194" s="40"/>
      <c r="R194" s="40"/>
      <c r="S194" s="40"/>
      <c r="T194" s="41"/>
      <c r="U194" s="41"/>
      <c r="V194" s="41"/>
      <c r="W194" s="41"/>
      <c r="X194" s="41"/>
      <c r="Y194" s="41"/>
      <c r="Z194" s="41"/>
      <c r="AA194" s="54"/>
      <c r="AB194" s="43"/>
      <c r="AC194" s="44"/>
      <c r="AD194" s="17"/>
      <c r="AE194"/>
      <c r="AF194" s="61"/>
    </row>
    <row r="195" spans="1:33" ht="13">
      <c r="A195" s="38"/>
      <c r="B195" s="39"/>
      <c r="C195" s="40"/>
      <c r="D195" s="17"/>
      <c r="E195" s="17"/>
      <c r="F195" s="17"/>
      <c r="G195" s="17"/>
      <c r="H195" s="17"/>
      <c r="I195" s="40"/>
      <c r="J195" s="40"/>
      <c r="K195" s="17"/>
      <c r="L195" s="17"/>
      <c r="M195" s="17"/>
      <c r="N195" s="40"/>
      <c r="O195" s="53"/>
      <c r="P195" s="17"/>
      <c r="Q195" s="40"/>
      <c r="R195" s="40"/>
      <c r="S195" s="40"/>
      <c r="T195" s="41"/>
      <c r="U195" s="41"/>
      <c r="V195" s="41"/>
      <c r="W195" s="41"/>
      <c r="X195" s="41"/>
      <c r="Y195" s="41"/>
      <c r="Z195" s="41"/>
      <c r="AA195" s="54"/>
      <c r="AB195" s="43"/>
      <c r="AC195" s="44"/>
      <c r="AD195" s="17"/>
      <c r="AE195"/>
      <c r="AF195" s="61"/>
    </row>
    <row r="196" spans="1:33" ht="13">
      <c r="A196" s="55"/>
      <c r="B196" s="56"/>
      <c r="C196" s="46"/>
      <c r="D196" s="47"/>
      <c r="E196" s="47"/>
      <c r="F196" s="47"/>
      <c r="G196" s="47"/>
      <c r="H196" s="47"/>
      <c r="I196" s="46"/>
      <c r="J196" s="46"/>
      <c r="K196" s="47"/>
      <c r="L196" s="47"/>
      <c r="M196" s="47"/>
      <c r="N196" s="46"/>
      <c r="O196" s="48"/>
      <c r="P196" s="47"/>
      <c r="Q196" s="46"/>
      <c r="R196" s="46"/>
      <c r="S196" s="46"/>
      <c r="T196" s="49"/>
      <c r="U196" s="49"/>
      <c r="V196" s="49"/>
      <c r="W196" s="49"/>
      <c r="X196" s="49"/>
      <c r="Y196" s="49"/>
      <c r="Z196" s="49"/>
      <c r="AA196" s="50"/>
      <c r="AB196" s="43"/>
      <c r="AC196" s="44"/>
      <c r="AD196" s="47"/>
      <c r="AE196"/>
      <c r="AF196" s="62"/>
      <c r="AG196" s="59"/>
    </row>
    <row r="197" spans="1:33" ht="13">
      <c r="A197" s="36"/>
      <c r="B197" s="24"/>
      <c r="C197" s="18"/>
      <c r="D197" s="12"/>
      <c r="E197" s="12"/>
      <c r="F197" s="12"/>
      <c r="G197" s="12"/>
      <c r="H197" s="12"/>
      <c r="I197" s="18"/>
      <c r="J197" s="18"/>
      <c r="K197" s="12"/>
      <c r="L197" s="12"/>
      <c r="M197" s="12"/>
      <c r="N197" s="18"/>
      <c r="O197" s="18"/>
      <c r="P197" s="12"/>
      <c r="Q197" s="18"/>
      <c r="R197" s="18"/>
      <c r="S197" s="18"/>
      <c r="T197" s="18"/>
      <c r="U197" s="18"/>
      <c r="V197" s="18"/>
      <c r="W197" s="18"/>
      <c r="X197" s="18"/>
      <c r="Y197" s="18"/>
      <c r="Z197" s="18"/>
      <c r="AA197" s="63"/>
      <c r="AB197" s="22"/>
      <c r="AC197" s="23"/>
      <c r="AD197" s="17"/>
      <c r="AE197"/>
    </row>
    <row r="198" spans="1:33" ht="13">
      <c r="A198" s="38"/>
      <c r="B198" s="39"/>
      <c r="C198" s="40"/>
      <c r="D198" s="17"/>
      <c r="E198" s="17"/>
      <c r="F198" s="17"/>
      <c r="G198" s="17"/>
      <c r="H198" s="17"/>
      <c r="I198" s="40"/>
      <c r="J198" s="40"/>
      <c r="K198" s="17"/>
      <c r="L198" s="17"/>
      <c r="M198" s="17"/>
      <c r="N198" s="40"/>
      <c r="O198" s="40"/>
      <c r="P198" s="17"/>
      <c r="Q198" s="40"/>
      <c r="R198" s="40"/>
      <c r="S198" s="40"/>
      <c r="T198" s="40"/>
      <c r="U198" s="40"/>
      <c r="V198" s="40"/>
      <c r="W198" s="40"/>
      <c r="X198" s="40"/>
      <c r="Y198" s="40"/>
      <c r="Z198" s="40"/>
      <c r="AA198" s="64"/>
      <c r="AB198" s="22"/>
      <c r="AC198" s="23"/>
      <c r="AD198" s="17"/>
      <c r="AE198"/>
    </row>
    <row r="199" spans="1:33" ht="13">
      <c r="A199" s="38"/>
      <c r="B199" s="45"/>
      <c r="C199" s="46"/>
      <c r="D199" s="47"/>
      <c r="E199" s="47"/>
      <c r="F199" s="47"/>
      <c r="G199" s="47"/>
      <c r="H199" s="47"/>
      <c r="I199" s="46"/>
      <c r="J199" s="46"/>
      <c r="K199" s="47"/>
      <c r="L199" s="47"/>
      <c r="M199" s="47"/>
      <c r="N199" s="46"/>
      <c r="O199" s="48"/>
      <c r="P199" s="47"/>
      <c r="Q199" s="46"/>
      <c r="R199" s="46"/>
      <c r="S199" s="46"/>
      <c r="T199" s="46"/>
      <c r="U199" s="46"/>
      <c r="V199" s="46"/>
      <c r="W199" s="46"/>
      <c r="X199" s="46"/>
      <c r="Y199" s="46"/>
      <c r="Z199" s="46"/>
      <c r="AA199" s="65"/>
      <c r="AB199" s="66"/>
      <c r="AC199" s="67"/>
      <c r="AD199" s="47"/>
      <c r="AE199"/>
    </row>
    <row r="200" spans="1:33" ht="13">
      <c r="A200" s="38"/>
      <c r="B200" s="39"/>
      <c r="C200" s="40"/>
      <c r="D200" s="17"/>
      <c r="E200" s="17"/>
      <c r="F200" s="17"/>
      <c r="G200" s="17"/>
      <c r="H200" s="17"/>
      <c r="I200" s="40"/>
      <c r="J200" s="40"/>
      <c r="K200" s="17"/>
      <c r="L200" s="17"/>
      <c r="M200" s="17"/>
      <c r="N200" s="40"/>
      <c r="O200" s="53"/>
      <c r="P200" s="17"/>
      <c r="Q200" s="40"/>
      <c r="R200" s="40"/>
      <c r="S200" s="40"/>
      <c r="T200" s="40"/>
      <c r="U200" s="40"/>
      <c r="V200" s="40"/>
      <c r="W200" s="40"/>
      <c r="X200" s="40"/>
      <c r="Y200" s="40"/>
      <c r="Z200" s="40"/>
      <c r="AA200" s="39"/>
      <c r="AB200" s="22"/>
      <c r="AC200" s="23"/>
      <c r="AD200" s="17"/>
      <c r="AE200"/>
    </row>
    <row r="201" spans="1:33" ht="13">
      <c r="A201" s="38"/>
      <c r="B201" s="39"/>
      <c r="C201" s="40"/>
      <c r="D201" s="17"/>
      <c r="E201" s="17"/>
      <c r="F201" s="17"/>
      <c r="G201" s="17"/>
      <c r="H201" s="17"/>
      <c r="I201" s="40"/>
      <c r="J201" s="40"/>
      <c r="K201" s="17"/>
      <c r="L201" s="17"/>
      <c r="M201" s="17"/>
      <c r="N201" s="40"/>
      <c r="O201" s="53"/>
      <c r="P201" s="17"/>
      <c r="Q201" s="40"/>
      <c r="R201" s="40"/>
      <c r="S201" s="40"/>
      <c r="T201" s="40"/>
      <c r="U201" s="40"/>
      <c r="V201" s="40"/>
      <c r="W201" s="40"/>
      <c r="X201" s="40"/>
      <c r="Y201" s="40"/>
      <c r="Z201" s="40"/>
      <c r="AA201" s="39"/>
      <c r="AB201" s="22"/>
      <c r="AC201" s="23"/>
      <c r="AD201" s="17"/>
      <c r="AE201"/>
    </row>
    <row r="202" spans="1:33" ht="13">
      <c r="A202" s="38"/>
      <c r="B202" s="45"/>
      <c r="C202" s="46"/>
      <c r="D202" s="47"/>
      <c r="E202" s="47"/>
      <c r="F202" s="47"/>
      <c r="G202" s="47"/>
      <c r="H202" s="47"/>
      <c r="I202" s="46"/>
      <c r="J202" s="46"/>
      <c r="K202" s="47"/>
      <c r="L202" s="47"/>
      <c r="M202" s="47"/>
      <c r="N202" s="46"/>
      <c r="O202" s="48"/>
      <c r="P202" s="47"/>
      <c r="Q202" s="46"/>
      <c r="R202" s="46"/>
      <c r="S202" s="46"/>
      <c r="T202" s="46"/>
      <c r="U202" s="46"/>
      <c r="V202" s="46"/>
      <c r="W202" s="46"/>
      <c r="X202" s="46"/>
      <c r="Y202" s="46"/>
      <c r="Z202" s="46"/>
      <c r="AA202" s="65"/>
      <c r="AB202" s="68"/>
      <c r="AC202" s="69"/>
      <c r="AD202" s="47"/>
      <c r="AE202"/>
    </row>
    <row r="203" spans="1:33" ht="13">
      <c r="A203" s="38"/>
      <c r="B203" s="39"/>
      <c r="C203" s="40"/>
      <c r="D203" s="17"/>
      <c r="E203" s="17"/>
      <c r="F203" s="17"/>
      <c r="G203" s="17"/>
      <c r="H203" s="17"/>
      <c r="I203" s="40"/>
      <c r="J203" s="40"/>
      <c r="K203" s="17"/>
      <c r="L203" s="17"/>
      <c r="M203" s="17"/>
      <c r="N203" s="40"/>
      <c r="O203" s="53"/>
      <c r="P203" s="17"/>
      <c r="Q203" s="40"/>
      <c r="R203" s="40"/>
      <c r="S203" s="40"/>
      <c r="T203" s="40"/>
      <c r="U203" s="40"/>
      <c r="V203" s="40"/>
      <c r="W203" s="40"/>
      <c r="X203" s="40"/>
      <c r="Y203" s="40"/>
      <c r="Z203" s="40"/>
      <c r="AA203" s="39"/>
      <c r="AB203" s="22"/>
      <c r="AC203" s="23"/>
      <c r="AD203" s="17"/>
      <c r="AE203"/>
    </row>
    <row r="204" spans="1:33" ht="13">
      <c r="A204" s="38"/>
      <c r="B204" s="39"/>
      <c r="C204" s="40"/>
      <c r="D204" s="17"/>
      <c r="E204" s="17"/>
      <c r="F204" s="17"/>
      <c r="G204" s="17"/>
      <c r="H204" s="17"/>
      <c r="I204" s="40"/>
      <c r="J204" s="40"/>
      <c r="K204" s="17"/>
      <c r="L204" s="17"/>
      <c r="M204" s="17"/>
      <c r="N204" s="40"/>
      <c r="O204" s="53"/>
      <c r="P204" s="17"/>
      <c r="Q204" s="40"/>
      <c r="R204" s="40"/>
      <c r="S204" s="40"/>
      <c r="T204" s="40"/>
      <c r="U204" s="40"/>
      <c r="V204" s="40"/>
      <c r="W204" s="40"/>
      <c r="X204" s="40"/>
      <c r="Y204" s="40"/>
      <c r="Z204" s="40"/>
      <c r="AA204" s="39"/>
      <c r="AB204" s="22"/>
      <c r="AC204" s="23"/>
      <c r="AD204" s="17"/>
      <c r="AE204"/>
    </row>
    <row r="205" spans="1:33" ht="13">
      <c r="A205" s="38"/>
      <c r="B205" s="45"/>
      <c r="C205" s="46"/>
      <c r="D205" s="47"/>
      <c r="E205" s="47"/>
      <c r="F205" s="47"/>
      <c r="G205" s="47"/>
      <c r="H205" s="47"/>
      <c r="I205" s="46"/>
      <c r="J205" s="46"/>
      <c r="K205" s="47"/>
      <c r="L205" s="47"/>
      <c r="M205" s="47"/>
      <c r="N205" s="46"/>
      <c r="O205" s="48"/>
      <c r="P205" s="47"/>
      <c r="Q205" s="46"/>
      <c r="R205" s="46"/>
      <c r="S205" s="46"/>
      <c r="T205" s="46"/>
      <c r="U205" s="46"/>
      <c r="V205" s="46"/>
      <c r="W205" s="46"/>
      <c r="X205" s="46"/>
      <c r="Y205" s="46"/>
      <c r="Z205" s="46"/>
      <c r="AA205" s="65"/>
      <c r="AB205" s="68"/>
      <c r="AC205" s="69"/>
      <c r="AD205" s="47"/>
      <c r="AE205"/>
      <c r="AF205" s="59"/>
      <c r="AG205" s="60"/>
    </row>
    <row r="206" spans="1:33" ht="13">
      <c r="A206" s="38"/>
      <c r="B206" s="39"/>
      <c r="C206" s="40"/>
      <c r="D206" s="17"/>
      <c r="E206" s="17"/>
      <c r="F206" s="17"/>
      <c r="G206" s="17"/>
      <c r="H206" s="17"/>
      <c r="I206" s="40"/>
      <c r="J206" s="40"/>
      <c r="K206" s="17"/>
      <c r="L206" s="17"/>
      <c r="M206" s="17"/>
      <c r="N206" s="40"/>
      <c r="O206" s="53"/>
      <c r="P206" s="17"/>
      <c r="Q206" s="40"/>
      <c r="R206" s="40"/>
      <c r="S206" s="40"/>
      <c r="T206" s="40"/>
      <c r="U206" s="40"/>
      <c r="V206" s="40"/>
      <c r="W206" s="40"/>
      <c r="X206" s="40"/>
      <c r="Y206" s="40"/>
      <c r="Z206" s="40"/>
      <c r="AA206" s="39"/>
      <c r="AB206" s="22"/>
      <c r="AC206" s="23"/>
      <c r="AD206" s="17"/>
      <c r="AE206"/>
      <c r="AF206" s="61"/>
    </row>
    <row r="207" spans="1:33" ht="13">
      <c r="A207" s="38"/>
      <c r="B207" s="39"/>
      <c r="C207" s="40"/>
      <c r="D207" s="17"/>
      <c r="E207" s="17"/>
      <c r="F207" s="17"/>
      <c r="G207" s="17"/>
      <c r="H207" s="17"/>
      <c r="I207" s="40"/>
      <c r="J207" s="40"/>
      <c r="K207" s="17"/>
      <c r="L207" s="17"/>
      <c r="M207" s="17"/>
      <c r="N207" s="40"/>
      <c r="O207" s="53"/>
      <c r="P207" s="17"/>
      <c r="Q207" s="40"/>
      <c r="R207" s="40"/>
      <c r="S207" s="40"/>
      <c r="T207" s="40"/>
      <c r="U207" s="40"/>
      <c r="V207" s="40"/>
      <c r="W207" s="40"/>
      <c r="X207" s="40"/>
      <c r="Y207" s="40"/>
      <c r="Z207" s="40"/>
      <c r="AA207" s="39"/>
      <c r="AB207" s="22"/>
      <c r="AC207" s="23"/>
      <c r="AD207" s="17"/>
      <c r="AE207"/>
      <c r="AF207" s="61"/>
    </row>
    <row r="208" spans="1:33" ht="13">
      <c r="A208" s="55"/>
      <c r="B208" s="56"/>
      <c r="C208" s="46"/>
      <c r="D208" s="47"/>
      <c r="E208" s="47"/>
      <c r="F208" s="47"/>
      <c r="G208" s="47"/>
      <c r="H208" s="47"/>
      <c r="I208" s="46"/>
      <c r="J208" s="46"/>
      <c r="K208" s="47"/>
      <c r="L208" s="47"/>
      <c r="M208" s="47"/>
      <c r="N208" s="46"/>
      <c r="O208" s="48"/>
      <c r="P208" s="47"/>
      <c r="Q208" s="46"/>
      <c r="R208" s="46"/>
      <c r="S208" s="46"/>
      <c r="T208" s="46"/>
      <c r="U208" s="46"/>
      <c r="V208" s="46"/>
      <c r="W208" s="46"/>
      <c r="X208" s="46"/>
      <c r="Y208" s="46"/>
      <c r="Z208" s="46"/>
      <c r="AA208" s="65"/>
      <c r="AB208" s="70"/>
      <c r="AC208" s="71"/>
      <c r="AD208" s="47"/>
      <c r="AE208"/>
      <c r="AF208" s="62"/>
      <c r="AG208" s="59"/>
    </row>
    <row r="209" spans="3:27">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C141"/>
  <sheetViews>
    <sheetView workbookViewId="0">
      <selection sqref="A1:XFD1048576"/>
    </sheetView>
  </sheetViews>
  <sheetFormatPr defaultColWidth="9.33203125" defaultRowHeight="12.5"/>
  <cols>
    <col min="1" max="1" width="5" style="1" customWidth="1"/>
    <col min="2" max="2" width="32" style="1" customWidth="1"/>
    <col min="3" max="8" width="15.109375" style="1" customWidth="1"/>
    <col min="9" max="9" width="17.44140625" style="1" customWidth="1"/>
    <col min="10" max="13" width="13.6640625" style="1" customWidth="1"/>
    <col min="14" max="14" width="17.44140625" style="1" customWidth="1"/>
    <col min="15" max="16" width="11.44140625" style="1" customWidth="1"/>
    <col min="17" max="18" width="12.77734375" style="1" customWidth="1"/>
    <col min="19" max="19" width="16.6640625" style="1" customWidth="1"/>
    <col min="20" max="20" width="6.44140625" style="1" customWidth="1"/>
    <col min="21" max="21" width="9.33203125" style="1"/>
    <col min="22" max="25" width="11.44140625" style="1" customWidth="1"/>
    <col min="26" max="26" width="9.44140625" style="1" customWidth="1"/>
    <col min="27" max="27" width="10.6640625" style="1" customWidth="1"/>
    <col min="28" max="28" width="10.109375" style="1" customWidth="1"/>
    <col min="29" max="29" width="13.6640625" style="1" customWidth="1"/>
    <col min="30" max="16384" width="9.33203125" style="1"/>
  </cols>
  <sheetData>
    <row r="1" spans="1:29" ht="13">
      <c r="E1" s="73"/>
      <c r="L1" s="74"/>
    </row>
    <row r="3" spans="1:29">
      <c r="A3" s="75"/>
      <c r="B3" s="76"/>
      <c r="C3" s="75"/>
      <c r="D3" s="76"/>
      <c r="E3" s="76"/>
      <c r="F3" s="76"/>
      <c r="G3" s="76"/>
      <c r="H3" s="76"/>
      <c r="I3" s="76"/>
      <c r="J3" s="76"/>
      <c r="K3" s="76"/>
      <c r="L3" s="76"/>
      <c r="M3" s="76"/>
      <c r="N3" s="76"/>
      <c r="O3" s="76"/>
      <c r="P3" s="76"/>
      <c r="Q3" s="76"/>
      <c r="R3" s="76"/>
      <c r="S3" s="76"/>
      <c r="T3" s="77"/>
      <c r="U3" s="77"/>
      <c r="V3" s="77"/>
      <c r="W3" s="78"/>
      <c r="X3" s="77"/>
      <c r="Y3" s="77"/>
      <c r="Z3" s="77"/>
      <c r="AA3" s="78"/>
      <c r="AB3" s="79"/>
      <c r="AC3" s="80"/>
    </row>
    <row r="4" spans="1:29">
      <c r="A4" s="81"/>
      <c r="B4" s="82"/>
      <c r="C4" s="75"/>
      <c r="D4" s="76"/>
      <c r="E4" s="76"/>
      <c r="F4" s="76"/>
      <c r="G4" s="76"/>
      <c r="H4" s="76"/>
      <c r="I4" s="75"/>
      <c r="J4" s="75"/>
      <c r="K4" s="76"/>
      <c r="L4" s="76"/>
      <c r="M4" s="76"/>
      <c r="N4" s="75"/>
      <c r="O4" s="75"/>
      <c r="P4" s="76"/>
      <c r="Q4" s="75"/>
      <c r="R4" s="75"/>
      <c r="S4" s="75"/>
      <c r="T4" s="83"/>
      <c r="U4" s="83"/>
      <c r="V4" s="83"/>
      <c r="W4" s="84"/>
      <c r="X4" s="83"/>
      <c r="Y4" s="83"/>
      <c r="Z4" s="83"/>
      <c r="AA4" s="84"/>
      <c r="AB4" s="85"/>
      <c r="AC4" s="86"/>
    </row>
    <row r="5" spans="1:29">
      <c r="A5" s="75"/>
      <c r="B5" s="75"/>
      <c r="C5" s="75"/>
      <c r="D5" s="87"/>
      <c r="E5" s="87"/>
      <c r="F5" s="87"/>
      <c r="G5" s="87"/>
      <c r="H5" s="87"/>
      <c r="I5" s="81"/>
      <c r="J5" s="75"/>
      <c r="K5" s="87"/>
      <c r="L5" s="87"/>
      <c r="M5" s="87"/>
      <c r="N5" s="81"/>
      <c r="O5" s="75"/>
      <c r="P5" s="87"/>
      <c r="Q5" s="81"/>
      <c r="R5" s="75"/>
      <c r="S5" s="81"/>
      <c r="T5" s="83"/>
      <c r="U5" s="88"/>
      <c r="V5" s="83"/>
      <c r="W5" s="89"/>
      <c r="X5" s="83"/>
      <c r="Y5" s="88"/>
      <c r="Z5" s="83"/>
      <c r="AA5" s="89"/>
      <c r="AB5" s="85"/>
      <c r="AC5" s="90"/>
    </row>
    <row r="6" spans="1:29" ht="13">
      <c r="A6" s="91"/>
      <c r="B6" s="75"/>
      <c r="C6" s="75"/>
      <c r="D6" s="87"/>
      <c r="E6" s="87"/>
      <c r="F6" s="87"/>
      <c r="G6" s="87"/>
      <c r="H6" s="87"/>
      <c r="I6" s="75"/>
      <c r="J6" s="75"/>
      <c r="K6" s="87"/>
      <c r="L6" s="87"/>
      <c r="M6" s="87"/>
      <c r="N6" s="75"/>
      <c r="O6" s="75"/>
      <c r="P6" s="87"/>
      <c r="Q6" s="75"/>
      <c r="R6" s="75"/>
      <c r="S6" s="75"/>
      <c r="T6" s="83"/>
      <c r="U6" s="83"/>
      <c r="V6" s="83"/>
      <c r="W6" s="84"/>
      <c r="X6" s="83"/>
      <c r="Y6" s="83"/>
      <c r="Z6" s="83"/>
      <c r="AA6" s="84"/>
      <c r="AB6" s="85"/>
      <c r="AC6" s="86"/>
    </row>
    <row r="7" spans="1:29" ht="13">
      <c r="A7" s="92"/>
      <c r="B7" s="93"/>
      <c r="C7" s="93"/>
      <c r="I7" s="93"/>
      <c r="J7" s="93"/>
      <c r="N7" s="93"/>
      <c r="O7" s="93"/>
      <c r="Q7" s="93"/>
      <c r="R7" s="93"/>
      <c r="S7" s="93"/>
      <c r="T7" s="94"/>
      <c r="U7" s="94"/>
      <c r="V7" s="94"/>
      <c r="W7" s="95"/>
      <c r="X7" s="94"/>
      <c r="Y7" s="94"/>
      <c r="Z7" s="94"/>
      <c r="AA7" s="95"/>
      <c r="AB7" s="96"/>
      <c r="AC7" s="97"/>
    </row>
    <row r="8" spans="1:29" ht="13">
      <c r="A8" s="92"/>
      <c r="B8" s="98"/>
      <c r="C8" s="98"/>
      <c r="D8" s="99"/>
      <c r="E8" s="99"/>
      <c r="F8" s="99"/>
      <c r="G8" s="99"/>
      <c r="H8" s="99"/>
      <c r="I8" s="98"/>
      <c r="J8" s="98"/>
      <c r="K8" s="99"/>
      <c r="L8" s="99"/>
      <c r="M8" s="99"/>
      <c r="N8" s="98"/>
      <c r="O8" s="98"/>
      <c r="P8" s="99"/>
      <c r="Q8" s="98"/>
      <c r="R8" s="98"/>
      <c r="S8" s="98"/>
      <c r="T8" s="100"/>
      <c r="U8" s="100"/>
      <c r="V8" s="100"/>
      <c r="W8" s="101"/>
      <c r="X8" s="100"/>
      <c r="Y8" s="100"/>
      <c r="Z8" s="100"/>
      <c r="AA8" s="101"/>
      <c r="AB8" s="96"/>
      <c r="AC8" s="97"/>
    </row>
    <row r="9" spans="1:29" ht="13">
      <c r="A9" s="92"/>
      <c r="B9" s="93"/>
      <c r="C9" s="93"/>
      <c r="I9" s="93"/>
      <c r="J9" s="93"/>
      <c r="N9" s="93"/>
      <c r="O9" s="93"/>
      <c r="Q9" s="93"/>
      <c r="R9" s="93"/>
      <c r="S9" s="93"/>
      <c r="T9" s="94"/>
      <c r="U9" s="94"/>
      <c r="V9" s="94"/>
      <c r="W9" s="95"/>
      <c r="X9" s="94"/>
      <c r="Y9" s="94"/>
      <c r="Z9" s="94"/>
      <c r="AA9" s="95"/>
      <c r="AB9" s="96"/>
      <c r="AC9" s="97"/>
    </row>
    <row r="10" spans="1:29" ht="13">
      <c r="A10" s="92"/>
      <c r="B10" s="93"/>
      <c r="C10" s="93"/>
      <c r="I10" s="93"/>
      <c r="J10" s="93"/>
      <c r="N10" s="93"/>
      <c r="O10" s="93"/>
      <c r="Q10" s="93"/>
      <c r="R10" s="93"/>
      <c r="S10" s="93"/>
      <c r="T10" s="94"/>
      <c r="U10" s="94"/>
      <c r="V10" s="94"/>
      <c r="W10" s="95"/>
      <c r="X10" s="94"/>
      <c r="Y10" s="94"/>
      <c r="Z10" s="94"/>
      <c r="AA10" s="95"/>
      <c r="AB10" s="96"/>
      <c r="AC10" s="97"/>
    </row>
    <row r="11" spans="1:29" ht="13">
      <c r="A11" s="92"/>
      <c r="B11" s="102"/>
      <c r="C11" s="98"/>
      <c r="D11" s="99"/>
      <c r="E11" s="99"/>
      <c r="F11" s="99"/>
      <c r="G11" s="99"/>
      <c r="H11" s="99"/>
      <c r="I11" s="98"/>
      <c r="J11" s="98"/>
      <c r="K11" s="99"/>
      <c r="L11" s="99"/>
      <c r="M11" s="99"/>
      <c r="N11" s="98"/>
      <c r="O11" s="98"/>
      <c r="P11" s="99"/>
      <c r="Q11" s="98"/>
      <c r="R11" s="102"/>
      <c r="S11" s="102"/>
      <c r="T11" s="103"/>
      <c r="U11" s="103"/>
      <c r="V11" s="103"/>
      <c r="W11" s="104"/>
      <c r="X11" s="103"/>
      <c r="Y11" s="103"/>
      <c r="Z11" s="103"/>
      <c r="AA11" s="104"/>
      <c r="AB11" s="96"/>
      <c r="AC11" s="97"/>
    </row>
    <row r="12" spans="1:29" ht="13">
      <c r="A12" s="105"/>
      <c r="B12" s="106"/>
      <c r="C12" s="107"/>
      <c r="D12" s="108"/>
      <c r="E12" s="108"/>
      <c r="F12" s="108"/>
      <c r="G12" s="108"/>
      <c r="H12" s="108"/>
      <c r="I12" s="107"/>
      <c r="J12" s="107"/>
      <c r="K12" s="108"/>
      <c r="L12" s="108"/>
      <c r="M12" s="108"/>
      <c r="N12" s="107"/>
      <c r="O12" s="107"/>
      <c r="P12" s="108"/>
      <c r="Q12" s="107"/>
      <c r="R12" s="107"/>
      <c r="S12" s="107"/>
      <c r="T12" s="109"/>
      <c r="U12" s="109"/>
      <c r="V12" s="109"/>
      <c r="W12" s="110"/>
      <c r="X12" s="109"/>
      <c r="Y12" s="109"/>
      <c r="Z12" s="109"/>
      <c r="AA12" s="110"/>
      <c r="AB12" s="96"/>
      <c r="AC12" s="97"/>
    </row>
    <row r="13" spans="1:29" ht="13">
      <c r="A13" s="91"/>
      <c r="B13" s="75"/>
      <c r="C13" s="75"/>
      <c r="D13" s="87"/>
      <c r="E13" s="87"/>
      <c r="F13" s="87"/>
      <c r="G13" s="87"/>
      <c r="H13" s="87"/>
      <c r="I13" s="75"/>
      <c r="J13" s="75"/>
      <c r="K13" s="87"/>
      <c r="L13" s="87"/>
      <c r="M13" s="87"/>
      <c r="N13" s="75"/>
      <c r="O13" s="75"/>
      <c r="P13" s="87"/>
      <c r="Q13" s="75"/>
      <c r="R13" s="75"/>
      <c r="S13" s="75"/>
      <c r="T13" s="83"/>
      <c r="U13" s="83"/>
      <c r="V13" s="83"/>
      <c r="W13" s="84"/>
      <c r="X13" s="83"/>
      <c r="Y13" s="83"/>
      <c r="Z13" s="83"/>
      <c r="AA13" s="84"/>
      <c r="AB13" s="85"/>
      <c r="AC13" s="86"/>
    </row>
    <row r="14" spans="1:29" ht="13">
      <c r="A14" s="92"/>
      <c r="B14" s="93"/>
      <c r="C14" s="93"/>
      <c r="I14" s="93"/>
      <c r="J14" s="93"/>
      <c r="N14" s="93"/>
      <c r="O14" s="93"/>
      <c r="Q14" s="93"/>
      <c r="R14" s="93"/>
      <c r="S14" s="93"/>
      <c r="T14" s="94"/>
      <c r="U14" s="94"/>
      <c r="V14" s="94"/>
      <c r="W14" s="95"/>
      <c r="X14" s="94"/>
      <c r="Y14" s="94"/>
      <c r="Z14" s="94"/>
      <c r="AA14" s="95"/>
      <c r="AB14" s="96"/>
      <c r="AC14" s="97"/>
    </row>
    <row r="15" spans="1:29" ht="13">
      <c r="A15" s="92"/>
      <c r="B15" s="98"/>
      <c r="C15" s="98"/>
      <c r="D15" s="99"/>
      <c r="E15" s="99"/>
      <c r="F15" s="99"/>
      <c r="G15" s="99"/>
      <c r="H15" s="99"/>
      <c r="I15" s="98"/>
      <c r="J15" s="98"/>
      <c r="K15" s="99"/>
      <c r="L15" s="99"/>
      <c r="M15" s="99"/>
      <c r="N15" s="98"/>
      <c r="O15" s="98"/>
      <c r="P15" s="99"/>
      <c r="Q15" s="98"/>
      <c r="R15" s="98"/>
      <c r="S15" s="98"/>
      <c r="T15" s="100"/>
      <c r="U15" s="100"/>
      <c r="V15" s="100"/>
      <c r="W15" s="101"/>
      <c r="X15" s="100"/>
      <c r="Y15" s="100"/>
      <c r="Z15" s="100"/>
      <c r="AA15" s="101"/>
      <c r="AB15" s="96"/>
      <c r="AC15" s="97"/>
    </row>
    <row r="16" spans="1:29" ht="13">
      <c r="A16" s="92"/>
      <c r="B16" s="93"/>
      <c r="C16" s="93"/>
      <c r="I16" s="93"/>
      <c r="J16" s="93"/>
      <c r="N16" s="93"/>
      <c r="O16" s="93"/>
      <c r="Q16" s="93"/>
      <c r="R16" s="93"/>
      <c r="S16" s="93"/>
      <c r="T16" s="94"/>
      <c r="U16" s="94"/>
      <c r="V16" s="94"/>
      <c r="W16" s="95"/>
      <c r="X16" s="94"/>
      <c r="Y16" s="94"/>
      <c r="Z16" s="94"/>
      <c r="AA16" s="95"/>
      <c r="AB16" s="96"/>
      <c r="AC16" s="97"/>
    </row>
    <row r="17" spans="1:29" ht="13">
      <c r="A17" s="92"/>
      <c r="B17" s="93"/>
      <c r="C17" s="93"/>
      <c r="I17" s="93"/>
      <c r="J17" s="93"/>
      <c r="N17" s="93"/>
      <c r="O17" s="93"/>
      <c r="Q17" s="93"/>
      <c r="R17" s="93"/>
      <c r="S17" s="93"/>
      <c r="T17" s="94"/>
      <c r="U17" s="94"/>
      <c r="V17" s="94"/>
      <c r="W17" s="95"/>
      <c r="X17" s="94"/>
      <c r="Y17" s="94"/>
      <c r="Z17" s="94"/>
      <c r="AA17" s="95"/>
      <c r="AB17" s="96"/>
      <c r="AC17" s="97"/>
    </row>
    <row r="18" spans="1:29" ht="13">
      <c r="A18" s="92"/>
      <c r="B18" s="102"/>
      <c r="C18" s="98"/>
      <c r="D18" s="99"/>
      <c r="E18" s="99"/>
      <c r="F18" s="99"/>
      <c r="G18" s="99"/>
      <c r="H18" s="99"/>
      <c r="I18" s="98"/>
      <c r="J18" s="98"/>
      <c r="K18" s="99"/>
      <c r="L18" s="99"/>
      <c r="M18" s="99"/>
      <c r="N18" s="98"/>
      <c r="O18" s="98"/>
      <c r="P18" s="99"/>
      <c r="Q18" s="98"/>
      <c r="R18" s="102"/>
      <c r="S18" s="102"/>
      <c r="T18" s="103"/>
      <c r="U18" s="103"/>
      <c r="V18" s="103"/>
      <c r="W18" s="104"/>
      <c r="X18" s="103"/>
      <c r="Y18" s="103"/>
      <c r="Z18" s="103"/>
      <c r="AA18" s="104"/>
      <c r="AB18" s="96"/>
      <c r="AC18" s="97"/>
    </row>
    <row r="19" spans="1:29" ht="13">
      <c r="A19" s="105"/>
      <c r="B19" s="106"/>
      <c r="C19" s="107"/>
      <c r="D19" s="108"/>
      <c r="E19" s="108"/>
      <c r="F19" s="108"/>
      <c r="G19" s="108"/>
      <c r="H19" s="108"/>
      <c r="I19" s="107"/>
      <c r="J19" s="107"/>
      <c r="K19" s="108"/>
      <c r="L19" s="108"/>
      <c r="M19" s="108"/>
      <c r="N19" s="107"/>
      <c r="O19" s="107"/>
      <c r="P19" s="108"/>
      <c r="Q19" s="107"/>
      <c r="R19" s="107"/>
      <c r="S19" s="107"/>
      <c r="T19" s="109"/>
      <c r="U19" s="109"/>
      <c r="V19" s="109"/>
      <c r="W19" s="110"/>
      <c r="X19" s="109"/>
      <c r="Y19" s="109"/>
      <c r="Z19" s="109"/>
      <c r="AA19" s="110"/>
      <c r="AB19" s="96"/>
      <c r="AC19" s="97"/>
    </row>
    <row r="20" spans="1:29" ht="13">
      <c r="A20" s="91"/>
      <c r="B20" s="75"/>
      <c r="C20" s="75"/>
      <c r="D20" s="87"/>
      <c r="E20" s="87"/>
      <c r="F20" s="87"/>
      <c r="G20" s="87"/>
      <c r="H20" s="87"/>
      <c r="I20" s="75"/>
      <c r="J20" s="75"/>
      <c r="K20" s="87"/>
      <c r="L20" s="87"/>
      <c r="M20" s="87"/>
      <c r="N20" s="75"/>
      <c r="O20" s="75"/>
      <c r="P20" s="87"/>
      <c r="Q20" s="75"/>
      <c r="R20" s="75"/>
      <c r="S20" s="75"/>
      <c r="T20" s="83"/>
      <c r="U20" s="83"/>
      <c r="V20" s="83"/>
      <c r="W20" s="84"/>
      <c r="X20" s="83"/>
      <c r="Y20" s="83"/>
      <c r="Z20" s="83"/>
      <c r="AA20" s="84"/>
      <c r="AB20" s="85"/>
      <c r="AC20" s="86"/>
    </row>
    <row r="21" spans="1:29" ht="13">
      <c r="A21" s="92"/>
      <c r="B21" s="93"/>
      <c r="C21" s="93"/>
      <c r="I21" s="93"/>
      <c r="J21" s="93"/>
      <c r="N21" s="93"/>
      <c r="O21" s="93"/>
      <c r="Q21" s="93"/>
      <c r="R21" s="93"/>
      <c r="S21" s="93"/>
      <c r="T21" s="94"/>
      <c r="U21" s="94"/>
      <c r="V21" s="94"/>
      <c r="W21" s="95"/>
      <c r="X21" s="94"/>
      <c r="Y21" s="94"/>
      <c r="Z21" s="94"/>
      <c r="AA21" s="95"/>
      <c r="AB21" s="96"/>
      <c r="AC21" s="97"/>
    </row>
    <row r="22" spans="1:29" ht="13">
      <c r="A22" s="92"/>
      <c r="B22" s="98"/>
      <c r="C22" s="98"/>
      <c r="D22" s="99"/>
      <c r="E22" s="99"/>
      <c r="F22" s="99"/>
      <c r="G22" s="99"/>
      <c r="H22" s="99"/>
      <c r="I22" s="98"/>
      <c r="J22" s="98"/>
      <c r="K22" s="99"/>
      <c r="L22" s="99"/>
      <c r="M22" s="99"/>
      <c r="N22" s="98"/>
      <c r="O22" s="98"/>
      <c r="P22" s="99"/>
      <c r="Q22" s="98"/>
      <c r="R22" s="98"/>
      <c r="S22" s="98"/>
      <c r="T22" s="100"/>
      <c r="U22" s="100"/>
      <c r="V22" s="100"/>
      <c r="W22" s="101"/>
      <c r="X22" s="100"/>
      <c r="Y22" s="100"/>
      <c r="Z22" s="100"/>
      <c r="AA22" s="101"/>
      <c r="AB22" s="96"/>
      <c r="AC22" s="97"/>
    </row>
    <row r="23" spans="1:29" ht="13">
      <c r="A23" s="92"/>
      <c r="B23" s="93"/>
      <c r="C23" s="93"/>
      <c r="I23" s="93"/>
      <c r="J23" s="93"/>
      <c r="N23" s="93"/>
      <c r="O23" s="93"/>
      <c r="Q23" s="93"/>
      <c r="R23" s="93"/>
      <c r="S23" s="93"/>
      <c r="T23" s="94"/>
      <c r="U23" s="94"/>
      <c r="V23" s="94"/>
      <c r="W23" s="95"/>
      <c r="X23" s="94"/>
      <c r="Y23" s="94"/>
      <c r="Z23" s="94"/>
      <c r="AA23" s="95"/>
      <c r="AB23" s="96"/>
      <c r="AC23" s="97"/>
    </row>
    <row r="24" spans="1:29" ht="13">
      <c r="A24" s="92"/>
      <c r="B24" s="93"/>
      <c r="C24" s="93"/>
      <c r="I24" s="93"/>
      <c r="J24" s="93"/>
      <c r="N24" s="93"/>
      <c r="O24" s="93"/>
      <c r="Q24" s="93"/>
      <c r="R24" s="93"/>
      <c r="S24" s="93"/>
      <c r="T24" s="94"/>
      <c r="U24" s="94"/>
      <c r="V24" s="94"/>
      <c r="W24" s="95"/>
      <c r="X24" s="94"/>
      <c r="Y24" s="94"/>
      <c r="Z24" s="94"/>
      <c r="AA24" s="95"/>
      <c r="AB24" s="96"/>
      <c r="AC24" s="97"/>
    </row>
    <row r="25" spans="1:29" ht="13">
      <c r="A25" s="92"/>
      <c r="B25" s="102"/>
      <c r="C25" s="98"/>
      <c r="D25" s="99"/>
      <c r="E25" s="99"/>
      <c r="F25" s="99"/>
      <c r="G25" s="99"/>
      <c r="H25" s="99"/>
      <c r="I25" s="98"/>
      <c r="J25" s="98"/>
      <c r="K25" s="99"/>
      <c r="L25" s="99"/>
      <c r="M25" s="99"/>
      <c r="N25" s="98"/>
      <c r="O25" s="98"/>
      <c r="P25" s="99"/>
      <c r="Q25" s="98"/>
      <c r="R25" s="102"/>
      <c r="S25" s="102"/>
      <c r="T25" s="103"/>
      <c r="U25" s="103"/>
      <c r="V25" s="103"/>
      <c r="W25" s="104"/>
      <c r="X25" s="103"/>
      <c r="Y25" s="103"/>
      <c r="Z25" s="103"/>
      <c r="AA25" s="104"/>
      <c r="AB25" s="96"/>
      <c r="AC25" s="97"/>
    </row>
    <row r="26" spans="1:29" ht="13">
      <c r="A26" s="105"/>
      <c r="B26" s="106"/>
      <c r="C26" s="107"/>
      <c r="D26" s="108"/>
      <c r="E26" s="108"/>
      <c r="F26" s="108"/>
      <c r="G26" s="108"/>
      <c r="H26" s="108"/>
      <c r="I26" s="107"/>
      <c r="J26" s="107"/>
      <c r="K26" s="108"/>
      <c r="L26" s="108"/>
      <c r="M26" s="108"/>
      <c r="N26" s="107"/>
      <c r="O26" s="107"/>
      <c r="P26" s="108"/>
      <c r="Q26" s="107"/>
      <c r="R26" s="107"/>
      <c r="S26" s="107"/>
      <c r="T26" s="109"/>
      <c r="U26" s="109"/>
      <c r="V26" s="109"/>
      <c r="W26" s="110"/>
      <c r="X26" s="109"/>
      <c r="Y26" s="109"/>
      <c r="Z26" s="109"/>
      <c r="AA26" s="110"/>
      <c r="AB26" s="96"/>
      <c r="AC26" s="97"/>
    </row>
    <row r="27" spans="1:29" ht="13">
      <c r="A27" s="91"/>
      <c r="B27" s="75"/>
      <c r="C27" s="75"/>
      <c r="D27" s="87"/>
      <c r="E27" s="87"/>
      <c r="F27" s="87"/>
      <c r="G27" s="87"/>
      <c r="H27" s="87"/>
      <c r="I27" s="75"/>
      <c r="J27" s="75"/>
      <c r="K27" s="87"/>
      <c r="L27" s="87"/>
      <c r="M27" s="87"/>
      <c r="N27" s="75"/>
      <c r="O27" s="75"/>
      <c r="P27" s="87"/>
      <c r="Q27" s="75"/>
      <c r="R27" s="75"/>
      <c r="S27" s="75"/>
      <c r="T27" s="83"/>
      <c r="U27" s="83"/>
      <c r="V27" s="83"/>
      <c r="W27" s="84"/>
      <c r="X27" s="83"/>
      <c r="Y27" s="83"/>
      <c r="Z27" s="83"/>
      <c r="AA27" s="84"/>
      <c r="AB27" s="85"/>
      <c r="AC27" s="86"/>
    </row>
    <row r="28" spans="1:29" ht="13">
      <c r="A28" s="92"/>
      <c r="B28" s="93"/>
      <c r="C28" s="93"/>
      <c r="I28" s="93"/>
      <c r="J28" s="93"/>
      <c r="N28" s="93"/>
      <c r="O28" s="93"/>
      <c r="Q28" s="93"/>
      <c r="R28" s="93"/>
      <c r="S28" s="93"/>
      <c r="T28" s="94"/>
      <c r="U28" s="94"/>
      <c r="V28" s="94"/>
      <c r="W28" s="95"/>
      <c r="X28" s="94"/>
      <c r="Y28" s="94"/>
      <c r="Z28" s="94"/>
      <c r="AA28" s="95"/>
      <c r="AB28" s="96"/>
      <c r="AC28" s="97"/>
    </row>
    <row r="29" spans="1:29" ht="13">
      <c r="A29" s="92"/>
      <c r="B29" s="98"/>
      <c r="C29" s="98"/>
      <c r="D29" s="99"/>
      <c r="E29" s="99"/>
      <c r="F29" s="99"/>
      <c r="G29" s="99"/>
      <c r="H29" s="99"/>
      <c r="I29" s="98"/>
      <c r="J29" s="98"/>
      <c r="K29" s="99"/>
      <c r="L29" s="99"/>
      <c r="M29" s="99"/>
      <c r="N29" s="98"/>
      <c r="O29" s="98"/>
      <c r="P29" s="99"/>
      <c r="Q29" s="98"/>
      <c r="R29" s="98"/>
      <c r="S29" s="98"/>
      <c r="T29" s="100"/>
      <c r="U29" s="100"/>
      <c r="V29" s="100"/>
      <c r="W29" s="101"/>
      <c r="X29" s="100"/>
      <c r="Y29" s="100"/>
      <c r="Z29" s="100"/>
      <c r="AA29" s="101"/>
      <c r="AB29" s="96"/>
      <c r="AC29" s="97"/>
    </row>
    <row r="30" spans="1:29" ht="13">
      <c r="A30" s="92"/>
      <c r="B30" s="93"/>
      <c r="C30" s="93"/>
      <c r="I30" s="93"/>
      <c r="J30" s="93"/>
      <c r="N30" s="93"/>
      <c r="O30" s="93"/>
      <c r="Q30" s="93"/>
      <c r="R30" s="93"/>
      <c r="S30" s="93"/>
      <c r="T30" s="94"/>
      <c r="U30" s="94"/>
      <c r="V30" s="94"/>
      <c r="W30" s="95"/>
      <c r="X30" s="94"/>
      <c r="Y30" s="94"/>
      <c r="Z30" s="94"/>
      <c r="AA30" s="95"/>
      <c r="AB30" s="96"/>
      <c r="AC30" s="97"/>
    </row>
    <row r="31" spans="1:29" ht="13">
      <c r="A31" s="92"/>
      <c r="B31" s="93"/>
      <c r="C31" s="93"/>
      <c r="I31" s="93"/>
      <c r="J31" s="93"/>
      <c r="N31" s="93"/>
      <c r="O31" s="93"/>
      <c r="Q31" s="93"/>
      <c r="R31" s="93"/>
      <c r="S31" s="93"/>
      <c r="T31" s="94"/>
      <c r="U31" s="94"/>
      <c r="V31" s="94"/>
      <c r="W31" s="95"/>
      <c r="X31" s="94"/>
      <c r="Y31" s="94"/>
      <c r="Z31" s="94"/>
      <c r="AA31" s="95"/>
      <c r="AB31" s="96"/>
      <c r="AC31" s="97"/>
    </row>
    <row r="32" spans="1:29" ht="13">
      <c r="A32" s="92"/>
      <c r="B32" s="102"/>
      <c r="C32" s="98"/>
      <c r="D32" s="99"/>
      <c r="E32" s="99"/>
      <c r="F32" s="99"/>
      <c r="G32" s="99"/>
      <c r="H32" s="99"/>
      <c r="I32" s="98"/>
      <c r="J32" s="98"/>
      <c r="K32" s="99"/>
      <c r="L32" s="99"/>
      <c r="M32" s="99"/>
      <c r="N32" s="98"/>
      <c r="O32" s="98"/>
      <c r="P32" s="99"/>
      <c r="Q32" s="98"/>
      <c r="R32" s="102"/>
      <c r="S32" s="102"/>
      <c r="T32" s="103"/>
      <c r="U32" s="103"/>
      <c r="V32" s="103"/>
      <c r="W32" s="104"/>
      <c r="X32" s="103"/>
      <c r="Y32" s="103"/>
      <c r="Z32" s="103"/>
      <c r="AA32" s="104"/>
      <c r="AB32" s="96"/>
      <c r="AC32" s="97"/>
    </row>
    <row r="33" spans="1:29" ht="13">
      <c r="A33" s="105"/>
      <c r="B33" s="106"/>
      <c r="C33" s="107"/>
      <c r="D33" s="108"/>
      <c r="E33" s="108"/>
      <c r="F33" s="108"/>
      <c r="G33" s="108"/>
      <c r="H33" s="108"/>
      <c r="I33" s="107"/>
      <c r="J33" s="107"/>
      <c r="K33" s="108"/>
      <c r="L33" s="108"/>
      <c r="M33" s="108"/>
      <c r="N33" s="107"/>
      <c r="O33" s="107"/>
      <c r="P33" s="108"/>
      <c r="Q33" s="107"/>
      <c r="R33" s="107"/>
      <c r="S33" s="107"/>
      <c r="T33" s="109"/>
      <c r="U33" s="109"/>
      <c r="V33" s="109"/>
      <c r="W33" s="110"/>
      <c r="X33" s="109"/>
      <c r="Y33" s="109"/>
      <c r="Z33" s="109"/>
      <c r="AA33" s="110"/>
      <c r="AB33" s="96"/>
      <c r="AC33" s="97"/>
    </row>
    <row r="34" spans="1:29" ht="13">
      <c r="A34" s="91"/>
      <c r="B34" s="75"/>
      <c r="C34" s="75"/>
      <c r="D34" s="87"/>
      <c r="E34" s="87"/>
      <c r="F34" s="87"/>
      <c r="G34" s="87"/>
      <c r="H34" s="87"/>
      <c r="I34" s="75"/>
      <c r="J34" s="75"/>
      <c r="K34" s="87"/>
      <c r="L34" s="87"/>
      <c r="M34" s="87"/>
      <c r="N34" s="75"/>
      <c r="O34" s="75"/>
      <c r="P34" s="87"/>
      <c r="Q34" s="75"/>
      <c r="R34" s="75"/>
      <c r="S34" s="75"/>
      <c r="T34" s="83"/>
      <c r="U34" s="83"/>
      <c r="V34" s="83"/>
      <c r="W34" s="84"/>
      <c r="X34" s="83"/>
      <c r="Y34" s="83"/>
      <c r="Z34" s="83"/>
      <c r="AA34" s="84"/>
      <c r="AB34" s="85"/>
      <c r="AC34" s="86"/>
    </row>
    <row r="35" spans="1:29" ht="13">
      <c r="A35" s="92"/>
      <c r="B35" s="93"/>
      <c r="C35" s="93"/>
      <c r="I35" s="93"/>
      <c r="J35" s="93"/>
      <c r="N35" s="93"/>
      <c r="O35" s="93"/>
      <c r="Q35" s="93"/>
      <c r="R35" s="93"/>
      <c r="S35" s="93"/>
      <c r="T35" s="94"/>
      <c r="U35" s="94"/>
      <c r="V35" s="94"/>
      <c r="W35" s="95"/>
      <c r="X35" s="94"/>
      <c r="Y35" s="94"/>
      <c r="Z35" s="94"/>
      <c r="AA35" s="95"/>
      <c r="AB35" s="96"/>
      <c r="AC35" s="97"/>
    </row>
    <row r="36" spans="1:29" ht="13">
      <c r="A36" s="92"/>
      <c r="B36" s="98"/>
      <c r="C36" s="98"/>
      <c r="D36" s="99"/>
      <c r="E36" s="99"/>
      <c r="F36" s="99"/>
      <c r="G36" s="99"/>
      <c r="H36" s="99"/>
      <c r="I36" s="98"/>
      <c r="J36" s="98"/>
      <c r="K36" s="99"/>
      <c r="L36" s="99"/>
      <c r="M36" s="99"/>
      <c r="N36" s="98"/>
      <c r="O36" s="98"/>
      <c r="P36" s="99"/>
      <c r="Q36" s="98"/>
      <c r="R36" s="98"/>
      <c r="S36" s="98"/>
      <c r="T36" s="100"/>
      <c r="U36" s="100"/>
      <c r="V36" s="100"/>
      <c r="W36" s="101"/>
      <c r="X36" s="100"/>
      <c r="Y36" s="100"/>
      <c r="Z36" s="100"/>
      <c r="AA36" s="101"/>
      <c r="AB36" s="96"/>
      <c r="AC36" s="97"/>
    </row>
    <row r="37" spans="1:29" ht="13">
      <c r="A37" s="92"/>
      <c r="B37" s="93"/>
      <c r="C37" s="93"/>
      <c r="I37" s="93"/>
      <c r="J37" s="93"/>
      <c r="N37" s="93"/>
      <c r="O37" s="93"/>
      <c r="Q37" s="93"/>
      <c r="R37" s="93"/>
      <c r="S37" s="93"/>
      <c r="T37" s="94"/>
      <c r="U37" s="94"/>
      <c r="V37" s="94"/>
      <c r="W37" s="95"/>
      <c r="X37" s="94"/>
      <c r="Y37" s="94"/>
      <c r="Z37" s="94"/>
      <c r="AA37" s="95"/>
      <c r="AB37" s="96"/>
      <c r="AC37" s="97"/>
    </row>
    <row r="38" spans="1:29" ht="13">
      <c r="A38" s="92"/>
      <c r="B38" s="93"/>
      <c r="C38" s="93"/>
      <c r="I38" s="93"/>
      <c r="J38" s="93"/>
      <c r="N38" s="93"/>
      <c r="O38" s="93"/>
      <c r="Q38" s="93"/>
      <c r="R38" s="93"/>
      <c r="S38" s="93"/>
      <c r="T38" s="94"/>
      <c r="U38" s="94"/>
      <c r="V38" s="94"/>
      <c r="W38" s="95"/>
      <c r="X38" s="94"/>
      <c r="Y38" s="94"/>
      <c r="Z38" s="94"/>
      <c r="AA38" s="95"/>
      <c r="AB38" s="96"/>
      <c r="AC38" s="97"/>
    </row>
    <row r="39" spans="1:29" ht="13">
      <c r="A39" s="92"/>
      <c r="B39" s="102"/>
      <c r="C39" s="98"/>
      <c r="D39" s="99"/>
      <c r="E39" s="99"/>
      <c r="F39" s="99"/>
      <c r="G39" s="99"/>
      <c r="H39" s="99"/>
      <c r="I39" s="98"/>
      <c r="J39" s="98"/>
      <c r="K39" s="99"/>
      <c r="L39" s="99"/>
      <c r="M39" s="99"/>
      <c r="N39" s="98"/>
      <c r="O39" s="98"/>
      <c r="P39" s="99"/>
      <c r="Q39" s="98"/>
      <c r="R39" s="102"/>
      <c r="S39" s="102"/>
      <c r="T39" s="103"/>
      <c r="U39" s="103"/>
      <c r="V39" s="103"/>
      <c r="W39" s="104"/>
      <c r="X39" s="103"/>
      <c r="Y39" s="103"/>
      <c r="Z39" s="103"/>
      <c r="AA39" s="104"/>
      <c r="AB39" s="96"/>
      <c r="AC39" s="97"/>
    </row>
    <row r="40" spans="1:29" ht="13">
      <c r="A40" s="105"/>
      <c r="B40" s="106"/>
      <c r="C40" s="107"/>
      <c r="D40" s="108"/>
      <c r="E40" s="108"/>
      <c r="F40" s="108"/>
      <c r="G40" s="108"/>
      <c r="H40" s="108"/>
      <c r="I40" s="107"/>
      <c r="J40" s="107"/>
      <c r="K40" s="108"/>
      <c r="L40" s="108"/>
      <c r="M40" s="108"/>
      <c r="N40" s="107"/>
      <c r="O40" s="107"/>
      <c r="P40" s="108"/>
      <c r="Q40" s="107"/>
      <c r="R40" s="107"/>
      <c r="S40" s="107"/>
      <c r="T40" s="109"/>
      <c r="U40" s="109"/>
      <c r="V40" s="109"/>
      <c r="W40" s="110"/>
      <c r="X40" s="109"/>
      <c r="Y40" s="109"/>
      <c r="Z40" s="109"/>
      <c r="AA40" s="110"/>
      <c r="AB40" s="96"/>
      <c r="AC40" s="97"/>
    </row>
    <row r="41" spans="1:29" ht="13">
      <c r="A41" s="91"/>
      <c r="B41" s="75"/>
      <c r="C41" s="75"/>
      <c r="D41" s="87"/>
      <c r="E41" s="87"/>
      <c r="F41" s="87"/>
      <c r="G41" s="87"/>
      <c r="H41" s="87"/>
      <c r="I41" s="75"/>
      <c r="J41" s="75"/>
      <c r="K41" s="87"/>
      <c r="L41" s="87"/>
      <c r="M41" s="87"/>
      <c r="N41" s="75"/>
      <c r="O41" s="75"/>
      <c r="P41" s="87"/>
      <c r="Q41" s="75"/>
      <c r="R41" s="75"/>
      <c r="S41" s="75"/>
      <c r="T41" s="83"/>
      <c r="U41" s="83"/>
      <c r="V41" s="83"/>
      <c r="W41" s="84"/>
      <c r="X41" s="83"/>
      <c r="Y41" s="83"/>
      <c r="Z41" s="83"/>
      <c r="AA41" s="84"/>
      <c r="AB41" s="85"/>
      <c r="AC41" s="86"/>
    </row>
    <row r="42" spans="1:29" ht="13">
      <c r="A42" s="92"/>
      <c r="B42" s="93"/>
      <c r="C42" s="93"/>
      <c r="I42" s="93"/>
      <c r="J42" s="93"/>
      <c r="N42" s="93"/>
      <c r="O42" s="93"/>
      <c r="Q42" s="93"/>
      <c r="R42" s="93"/>
      <c r="S42" s="93"/>
      <c r="T42" s="94"/>
      <c r="U42" s="94"/>
      <c r="V42" s="94"/>
      <c r="W42" s="95"/>
      <c r="X42" s="94"/>
      <c r="Y42" s="94"/>
      <c r="Z42" s="94"/>
      <c r="AA42" s="95"/>
      <c r="AB42" s="96"/>
      <c r="AC42" s="97"/>
    </row>
    <row r="43" spans="1:29" ht="13">
      <c r="A43" s="92"/>
      <c r="B43" s="98"/>
      <c r="C43" s="98"/>
      <c r="D43" s="99"/>
      <c r="E43" s="99"/>
      <c r="F43" s="99"/>
      <c r="G43" s="99"/>
      <c r="H43" s="99"/>
      <c r="I43" s="98"/>
      <c r="J43" s="98"/>
      <c r="K43" s="99"/>
      <c r="L43" s="99"/>
      <c r="M43" s="99"/>
      <c r="N43" s="98"/>
      <c r="O43" s="98"/>
      <c r="P43" s="99"/>
      <c r="Q43" s="98"/>
      <c r="R43" s="98"/>
      <c r="S43" s="98"/>
      <c r="T43" s="100"/>
      <c r="U43" s="100"/>
      <c r="V43" s="100"/>
      <c r="W43" s="101"/>
      <c r="X43" s="100"/>
      <c r="Y43" s="100"/>
      <c r="Z43" s="100"/>
      <c r="AA43" s="101"/>
      <c r="AB43" s="96"/>
      <c r="AC43" s="97"/>
    </row>
    <row r="44" spans="1:29" ht="13">
      <c r="A44" s="92"/>
      <c r="B44" s="93"/>
      <c r="C44" s="93"/>
      <c r="I44" s="93"/>
      <c r="J44" s="93"/>
      <c r="N44" s="93"/>
      <c r="O44" s="93"/>
      <c r="Q44" s="93"/>
      <c r="R44" s="93"/>
      <c r="S44" s="93"/>
      <c r="T44" s="94"/>
      <c r="U44" s="94"/>
      <c r="V44" s="94"/>
      <c r="W44" s="95"/>
      <c r="X44" s="94"/>
      <c r="Y44" s="94"/>
      <c r="Z44" s="94"/>
      <c r="AA44" s="95"/>
      <c r="AB44" s="96"/>
      <c r="AC44" s="97"/>
    </row>
    <row r="45" spans="1:29" ht="13">
      <c r="A45" s="92"/>
      <c r="B45" s="93"/>
      <c r="C45" s="93"/>
      <c r="I45" s="93"/>
      <c r="J45" s="93"/>
      <c r="N45" s="93"/>
      <c r="O45" s="93"/>
      <c r="Q45" s="93"/>
      <c r="R45" s="93"/>
      <c r="S45" s="93"/>
      <c r="T45" s="94"/>
      <c r="U45" s="94"/>
      <c r="V45" s="94"/>
      <c r="W45" s="95"/>
      <c r="X45" s="94"/>
      <c r="Y45" s="94"/>
      <c r="Z45" s="94"/>
      <c r="AA45" s="95"/>
      <c r="AB45" s="96"/>
      <c r="AC45" s="97"/>
    </row>
    <row r="46" spans="1:29" ht="13">
      <c r="A46" s="92"/>
      <c r="B46" s="102"/>
      <c r="C46" s="98"/>
      <c r="D46" s="99"/>
      <c r="E46" s="99"/>
      <c r="F46" s="99"/>
      <c r="G46" s="99"/>
      <c r="H46" s="99"/>
      <c r="I46" s="98"/>
      <c r="J46" s="98"/>
      <c r="K46" s="99"/>
      <c r="L46" s="99"/>
      <c r="M46" s="99"/>
      <c r="N46" s="98"/>
      <c r="O46" s="98"/>
      <c r="P46" s="99"/>
      <c r="Q46" s="98"/>
      <c r="R46" s="102"/>
      <c r="S46" s="102"/>
      <c r="T46" s="103"/>
      <c r="U46" s="103"/>
      <c r="V46" s="103"/>
      <c r="W46" s="104"/>
      <c r="X46" s="103"/>
      <c r="Y46" s="103"/>
      <c r="Z46" s="103"/>
      <c r="AA46" s="104"/>
      <c r="AB46" s="96"/>
      <c r="AC46" s="97"/>
    </row>
    <row r="47" spans="1:29" ht="13">
      <c r="A47" s="105"/>
      <c r="B47" s="106"/>
      <c r="C47" s="107"/>
      <c r="D47" s="108"/>
      <c r="E47" s="108"/>
      <c r="F47" s="108"/>
      <c r="G47" s="108"/>
      <c r="H47" s="108"/>
      <c r="I47" s="107"/>
      <c r="J47" s="107"/>
      <c r="K47" s="108"/>
      <c r="L47" s="108"/>
      <c r="M47" s="108"/>
      <c r="N47" s="107"/>
      <c r="O47" s="107"/>
      <c r="P47" s="108"/>
      <c r="Q47" s="107"/>
      <c r="R47" s="107"/>
      <c r="S47" s="107"/>
      <c r="T47" s="109"/>
      <c r="U47" s="109"/>
      <c r="V47" s="109"/>
      <c r="W47" s="110"/>
      <c r="X47" s="109"/>
      <c r="Y47" s="109"/>
      <c r="Z47" s="109"/>
      <c r="AA47" s="110"/>
      <c r="AB47" s="96"/>
      <c r="AC47" s="97"/>
    </row>
    <row r="48" spans="1:29" ht="13">
      <c r="A48" s="91"/>
      <c r="B48" s="75"/>
      <c r="C48" s="75"/>
      <c r="D48" s="87"/>
      <c r="E48" s="87"/>
      <c r="F48" s="87"/>
      <c r="G48" s="87"/>
      <c r="H48" s="87"/>
      <c r="I48" s="75"/>
      <c r="J48" s="75"/>
      <c r="K48" s="87"/>
      <c r="L48" s="87"/>
      <c r="M48" s="87"/>
      <c r="N48" s="75"/>
      <c r="O48" s="75"/>
      <c r="P48" s="87"/>
      <c r="Q48" s="75"/>
      <c r="R48" s="75"/>
      <c r="S48" s="75"/>
      <c r="T48" s="83"/>
      <c r="U48" s="83"/>
      <c r="V48" s="83"/>
      <c r="W48" s="84"/>
      <c r="X48" s="83"/>
      <c r="Y48" s="83"/>
      <c r="Z48" s="83"/>
      <c r="AA48" s="84"/>
      <c r="AB48" s="85"/>
      <c r="AC48" s="86"/>
    </row>
    <row r="49" spans="1:29" ht="13">
      <c r="A49" s="92"/>
      <c r="B49" s="93"/>
      <c r="C49" s="93"/>
      <c r="I49" s="93"/>
      <c r="J49" s="93"/>
      <c r="N49" s="93"/>
      <c r="O49" s="93"/>
      <c r="Q49" s="93"/>
      <c r="R49" s="93"/>
      <c r="S49" s="93"/>
      <c r="T49" s="94"/>
      <c r="U49" s="94"/>
      <c r="V49" s="94"/>
      <c r="W49" s="95"/>
      <c r="X49" s="94"/>
      <c r="Y49" s="94"/>
      <c r="Z49" s="94"/>
      <c r="AA49" s="95"/>
      <c r="AB49" s="96"/>
      <c r="AC49" s="97"/>
    </row>
    <row r="50" spans="1:29" ht="13">
      <c r="A50" s="92"/>
      <c r="B50" s="98"/>
      <c r="C50" s="98"/>
      <c r="D50" s="99"/>
      <c r="E50" s="99"/>
      <c r="F50" s="99"/>
      <c r="G50" s="99"/>
      <c r="H50" s="99"/>
      <c r="I50" s="98"/>
      <c r="J50" s="98"/>
      <c r="K50" s="99"/>
      <c r="L50" s="99"/>
      <c r="M50" s="99"/>
      <c r="N50" s="98"/>
      <c r="O50" s="98"/>
      <c r="P50" s="99"/>
      <c r="Q50" s="98"/>
      <c r="R50" s="98"/>
      <c r="S50" s="98"/>
      <c r="T50" s="100"/>
      <c r="U50" s="100"/>
      <c r="V50" s="100"/>
      <c r="W50" s="101"/>
      <c r="X50" s="100"/>
      <c r="Y50" s="100"/>
      <c r="Z50" s="100"/>
      <c r="AA50" s="101"/>
      <c r="AB50" s="96"/>
      <c r="AC50" s="97"/>
    </row>
    <row r="51" spans="1:29" ht="13">
      <c r="A51" s="92"/>
      <c r="B51" s="93"/>
      <c r="C51" s="93"/>
      <c r="I51" s="93"/>
      <c r="J51" s="93"/>
      <c r="N51" s="93"/>
      <c r="O51" s="93"/>
      <c r="Q51" s="93"/>
      <c r="R51" s="93"/>
      <c r="S51" s="93"/>
      <c r="T51" s="94"/>
      <c r="U51" s="94"/>
      <c r="V51" s="94"/>
      <c r="W51" s="95"/>
      <c r="X51" s="94"/>
      <c r="Y51" s="94"/>
      <c r="Z51" s="94"/>
      <c r="AA51" s="95"/>
      <c r="AB51" s="96"/>
      <c r="AC51" s="97"/>
    </row>
    <row r="52" spans="1:29" ht="13">
      <c r="A52" s="92"/>
      <c r="B52" s="93"/>
      <c r="C52" s="93"/>
      <c r="I52" s="93"/>
      <c r="J52" s="93"/>
      <c r="N52" s="93"/>
      <c r="O52" s="93"/>
      <c r="Q52" s="93"/>
      <c r="R52" s="93"/>
      <c r="S52" s="93"/>
      <c r="T52" s="94"/>
      <c r="U52" s="94"/>
      <c r="V52" s="94"/>
      <c r="W52" s="95"/>
      <c r="X52" s="94"/>
      <c r="Y52" s="94"/>
      <c r="Z52" s="94"/>
      <c r="AA52" s="95"/>
      <c r="AB52" s="96"/>
      <c r="AC52" s="97"/>
    </row>
    <row r="53" spans="1:29" ht="13">
      <c r="A53" s="92"/>
      <c r="B53" s="102"/>
      <c r="C53" s="98"/>
      <c r="D53" s="99"/>
      <c r="E53" s="99"/>
      <c r="F53" s="99"/>
      <c r="G53" s="99"/>
      <c r="H53" s="99"/>
      <c r="I53" s="98"/>
      <c r="J53" s="98"/>
      <c r="K53" s="99"/>
      <c r="L53" s="99"/>
      <c r="M53" s="99"/>
      <c r="N53" s="98"/>
      <c r="O53" s="98"/>
      <c r="P53" s="99"/>
      <c r="Q53" s="98"/>
      <c r="R53" s="102"/>
      <c r="S53" s="102"/>
      <c r="T53" s="103"/>
      <c r="U53" s="103"/>
      <c r="V53" s="103"/>
      <c r="W53" s="104"/>
      <c r="X53" s="103"/>
      <c r="Y53" s="103"/>
      <c r="Z53" s="103"/>
      <c r="AA53" s="104"/>
      <c r="AB53" s="96"/>
      <c r="AC53" s="97"/>
    </row>
    <row r="54" spans="1:29" ht="13">
      <c r="A54" s="105"/>
      <c r="B54" s="106"/>
      <c r="C54" s="107"/>
      <c r="D54" s="108"/>
      <c r="E54" s="108"/>
      <c r="F54" s="108"/>
      <c r="G54" s="108"/>
      <c r="H54" s="108"/>
      <c r="I54" s="107"/>
      <c r="J54" s="107"/>
      <c r="K54" s="108"/>
      <c r="L54" s="108"/>
      <c r="M54" s="108"/>
      <c r="N54" s="107"/>
      <c r="O54" s="107"/>
      <c r="P54" s="108"/>
      <c r="Q54" s="107"/>
      <c r="R54" s="107"/>
      <c r="S54" s="107"/>
      <c r="T54" s="109"/>
      <c r="U54" s="109"/>
      <c r="V54" s="109"/>
      <c r="W54" s="110"/>
      <c r="X54" s="109"/>
      <c r="Y54" s="109"/>
      <c r="Z54" s="109"/>
      <c r="AA54" s="110"/>
      <c r="AB54" s="96"/>
      <c r="AC54" s="97"/>
    </row>
    <row r="55" spans="1:29" ht="13">
      <c r="A55" s="91"/>
      <c r="B55" s="75"/>
      <c r="C55" s="75"/>
      <c r="D55" s="87"/>
      <c r="E55" s="87"/>
      <c r="F55" s="87"/>
      <c r="G55" s="87"/>
      <c r="H55" s="87"/>
      <c r="I55" s="75"/>
      <c r="J55" s="75"/>
      <c r="K55" s="87"/>
      <c r="L55" s="87"/>
      <c r="M55" s="87"/>
      <c r="N55" s="75"/>
      <c r="O55" s="75"/>
      <c r="P55" s="87"/>
      <c r="Q55" s="75"/>
      <c r="R55" s="75"/>
      <c r="S55" s="75"/>
      <c r="T55" s="83"/>
      <c r="U55" s="83"/>
      <c r="V55" s="83"/>
      <c r="W55" s="84"/>
      <c r="X55" s="83"/>
      <c r="Y55" s="83"/>
      <c r="Z55" s="83"/>
      <c r="AA55" s="84"/>
      <c r="AB55" s="85"/>
      <c r="AC55" s="86"/>
    </row>
    <row r="56" spans="1:29" ht="13">
      <c r="A56" s="92"/>
      <c r="B56" s="93"/>
      <c r="C56" s="93"/>
      <c r="I56" s="93"/>
      <c r="J56" s="93"/>
      <c r="N56" s="93"/>
      <c r="O56" s="93"/>
      <c r="Q56" s="93"/>
      <c r="R56" s="93"/>
      <c r="S56" s="93"/>
      <c r="T56" s="94"/>
      <c r="U56" s="94"/>
      <c r="V56" s="94"/>
      <c r="W56" s="95"/>
      <c r="X56" s="94"/>
      <c r="Y56" s="94"/>
      <c r="Z56" s="94"/>
      <c r="AA56" s="95"/>
      <c r="AB56" s="96"/>
      <c r="AC56" s="97"/>
    </row>
    <row r="57" spans="1:29" ht="13">
      <c r="A57" s="92"/>
      <c r="B57" s="98"/>
      <c r="C57" s="98"/>
      <c r="D57" s="99"/>
      <c r="E57" s="99"/>
      <c r="F57" s="99"/>
      <c r="G57" s="99"/>
      <c r="H57" s="99"/>
      <c r="I57" s="98"/>
      <c r="J57" s="98"/>
      <c r="K57" s="99"/>
      <c r="L57" s="99"/>
      <c r="M57" s="99"/>
      <c r="N57" s="98"/>
      <c r="O57" s="98"/>
      <c r="P57" s="99"/>
      <c r="Q57" s="98"/>
      <c r="R57" s="98"/>
      <c r="S57" s="98"/>
      <c r="T57" s="100"/>
      <c r="U57" s="100"/>
      <c r="V57" s="100"/>
      <c r="W57" s="101"/>
      <c r="X57" s="100"/>
      <c r="Y57" s="100"/>
      <c r="Z57" s="100"/>
      <c r="AA57" s="101"/>
      <c r="AB57" s="96"/>
      <c r="AC57" s="97"/>
    </row>
    <row r="58" spans="1:29" ht="13">
      <c r="A58" s="92"/>
      <c r="B58" s="93"/>
      <c r="C58" s="93"/>
      <c r="I58" s="93"/>
      <c r="J58" s="93"/>
      <c r="N58" s="93"/>
      <c r="O58" s="93"/>
      <c r="Q58" s="93"/>
      <c r="R58" s="93"/>
      <c r="S58" s="93"/>
      <c r="T58" s="94"/>
      <c r="U58" s="94"/>
      <c r="V58" s="94"/>
      <c r="W58" s="95"/>
      <c r="X58" s="94"/>
      <c r="Y58" s="94"/>
      <c r="Z58" s="94"/>
      <c r="AA58" s="95"/>
      <c r="AB58" s="96"/>
      <c r="AC58" s="97"/>
    </row>
    <row r="59" spans="1:29" ht="13">
      <c r="A59" s="92"/>
      <c r="B59" s="93"/>
      <c r="C59" s="93"/>
      <c r="I59" s="93"/>
      <c r="J59" s="93"/>
      <c r="N59" s="93"/>
      <c r="O59" s="93"/>
      <c r="Q59" s="93"/>
      <c r="R59" s="93"/>
      <c r="S59" s="93"/>
      <c r="T59" s="94"/>
      <c r="U59" s="94"/>
      <c r="V59" s="94"/>
      <c r="W59" s="95"/>
      <c r="X59" s="94"/>
      <c r="Y59" s="94"/>
      <c r="Z59" s="94"/>
      <c r="AA59" s="95"/>
      <c r="AB59" s="96"/>
      <c r="AC59" s="97"/>
    </row>
    <row r="60" spans="1:29" ht="13">
      <c r="A60" s="92"/>
      <c r="B60" s="102"/>
      <c r="C60" s="98"/>
      <c r="D60" s="99"/>
      <c r="E60" s="99"/>
      <c r="F60" s="99"/>
      <c r="G60" s="99"/>
      <c r="H60" s="99"/>
      <c r="I60" s="98"/>
      <c r="J60" s="98"/>
      <c r="K60" s="99"/>
      <c r="L60" s="99"/>
      <c r="M60" s="99"/>
      <c r="N60" s="98"/>
      <c r="O60" s="98"/>
      <c r="P60" s="99"/>
      <c r="Q60" s="98"/>
      <c r="R60" s="102"/>
      <c r="S60" s="102"/>
      <c r="T60" s="103"/>
      <c r="U60" s="103"/>
      <c r="V60" s="103"/>
      <c r="W60" s="104"/>
      <c r="X60" s="103"/>
      <c r="Y60" s="103"/>
      <c r="Z60" s="103"/>
      <c r="AA60" s="104"/>
      <c r="AB60" s="96"/>
      <c r="AC60" s="97"/>
    </row>
    <row r="61" spans="1:29" ht="13">
      <c r="A61" s="105"/>
      <c r="B61" s="106"/>
      <c r="C61" s="107"/>
      <c r="D61" s="108"/>
      <c r="E61" s="108"/>
      <c r="F61" s="108"/>
      <c r="G61" s="108"/>
      <c r="H61" s="108"/>
      <c r="I61" s="107"/>
      <c r="J61" s="107"/>
      <c r="K61" s="108"/>
      <c r="L61" s="108"/>
      <c r="M61" s="108"/>
      <c r="N61" s="107"/>
      <c r="O61" s="107"/>
      <c r="P61" s="108"/>
      <c r="Q61" s="107"/>
      <c r="R61" s="107"/>
      <c r="S61" s="107"/>
      <c r="T61" s="109"/>
      <c r="U61" s="109"/>
      <c r="V61" s="109"/>
      <c r="W61" s="110"/>
      <c r="X61" s="109"/>
      <c r="Y61" s="109"/>
      <c r="Z61" s="109"/>
      <c r="AA61" s="110"/>
      <c r="AB61" s="96"/>
      <c r="AC61" s="97"/>
    </row>
    <row r="62" spans="1:29" ht="13">
      <c r="A62" s="91"/>
      <c r="B62" s="75"/>
      <c r="C62" s="75"/>
      <c r="D62" s="87"/>
      <c r="E62" s="87"/>
      <c r="F62" s="87"/>
      <c r="G62" s="87"/>
      <c r="H62" s="87"/>
      <c r="I62" s="75"/>
      <c r="J62" s="75"/>
      <c r="K62" s="87"/>
      <c r="L62" s="87"/>
      <c r="M62" s="87"/>
      <c r="N62" s="75"/>
      <c r="O62" s="75"/>
      <c r="P62" s="87"/>
      <c r="Q62" s="75"/>
      <c r="R62" s="75"/>
      <c r="S62" s="75"/>
      <c r="T62" s="83"/>
      <c r="U62" s="83"/>
      <c r="V62" s="83"/>
      <c r="W62" s="84"/>
      <c r="X62" s="83"/>
      <c r="Y62" s="83"/>
      <c r="Z62" s="83"/>
      <c r="AA62" s="84"/>
      <c r="AB62" s="85"/>
      <c r="AC62" s="86"/>
    </row>
    <row r="63" spans="1:29" ht="13">
      <c r="A63" s="92"/>
      <c r="B63" s="93"/>
      <c r="C63" s="93"/>
      <c r="I63" s="93"/>
      <c r="J63" s="93"/>
      <c r="N63" s="93"/>
      <c r="O63" s="93"/>
      <c r="Q63" s="93"/>
      <c r="R63" s="93"/>
      <c r="S63" s="93"/>
      <c r="T63" s="94"/>
      <c r="U63" s="94"/>
      <c r="V63" s="94"/>
      <c r="W63" s="95"/>
      <c r="X63" s="94"/>
      <c r="Y63" s="94"/>
      <c r="Z63" s="94"/>
      <c r="AA63" s="95"/>
      <c r="AB63" s="96"/>
      <c r="AC63" s="97"/>
    </row>
    <row r="64" spans="1:29" ht="13">
      <c r="A64" s="92"/>
      <c r="B64" s="98"/>
      <c r="C64" s="98"/>
      <c r="D64" s="99"/>
      <c r="E64" s="99"/>
      <c r="F64" s="99"/>
      <c r="G64" s="99"/>
      <c r="H64" s="99"/>
      <c r="I64" s="98"/>
      <c r="J64" s="98"/>
      <c r="K64" s="99"/>
      <c r="L64" s="99"/>
      <c r="M64" s="99"/>
      <c r="N64" s="98"/>
      <c r="O64" s="98"/>
      <c r="P64" s="99"/>
      <c r="Q64" s="98"/>
      <c r="R64" s="98"/>
      <c r="S64" s="98"/>
      <c r="T64" s="100"/>
      <c r="U64" s="100"/>
      <c r="V64" s="100"/>
      <c r="W64" s="101"/>
      <c r="X64" s="100"/>
      <c r="Y64" s="100"/>
      <c r="Z64" s="100"/>
      <c r="AA64" s="101"/>
      <c r="AB64" s="96"/>
      <c r="AC64" s="97"/>
    </row>
    <row r="65" spans="1:29" ht="13">
      <c r="A65" s="92"/>
      <c r="B65" s="93"/>
      <c r="C65" s="93"/>
      <c r="I65" s="93"/>
      <c r="J65" s="93"/>
      <c r="N65" s="93"/>
      <c r="O65" s="93"/>
      <c r="Q65" s="93"/>
      <c r="R65" s="93"/>
      <c r="S65" s="93"/>
      <c r="T65" s="94"/>
      <c r="U65" s="94"/>
      <c r="V65" s="94"/>
      <c r="W65" s="95"/>
      <c r="X65" s="94"/>
      <c r="Y65" s="94"/>
      <c r="Z65" s="94"/>
      <c r="AA65" s="95"/>
      <c r="AB65" s="96"/>
      <c r="AC65" s="97"/>
    </row>
    <row r="66" spans="1:29" ht="13">
      <c r="A66" s="92"/>
      <c r="B66" s="93"/>
      <c r="C66" s="93"/>
      <c r="I66" s="93"/>
      <c r="J66" s="93"/>
      <c r="N66" s="93"/>
      <c r="O66" s="93"/>
      <c r="Q66" s="93"/>
      <c r="R66" s="93"/>
      <c r="S66" s="93"/>
      <c r="T66" s="94"/>
      <c r="U66" s="94"/>
      <c r="V66" s="94"/>
      <c r="W66" s="95"/>
      <c r="X66" s="94"/>
      <c r="Y66" s="94"/>
      <c r="Z66" s="94"/>
      <c r="AA66" s="95"/>
      <c r="AB66" s="96"/>
      <c r="AC66" s="97"/>
    </row>
    <row r="67" spans="1:29" ht="13">
      <c r="A67" s="92"/>
      <c r="B67" s="102"/>
      <c r="C67" s="98"/>
      <c r="D67" s="99"/>
      <c r="E67" s="99"/>
      <c r="F67" s="99"/>
      <c r="G67" s="99"/>
      <c r="H67" s="99"/>
      <c r="I67" s="98"/>
      <c r="J67" s="98"/>
      <c r="K67" s="99"/>
      <c r="L67" s="99"/>
      <c r="M67" s="99"/>
      <c r="N67" s="98"/>
      <c r="O67" s="98"/>
      <c r="P67" s="99"/>
      <c r="Q67" s="98"/>
      <c r="R67" s="102"/>
      <c r="S67" s="102"/>
      <c r="T67" s="103"/>
      <c r="U67" s="103"/>
      <c r="V67" s="103"/>
      <c r="W67" s="104"/>
      <c r="X67" s="103"/>
      <c r="Y67" s="103"/>
      <c r="Z67" s="103"/>
      <c r="AA67" s="104"/>
      <c r="AB67" s="96"/>
      <c r="AC67" s="97"/>
    </row>
    <row r="68" spans="1:29" ht="13">
      <c r="A68" s="92"/>
      <c r="B68" s="106"/>
      <c r="C68" s="107"/>
      <c r="D68" s="108"/>
      <c r="E68" s="108"/>
      <c r="F68" s="108"/>
      <c r="G68" s="108"/>
      <c r="H68" s="108"/>
      <c r="I68" s="107"/>
      <c r="J68" s="107"/>
      <c r="K68" s="108"/>
      <c r="L68" s="108"/>
      <c r="M68" s="108"/>
      <c r="N68" s="107"/>
      <c r="O68" s="107"/>
      <c r="P68" s="108"/>
      <c r="Q68" s="107"/>
      <c r="R68" s="107"/>
      <c r="S68" s="107"/>
      <c r="T68" s="109"/>
      <c r="U68" s="109"/>
      <c r="V68" s="109"/>
      <c r="W68" s="110"/>
      <c r="X68" s="109"/>
      <c r="Y68" s="109"/>
      <c r="Z68" s="109"/>
      <c r="AA68" s="110"/>
      <c r="AB68" s="96"/>
      <c r="AC68" s="97"/>
    </row>
    <row r="69" spans="1:29" ht="13">
      <c r="A69" s="91"/>
      <c r="B69" s="75"/>
      <c r="C69" s="75"/>
      <c r="D69" s="87"/>
      <c r="E69" s="87"/>
      <c r="F69" s="87"/>
      <c r="G69" s="87"/>
      <c r="H69" s="87"/>
      <c r="I69" s="75"/>
      <c r="J69" s="75"/>
      <c r="K69" s="87"/>
      <c r="L69" s="87"/>
      <c r="M69" s="87"/>
      <c r="N69" s="75"/>
      <c r="O69" s="75"/>
      <c r="P69" s="87"/>
      <c r="Q69" s="75"/>
      <c r="R69" s="75"/>
      <c r="S69" s="75"/>
      <c r="T69" s="83"/>
      <c r="U69" s="83"/>
      <c r="V69" s="83"/>
      <c r="W69" s="84"/>
      <c r="X69" s="83"/>
      <c r="Y69" s="83"/>
      <c r="Z69" s="83"/>
      <c r="AA69" s="84"/>
      <c r="AB69" s="85"/>
      <c r="AC69" s="86"/>
    </row>
    <row r="70" spans="1:29" ht="13">
      <c r="A70" s="92"/>
      <c r="B70" s="93"/>
      <c r="C70" s="93"/>
      <c r="I70" s="93"/>
      <c r="J70" s="93"/>
      <c r="N70" s="93"/>
      <c r="O70" s="93"/>
      <c r="Q70" s="93"/>
      <c r="R70" s="93"/>
      <c r="S70" s="93"/>
      <c r="T70" s="94"/>
      <c r="U70" s="94"/>
      <c r="V70" s="94"/>
      <c r="W70" s="95"/>
      <c r="X70" s="94"/>
      <c r="Y70" s="94"/>
      <c r="Z70" s="94"/>
      <c r="AA70" s="95"/>
      <c r="AB70" s="96"/>
      <c r="AC70" s="97"/>
    </row>
    <row r="71" spans="1:29" ht="13">
      <c r="A71" s="92"/>
      <c r="B71" s="98"/>
      <c r="C71" s="98"/>
      <c r="D71" s="99"/>
      <c r="E71" s="99"/>
      <c r="F71" s="99"/>
      <c r="G71" s="99"/>
      <c r="H71" s="99"/>
      <c r="I71" s="98"/>
      <c r="J71" s="98"/>
      <c r="K71" s="99"/>
      <c r="L71" s="99"/>
      <c r="M71" s="99"/>
      <c r="N71" s="98"/>
      <c r="O71" s="98"/>
      <c r="P71" s="99"/>
      <c r="Q71" s="98"/>
      <c r="R71" s="98"/>
      <c r="S71" s="98"/>
      <c r="T71" s="100"/>
      <c r="U71" s="100"/>
      <c r="V71" s="100"/>
      <c r="W71" s="101"/>
      <c r="X71" s="100"/>
      <c r="Y71" s="100"/>
      <c r="Z71" s="100"/>
      <c r="AA71" s="101"/>
      <c r="AB71" s="96"/>
      <c r="AC71" s="97"/>
    </row>
    <row r="72" spans="1:29" ht="13">
      <c r="A72" s="92"/>
      <c r="B72" s="93"/>
      <c r="C72" s="93"/>
      <c r="I72" s="93"/>
      <c r="J72" s="93"/>
      <c r="N72" s="93"/>
      <c r="O72" s="93"/>
      <c r="Q72" s="93"/>
      <c r="R72" s="93"/>
      <c r="S72" s="93"/>
      <c r="T72" s="94"/>
      <c r="U72" s="94"/>
      <c r="V72" s="94"/>
      <c r="W72" s="95"/>
      <c r="X72" s="94"/>
      <c r="Y72" s="94"/>
      <c r="Z72" s="94"/>
      <c r="AA72" s="95"/>
      <c r="AB72" s="96"/>
      <c r="AC72" s="97"/>
    </row>
    <row r="73" spans="1:29" ht="13">
      <c r="A73" s="92"/>
      <c r="B73" s="93"/>
      <c r="C73" s="93"/>
      <c r="I73" s="93"/>
      <c r="J73" s="93"/>
      <c r="N73" s="93"/>
      <c r="O73" s="93"/>
      <c r="Q73" s="93"/>
      <c r="R73" s="93"/>
      <c r="S73" s="93"/>
      <c r="T73" s="94"/>
      <c r="U73" s="94"/>
      <c r="V73" s="94"/>
      <c r="W73" s="95"/>
      <c r="X73" s="94"/>
      <c r="Y73" s="94"/>
      <c r="Z73" s="94"/>
      <c r="AA73" s="95"/>
      <c r="AB73" s="96"/>
      <c r="AC73" s="97"/>
    </row>
    <row r="74" spans="1:29" ht="13">
      <c r="A74" s="92"/>
      <c r="B74" s="102"/>
      <c r="C74" s="98"/>
      <c r="D74" s="99"/>
      <c r="E74" s="99"/>
      <c r="F74" s="99"/>
      <c r="G74" s="99"/>
      <c r="H74" s="99"/>
      <c r="I74" s="98"/>
      <c r="J74" s="98"/>
      <c r="K74" s="99"/>
      <c r="L74" s="99"/>
      <c r="M74" s="99"/>
      <c r="N74" s="98"/>
      <c r="O74" s="98"/>
      <c r="P74" s="99"/>
      <c r="Q74" s="98"/>
      <c r="R74" s="102"/>
      <c r="S74" s="102"/>
      <c r="T74" s="103"/>
      <c r="U74" s="103"/>
      <c r="V74" s="103"/>
      <c r="W74" s="104"/>
      <c r="X74" s="103"/>
      <c r="Y74" s="103"/>
      <c r="Z74" s="103"/>
      <c r="AA74" s="104"/>
      <c r="AB74" s="96"/>
      <c r="AC74" s="97"/>
    </row>
    <row r="75" spans="1:29" ht="13">
      <c r="A75" s="92"/>
      <c r="B75" s="106"/>
      <c r="C75" s="107"/>
      <c r="D75" s="108"/>
      <c r="E75" s="108"/>
      <c r="F75" s="108"/>
      <c r="G75" s="108"/>
      <c r="H75" s="108"/>
      <c r="I75" s="107"/>
      <c r="J75" s="107"/>
      <c r="K75" s="108"/>
      <c r="L75" s="108"/>
      <c r="M75" s="108"/>
      <c r="N75" s="107"/>
      <c r="O75" s="107"/>
      <c r="P75" s="108"/>
      <c r="Q75" s="107"/>
      <c r="R75" s="107"/>
      <c r="S75" s="107"/>
      <c r="T75" s="109"/>
      <c r="U75" s="109"/>
      <c r="V75" s="109"/>
      <c r="W75" s="110"/>
      <c r="X75" s="109"/>
      <c r="Y75" s="109"/>
      <c r="Z75" s="109"/>
      <c r="AA75" s="110"/>
      <c r="AB75" s="96"/>
      <c r="AC75" s="97"/>
    </row>
    <row r="76" spans="1:29" ht="13">
      <c r="A76" s="91"/>
      <c r="B76" s="75"/>
      <c r="C76" s="75"/>
      <c r="D76" s="87"/>
      <c r="E76" s="87"/>
      <c r="F76" s="87"/>
      <c r="G76" s="87"/>
      <c r="H76" s="87"/>
      <c r="I76" s="75"/>
      <c r="J76" s="75"/>
      <c r="K76" s="87"/>
      <c r="L76" s="87"/>
      <c r="M76" s="87"/>
      <c r="N76" s="75"/>
      <c r="O76" s="75"/>
      <c r="P76" s="87"/>
      <c r="Q76" s="75"/>
      <c r="R76" s="75"/>
      <c r="S76" s="75"/>
      <c r="T76" s="83"/>
      <c r="U76" s="83"/>
      <c r="V76" s="83"/>
      <c r="W76" s="84"/>
      <c r="X76" s="83"/>
      <c r="Y76" s="83"/>
      <c r="Z76" s="83"/>
      <c r="AA76" s="84"/>
      <c r="AB76" s="85"/>
      <c r="AC76" s="86"/>
    </row>
    <row r="77" spans="1:29" ht="13">
      <c r="A77" s="92"/>
      <c r="B77" s="93"/>
      <c r="C77" s="93"/>
      <c r="I77" s="93"/>
      <c r="J77" s="93"/>
      <c r="N77" s="93"/>
      <c r="O77" s="93"/>
      <c r="Q77" s="93"/>
      <c r="R77" s="93"/>
      <c r="S77" s="93"/>
      <c r="T77" s="94"/>
      <c r="U77" s="94"/>
      <c r="V77" s="94"/>
      <c r="W77" s="95"/>
      <c r="X77" s="94"/>
      <c r="Y77" s="94"/>
      <c r="Z77" s="94"/>
      <c r="AA77" s="95"/>
      <c r="AB77" s="96"/>
      <c r="AC77" s="97"/>
    </row>
    <row r="78" spans="1:29" ht="13">
      <c r="A78" s="92"/>
      <c r="B78" s="98"/>
      <c r="C78" s="98"/>
      <c r="D78" s="99"/>
      <c r="E78" s="99"/>
      <c r="F78" s="99"/>
      <c r="G78" s="99"/>
      <c r="H78" s="99"/>
      <c r="I78" s="98"/>
      <c r="J78" s="98"/>
      <c r="K78" s="99"/>
      <c r="L78" s="99"/>
      <c r="M78" s="99"/>
      <c r="N78" s="98"/>
      <c r="O78" s="98"/>
      <c r="P78" s="99"/>
      <c r="Q78" s="98"/>
      <c r="R78" s="98"/>
      <c r="S78" s="98"/>
      <c r="T78" s="100"/>
      <c r="U78" s="100"/>
      <c r="V78" s="100"/>
      <c r="W78" s="101"/>
      <c r="X78" s="100"/>
      <c r="Y78" s="100"/>
      <c r="Z78" s="100"/>
      <c r="AA78" s="101"/>
      <c r="AB78" s="96"/>
      <c r="AC78" s="97"/>
    </row>
    <row r="79" spans="1:29" ht="13">
      <c r="A79" s="92"/>
      <c r="B79" s="93"/>
      <c r="C79" s="93"/>
      <c r="I79" s="93"/>
      <c r="J79" s="93"/>
      <c r="N79" s="93"/>
      <c r="O79" s="93"/>
      <c r="Q79" s="93"/>
      <c r="R79" s="93"/>
      <c r="S79" s="93"/>
      <c r="T79" s="94"/>
      <c r="U79" s="94"/>
      <c r="V79" s="94"/>
      <c r="W79" s="95"/>
      <c r="X79" s="94"/>
      <c r="Y79" s="94"/>
      <c r="Z79" s="94"/>
      <c r="AA79" s="95"/>
      <c r="AB79" s="96"/>
      <c r="AC79" s="97"/>
    </row>
    <row r="80" spans="1:29" ht="13">
      <c r="A80" s="92"/>
      <c r="B80" s="93"/>
      <c r="C80" s="93"/>
      <c r="I80" s="93"/>
      <c r="J80" s="93"/>
      <c r="N80" s="93"/>
      <c r="O80" s="93"/>
      <c r="Q80" s="93"/>
      <c r="R80" s="93"/>
      <c r="S80" s="93"/>
      <c r="T80" s="94"/>
      <c r="U80" s="94"/>
      <c r="V80" s="94"/>
      <c r="W80" s="95"/>
      <c r="X80" s="94"/>
      <c r="Y80" s="94"/>
      <c r="Z80" s="94"/>
      <c r="AA80" s="95"/>
      <c r="AB80" s="96"/>
      <c r="AC80" s="97"/>
    </row>
    <row r="81" spans="1:29" ht="13">
      <c r="A81" s="92"/>
      <c r="B81" s="102"/>
      <c r="C81" s="98"/>
      <c r="D81" s="99"/>
      <c r="E81" s="99"/>
      <c r="F81" s="99"/>
      <c r="G81" s="99"/>
      <c r="H81" s="99"/>
      <c r="I81" s="98"/>
      <c r="J81" s="98"/>
      <c r="K81" s="99"/>
      <c r="L81" s="99"/>
      <c r="M81" s="99"/>
      <c r="N81" s="98"/>
      <c r="O81" s="98"/>
      <c r="P81" s="99"/>
      <c r="Q81" s="98"/>
      <c r="R81" s="102"/>
      <c r="S81" s="102"/>
      <c r="T81" s="103"/>
      <c r="U81" s="103"/>
      <c r="V81" s="103"/>
      <c r="W81" s="104"/>
      <c r="X81" s="103"/>
      <c r="Y81" s="103"/>
      <c r="Z81" s="103"/>
      <c r="AA81" s="104"/>
      <c r="AB81" s="96"/>
      <c r="AC81" s="97"/>
    </row>
    <row r="82" spans="1:29" ht="13">
      <c r="A82" s="92"/>
      <c r="B82" s="106"/>
      <c r="C82" s="107"/>
      <c r="D82" s="108"/>
      <c r="E82" s="108"/>
      <c r="F82" s="108"/>
      <c r="G82" s="108"/>
      <c r="H82" s="108"/>
      <c r="I82" s="107"/>
      <c r="J82" s="107"/>
      <c r="K82" s="108"/>
      <c r="L82" s="108"/>
      <c r="M82" s="108"/>
      <c r="N82" s="107"/>
      <c r="O82" s="107"/>
      <c r="P82" s="108"/>
      <c r="Q82" s="107"/>
      <c r="R82" s="107"/>
      <c r="S82" s="107"/>
      <c r="T82" s="109"/>
      <c r="U82" s="109"/>
      <c r="V82" s="109"/>
      <c r="W82" s="110"/>
      <c r="X82" s="109"/>
      <c r="Y82" s="109"/>
      <c r="Z82" s="109"/>
      <c r="AA82" s="110"/>
      <c r="AB82" s="96"/>
      <c r="AC82" s="97"/>
    </row>
    <row r="83" spans="1:29" ht="13">
      <c r="A83" s="91"/>
      <c r="B83" s="75"/>
      <c r="C83" s="75"/>
      <c r="D83" s="87"/>
      <c r="E83" s="87"/>
      <c r="F83" s="87"/>
      <c r="G83" s="87"/>
      <c r="H83" s="87"/>
      <c r="I83" s="75"/>
      <c r="J83" s="75"/>
      <c r="K83" s="87"/>
      <c r="L83" s="87"/>
      <c r="M83" s="87"/>
      <c r="N83" s="75"/>
      <c r="O83" s="75"/>
      <c r="P83" s="87"/>
      <c r="Q83" s="75"/>
      <c r="R83" s="75"/>
      <c r="S83" s="75"/>
      <c r="T83" s="83"/>
      <c r="U83" s="83"/>
      <c r="V83" s="83"/>
      <c r="W83" s="84"/>
      <c r="X83" s="83"/>
      <c r="Y83" s="83"/>
      <c r="Z83" s="83"/>
      <c r="AA83" s="84"/>
      <c r="AB83" s="85"/>
      <c r="AC83" s="86"/>
    </row>
    <row r="84" spans="1:29" ht="13">
      <c r="A84" s="92"/>
      <c r="B84" s="93"/>
      <c r="C84" s="93"/>
      <c r="I84" s="93"/>
      <c r="J84" s="93"/>
      <c r="N84" s="93"/>
      <c r="O84" s="93"/>
      <c r="Q84" s="93"/>
      <c r="R84" s="93"/>
      <c r="S84" s="93"/>
      <c r="T84" s="94"/>
      <c r="U84" s="94"/>
      <c r="V84" s="94"/>
      <c r="W84" s="95"/>
      <c r="X84" s="94"/>
      <c r="Y84" s="94"/>
      <c r="Z84" s="94"/>
      <c r="AA84" s="95"/>
      <c r="AB84" s="96"/>
      <c r="AC84" s="97"/>
    </row>
    <row r="85" spans="1:29" ht="13">
      <c r="A85" s="92"/>
      <c r="B85" s="98"/>
      <c r="C85" s="98"/>
      <c r="D85" s="99"/>
      <c r="E85" s="99"/>
      <c r="F85" s="99"/>
      <c r="G85" s="99"/>
      <c r="H85" s="99"/>
      <c r="I85" s="98"/>
      <c r="J85" s="98"/>
      <c r="K85" s="99"/>
      <c r="L85" s="99"/>
      <c r="M85" s="99"/>
      <c r="N85" s="98"/>
      <c r="O85" s="98"/>
      <c r="P85" s="99"/>
      <c r="Q85" s="98"/>
      <c r="R85" s="98"/>
      <c r="S85" s="98"/>
      <c r="T85" s="100"/>
      <c r="U85" s="100"/>
      <c r="V85" s="100"/>
      <c r="W85" s="101"/>
      <c r="X85" s="100"/>
      <c r="Y85" s="100"/>
      <c r="Z85" s="100"/>
      <c r="AA85" s="101"/>
      <c r="AB85" s="96"/>
      <c r="AC85" s="97"/>
    </row>
    <row r="86" spans="1:29" ht="13">
      <c r="A86" s="92"/>
      <c r="B86" s="93"/>
      <c r="C86" s="93"/>
      <c r="I86" s="93"/>
      <c r="J86" s="93"/>
      <c r="N86" s="93"/>
      <c r="O86" s="93"/>
      <c r="Q86" s="93"/>
      <c r="R86" s="93"/>
      <c r="S86" s="93"/>
      <c r="T86" s="94"/>
      <c r="U86" s="94"/>
      <c r="V86" s="94"/>
      <c r="W86" s="95"/>
      <c r="X86" s="94"/>
      <c r="Y86" s="94"/>
      <c r="Z86" s="94"/>
      <c r="AA86" s="95"/>
      <c r="AB86" s="96"/>
      <c r="AC86" s="97"/>
    </row>
    <row r="87" spans="1:29" ht="13">
      <c r="A87" s="92"/>
      <c r="B87" s="93"/>
      <c r="C87" s="93"/>
      <c r="I87" s="93"/>
      <c r="J87" s="93"/>
      <c r="N87" s="93"/>
      <c r="O87" s="93"/>
      <c r="Q87" s="93"/>
      <c r="R87" s="93"/>
      <c r="S87" s="93"/>
      <c r="T87" s="94"/>
      <c r="U87" s="94"/>
      <c r="V87" s="94"/>
      <c r="W87" s="95"/>
      <c r="X87" s="94"/>
      <c r="Y87" s="94"/>
      <c r="Z87" s="94"/>
      <c r="AA87" s="95"/>
      <c r="AB87" s="96"/>
      <c r="AC87" s="97"/>
    </row>
    <row r="88" spans="1:29" ht="13">
      <c r="A88" s="92"/>
      <c r="B88" s="102"/>
      <c r="C88" s="98"/>
      <c r="D88" s="99"/>
      <c r="E88" s="99"/>
      <c r="F88" s="99"/>
      <c r="G88" s="99"/>
      <c r="H88" s="99"/>
      <c r="I88" s="98"/>
      <c r="J88" s="98"/>
      <c r="K88" s="99"/>
      <c r="L88" s="99"/>
      <c r="M88" s="99"/>
      <c r="N88" s="98"/>
      <c r="O88" s="98"/>
      <c r="P88" s="99"/>
      <c r="Q88" s="98"/>
      <c r="R88" s="102"/>
      <c r="S88" s="102"/>
      <c r="T88" s="103"/>
      <c r="U88" s="103"/>
      <c r="V88" s="103"/>
      <c r="W88" s="104"/>
      <c r="X88" s="103"/>
      <c r="Y88" s="103"/>
      <c r="Z88" s="103"/>
      <c r="AA88" s="104"/>
      <c r="AB88" s="96"/>
      <c r="AC88" s="97"/>
    </row>
    <row r="89" spans="1:29" ht="13">
      <c r="A89" s="92"/>
      <c r="B89" s="106"/>
      <c r="C89" s="107"/>
      <c r="D89" s="108"/>
      <c r="E89" s="108"/>
      <c r="F89" s="108"/>
      <c r="G89" s="108"/>
      <c r="H89" s="108"/>
      <c r="I89" s="107"/>
      <c r="J89" s="107"/>
      <c r="K89" s="108"/>
      <c r="L89" s="108"/>
      <c r="M89" s="108"/>
      <c r="N89" s="107"/>
      <c r="O89" s="107"/>
      <c r="P89" s="108"/>
      <c r="Q89" s="107"/>
      <c r="R89" s="107"/>
      <c r="S89" s="107"/>
      <c r="T89" s="109"/>
      <c r="U89" s="109"/>
      <c r="V89" s="109"/>
      <c r="W89" s="110"/>
      <c r="X89" s="109"/>
      <c r="Y89" s="109"/>
      <c r="Z89" s="109"/>
      <c r="AA89" s="110"/>
      <c r="AB89" s="96"/>
      <c r="AC89" s="97"/>
    </row>
    <row r="90" spans="1:29" ht="13">
      <c r="A90" s="91"/>
      <c r="B90" s="75"/>
      <c r="C90" s="75"/>
      <c r="D90" s="87"/>
      <c r="E90" s="87"/>
      <c r="F90" s="87"/>
      <c r="G90" s="87"/>
      <c r="H90" s="87"/>
      <c r="I90" s="75"/>
      <c r="J90" s="75"/>
      <c r="K90" s="87"/>
      <c r="L90" s="87"/>
      <c r="M90" s="87"/>
      <c r="N90" s="75"/>
      <c r="O90" s="75"/>
      <c r="P90" s="87"/>
      <c r="Q90" s="75"/>
      <c r="R90" s="75"/>
      <c r="S90" s="75"/>
      <c r="T90" s="83"/>
      <c r="U90" s="83"/>
      <c r="V90" s="83"/>
      <c r="W90" s="84"/>
      <c r="X90" s="83"/>
      <c r="Y90" s="83"/>
      <c r="Z90" s="83"/>
      <c r="AA90" s="84"/>
      <c r="AB90" s="85"/>
      <c r="AC90" s="86"/>
    </row>
    <row r="91" spans="1:29" ht="13">
      <c r="A91" s="92"/>
      <c r="B91" s="93"/>
      <c r="C91" s="93"/>
      <c r="I91" s="93"/>
      <c r="J91" s="93"/>
      <c r="N91" s="93"/>
      <c r="O91" s="93"/>
      <c r="Q91" s="93"/>
      <c r="R91" s="93"/>
      <c r="S91" s="93"/>
      <c r="T91" s="94"/>
      <c r="U91" s="94"/>
      <c r="V91" s="94"/>
      <c r="W91" s="95"/>
      <c r="X91" s="94"/>
      <c r="Y91" s="94"/>
      <c r="Z91" s="94"/>
      <c r="AA91" s="95"/>
      <c r="AB91" s="96"/>
      <c r="AC91" s="97"/>
    </row>
    <row r="92" spans="1:29" ht="13">
      <c r="A92" s="92"/>
      <c r="B92" s="98"/>
      <c r="C92" s="98"/>
      <c r="D92" s="99"/>
      <c r="E92" s="99"/>
      <c r="F92" s="99"/>
      <c r="G92" s="99"/>
      <c r="H92" s="99"/>
      <c r="I92" s="98"/>
      <c r="J92" s="98"/>
      <c r="K92" s="99"/>
      <c r="L92" s="99"/>
      <c r="M92" s="99"/>
      <c r="N92" s="98"/>
      <c r="O92" s="98"/>
      <c r="P92" s="99"/>
      <c r="Q92" s="98"/>
      <c r="R92" s="98"/>
      <c r="S92" s="98"/>
      <c r="T92" s="100"/>
      <c r="U92" s="100"/>
      <c r="V92" s="100"/>
      <c r="W92" s="101"/>
      <c r="X92" s="100"/>
      <c r="Y92" s="100"/>
      <c r="Z92" s="100"/>
      <c r="AA92" s="101"/>
      <c r="AB92" s="96"/>
      <c r="AC92" s="97"/>
    </row>
    <row r="93" spans="1:29" ht="13">
      <c r="A93" s="92"/>
      <c r="B93" s="93"/>
      <c r="C93" s="93"/>
      <c r="I93" s="93"/>
      <c r="J93" s="93"/>
      <c r="N93" s="93"/>
      <c r="O93" s="93"/>
      <c r="Q93" s="93"/>
      <c r="R93" s="93"/>
      <c r="S93" s="93"/>
      <c r="T93" s="94"/>
      <c r="U93" s="94"/>
      <c r="V93" s="94"/>
      <c r="W93" s="95"/>
      <c r="X93" s="94"/>
      <c r="Y93" s="94"/>
      <c r="Z93" s="94"/>
      <c r="AA93" s="95"/>
      <c r="AB93" s="96"/>
      <c r="AC93" s="97"/>
    </row>
    <row r="94" spans="1:29" ht="13">
      <c r="A94" s="92"/>
      <c r="B94" s="93"/>
      <c r="C94" s="93"/>
      <c r="I94" s="93"/>
      <c r="J94" s="93"/>
      <c r="N94" s="93"/>
      <c r="O94" s="93"/>
      <c r="Q94" s="93"/>
      <c r="R94" s="93"/>
      <c r="S94" s="93"/>
      <c r="T94" s="94"/>
      <c r="U94" s="94"/>
      <c r="V94" s="94"/>
      <c r="W94" s="95"/>
      <c r="X94" s="94"/>
      <c r="Y94" s="94"/>
      <c r="Z94" s="94"/>
      <c r="AA94" s="95"/>
      <c r="AB94" s="96"/>
      <c r="AC94" s="97"/>
    </row>
    <row r="95" spans="1:29" ht="13">
      <c r="A95" s="92"/>
      <c r="B95" s="102"/>
      <c r="C95" s="98"/>
      <c r="D95" s="99"/>
      <c r="E95" s="99"/>
      <c r="F95" s="99"/>
      <c r="G95" s="99"/>
      <c r="H95" s="99"/>
      <c r="I95" s="98"/>
      <c r="J95" s="98"/>
      <c r="K95" s="99"/>
      <c r="L95" s="99"/>
      <c r="M95" s="99"/>
      <c r="N95" s="98"/>
      <c r="O95" s="98"/>
      <c r="P95" s="99"/>
      <c r="Q95" s="98"/>
      <c r="R95" s="102"/>
      <c r="S95" s="102"/>
      <c r="T95" s="103"/>
      <c r="U95" s="103"/>
      <c r="V95" s="103"/>
      <c r="W95" s="104"/>
      <c r="X95" s="103"/>
      <c r="Y95" s="103"/>
      <c r="Z95" s="103"/>
      <c r="AA95" s="104"/>
      <c r="AB95" s="96"/>
      <c r="AC95" s="97"/>
    </row>
    <row r="96" spans="1:29" ht="13">
      <c r="A96" s="92"/>
      <c r="B96" s="106"/>
      <c r="C96" s="107"/>
      <c r="D96" s="108"/>
      <c r="E96" s="108"/>
      <c r="F96" s="108"/>
      <c r="G96" s="108"/>
      <c r="H96" s="108"/>
      <c r="I96" s="107"/>
      <c r="J96" s="107"/>
      <c r="K96" s="108"/>
      <c r="L96" s="108"/>
      <c r="M96" s="108"/>
      <c r="N96" s="107"/>
      <c r="O96" s="107"/>
      <c r="P96" s="108"/>
      <c r="Q96" s="107"/>
      <c r="R96" s="107"/>
      <c r="S96" s="107"/>
      <c r="T96" s="109"/>
      <c r="U96" s="109"/>
      <c r="V96" s="109"/>
      <c r="W96" s="110"/>
      <c r="X96" s="109"/>
      <c r="Y96" s="109"/>
      <c r="Z96" s="109"/>
      <c r="AA96" s="110"/>
      <c r="AB96" s="96"/>
      <c r="AC96" s="97"/>
    </row>
    <row r="97" spans="1:29" ht="13">
      <c r="A97" s="91"/>
      <c r="B97" s="75"/>
      <c r="C97" s="75"/>
      <c r="D97" s="87"/>
      <c r="E97" s="87"/>
      <c r="F97" s="87"/>
      <c r="G97" s="87"/>
      <c r="H97" s="87"/>
      <c r="I97" s="75"/>
      <c r="J97" s="75"/>
      <c r="K97" s="87"/>
      <c r="L97" s="87"/>
      <c r="M97" s="87"/>
      <c r="N97" s="75"/>
      <c r="O97" s="75"/>
      <c r="P97" s="87"/>
      <c r="Q97" s="75"/>
      <c r="R97" s="75"/>
      <c r="S97" s="75"/>
      <c r="T97" s="83"/>
      <c r="U97" s="83"/>
      <c r="V97" s="83"/>
      <c r="W97" s="84"/>
      <c r="X97" s="83"/>
      <c r="Y97" s="83"/>
      <c r="Z97" s="83"/>
      <c r="AA97" s="84"/>
      <c r="AB97" s="85"/>
      <c r="AC97" s="86"/>
    </row>
    <row r="98" spans="1:29" ht="13">
      <c r="A98" s="92"/>
      <c r="B98" s="93"/>
      <c r="C98" s="93"/>
      <c r="I98" s="93"/>
      <c r="J98" s="93"/>
      <c r="N98" s="93"/>
      <c r="O98" s="93"/>
      <c r="Q98" s="93"/>
      <c r="R98" s="93"/>
      <c r="S98" s="93"/>
      <c r="T98" s="94"/>
      <c r="U98" s="94"/>
      <c r="V98" s="94"/>
      <c r="W98" s="95"/>
      <c r="X98" s="94"/>
      <c r="Y98" s="94"/>
      <c r="Z98" s="94"/>
      <c r="AA98" s="95"/>
      <c r="AB98" s="96"/>
      <c r="AC98" s="97"/>
    </row>
    <row r="99" spans="1:29" ht="13">
      <c r="A99" s="92"/>
      <c r="B99" s="98"/>
      <c r="C99" s="98"/>
      <c r="D99" s="99"/>
      <c r="E99" s="99"/>
      <c r="F99" s="99"/>
      <c r="G99" s="99"/>
      <c r="H99" s="99"/>
      <c r="I99" s="98"/>
      <c r="J99" s="98"/>
      <c r="K99" s="99"/>
      <c r="L99" s="99"/>
      <c r="M99" s="99"/>
      <c r="N99" s="98"/>
      <c r="O99" s="98"/>
      <c r="P99" s="99"/>
      <c r="Q99" s="98"/>
      <c r="R99" s="98"/>
      <c r="S99" s="98"/>
      <c r="T99" s="100"/>
      <c r="U99" s="100"/>
      <c r="V99" s="100"/>
      <c r="W99" s="101"/>
      <c r="X99" s="100"/>
      <c r="Y99" s="100"/>
      <c r="Z99" s="100"/>
      <c r="AA99" s="101"/>
      <c r="AB99" s="96"/>
      <c r="AC99" s="97"/>
    </row>
    <row r="100" spans="1:29" ht="13">
      <c r="A100" s="92"/>
      <c r="B100" s="93"/>
      <c r="C100" s="93"/>
      <c r="I100" s="93"/>
      <c r="J100" s="93"/>
      <c r="N100" s="93"/>
      <c r="O100" s="93"/>
      <c r="Q100" s="93"/>
      <c r="R100" s="93"/>
      <c r="S100" s="93"/>
      <c r="T100" s="94"/>
      <c r="U100" s="94"/>
      <c r="V100" s="94"/>
      <c r="W100" s="95"/>
      <c r="X100" s="94"/>
      <c r="Y100" s="94"/>
      <c r="Z100" s="94"/>
      <c r="AA100" s="95"/>
      <c r="AB100" s="96"/>
      <c r="AC100" s="97"/>
    </row>
    <row r="101" spans="1:29" ht="13">
      <c r="A101" s="92"/>
      <c r="B101" s="93"/>
      <c r="C101" s="93"/>
      <c r="I101" s="93"/>
      <c r="J101" s="93"/>
      <c r="N101" s="93"/>
      <c r="O101" s="93"/>
      <c r="Q101" s="93"/>
      <c r="R101" s="93"/>
      <c r="S101" s="93"/>
      <c r="T101" s="94"/>
      <c r="U101" s="94"/>
      <c r="V101" s="94"/>
      <c r="W101" s="95"/>
      <c r="X101" s="94"/>
      <c r="Y101" s="94"/>
      <c r="Z101" s="94"/>
      <c r="AA101" s="95"/>
      <c r="AB101" s="96"/>
      <c r="AC101" s="97"/>
    </row>
    <row r="102" spans="1:29" ht="13">
      <c r="A102" s="92"/>
      <c r="B102" s="102"/>
      <c r="C102" s="98"/>
      <c r="D102" s="99"/>
      <c r="E102" s="99"/>
      <c r="F102" s="99"/>
      <c r="G102" s="99"/>
      <c r="H102" s="99"/>
      <c r="I102" s="98"/>
      <c r="J102" s="98"/>
      <c r="K102" s="99"/>
      <c r="L102" s="99"/>
      <c r="M102" s="99"/>
      <c r="N102" s="98"/>
      <c r="O102" s="98"/>
      <c r="P102" s="99"/>
      <c r="Q102" s="98"/>
      <c r="R102" s="102"/>
      <c r="S102" s="102"/>
      <c r="T102" s="103"/>
      <c r="U102" s="103"/>
      <c r="V102" s="103"/>
      <c r="W102" s="104"/>
      <c r="X102" s="103"/>
      <c r="Y102" s="103"/>
      <c r="Z102" s="103"/>
      <c r="AA102" s="104"/>
      <c r="AB102" s="96"/>
      <c r="AC102" s="97"/>
    </row>
    <row r="103" spans="1:29" ht="13">
      <c r="A103" s="92"/>
      <c r="B103" s="106"/>
      <c r="C103" s="107"/>
      <c r="D103" s="108"/>
      <c r="E103" s="108"/>
      <c r="F103" s="108"/>
      <c r="G103" s="108"/>
      <c r="H103" s="108"/>
      <c r="I103" s="107"/>
      <c r="J103" s="107"/>
      <c r="K103" s="108"/>
      <c r="L103" s="108"/>
      <c r="M103" s="108"/>
      <c r="N103" s="107"/>
      <c r="O103" s="107"/>
      <c r="P103" s="108"/>
      <c r="Q103" s="107"/>
      <c r="R103" s="107"/>
      <c r="S103" s="107"/>
      <c r="T103" s="109"/>
      <c r="U103" s="109"/>
      <c r="V103" s="109"/>
      <c r="W103" s="110"/>
      <c r="X103" s="109"/>
      <c r="Y103" s="109"/>
      <c r="Z103" s="109"/>
      <c r="AA103" s="110"/>
      <c r="AB103" s="96"/>
      <c r="AC103" s="97"/>
    </row>
    <row r="104" spans="1:29" ht="13">
      <c r="A104" s="91"/>
      <c r="B104" s="75"/>
      <c r="C104" s="75"/>
      <c r="D104" s="87"/>
      <c r="E104" s="87"/>
      <c r="F104" s="87"/>
      <c r="G104" s="87"/>
      <c r="H104" s="87"/>
      <c r="I104" s="75"/>
      <c r="J104" s="75"/>
      <c r="K104" s="87"/>
      <c r="L104" s="87"/>
      <c r="M104" s="87"/>
      <c r="N104" s="75"/>
      <c r="O104" s="75"/>
      <c r="P104" s="87"/>
      <c r="Q104" s="75"/>
      <c r="R104" s="75"/>
      <c r="S104" s="75"/>
      <c r="T104" s="83"/>
      <c r="U104" s="83"/>
      <c r="V104" s="83"/>
      <c r="W104" s="84"/>
      <c r="X104" s="83"/>
      <c r="Y104" s="83"/>
      <c r="Z104" s="83"/>
      <c r="AA104" s="84"/>
      <c r="AB104" s="85"/>
      <c r="AC104" s="86"/>
    </row>
    <row r="105" spans="1:29" ht="13">
      <c r="A105" s="92"/>
      <c r="B105" s="93"/>
      <c r="C105" s="93"/>
      <c r="I105" s="93"/>
      <c r="J105" s="93"/>
      <c r="N105" s="93"/>
      <c r="O105" s="93"/>
      <c r="Q105" s="93"/>
      <c r="R105" s="93"/>
      <c r="S105" s="93"/>
      <c r="T105" s="94"/>
      <c r="U105" s="94"/>
      <c r="V105" s="94"/>
      <c r="W105" s="95"/>
      <c r="X105" s="94"/>
      <c r="Y105" s="94"/>
      <c r="Z105" s="94"/>
      <c r="AA105" s="95"/>
      <c r="AB105" s="96"/>
      <c r="AC105" s="97"/>
    </row>
    <row r="106" spans="1:29" ht="13">
      <c r="A106" s="92"/>
      <c r="B106" s="98"/>
      <c r="C106" s="98"/>
      <c r="D106" s="99"/>
      <c r="E106" s="99"/>
      <c r="F106" s="99"/>
      <c r="G106" s="99"/>
      <c r="H106" s="99"/>
      <c r="I106" s="98"/>
      <c r="J106" s="98"/>
      <c r="K106" s="99"/>
      <c r="L106" s="99"/>
      <c r="M106" s="99"/>
      <c r="N106" s="98"/>
      <c r="O106" s="98"/>
      <c r="P106" s="99"/>
      <c r="Q106" s="98"/>
      <c r="R106" s="98"/>
      <c r="S106" s="98"/>
      <c r="T106" s="100"/>
      <c r="U106" s="100"/>
      <c r="V106" s="100"/>
      <c r="W106" s="101"/>
      <c r="X106" s="100"/>
      <c r="Y106" s="100"/>
      <c r="Z106" s="100"/>
      <c r="AA106" s="101"/>
      <c r="AB106" s="96"/>
      <c r="AC106" s="97"/>
    </row>
    <row r="107" spans="1:29" ht="13">
      <c r="A107" s="92"/>
      <c r="B107" s="93"/>
      <c r="C107" s="93"/>
      <c r="I107" s="93"/>
      <c r="J107" s="93"/>
      <c r="N107" s="93"/>
      <c r="O107" s="93"/>
      <c r="Q107" s="93"/>
      <c r="R107" s="93"/>
      <c r="S107" s="93"/>
      <c r="T107" s="94"/>
      <c r="U107" s="94"/>
      <c r="V107" s="94"/>
      <c r="W107" s="95"/>
      <c r="X107" s="94"/>
      <c r="Y107" s="94"/>
      <c r="Z107" s="94"/>
      <c r="AA107" s="95"/>
      <c r="AB107" s="96"/>
      <c r="AC107" s="97"/>
    </row>
    <row r="108" spans="1:29" ht="13">
      <c r="A108" s="92"/>
      <c r="B108" s="93"/>
      <c r="C108" s="93"/>
      <c r="I108" s="93"/>
      <c r="J108" s="93"/>
      <c r="N108" s="93"/>
      <c r="O108" s="93"/>
      <c r="Q108" s="93"/>
      <c r="R108" s="93"/>
      <c r="S108" s="93"/>
      <c r="T108" s="94"/>
      <c r="U108" s="94"/>
      <c r="V108" s="94"/>
      <c r="W108" s="95"/>
      <c r="X108" s="94"/>
      <c r="Y108" s="94"/>
      <c r="Z108" s="94"/>
      <c r="AA108" s="95"/>
      <c r="AB108" s="96"/>
      <c r="AC108" s="97"/>
    </row>
    <row r="109" spans="1:29" ht="13">
      <c r="A109" s="92"/>
      <c r="B109" s="102"/>
      <c r="C109" s="98"/>
      <c r="D109" s="99"/>
      <c r="E109" s="99"/>
      <c r="F109" s="99"/>
      <c r="G109" s="99"/>
      <c r="H109" s="99"/>
      <c r="I109" s="98"/>
      <c r="J109" s="98"/>
      <c r="K109" s="99"/>
      <c r="L109" s="99"/>
      <c r="M109" s="99"/>
      <c r="N109" s="98"/>
      <c r="O109" s="98"/>
      <c r="P109" s="99"/>
      <c r="Q109" s="98"/>
      <c r="R109" s="102"/>
      <c r="S109" s="102"/>
      <c r="T109" s="103"/>
      <c r="U109" s="103"/>
      <c r="V109" s="103"/>
      <c r="W109" s="104"/>
      <c r="X109" s="103"/>
      <c r="Y109" s="103"/>
      <c r="Z109" s="103"/>
      <c r="AA109" s="104"/>
      <c r="AB109" s="96"/>
      <c r="AC109" s="97"/>
    </row>
    <row r="110" spans="1:29" ht="13">
      <c r="A110" s="92"/>
      <c r="B110" s="106"/>
      <c r="C110" s="107"/>
      <c r="D110" s="108"/>
      <c r="E110" s="108"/>
      <c r="F110" s="108"/>
      <c r="G110" s="108"/>
      <c r="H110" s="108"/>
      <c r="I110" s="107"/>
      <c r="J110" s="107"/>
      <c r="K110" s="108"/>
      <c r="L110" s="108"/>
      <c r="M110" s="108"/>
      <c r="N110" s="107"/>
      <c r="O110" s="107"/>
      <c r="P110" s="108"/>
      <c r="Q110" s="107"/>
      <c r="R110" s="107"/>
      <c r="S110" s="107"/>
      <c r="T110" s="109"/>
      <c r="U110" s="109"/>
      <c r="V110" s="109"/>
      <c r="W110" s="110"/>
      <c r="X110" s="109"/>
      <c r="Y110" s="109"/>
      <c r="Z110" s="109"/>
      <c r="AA110" s="110"/>
      <c r="AB110" s="96"/>
      <c r="AC110" s="97"/>
    </row>
    <row r="111" spans="1:29" ht="13">
      <c r="A111" s="91"/>
      <c r="B111" s="75"/>
      <c r="C111" s="75"/>
      <c r="D111" s="87"/>
      <c r="E111" s="87"/>
      <c r="F111" s="87"/>
      <c r="G111" s="87"/>
      <c r="H111" s="87"/>
      <c r="I111" s="75"/>
      <c r="J111" s="75"/>
      <c r="K111" s="87"/>
      <c r="L111" s="87"/>
      <c r="M111" s="87"/>
      <c r="N111" s="75"/>
      <c r="O111" s="75"/>
      <c r="P111" s="87"/>
      <c r="Q111" s="75"/>
      <c r="R111" s="75"/>
      <c r="S111" s="75"/>
      <c r="T111" s="83"/>
      <c r="U111" s="83"/>
      <c r="V111" s="83"/>
      <c r="W111" s="84"/>
      <c r="X111" s="83"/>
      <c r="Y111" s="83"/>
      <c r="Z111" s="83"/>
      <c r="AA111" s="84"/>
      <c r="AB111" s="85"/>
      <c r="AC111" s="86"/>
    </row>
    <row r="112" spans="1:29" ht="13">
      <c r="A112" s="92"/>
      <c r="B112" s="93"/>
      <c r="C112" s="93"/>
      <c r="I112" s="93"/>
      <c r="J112" s="93"/>
      <c r="N112" s="93"/>
      <c r="O112" s="93"/>
      <c r="Q112" s="93"/>
      <c r="R112" s="93"/>
      <c r="S112" s="93"/>
      <c r="T112" s="94"/>
      <c r="U112" s="94"/>
      <c r="V112" s="94"/>
      <c r="W112" s="95"/>
      <c r="X112" s="94"/>
      <c r="Y112" s="94"/>
      <c r="Z112" s="94"/>
      <c r="AA112" s="95"/>
      <c r="AB112" s="96"/>
      <c r="AC112" s="97"/>
    </row>
    <row r="113" spans="1:29" ht="13">
      <c r="A113" s="92"/>
      <c r="B113" s="98"/>
      <c r="C113" s="98"/>
      <c r="D113" s="99"/>
      <c r="E113" s="99"/>
      <c r="F113" s="99"/>
      <c r="G113" s="99"/>
      <c r="H113" s="99"/>
      <c r="I113" s="98"/>
      <c r="J113" s="98"/>
      <c r="K113" s="99"/>
      <c r="L113" s="99"/>
      <c r="M113" s="99"/>
      <c r="N113" s="98"/>
      <c r="O113" s="98"/>
      <c r="P113" s="99"/>
      <c r="Q113" s="98"/>
      <c r="R113" s="98"/>
      <c r="S113" s="98"/>
      <c r="T113" s="100"/>
      <c r="U113" s="100"/>
      <c r="V113" s="100"/>
      <c r="W113" s="101"/>
      <c r="X113" s="100"/>
      <c r="Y113" s="100"/>
      <c r="Z113" s="100"/>
      <c r="AA113" s="101"/>
      <c r="AB113" s="96"/>
      <c r="AC113" s="97"/>
    </row>
    <row r="114" spans="1:29" ht="13">
      <c r="A114" s="92"/>
      <c r="B114" s="93"/>
      <c r="C114" s="93"/>
      <c r="I114" s="93"/>
      <c r="J114" s="93"/>
      <c r="N114" s="93"/>
      <c r="O114" s="93"/>
      <c r="Q114" s="93"/>
      <c r="R114" s="93"/>
      <c r="S114" s="93"/>
      <c r="T114" s="94"/>
      <c r="U114" s="94"/>
      <c r="V114" s="94"/>
      <c r="W114" s="95"/>
      <c r="X114" s="94"/>
      <c r="Y114" s="94"/>
      <c r="Z114" s="94"/>
      <c r="AA114" s="95"/>
      <c r="AB114" s="96"/>
      <c r="AC114" s="97"/>
    </row>
    <row r="115" spans="1:29" ht="13">
      <c r="A115" s="92"/>
      <c r="B115" s="93"/>
      <c r="C115" s="93"/>
      <c r="I115" s="93"/>
      <c r="J115" s="93"/>
      <c r="N115" s="93"/>
      <c r="O115" s="93"/>
      <c r="Q115" s="93"/>
      <c r="R115" s="93"/>
      <c r="S115" s="93"/>
      <c r="T115" s="94"/>
      <c r="U115" s="94"/>
      <c r="V115" s="94"/>
      <c r="W115" s="95"/>
      <c r="X115" s="94"/>
      <c r="Y115" s="94"/>
      <c r="Z115" s="94"/>
      <c r="AA115" s="95"/>
      <c r="AB115" s="96"/>
      <c r="AC115" s="97"/>
    </row>
    <row r="116" spans="1:29" ht="13">
      <c r="A116" s="92"/>
      <c r="B116" s="102"/>
      <c r="C116" s="98"/>
      <c r="D116" s="99"/>
      <c r="E116" s="99"/>
      <c r="F116" s="99"/>
      <c r="G116" s="99"/>
      <c r="H116" s="99"/>
      <c r="I116" s="98"/>
      <c r="J116" s="98"/>
      <c r="K116" s="99"/>
      <c r="L116" s="99"/>
      <c r="M116" s="99"/>
      <c r="N116" s="98"/>
      <c r="O116" s="98"/>
      <c r="P116" s="99"/>
      <c r="Q116" s="98"/>
      <c r="R116" s="102"/>
      <c r="S116" s="102"/>
      <c r="T116" s="103"/>
      <c r="U116" s="103"/>
      <c r="V116" s="103"/>
      <c r="W116" s="104"/>
      <c r="X116" s="103"/>
      <c r="Y116" s="103"/>
      <c r="Z116" s="103"/>
      <c r="AA116" s="104"/>
      <c r="AB116" s="96"/>
      <c r="AC116" s="97"/>
    </row>
    <row r="117" spans="1:29" ht="13">
      <c r="A117" s="92"/>
      <c r="B117" s="106"/>
      <c r="C117" s="107"/>
      <c r="D117" s="108"/>
      <c r="E117" s="108"/>
      <c r="F117" s="108"/>
      <c r="G117" s="108"/>
      <c r="H117" s="108"/>
      <c r="I117" s="107"/>
      <c r="J117" s="107"/>
      <c r="K117" s="108"/>
      <c r="L117" s="108"/>
      <c r="M117" s="108"/>
      <c r="N117" s="107"/>
      <c r="O117" s="107"/>
      <c r="P117" s="108"/>
      <c r="Q117" s="107"/>
      <c r="R117" s="107"/>
      <c r="S117" s="107"/>
      <c r="T117" s="109"/>
      <c r="U117" s="109"/>
      <c r="V117" s="109"/>
      <c r="W117" s="110"/>
      <c r="X117" s="109"/>
      <c r="Y117" s="109"/>
      <c r="Z117" s="109"/>
      <c r="AA117" s="110"/>
      <c r="AB117" s="96"/>
      <c r="AC117" s="97"/>
    </row>
    <row r="118" spans="1:29" ht="13">
      <c r="A118" s="91"/>
      <c r="B118" s="75"/>
      <c r="C118" s="75"/>
      <c r="D118" s="87"/>
      <c r="E118" s="87"/>
      <c r="F118" s="87"/>
      <c r="G118" s="87"/>
      <c r="H118" s="87"/>
      <c r="I118" s="75"/>
      <c r="J118" s="75"/>
      <c r="K118" s="87"/>
      <c r="L118" s="87"/>
      <c r="M118" s="87"/>
      <c r="N118" s="75"/>
      <c r="O118" s="75"/>
      <c r="P118" s="87"/>
      <c r="Q118" s="75"/>
      <c r="R118" s="75"/>
      <c r="S118" s="75"/>
      <c r="T118" s="83"/>
      <c r="U118" s="83"/>
      <c r="V118" s="83"/>
      <c r="W118" s="84"/>
      <c r="X118" s="83"/>
      <c r="Y118" s="83"/>
      <c r="Z118" s="83"/>
      <c r="AA118" s="84"/>
      <c r="AB118" s="85"/>
      <c r="AC118" s="86"/>
    </row>
    <row r="119" spans="1:29" ht="13">
      <c r="A119" s="92"/>
      <c r="B119" s="93"/>
      <c r="C119" s="93"/>
      <c r="I119" s="93"/>
      <c r="J119" s="93"/>
      <c r="N119" s="93"/>
      <c r="O119" s="93"/>
      <c r="Q119" s="93"/>
      <c r="R119" s="93"/>
      <c r="S119" s="93"/>
      <c r="T119" s="94"/>
      <c r="U119" s="94"/>
      <c r="V119" s="94"/>
      <c r="W119" s="95"/>
      <c r="X119" s="94"/>
      <c r="Y119" s="94"/>
      <c r="Z119" s="94"/>
      <c r="AA119" s="95"/>
      <c r="AB119" s="85"/>
      <c r="AC119" s="86"/>
    </row>
    <row r="120" spans="1:29" ht="13">
      <c r="A120" s="92"/>
      <c r="B120" s="98"/>
      <c r="C120" s="98"/>
      <c r="D120" s="99"/>
      <c r="E120" s="99"/>
      <c r="F120" s="99"/>
      <c r="G120" s="99"/>
      <c r="H120" s="99"/>
      <c r="I120" s="98"/>
      <c r="J120" s="98"/>
      <c r="K120" s="99"/>
      <c r="L120" s="99"/>
      <c r="M120" s="99"/>
      <c r="N120" s="98"/>
      <c r="O120" s="98"/>
      <c r="P120" s="99"/>
      <c r="Q120" s="98"/>
      <c r="R120" s="98"/>
      <c r="S120" s="98"/>
      <c r="T120" s="100"/>
      <c r="U120" s="100"/>
      <c r="V120" s="100"/>
      <c r="W120" s="101"/>
      <c r="X120" s="100"/>
      <c r="Y120" s="100"/>
      <c r="Z120" s="100"/>
      <c r="AA120" s="101"/>
      <c r="AB120" s="111"/>
      <c r="AC120" s="112"/>
    </row>
    <row r="121" spans="1:29" ht="13">
      <c r="A121" s="92"/>
      <c r="B121" s="93"/>
      <c r="C121" s="93"/>
      <c r="I121" s="93"/>
      <c r="J121" s="93"/>
      <c r="N121" s="93"/>
      <c r="O121" s="93"/>
      <c r="Q121" s="93"/>
      <c r="R121" s="93"/>
      <c r="S121" s="93"/>
      <c r="T121" s="94"/>
      <c r="U121" s="94"/>
      <c r="V121" s="94"/>
      <c r="W121" s="95"/>
      <c r="X121" s="94"/>
      <c r="Y121" s="94"/>
      <c r="Z121" s="94"/>
      <c r="AA121" s="95"/>
      <c r="AB121" s="85"/>
      <c r="AC121" s="86"/>
    </row>
    <row r="122" spans="1:29" ht="13">
      <c r="A122" s="92"/>
      <c r="B122" s="93"/>
      <c r="C122" s="93"/>
      <c r="I122" s="93"/>
      <c r="J122" s="93"/>
      <c r="N122" s="93"/>
      <c r="O122" s="93"/>
      <c r="Q122" s="93"/>
      <c r="R122" s="93"/>
      <c r="S122" s="93"/>
      <c r="T122" s="94"/>
      <c r="U122" s="94"/>
      <c r="V122" s="94"/>
      <c r="W122" s="95"/>
      <c r="X122" s="94"/>
      <c r="Y122" s="94"/>
      <c r="Z122" s="94"/>
      <c r="AA122" s="95"/>
      <c r="AB122" s="85"/>
      <c r="AC122" s="86"/>
    </row>
    <row r="123" spans="1:29" ht="13">
      <c r="A123" s="92"/>
      <c r="B123" s="102"/>
      <c r="C123" s="98"/>
      <c r="D123" s="99"/>
      <c r="E123" s="99"/>
      <c r="F123" s="99"/>
      <c r="G123" s="99"/>
      <c r="H123" s="99"/>
      <c r="I123" s="98"/>
      <c r="J123" s="98"/>
      <c r="K123" s="99"/>
      <c r="L123" s="99"/>
      <c r="M123" s="99"/>
      <c r="N123" s="98"/>
      <c r="O123" s="98"/>
      <c r="P123" s="99"/>
      <c r="Q123" s="98"/>
      <c r="R123" s="102"/>
      <c r="S123" s="102"/>
      <c r="T123" s="103"/>
      <c r="U123" s="103"/>
      <c r="V123" s="103"/>
      <c r="W123" s="104"/>
      <c r="X123" s="103"/>
      <c r="Y123" s="103"/>
      <c r="Z123" s="103"/>
      <c r="AA123" s="104"/>
      <c r="AB123" s="85"/>
      <c r="AC123" s="86"/>
    </row>
    <row r="124" spans="1:29" ht="13">
      <c r="A124" s="92"/>
      <c r="B124" s="106"/>
      <c r="C124" s="107"/>
      <c r="D124" s="108"/>
      <c r="E124" s="108"/>
      <c r="F124" s="108"/>
      <c r="G124" s="108"/>
      <c r="H124" s="108"/>
      <c r="I124" s="107"/>
      <c r="J124" s="107"/>
      <c r="K124" s="108"/>
      <c r="L124" s="108"/>
      <c r="M124" s="108"/>
      <c r="N124" s="107"/>
      <c r="O124" s="107"/>
      <c r="P124" s="108"/>
      <c r="Q124" s="107"/>
      <c r="R124" s="107"/>
      <c r="S124" s="107"/>
      <c r="T124" s="109"/>
      <c r="U124" s="109"/>
      <c r="V124" s="109"/>
      <c r="W124" s="110"/>
      <c r="X124" s="109"/>
      <c r="Y124" s="109"/>
      <c r="Z124" s="109"/>
      <c r="AA124" s="110"/>
      <c r="AB124" s="113"/>
      <c r="AC124" s="114"/>
    </row>
    <row r="125" spans="1:29" ht="13">
      <c r="A125" s="115"/>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c2f2499-f938-4cc0-a2cd-f3e7b3a200ae">
      <UserInfo>
        <DisplayName>Susan Lounsbury</DisplayName>
        <AccountId>6</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87697B-056F-45C0-97AF-5A5D36EFA56B}">
  <ds:schemaRefs>
    <ds:schemaRef ds:uri="http://purl.org/dc/dcmitype/"/>
    <ds:schemaRef ds:uri="http://schemas.openxmlformats.org/package/2006/metadata/core-properties"/>
    <ds:schemaRef ds:uri="http://schemas.microsoft.com/office/2006/documentManagement/types"/>
    <ds:schemaRef ds:uri="fc2f2499-f938-4cc0-a2cd-f3e7b3a200ae"/>
    <ds:schemaRef ds:uri="d3553cee-4ecc-4eb5-80d8-f24f98131822"/>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4359ADFD-0402-4D99-AC8D-69362C2C9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27BC8B-41BF-4624-A0BF-E64460E617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NEW-Tables 80-86</vt:lpstr>
      <vt:lpstr>OLD Tables</vt:lpstr>
      <vt:lpstr>FTE Pivot for regular counts</vt:lpstr>
      <vt:lpstr>Pivot-HS Student % of Undergrad</vt:lpstr>
      <vt:lpstr>04SCH_FTE</vt:lpstr>
      <vt:lpstr>Format for FTE</vt:lpstr>
      <vt:lpstr>Format for HS%</vt:lpstr>
      <vt:lpstr>'04SCH_FTE'!Dual07_1</vt:lpstr>
      <vt:lpstr>'04SCH_FTE'!Dual07_3</vt:lpstr>
      <vt:lpstr>'04SCH_FTE'!Dual07_4</vt:lpstr>
      <vt:lpstr>'04SCH_FTE'!Dual07_5</vt:lpstr>
      <vt:lpstr>'04SCH_FTE'!Print_Area</vt:lpstr>
      <vt:lpstr>'NEW-Tables 80-86'!Print_Area</vt:lpstr>
      <vt:lpstr>'OLD Tables'!Print_Area</vt:lpstr>
      <vt:lpstr>'Pivot-HS Student % of Undergrad'!Print_Area</vt:lpstr>
      <vt:lpstr>'04SCH_FTE'!Print_Titles</vt:lpstr>
      <vt:lpstr>'Pivot-HS Student % of Undergrad'!Print_Titles</vt:lpstr>
      <vt:lpstr>'04SCH_FTE'!SCH15ug1</vt:lpstr>
      <vt:lpstr>'04SCH_FTE'!SCH15ug1_1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Robert Aycock</cp:lastModifiedBy>
  <cp:lastPrinted>2016-03-17T19:39:44Z</cp:lastPrinted>
  <dcterms:created xsi:type="dcterms:W3CDTF">1999-02-24T13:58:47Z</dcterms:created>
  <dcterms:modified xsi:type="dcterms:W3CDTF">2023-02-09T20:07:34Z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0x0101008C9207C4D8AB6E4A9864D320D8693611</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TemplateUrl">
    <vt:lpwstr/>
  </property>
</Properties>
</file>